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3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ISTINA\Desktop\"/>
    </mc:Choice>
  </mc:AlternateContent>
  <bookViews>
    <workbookView xWindow="0" yWindow="0" windowWidth="19440" windowHeight="10755" tabRatio="905" firstSheet="3" activeTab="31"/>
  </bookViews>
  <sheets>
    <sheet name="ElencoProdottiGestiti" sheetId="58" state="hidden" r:id="rId1"/>
    <sheet name="TRAD" sheetId="41" state="hidden" r:id="rId2"/>
    <sheet name="EtPlisse" sheetId="44" state="hidden" r:id="rId3"/>
    <sheet name="EtFlexa" sheetId="62" r:id="rId4"/>
    <sheet name="DATI" sheetId="1" r:id="rId5"/>
    <sheet name="Storico" sheetId="46" r:id="rId6"/>
    <sheet name="Plisse" sheetId="13" state="hidden" r:id="rId7"/>
    <sheet name="Plisse8L" sheetId="14" state="hidden" r:id="rId8"/>
    <sheet name="Plisse8Lmis" sheetId="20" state="hidden" r:id="rId9"/>
    <sheet name="PlisseMOD" sheetId="21" state="hidden" r:id="rId10"/>
    <sheet name="PlisseXL" sheetId="15" state="hidden" r:id="rId11"/>
    <sheet name="Plisse-no8" sheetId="47" state="hidden" r:id="rId12"/>
    <sheet name="MiniPlisse" sheetId="16" state="hidden" r:id="rId13"/>
    <sheet name="MiniPlisse2a" sheetId="17" state="hidden" r:id="rId14"/>
    <sheet name="MiniPlisse N-D" sheetId="19" state="hidden" r:id="rId15"/>
    <sheet name="PlisseZero" sheetId="56" state="hidden" r:id="rId16"/>
    <sheet name="PlisseZeroModulo" sheetId="57" state="hidden" r:id="rId17"/>
    <sheet name="GiocondaCat" sheetId="5" state="hidden" r:id="rId18"/>
    <sheet name="GiocondaFri" sheetId="6" state="hidden" r:id="rId19"/>
    <sheet name="GiocondaLatnew" sheetId="7" state="hidden" r:id="rId20"/>
    <sheet name="GiocondaLatnew2A" sheetId="8" state="hidden" r:id="rId21"/>
    <sheet name="GiocondaRevers" sheetId="9" state="hidden" r:id="rId22"/>
    <sheet name="GiocondaLatmod" sheetId="10" state="hidden" r:id="rId23"/>
    <sheet name="GiocondaFriMOD" sheetId="30" state="hidden" r:id="rId24"/>
    <sheet name="GioFri22" sheetId="34" state="hidden" r:id="rId25"/>
    <sheet name="GioLat22" sheetId="35" state="hidden" r:id="rId26"/>
    <sheet name="GioLat22-2an" sheetId="36" state="hidden" r:id="rId27"/>
    <sheet name="GioLat22Revers" sheetId="37" state="hidden" r:id="rId28"/>
    <sheet name="GioLat22MOD" sheetId="38" state="hidden" r:id="rId29"/>
    <sheet name="GioFri22MOD" sheetId="45" state="hidden" r:id="rId30"/>
    <sheet name="FLEXA" sheetId="59" r:id="rId31"/>
    <sheet name="JOLLY" sheetId="61" r:id="rId32"/>
    <sheet name="MAGN" sheetId="32" state="hidden" r:id="rId33"/>
    <sheet name="GioFri27" sheetId="50" state="hidden" r:id="rId34"/>
    <sheet name="GioLat27-2an" sheetId="52" state="hidden" r:id="rId35"/>
    <sheet name="GioLat27MOD" sheetId="54" state="hidden" r:id="rId36"/>
    <sheet name="GioFri27MOD" sheetId="55" state="hidden" r:id="rId37"/>
    <sheet name="NOTE RILASCIO" sheetId="49" state="veryHidden" r:id="rId38"/>
    <sheet name="NoteRilascio" sheetId="63" r:id="rId39"/>
  </sheets>
  <externalReferences>
    <externalReference r:id="rId40"/>
    <externalReference r:id="rId41"/>
    <externalReference r:id="rId42"/>
    <externalReference r:id="rId43"/>
    <externalReference r:id="rId44"/>
  </externalReferences>
  <definedNames>
    <definedName name="_xlnm._FilterDatabase" localSheetId="1" hidden="1">TRAD!$A$1:$G$138</definedName>
    <definedName name="_xlnm.Print_Area" localSheetId="4">DATI!$E$3</definedName>
    <definedName name="_xlnm.Print_Area" localSheetId="3">EtFlexa!$A$1:$I$26</definedName>
    <definedName name="_xlnm.Print_Area" localSheetId="2">EtPlisse!$A$1:$I$27</definedName>
    <definedName name="_xlnm.Print_Area" localSheetId="30">FLEXA!$A$1:$I$46</definedName>
    <definedName name="_xlnm.Print_Area" localSheetId="17">GiocondaCat!$B$1:$R$61</definedName>
    <definedName name="_xlnm.Print_Area" localSheetId="18">GiocondaFri!$B$1:$V$68</definedName>
    <definedName name="_xlnm.Print_Area" localSheetId="23">GiocondaFriMOD!$B$1:$V$68</definedName>
    <definedName name="_xlnm.Print_Area" localSheetId="22">GiocondaLatmod!$B$1:$V$72</definedName>
    <definedName name="_xlnm.Print_Area" localSheetId="19">GiocondaLatnew!$B$1:$V$72</definedName>
    <definedName name="_xlnm.Print_Area" localSheetId="20">GiocondaLatnew2A!$B$1:$V$72</definedName>
    <definedName name="_xlnm.Print_Area" localSheetId="21">GiocondaRevers!$B$1:$V$72</definedName>
    <definedName name="_xlnm.Print_Area" localSheetId="24">GioFri22!$B$1:$V$72</definedName>
    <definedName name="_xlnm.Print_Area" localSheetId="29">GioFri22MOD!$B$1:$V$72</definedName>
    <definedName name="_xlnm.Print_Area" localSheetId="33">GioFri27!$B$1:$V$72</definedName>
    <definedName name="_xlnm.Print_Area" localSheetId="36">GioFri27MOD!$B$1:$V$72</definedName>
    <definedName name="_xlnm.Print_Area" localSheetId="25">GioLat22!$B$1:$V$72</definedName>
    <definedName name="_xlnm.Print_Area" localSheetId="26">'GioLat22-2an'!$B$1:$V$72</definedName>
    <definedName name="_xlnm.Print_Area" localSheetId="28">GioLat22MOD!$B$1:$V$72</definedName>
    <definedName name="_xlnm.Print_Area" localSheetId="27">GioLat22Revers!$B$1:$V$72</definedName>
    <definedName name="_xlnm.Print_Area" localSheetId="34">'GioLat27-2an'!$B$1:$V$72</definedName>
    <definedName name="_xlnm.Print_Area" localSheetId="35">GioLat27MOD!$B$1:$V$72</definedName>
    <definedName name="_xlnm.Print_Area" localSheetId="31">JOLLY!$A$1:$I$47</definedName>
    <definedName name="_xlnm.Print_Area" localSheetId="32">MAGN!$B$1:$V$72</definedName>
    <definedName name="_xlnm.Print_Area" localSheetId="12">MiniPlisse!$B$1:$AE$56</definedName>
    <definedName name="_xlnm.Print_Area" localSheetId="14">'MiniPlisse N-D'!$B$1:$AE$56</definedName>
    <definedName name="_xlnm.Print_Area" localSheetId="13">MiniPlisse2a!$B$1:$AE$56</definedName>
    <definedName name="_xlnm.Print_Area" localSheetId="6">Plisse!$B$1:$AF$55</definedName>
    <definedName name="_xlnm.Print_Area" localSheetId="7">Plisse8L!$A$1:$AB$58</definedName>
    <definedName name="_xlnm.Print_Area" localSheetId="8">Plisse8Lmis!$A$1:$AB$58</definedName>
    <definedName name="_xlnm.Print_Area" localSheetId="9">PlisseMOD!$D$1:$AF$55</definedName>
    <definedName name="_xlnm.Print_Area" localSheetId="11">'Plisse-no8'!$D$1:$AF$56</definedName>
    <definedName name="_xlnm.Print_Area" localSheetId="10">PlisseXL!$D$1:$AG$55</definedName>
    <definedName name="_xlnm.Print_Area" localSheetId="15">PlisseZero!$A$1:$AG$55</definedName>
    <definedName name="_xlnm.Print_Area" localSheetId="16">PlisseZeroModulo!$D$1:$AF$56</definedName>
    <definedName name="articoli" localSheetId="29">[1]Articoli!$A:$IV</definedName>
    <definedName name="articoli" localSheetId="36">[1]Articoli!$A:$IV</definedName>
    <definedName name="articoli">[1]Articoli!$A:$IV</definedName>
    <definedName name="COLORE" localSheetId="3">#REF!</definedName>
    <definedName name="COLORE" localSheetId="2">[2]SETUP!$H$2:$I$48</definedName>
    <definedName name="COLORE" localSheetId="29">#REF!</definedName>
    <definedName name="COLORE" localSheetId="36">#REF!</definedName>
    <definedName name="COLORE" localSheetId="31">#REF!</definedName>
    <definedName name="COLORE" localSheetId="12">[3]SETUP!$H$2:$I$48</definedName>
    <definedName name="COLORE" localSheetId="14">[3]SETUP!$H$2:$I$48</definedName>
    <definedName name="COLORE" localSheetId="13">[3]SETUP!$H$2:$I$48</definedName>
    <definedName name="COLORE" localSheetId="6">[4]SETUP!$H$2:$I$48</definedName>
    <definedName name="COLORE" localSheetId="7">[5]SETUP!$H$2:$I$48</definedName>
    <definedName name="COLORE" localSheetId="8">[5]SETUP!$H$2:$I$48</definedName>
    <definedName name="COLORE" localSheetId="9">#REF!</definedName>
    <definedName name="COLORE" localSheetId="11">#REF!</definedName>
    <definedName name="COLORE" localSheetId="10">#REF!</definedName>
    <definedName name="COLORE" localSheetId="15">#REF!</definedName>
    <definedName name="COLORE" localSheetId="16">#REF!</definedName>
    <definedName name="COLORE">#REF!</definedName>
    <definedName name="colxx" localSheetId="3">#REF!</definedName>
    <definedName name="colxx" localSheetId="2">#REF!</definedName>
    <definedName name="colxx" localSheetId="29">#REF!</definedName>
    <definedName name="colxx" localSheetId="36">#REF!</definedName>
    <definedName name="colxx" localSheetId="31">#REF!</definedName>
    <definedName name="colxx" localSheetId="12">#REF!</definedName>
    <definedName name="colxx" localSheetId="14">#REF!</definedName>
    <definedName name="colxx" localSheetId="13">#REF!</definedName>
    <definedName name="colxx" localSheetId="6">#REF!</definedName>
    <definedName name="colxx" localSheetId="7">#REF!</definedName>
    <definedName name="colxx" localSheetId="8">#REF!</definedName>
    <definedName name="colxx" localSheetId="9">#REF!</definedName>
    <definedName name="colxx" localSheetId="11">'Plisse-no8'!$A$74:$B$78</definedName>
    <definedName name="colxx" localSheetId="10">PlisseXL!$A$74:$B$78</definedName>
    <definedName name="colxx" localSheetId="15">PlisseZero!$A$74:$B$78</definedName>
    <definedName name="colxx" localSheetId="16">PlisseZeroModulo!$A$74:$B$78</definedName>
    <definedName name="colxx">#REF!</definedName>
    <definedName name="NOTE" localSheetId="3">#REF!</definedName>
    <definedName name="NOTE" localSheetId="29">#REF!</definedName>
    <definedName name="NOTE" localSheetId="36">#REF!</definedName>
    <definedName name="NOTE" localSheetId="31">#REF!</definedName>
    <definedName name="NOTE" localSheetId="9">#REF!</definedName>
    <definedName name="NOTE" localSheetId="11">#REF!</definedName>
    <definedName name="NOTE" localSheetId="10">#REF!</definedName>
    <definedName name="NOTE" localSheetId="15">#REF!</definedName>
    <definedName name="NOTE" localSheetId="16">#REF!</definedName>
    <definedName name="NOTE">#REF!</definedName>
    <definedName name="TRADUZIONI">TRAD!$A:$G</definedName>
  </definedNames>
  <calcPr calcId="152511"/>
</workbook>
</file>

<file path=xl/calcChain.xml><?xml version="1.0" encoding="utf-8"?>
<calcChain xmlns="http://schemas.openxmlformats.org/spreadsheetml/2006/main">
  <c r="E41" i="61" l="1"/>
  <c r="F8" i="62" l="1"/>
  <c r="I8" i="62" l="1"/>
  <c r="F13" i="62"/>
  <c r="H13" i="62"/>
  <c r="F11" i="62"/>
  <c r="H11" i="62"/>
  <c r="H18" i="62"/>
  <c r="O50" i="62"/>
  <c r="N50" i="62"/>
  <c r="B13" i="62"/>
  <c r="O35" i="62"/>
  <c r="O29" i="62" s="1"/>
  <c r="N35" i="62"/>
  <c r="N29" i="62" s="1"/>
  <c r="O55" i="62"/>
  <c r="N55" i="62"/>
  <c r="H3" i="59"/>
  <c r="B18" i="62"/>
  <c r="B19" i="62"/>
  <c r="B6" i="62"/>
  <c r="B15" i="62"/>
  <c r="B5" i="62"/>
  <c r="B4" i="62"/>
  <c r="F22" i="62" s="1"/>
  <c r="V24" i="1"/>
  <c r="V23" i="1"/>
  <c r="V22" i="1"/>
  <c r="V21" i="1"/>
  <c r="V20" i="1"/>
  <c r="V19" i="1"/>
  <c r="V18" i="1"/>
  <c r="V16" i="1"/>
  <c r="E14" i="1"/>
  <c r="E8" i="59"/>
  <c r="O28" i="62"/>
  <c r="N28" i="62"/>
  <c r="G9" i="62" l="1"/>
  <c r="V17" i="1"/>
  <c r="W17" i="1" s="1"/>
  <c r="B3" i="62"/>
  <c r="B21" i="62" s="1"/>
  <c r="O42" i="62"/>
  <c r="N42" i="62"/>
  <c r="B10" i="62"/>
  <c r="G3" i="62"/>
  <c r="B22" i="62" s="1"/>
  <c r="B7" i="62"/>
  <c r="B14" i="62"/>
  <c r="G15" i="62"/>
  <c r="B26" i="62"/>
  <c r="H6" i="62" l="1"/>
  <c r="O30" i="62"/>
  <c r="N30" i="62"/>
  <c r="C2" i="62" l="1"/>
  <c r="Y7" i="1"/>
  <c r="Y6" i="1"/>
  <c r="V8" i="1"/>
  <c r="V7" i="1"/>
  <c r="V6" i="1"/>
  <c r="Y13" i="1"/>
  <c r="Y12" i="1"/>
  <c r="V14" i="1"/>
  <c r="V13" i="1"/>
  <c r="V12" i="1"/>
  <c r="Y10" i="1"/>
  <c r="V10" i="1"/>
  <c r="E39" i="61"/>
  <c r="H44" i="61"/>
  <c r="E36" i="61"/>
  <c r="A2" i="61"/>
  <c r="E43" i="61"/>
  <c r="F1" i="59"/>
  <c r="E42" i="59" s="1"/>
  <c r="I9" i="59"/>
  <c r="E22" i="59" s="1"/>
  <c r="I22" i="59" s="1"/>
  <c r="H9" i="59"/>
  <c r="E43" i="59" s="1"/>
  <c r="E9" i="59"/>
  <c r="F3" i="59"/>
  <c r="E38" i="59"/>
  <c r="A2" i="59"/>
  <c r="Y5" i="1" l="1"/>
  <c r="Z5" i="1" s="1"/>
  <c r="E44" i="61"/>
  <c r="O37" i="62"/>
  <c r="Y11" i="1"/>
  <c r="Z11" i="1" s="1"/>
  <c r="E24" i="59"/>
  <c r="N38" i="62" s="1"/>
  <c r="H43" i="59"/>
  <c r="B4" i="59"/>
  <c r="E13" i="59"/>
  <c r="I13" i="59" s="1"/>
  <c r="N43" i="62" s="1"/>
  <c r="E15" i="59"/>
  <c r="I15" i="59" s="1"/>
  <c r="E17" i="59"/>
  <c r="I17" i="59" s="1"/>
  <c r="E18" i="59"/>
  <c r="N49" i="62" s="1"/>
  <c r="E25" i="61"/>
  <c r="O38" i="62" s="1"/>
  <c r="F9" i="62" s="1"/>
  <c r="E38" i="61"/>
  <c r="H41" i="61" s="1"/>
  <c r="V5" i="1"/>
  <c r="V11" i="1"/>
  <c r="E37" i="59"/>
  <c r="N31" i="62" s="1"/>
  <c r="B4" i="61"/>
  <c r="E17" i="61"/>
  <c r="E19" i="61"/>
  <c r="E13" i="61"/>
  <c r="I13" i="61" s="1"/>
  <c r="O43" i="62" s="1"/>
  <c r="H4" i="62" s="1"/>
  <c r="E15" i="61"/>
  <c r="E18" i="61"/>
  <c r="A11" i="59"/>
  <c r="E19" i="59"/>
  <c r="I19" i="59" s="1"/>
  <c r="N41" i="62" s="1"/>
  <c r="A4" i="61"/>
  <c r="A4" i="59"/>
  <c r="E20" i="61"/>
  <c r="I20" i="61" s="1"/>
  <c r="O41" i="62" s="1"/>
  <c r="E21" i="61"/>
  <c r="I21" i="61" s="1"/>
  <c r="O45" i="62" s="1"/>
  <c r="E20" i="59"/>
  <c r="I20" i="59" s="1"/>
  <c r="N45" i="62" s="1"/>
  <c r="A11" i="61"/>
  <c r="E35" i="59"/>
  <c r="E23" i="61"/>
  <c r="I23" i="61" s="1"/>
  <c r="O31" i="62" l="1"/>
  <c r="B9" i="62" s="1"/>
  <c r="N54" i="62"/>
  <c r="I18" i="59"/>
  <c r="O33" i="62"/>
  <c r="N52" i="62"/>
  <c r="O32" i="62"/>
  <c r="W11" i="1"/>
  <c r="E27" i="61" s="1"/>
  <c r="O36" i="62" s="1"/>
  <c r="B16" i="62"/>
  <c r="I36" i="61"/>
  <c r="H16" i="62"/>
  <c r="I18" i="61"/>
  <c r="O54" i="62"/>
  <c r="F10" i="62" s="1"/>
  <c r="I15" i="61"/>
  <c r="O52" i="62"/>
  <c r="H10" i="62" s="1"/>
  <c r="I19" i="61"/>
  <c r="O49" i="62"/>
  <c r="H12" i="62" s="1"/>
  <c r="I17" i="61"/>
  <c r="O47" i="62"/>
  <c r="F12" i="62" s="1"/>
  <c r="I35" i="59"/>
  <c r="N37" i="62"/>
  <c r="E9" i="62" s="1"/>
  <c r="J1" i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5" i="1"/>
  <c r="H25" i="44"/>
  <c r="H19" i="44"/>
  <c r="B19" i="44"/>
  <c r="G18" i="44"/>
  <c r="E17" i="44"/>
  <c r="B13" i="44"/>
  <c r="G12" i="44"/>
  <c r="D12" i="44"/>
  <c r="G7" i="44"/>
  <c r="H6" i="44"/>
  <c r="H5" i="44"/>
  <c r="AC1" i="1" l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O4" i="1"/>
  <c r="O34" i="62"/>
  <c r="V55" i="44"/>
  <c r="I7" i="44" s="1"/>
  <c r="Z31" i="54" l="1"/>
  <c r="Y30" i="54"/>
  <c r="B2" i="35"/>
  <c r="G49" i="56" l="1"/>
  <c r="G15" i="56"/>
  <c r="A62" i="56" s="1"/>
  <c r="G13" i="56"/>
  <c r="AD3" i="56" s="1"/>
  <c r="H9" i="56"/>
  <c r="G7" i="56"/>
  <c r="H20" i="56"/>
  <c r="A67" i="56" s="1"/>
  <c r="E20" i="56"/>
  <c r="A66" i="56" s="1"/>
  <c r="A67" i="57"/>
  <c r="A66" i="57"/>
  <c r="A63" i="57"/>
  <c r="A59" i="57"/>
  <c r="A60" i="57" s="1"/>
  <c r="A65" i="57" s="1"/>
  <c r="AE53" i="57"/>
  <c r="AD55" i="57" s="1"/>
  <c r="D32" i="57"/>
  <c r="B30" i="57"/>
  <c r="B29" i="57"/>
  <c r="B28" i="57"/>
  <c r="B27" i="57"/>
  <c r="B25" i="57"/>
  <c r="B24" i="57" s="1"/>
  <c r="V24" i="57"/>
  <c r="E23" i="57"/>
  <c r="B21" i="57"/>
  <c r="B20" i="57"/>
  <c r="V17" i="57"/>
  <c r="B17" i="57"/>
  <c r="D3" i="57" s="1"/>
  <c r="B16" i="57"/>
  <c r="H15" i="57"/>
  <c r="G15" i="57"/>
  <c r="A62" i="57" s="1"/>
  <c r="B15" i="57"/>
  <c r="W13" i="57"/>
  <c r="G13" i="57"/>
  <c r="AD3" i="57" s="1"/>
  <c r="G11" i="57"/>
  <c r="AC3" i="57" s="1"/>
  <c r="N10" i="57"/>
  <c r="H9" i="57"/>
  <c r="V8" i="57"/>
  <c r="G7" i="57"/>
  <c r="AD4" i="57"/>
  <c r="Y3" i="57"/>
  <c r="T3" i="57"/>
  <c r="Q3" i="57"/>
  <c r="N3" i="57"/>
  <c r="K3" i="57"/>
  <c r="G3" i="57"/>
  <c r="A63" i="56"/>
  <c r="A59" i="56"/>
  <c r="A60" i="56" s="1"/>
  <c r="A65" i="56" s="1"/>
  <c r="H15" i="56"/>
  <c r="G11" i="56"/>
  <c r="AC3" i="56" s="1"/>
  <c r="AD4" i="56"/>
  <c r="Q3" i="56"/>
  <c r="N3" i="56"/>
  <c r="K3" i="56"/>
  <c r="G3" i="56"/>
  <c r="Z3" i="57" l="1"/>
  <c r="V36" i="44" s="1"/>
  <c r="V29" i="44"/>
  <c r="C2" i="44" s="1"/>
  <c r="P33" i="57"/>
  <c r="V32" i="44" s="1"/>
  <c r="F5" i="44" s="1"/>
  <c r="V52" i="44"/>
  <c r="G19" i="44" s="1"/>
  <c r="V44" i="44"/>
  <c r="Y13" i="57"/>
  <c r="Y14" i="57"/>
  <c r="B26" i="57"/>
  <c r="B23" i="57" s="1"/>
  <c r="B18" i="57" s="1"/>
  <c r="T3" i="56"/>
  <c r="AC41" i="56" s="1"/>
  <c r="U41" i="44" s="1"/>
  <c r="AC17" i="57"/>
  <c r="AC9" i="57"/>
  <c r="V48" i="44" s="1"/>
  <c r="H23" i="44" s="1"/>
  <c r="U4" i="57"/>
  <c r="D24" i="57"/>
  <c r="AC35" i="57"/>
  <c r="V42" i="44" s="1"/>
  <c r="F12" i="44" s="1"/>
  <c r="H17" i="57"/>
  <c r="A64" i="57" s="1"/>
  <c r="G49" i="57"/>
  <c r="D32" i="56"/>
  <c r="W3" i="56"/>
  <c r="W13" i="56" s="1"/>
  <c r="E23" i="56"/>
  <c r="O19" i="57"/>
  <c r="P40" i="57"/>
  <c r="Q22" i="57"/>
  <c r="N18" i="57"/>
  <c r="P38" i="57"/>
  <c r="Q21" i="57"/>
  <c r="P36" i="57"/>
  <c r="P20" i="57"/>
  <c r="P39" i="57"/>
  <c r="V35" i="44" s="1"/>
  <c r="G6" i="44" s="1"/>
  <c r="L28" i="57"/>
  <c r="M17" i="57"/>
  <c r="O6" i="57"/>
  <c r="V39" i="44" s="1"/>
  <c r="I5" i="44" s="1"/>
  <c r="H11" i="57"/>
  <c r="D22" i="57"/>
  <c r="Q6" i="57"/>
  <c r="D19" i="57"/>
  <c r="P34" i="57"/>
  <c r="AC41" i="57"/>
  <c r="V41" i="44" s="1"/>
  <c r="E12" i="44" s="1"/>
  <c r="A69" i="57"/>
  <c r="AD24" i="57"/>
  <c r="V46" i="44" s="1"/>
  <c r="B17" i="44" s="1"/>
  <c r="F25" i="57"/>
  <c r="A68" i="57"/>
  <c r="Y13" i="56"/>
  <c r="A64" i="56"/>
  <c r="Y14" i="56"/>
  <c r="D24" i="56"/>
  <c r="H11" i="56"/>
  <c r="Q6" i="56"/>
  <c r="A69" i="56"/>
  <c r="D19" i="56"/>
  <c r="P37" i="57" l="1"/>
  <c r="V34" i="44" s="1"/>
  <c r="F6" i="44" s="1"/>
  <c r="AC17" i="56"/>
  <c r="F25" i="56"/>
  <c r="U4" i="56"/>
  <c r="AC9" i="56"/>
  <c r="U48" i="44" s="1"/>
  <c r="O6" i="56"/>
  <c r="U39" i="44" s="1"/>
  <c r="AC35" i="56"/>
  <c r="U42" i="44" s="1"/>
  <c r="H17" i="44"/>
  <c r="B11" i="44"/>
  <c r="P35" i="57"/>
  <c r="V33" i="44" s="1"/>
  <c r="G5" i="44" s="1"/>
  <c r="F7" i="44"/>
  <c r="F4" i="44"/>
  <c r="AD24" i="56"/>
  <c r="U46" i="44" s="1"/>
  <c r="D22" i="56"/>
  <c r="K16" i="57"/>
  <c r="U52" i="44"/>
  <c r="U44" i="44"/>
  <c r="Y3" i="56"/>
  <c r="V17" i="56"/>
  <c r="AE53" i="56"/>
  <c r="AD55" i="56" s="1"/>
  <c r="V8" i="56"/>
  <c r="V24" i="56"/>
  <c r="N10" i="56"/>
  <c r="AD54" i="57"/>
  <c r="A61" i="57"/>
  <c r="A70" i="57" s="1"/>
  <c r="AF56" i="57" s="1"/>
  <c r="I11" i="57"/>
  <c r="A61" i="56"/>
  <c r="I11" i="56"/>
  <c r="AD54" i="56"/>
  <c r="U29" i="44" l="1"/>
  <c r="P33" i="56"/>
  <c r="U32" i="44" s="1"/>
  <c r="A68" i="56"/>
  <c r="A70" i="56" s="1"/>
  <c r="Z3" i="56"/>
  <c r="U36" i="44" l="1"/>
  <c r="L29" i="56"/>
  <c r="P37" i="56" s="1"/>
  <c r="U34" i="44" s="1"/>
  <c r="Q37" i="56"/>
  <c r="Q35" i="56"/>
  <c r="Q22" i="56"/>
  <c r="Q39" i="56"/>
  <c r="P39" i="56" l="1"/>
  <c r="U35" i="44" s="1"/>
  <c r="P35" i="56"/>
  <c r="U33" i="44" s="1"/>
  <c r="Q21" i="56"/>
  <c r="P20" i="56" s="1"/>
  <c r="O19" i="56" s="1"/>
  <c r="N18" i="56" s="1"/>
  <c r="M17" i="56" s="1"/>
  <c r="K16" i="56" s="1"/>
  <c r="C10" i="10"/>
  <c r="C10" i="9"/>
  <c r="C10" i="8"/>
  <c r="C10" i="7"/>
  <c r="O43" i="10"/>
  <c r="G45" i="10"/>
  <c r="C37" i="10"/>
  <c r="C37" i="9"/>
  <c r="C37" i="8"/>
  <c r="C37" i="7"/>
  <c r="C36" i="10"/>
  <c r="C36" i="9"/>
  <c r="C36" i="8"/>
  <c r="C36" i="7"/>
  <c r="N58" i="9"/>
  <c r="N58" i="8"/>
  <c r="N71" i="10"/>
  <c r="N71" i="9"/>
  <c r="N71" i="8"/>
  <c r="N69" i="10"/>
  <c r="N69" i="9"/>
  <c r="N69" i="8"/>
  <c r="N71" i="7"/>
  <c r="N69" i="7"/>
  <c r="N67" i="10"/>
  <c r="N67" i="9"/>
  <c r="N67" i="8"/>
  <c r="N67" i="7"/>
  <c r="N64" i="10"/>
  <c r="N64" i="9"/>
  <c r="N64" i="8"/>
  <c r="N64" i="7"/>
  <c r="N58" i="10"/>
  <c r="N57" i="7"/>
  <c r="N51" i="10"/>
  <c r="N51" i="9"/>
  <c r="N51" i="8"/>
  <c r="N51" i="7"/>
  <c r="N62" i="10"/>
  <c r="N49" i="10"/>
  <c r="N62" i="7"/>
  <c r="N62" i="8"/>
  <c r="N62" i="9"/>
  <c r="N49" i="9"/>
  <c r="N49" i="8"/>
  <c r="N49" i="7"/>
  <c r="O67" i="6"/>
  <c r="O63" i="6"/>
  <c r="N45" i="10"/>
  <c r="N45" i="9"/>
  <c r="N45" i="8"/>
  <c r="M41" i="10"/>
  <c r="O43" i="9"/>
  <c r="O43" i="8"/>
  <c r="M41" i="8"/>
  <c r="O43" i="7"/>
  <c r="M41" i="9"/>
  <c r="M41" i="7"/>
  <c r="M40" i="55"/>
  <c r="M40" i="54"/>
  <c r="M40" i="52"/>
  <c r="M40" i="50"/>
  <c r="M40" i="45"/>
  <c r="M40" i="38"/>
  <c r="M40" i="37"/>
  <c r="M40" i="36"/>
  <c r="M40" i="35"/>
  <c r="M40" i="34"/>
  <c r="M40" i="10"/>
  <c r="M40" i="9"/>
  <c r="M40" i="8"/>
  <c r="M40" i="7"/>
  <c r="G45" i="9"/>
  <c r="G45" i="8"/>
  <c r="G45" i="7"/>
  <c r="C46" i="10"/>
  <c r="C46" i="9"/>
  <c r="C46" i="8"/>
  <c r="C46" i="7"/>
  <c r="F68" i="10"/>
  <c r="F68" i="9"/>
  <c r="F68" i="8"/>
  <c r="F68" i="7"/>
  <c r="C49" i="10"/>
  <c r="F71" i="10"/>
  <c r="I70" i="10"/>
  <c r="F70" i="10"/>
  <c r="D68" i="10"/>
  <c r="B68" i="10"/>
  <c r="F67" i="10"/>
  <c r="B67" i="10"/>
  <c r="D66" i="10"/>
  <c r="C66" i="10"/>
  <c r="F71" i="9"/>
  <c r="I70" i="9"/>
  <c r="F70" i="9"/>
  <c r="D68" i="9"/>
  <c r="B68" i="9"/>
  <c r="F67" i="9"/>
  <c r="B67" i="9"/>
  <c r="D66" i="9"/>
  <c r="C66" i="9"/>
  <c r="F71" i="8"/>
  <c r="I70" i="8"/>
  <c r="F70" i="8"/>
  <c r="D68" i="8"/>
  <c r="B68" i="8"/>
  <c r="F67" i="8"/>
  <c r="B67" i="8"/>
  <c r="D66" i="8"/>
  <c r="C66" i="8"/>
  <c r="F71" i="7"/>
  <c r="I70" i="7"/>
  <c r="F70" i="7"/>
  <c r="D68" i="7"/>
  <c r="B68" i="7"/>
  <c r="F67" i="7"/>
  <c r="B67" i="7"/>
  <c r="D66" i="7"/>
  <c r="C66" i="7"/>
  <c r="D64" i="10"/>
  <c r="F63" i="10"/>
  <c r="D63" i="10"/>
  <c r="G62" i="10"/>
  <c r="F60" i="10"/>
  <c r="E60" i="10"/>
  <c r="D60" i="10"/>
  <c r="D57" i="10"/>
  <c r="D56" i="10"/>
  <c r="D55" i="10"/>
  <c r="C54" i="10"/>
  <c r="D52" i="10"/>
  <c r="C52" i="10"/>
  <c r="D64" i="9"/>
  <c r="F63" i="9"/>
  <c r="D63" i="9"/>
  <c r="G62" i="9"/>
  <c r="F60" i="9"/>
  <c r="E60" i="9"/>
  <c r="D60" i="9"/>
  <c r="D57" i="9"/>
  <c r="D56" i="9"/>
  <c r="D55" i="9"/>
  <c r="C54" i="9"/>
  <c r="D52" i="9"/>
  <c r="C52" i="9"/>
  <c r="D64" i="8"/>
  <c r="F63" i="8"/>
  <c r="D63" i="8"/>
  <c r="G62" i="8"/>
  <c r="F60" i="8"/>
  <c r="E60" i="8"/>
  <c r="D60" i="8"/>
  <c r="D57" i="8"/>
  <c r="D56" i="8"/>
  <c r="D55" i="8"/>
  <c r="C54" i="8"/>
  <c r="D52" i="8"/>
  <c r="C52" i="8"/>
  <c r="D64" i="7"/>
  <c r="F63" i="7"/>
  <c r="D63" i="7"/>
  <c r="G62" i="7"/>
  <c r="F60" i="7"/>
  <c r="E60" i="7"/>
  <c r="D60" i="7"/>
  <c r="D57" i="7"/>
  <c r="D56" i="7"/>
  <c r="D55" i="7"/>
  <c r="C54" i="7"/>
  <c r="D52" i="7"/>
  <c r="C52" i="7"/>
  <c r="C49" i="9"/>
  <c r="C49" i="8"/>
  <c r="D43" i="55"/>
  <c r="D43" i="54"/>
  <c r="D43" i="52"/>
  <c r="D43" i="50"/>
  <c r="D43" i="45"/>
  <c r="D43" i="38"/>
  <c r="D43" i="37"/>
  <c r="D43" i="36"/>
  <c r="D43" i="35"/>
  <c r="D43" i="34"/>
  <c r="D43" i="10"/>
  <c r="D43" i="9"/>
  <c r="D43" i="8"/>
  <c r="D43" i="7"/>
  <c r="O60" i="6"/>
  <c r="O54" i="6"/>
  <c r="O58" i="6"/>
  <c r="F66" i="6"/>
  <c r="I66" i="6"/>
  <c r="F63" i="6"/>
  <c r="D64" i="6"/>
  <c r="B64" i="6"/>
  <c r="B63" i="6"/>
  <c r="D62" i="6"/>
  <c r="D61" i="6"/>
  <c r="D60" i="6"/>
  <c r="F57" i="6"/>
  <c r="E57" i="6"/>
  <c r="D57" i="6"/>
  <c r="F67" i="6"/>
  <c r="D54" i="6"/>
  <c r="D53" i="6"/>
  <c r="D52" i="6"/>
  <c r="C51" i="6"/>
  <c r="D49" i="6"/>
  <c r="O51" i="6"/>
  <c r="C46" i="6"/>
  <c r="O50" i="6"/>
  <c r="O48" i="6"/>
  <c r="O46" i="6"/>
  <c r="N45" i="7"/>
  <c r="C49" i="7"/>
  <c r="O42" i="6"/>
  <c r="G42" i="6"/>
  <c r="C43" i="6"/>
  <c r="P40" i="6"/>
  <c r="D40" i="6"/>
  <c r="M38" i="6"/>
  <c r="F64" i="9" l="1"/>
  <c r="F64" i="7"/>
  <c r="F64" i="10"/>
  <c r="F64" i="8"/>
  <c r="B2" i="38"/>
  <c r="B2" i="37"/>
  <c r="B2" i="36"/>
  <c r="B2" i="34"/>
  <c r="N21" i="5"/>
  <c r="Q21" i="5"/>
  <c r="O21" i="5"/>
  <c r="C40" i="55"/>
  <c r="C40" i="54"/>
  <c r="C40" i="52"/>
  <c r="C40" i="50"/>
  <c r="C40" i="45"/>
  <c r="C40" i="38"/>
  <c r="C40" i="37"/>
  <c r="C40" i="36"/>
  <c r="C40" i="35"/>
  <c r="C40" i="34"/>
  <c r="C40" i="10"/>
  <c r="C40" i="9"/>
  <c r="C40" i="8"/>
  <c r="C40" i="7"/>
  <c r="C37" i="6"/>
  <c r="C37" i="5"/>
  <c r="X30" i="6"/>
  <c r="X34" i="7"/>
  <c r="Y34" i="8"/>
  <c r="Y34" i="9"/>
  <c r="Y34" i="10"/>
  <c r="Y34" i="34"/>
  <c r="Y34" i="35"/>
  <c r="Y34" i="36"/>
  <c r="Y34" i="37"/>
  <c r="Y34" i="45"/>
  <c r="Y34" i="50"/>
  <c r="Y34" i="52"/>
  <c r="Y34" i="55"/>
  <c r="AA35" i="55"/>
  <c r="Z35" i="55"/>
  <c r="AA31" i="54"/>
  <c r="AA35" i="52"/>
  <c r="Z35" i="52"/>
  <c r="AA35" i="50"/>
  <c r="Z35" i="50"/>
  <c r="AA35" i="45"/>
  <c r="Z35" i="45"/>
  <c r="AA31" i="38"/>
  <c r="Z31" i="38"/>
  <c r="AA35" i="37"/>
  <c r="Z35" i="37"/>
  <c r="AA35" i="36"/>
  <c r="Z35" i="36"/>
  <c r="AA35" i="35"/>
  <c r="Z35" i="35"/>
  <c r="AA35" i="34"/>
  <c r="Z35" i="34"/>
  <c r="AA35" i="9"/>
  <c r="Z35" i="9"/>
  <c r="AA35" i="8"/>
  <c r="Z35" i="8"/>
  <c r="Z35" i="7"/>
  <c r="Y35" i="7"/>
  <c r="Z31" i="6"/>
  <c r="Y31" i="6"/>
  <c r="C22" i="55"/>
  <c r="C22" i="54"/>
  <c r="C22" i="52"/>
  <c r="C22" i="50"/>
  <c r="C22" i="45"/>
  <c r="C22" i="38"/>
  <c r="C22" i="37"/>
  <c r="C22" i="36"/>
  <c r="C22" i="35"/>
  <c r="C22" i="34"/>
  <c r="C22" i="10"/>
  <c r="C22" i="9"/>
  <c r="C22" i="8"/>
  <c r="C22" i="7"/>
  <c r="C22" i="6"/>
  <c r="C23" i="5"/>
  <c r="C16" i="55"/>
  <c r="C16" i="54"/>
  <c r="C16" i="52"/>
  <c r="C16" i="50"/>
  <c r="C16" i="45"/>
  <c r="C16" i="38"/>
  <c r="C16" i="37"/>
  <c r="C16" i="36"/>
  <c r="C16" i="35"/>
  <c r="C16" i="34"/>
  <c r="C16" i="10"/>
  <c r="C16" i="9"/>
  <c r="C16" i="8"/>
  <c r="C16" i="7"/>
  <c r="C16" i="6"/>
  <c r="C17" i="5"/>
  <c r="C66" i="55"/>
  <c r="C66" i="54"/>
  <c r="C66" i="52"/>
  <c r="C66" i="50"/>
  <c r="C66" i="45"/>
  <c r="C66" i="38"/>
  <c r="C66" i="37"/>
  <c r="C66" i="36"/>
  <c r="C66" i="35"/>
  <c r="C66" i="34"/>
  <c r="O17" i="5"/>
  <c r="C52" i="55"/>
  <c r="C52" i="54"/>
  <c r="C52" i="52"/>
  <c r="C52" i="50"/>
  <c r="C52" i="45"/>
  <c r="C52" i="38"/>
  <c r="C52" i="37"/>
  <c r="C52" i="36"/>
  <c r="C52" i="35"/>
  <c r="C52" i="34"/>
  <c r="N43" i="55"/>
  <c r="N43" i="54"/>
  <c r="N43" i="52"/>
  <c r="N43" i="50"/>
  <c r="N43" i="45"/>
  <c r="N43" i="38"/>
  <c r="N43" i="37"/>
  <c r="N43" i="36"/>
  <c r="N43" i="35"/>
  <c r="N43" i="34"/>
  <c r="C43" i="55"/>
  <c r="C43" i="54"/>
  <c r="C43" i="52"/>
  <c r="C43" i="50"/>
  <c r="C43" i="45"/>
  <c r="C43" i="38"/>
  <c r="C43" i="37"/>
  <c r="C43" i="36"/>
  <c r="C43" i="35"/>
  <c r="C43" i="34"/>
  <c r="N68" i="55"/>
  <c r="N47" i="55"/>
  <c r="T71" i="54"/>
  <c r="T69" i="54"/>
  <c r="N47" i="54"/>
  <c r="T71" i="52"/>
  <c r="T69" i="52"/>
  <c r="N47" i="52"/>
  <c r="N68" i="50"/>
  <c r="N47" i="50"/>
  <c r="N68" i="45"/>
  <c r="N47" i="45"/>
  <c r="T71" i="38"/>
  <c r="T69" i="38"/>
  <c r="N60" i="38"/>
  <c r="N47" i="38"/>
  <c r="T71" i="37"/>
  <c r="T69" i="37"/>
  <c r="N60" i="37"/>
  <c r="N47" i="37"/>
  <c r="T71" i="36"/>
  <c r="T69" i="36"/>
  <c r="N60" i="36"/>
  <c r="N47" i="36"/>
  <c r="T71" i="35"/>
  <c r="T69" i="35"/>
  <c r="N60" i="35"/>
  <c r="N47" i="35"/>
  <c r="N68" i="34"/>
  <c r="N59" i="34"/>
  <c r="N47" i="34"/>
  <c r="T71" i="10"/>
  <c r="T69" i="10"/>
  <c r="N60" i="10"/>
  <c r="N47" i="10"/>
  <c r="T71" i="9"/>
  <c r="T69" i="9"/>
  <c r="N60" i="9"/>
  <c r="N47" i="9"/>
  <c r="T71" i="8"/>
  <c r="T69" i="8"/>
  <c r="N60" i="8"/>
  <c r="N47" i="8"/>
  <c r="T71" i="7"/>
  <c r="T69" i="7"/>
  <c r="N60" i="7"/>
  <c r="N47" i="7"/>
  <c r="O65" i="6"/>
  <c r="O56" i="6"/>
  <c r="O44" i="6"/>
  <c r="N58" i="5"/>
  <c r="N49" i="5"/>
  <c r="N40" i="5"/>
  <c r="Q17" i="5"/>
  <c r="P16" i="55"/>
  <c r="P16" i="54"/>
  <c r="P16" i="52"/>
  <c r="P16" i="50"/>
  <c r="P16" i="45"/>
  <c r="Y30" i="38"/>
  <c r="P16" i="38"/>
  <c r="P16" i="37"/>
  <c r="P16" i="36"/>
  <c r="P16" i="35"/>
  <c r="P16" i="34"/>
  <c r="P16" i="10"/>
  <c r="P16" i="9"/>
  <c r="P16" i="8"/>
  <c r="P16" i="7"/>
  <c r="Q16" i="6"/>
  <c r="N17" i="5"/>
  <c r="O14" i="55"/>
  <c r="O14" i="54"/>
  <c r="O14" i="52"/>
  <c r="O14" i="50"/>
  <c r="O14" i="45"/>
  <c r="O14" i="38"/>
  <c r="O14" i="37"/>
  <c r="O14" i="36"/>
  <c r="O14" i="35"/>
  <c r="O14" i="34"/>
  <c r="O14" i="10"/>
  <c r="O14" i="9"/>
  <c r="O14" i="8"/>
  <c r="O14" i="7"/>
  <c r="P14" i="6"/>
  <c r="N15" i="5"/>
  <c r="D14" i="55"/>
  <c r="D14" i="54"/>
  <c r="D14" i="52"/>
  <c r="D14" i="50"/>
  <c r="D14" i="45"/>
  <c r="D14" i="38"/>
  <c r="D14" i="37"/>
  <c r="D14" i="36"/>
  <c r="D14" i="35"/>
  <c r="D14" i="34"/>
  <c r="D14" i="10"/>
  <c r="D14" i="9"/>
  <c r="D14" i="8"/>
  <c r="D14" i="7"/>
  <c r="D14" i="6"/>
  <c r="D15" i="5"/>
  <c r="O14" i="5"/>
  <c r="N11" i="55"/>
  <c r="N11" i="54"/>
  <c r="N11" i="52"/>
  <c r="N11" i="50"/>
  <c r="N11" i="45"/>
  <c r="N11" i="38"/>
  <c r="N11" i="37"/>
  <c r="N11" i="36"/>
  <c r="N11" i="35"/>
  <c r="N11" i="34"/>
  <c r="N11" i="10"/>
  <c r="N11" i="9"/>
  <c r="N11" i="8"/>
  <c r="N11" i="7"/>
  <c r="O11" i="6"/>
  <c r="N9" i="55"/>
  <c r="N9" i="54"/>
  <c r="N9" i="52"/>
  <c r="N9" i="50"/>
  <c r="N9" i="45"/>
  <c r="N9" i="38"/>
  <c r="N9" i="37"/>
  <c r="N9" i="36"/>
  <c r="N9" i="35"/>
  <c r="N9" i="34"/>
  <c r="N9" i="10"/>
  <c r="N9" i="9"/>
  <c r="N9" i="8"/>
  <c r="N9" i="7"/>
  <c r="O9" i="6"/>
  <c r="N13" i="5"/>
  <c r="N11" i="5"/>
  <c r="N9" i="5"/>
  <c r="R6" i="55"/>
  <c r="P6" i="55"/>
  <c r="R6" i="54"/>
  <c r="P6" i="54"/>
  <c r="R6" i="52"/>
  <c r="P6" i="52"/>
  <c r="R6" i="50"/>
  <c r="P6" i="50"/>
  <c r="R6" i="45"/>
  <c r="P6" i="45"/>
  <c r="R6" i="38"/>
  <c r="P6" i="38"/>
  <c r="R6" i="37"/>
  <c r="P6" i="37"/>
  <c r="R6" i="36"/>
  <c r="P6" i="36"/>
  <c r="R6" i="35"/>
  <c r="P6" i="35"/>
  <c r="R6" i="34"/>
  <c r="P6" i="34"/>
  <c r="R6" i="10"/>
  <c r="P6" i="10"/>
  <c r="R6" i="9"/>
  <c r="P6" i="9"/>
  <c r="R6" i="8"/>
  <c r="P6" i="8"/>
  <c r="R6" i="7"/>
  <c r="P6" i="7"/>
  <c r="S6" i="6"/>
  <c r="Q6" i="6"/>
  <c r="Q6" i="5"/>
  <c r="O6" i="5"/>
  <c r="N6" i="55"/>
  <c r="N6" i="54"/>
  <c r="N6" i="52"/>
  <c r="N6" i="50"/>
  <c r="N6" i="45"/>
  <c r="N6" i="38"/>
  <c r="N6" i="37"/>
  <c r="N6" i="36"/>
  <c r="N6" i="35"/>
  <c r="N6" i="34"/>
  <c r="N6" i="10"/>
  <c r="N6" i="9"/>
  <c r="N6" i="8"/>
  <c r="N6" i="7"/>
  <c r="O6" i="6"/>
  <c r="N6" i="5"/>
  <c r="C10" i="55"/>
  <c r="C10" i="54"/>
  <c r="C10" i="52"/>
  <c r="C10" i="50"/>
  <c r="C10" i="45"/>
  <c r="C10" i="38"/>
  <c r="C10" i="37"/>
  <c r="C10" i="36"/>
  <c r="C10" i="35"/>
  <c r="C10" i="34"/>
  <c r="C10" i="6"/>
  <c r="C10" i="5"/>
  <c r="C8" i="55"/>
  <c r="C8" i="54"/>
  <c r="C8" i="52"/>
  <c r="C8" i="50"/>
  <c r="C8" i="45"/>
  <c r="C8" i="38"/>
  <c r="C8" i="37"/>
  <c r="C8" i="36"/>
  <c r="C8" i="35"/>
  <c r="C8" i="34"/>
  <c r="C8" i="10"/>
  <c r="C8" i="9"/>
  <c r="C8" i="8"/>
  <c r="C8" i="7"/>
  <c r="C8" i="6"/>
  <c r="C8" i="5"/>
  <c r="E4" i="55"/>
  <c r="E4" i="54"/>
  <c r="E4" i="52"/>
  <c r="E4" i="50"/>
  <c r="E4" i="45"/>
  <c r="E4" i="38"/>
  <c r="E4" i="37"/>
  <c r="E4" i="36"/>
  <c r="E4" i="35"/>
  <c r="E4" i="34"/>
  <c r="Z35" i="10" l="1"/>
  <c r="AA35" i="10"/>
  <c r="E4" i="10"/>
  <c r="E4" i="9"/>
  <c r="E4" i="8"/>
  <c r="E4" i="7"/>
  <c r="E4" i="6"/>
  <c r="D4" i="5"/>
  <c r="N43" i="10" l="1"/>
  <c r="C43" i="10"/>
  <c r="N43" i="9"/>
  <c r="C43" i="9"/>
  <c r="N43" i="8"/>
  <c r="C43" i="8"/>
  <c r="N43" i="7"/>
  <c r="C43" i="7"/>
  <c r="B48" i="5"/>
  <c r="M36" i="5"/>
  <c r="C62" i="6"/>
  <c r="C49" i="6"/>
  <c r="O40" i="6"/>
  <c r="C40" i="6"/>
  <c r="B39" i="5"/>
  <c r="M15" i="5"/>
  <c r="O14" i="6"/>
  <c r="N14" i="7"/>
  <c r="N14" i="8"/>
  <c r="N14" i="9"/>
  <c r="N14" i="10"/>
  <c r="N14" i="34"/>
  <c r="N14" i="35"/>
  <c r="N14" i="36"/>
  <c r="N14" i="37"/>
  <c r="N14" i="38"/>
  <c r="N14" i="45"/>
  <c r="N14" i="50"/>
  <c r="N14" i="52"/>
  <c r="N14" i="54"/>
  <c r="N14" i="55"/>
  <c r="C14" i="55"/>
  <c r="C14" i="54"/>
  <c r="C14" i="52"/>
  <c r="C14" i="50"/>
  <c r="C14" i="45"/>
  <c r="C14" i="38"/>
  <c r="C14" i="37"/>
  <c r="C14" i="36"/>
  <c r="C14" i="35"/>
  <c r="C14" i="34"/>
  <c r="C14" i="10"/>
  <c r="C14" i="9"/>
  <c r="C14" i="8"/>
  <c r="C14" i="7"/>
  <c r="C14" i="6"/>
  <c r="B15" i="5"/>
  <c r="B4" i="5"/>
  <c r="C4" i="10"/>
  <c r="C4" i="34"/>
  <c r="C4" i="35"/>
  <c r="C4" i="36"/>
  <c r="C4" i="37"/>
  <c r="C4" i="38"/>
  <c r="C4" i="45"/>
  <c r="C4" i="50"/>
  <c r="C4" i="52"/>
  <c r="C4" i="54"/>
  <c r="C4" i="55"/>
  <c r="C4" i="9"/>
  <c r="C4" i="8"/>
  <c r="C4" i="7"/>
  <c r="C4" i="6"/>
  <c r="B2" i="6"/>
  <c r="B2" i="10"/>
  <c r="B2" i="9"/>
  <c r="B2" i="8"/>
  <c r="B2" i="7"/>
  <c r="C6" i="55"/>
  <c r="B2" i="5"/>
  <c r="C6" i="54"/>
  <c r="C6" i="52"/>
  <c r="C6" i="50"/>
  <c r="C6" i="45"/>
  <c r="C6" i="38"/>
  <c r="C6" i="37"/>
  <c r="C6" i="36"/>
  <c r="C6" i="35"/>
  <c r="C6" i="34"/>
  <c r="C6" i="10"/>
  <c r="C6" i="9"/>
  <c r="C6" i="8"/>
  <c r="C6" i="7"/>
  <c r="C6" i="5"/>
  <c r="C6" i="6"/>
  <c r="L16" i="1" l="1"/>
  <c r="B3" i="1"/>
  <c r="AP33" i="1"/>
  <c r="AP32" i="1"/>
  <c r="AP31" i="1"/>
  <c r="F71" i="55"/>
  <c r="F68" i="55"/>
  <c r="C49" i="55"/>
  <c r="C27" i="55"/>
  <c r="P11" i="55"/>
  <c r="O47" i="55" s="1"/>
  <c r="P9" i="55"/>
  <c r="D8" i="55"/>
  <c r="R7" i="55"/>
  <c r="R70" i="55" s="1"/>
  <c r="P7" i="55"/>
  <c r="D46" i="55" s="1"/>
  <c r="G46" i="55" s="1"/>
  <c r="D6" i="55"/>
  <c r="F71" i="54"/>
  <c r="F68" i="54"/>
  <c r="C49" i="54"/>
  <c r="Q47" i="54"/>
  <c r="P47" i="54"/>
  <c r="C27" i="54"/>
  <c r="P11" i="54"/>
  <c r="O47" i="54" s="1"/>
  <c r="P9" i="54"/>
  <c r="D8" i="54"/>
  <c r="R7" i="54"/>
  <c r="R49" i="54" s="1"/>
  <c r="P7" i="54"/>
  <c r="D16" i="54" s="1"/>
  <c r="D6" i="54"/>
  <c r="F71" i="52"/>
  <c r="F68" i="52"/>
  <c r="C49" i="52"/>
  <c r="P11" i="52"/>
  <c r="F64" i="52" s="1"/>
  <c r="P9" i="52"/>
  <c r="D8" i="52"/>
  <c r="R7" i="52"/>
  <c r="G63" i="52" s="1"/>
  <c r="P7" i="52"/>
  <c r="D6" i="52"/>
  <c r="F71" i="50"/>
  <c r="F68" i="50"/>
  <c r="C49" i="50"/>
  <c r="P11" i="50"/>
  <c r="F64" i="50" s="1"/>
  <c r="P9" i="50"/>
  <c r="D8" i="50"/>
  <c r="R7" i="50"/>
  <c r="P7" i="50"/>
  <c r="D6" i="50"/>
  <c r="L9" i="15"/>
  <c r="K29" i="21"/>
  <c r="H30" i="20"/>
  <c r="H31" i="14"/>
  <c r="J9" i="13"/>
  <c r="E15" i="13"/>
  <c r="P7" i="34"/>
  <c r="P7" i="45"/>
  <c r="U55" i="44"/>
  <c r="H20" i="47"/>
  <c r="D32" i="47" s="1"/>
  <c r="E20" i="47"/>
  <c r="T3" i="47" s="1"/>
  <c r="G15" i="47"/>
  <c r="G13" i="47"/>
  <c r="AD3" i="47" s="1"/>
  <c r="H9" i="47"/>
  <c r="G11" i="47"/>
  <c r="AC3" i="47" s="1"/>
  <c r="G7" i="47"/>
  <c r="AP30" i="1"/>
  <c r="G49" i="47"/>
  <c r="H15" i="47"/>
  <c r="AD4" i="47"/>
  <c r="Q3" i="47"/>
  <c r="K3" i="47"/>
  <c r="G3" i="47"/>
  <c r="F71" i="45"/>
  <c r="F68" i="45"/>
  <c r="C49" i="45"/>
  <c r="E12" i="1"/>
  <c r="E7" i="1"/>
  <c r="E4" i="1"/>
  <c r="B14" i="1"/>
  <c r="B13" i="1"/>
  <c r="B12" i="1"/>
  <c r="B11" i="1"/>
  <c r="B10" i="1"/>
  <c r="B9" i="1"/>
  <c r="B8" i="1"/>
  <c r="B7" i="1"/>
  <c r="B6" i="1"/>
  <c r="B5" i="1"/>
  <c r="B4" i="1"/>
  <c r="B2" i="1"/>
  <c r="A1" i="46"/>
  <c r="P11" i="45"/>
  <c r="O47" i="45" s="1"/>
  <c r="P9" i="45"/>
  <c r="R7" i="45"/>
  <c r="G63" i="45" s="1"/>
  <c r="D8" i="45"/>
  <c r="D6" i="45"/>
  <c r="C27" i="45"/>
  <c r="T55" i="44"/>
  <c r="S55" i="44"/>
  <c r="R55" i="44"/>
  <c r="Q55" i="44"/>
  <c r="P55" i="44"/>
  <c r="O55" i="44"/>
  <c r="N55" i="44"/>
  <c r="S30" i="44"/>
  <c r="R30" i="44"/>
  <c r="Q30" i="44"/>
  <c r="B8" i="44"/>
  <c r="B20" i="44" s="1"/>
  <c r="H8" i="44"/>
  <c r="H26" i="44" s="1"/>
  <c r="I2" i="44"/>
  <c r="I15" i="44" s="1"/>
  <c r="L18" i="1"/>
  <c r="L17" i="1"/>
  <c r="D8" i="10"/>
  <c r="D6" i="32"/>
  <c r="P7" i="32"/>
  <c r="R61" i="32" s="1"/>
  <c r="R7" i="32"/>
  <c r="G63" i="32" s="1"/>
  <c r="D8" i="32"/>
  <c r="P9" i="32"/>
  <c r="P11" i="32"/>
  <c r="O68" i="32" s="1"/>
  <c r="C49" i="32"/>
  <c r="F68" i="32"/>
  <c r="F71" i="32"/>
  <c r="D6" i="38"/>
  <c r="P7" i="38"/>
  <c r="D16" i="38" s="1"/>
  <c r="R7" i="38"/>
  <c r="G63" i="38" s="1"/>
  <c r="D8" i="38"/>
  <c r="P9" i="38"/>
  <c r="P11" i="38"/>
  <c r="O60" i="38" s="1"/>
  <c r="C27" i="38"/>
  <c r="P47" i="38"/>
  <c r="Q47" i="38"/>
  <c r="C49" i="38"/>
  <c r="F68" i="38"/>
  <c r="F71" i="38"/>
  <c r="D6" i="37"/>
  <c r="P7" i="37"/>
  <c r="R7" i="37"/>
  <c r="F22" i="37" s="1"/>
  <c r="D8" i="37"/>
  <c r="P9" i="37"/>
  <c r="P11" i="37"/>
  <c r="F64" i="37" s="1"/>
  <c r="C49" i="37"/>
  <c r="F68" i="37"/>
  <c r="F71" i="37"/>
  <c r="D6" i="36"/>
  <c r="P7" i="36"/>
  <c r="R7" i="36"/>
  <c r="G63" i="36" s="1"/>
  <c r="D8" i="36"/>
  <c r="P9" i="36"/>
  <c r="P11" i="36"/>
  <c r="O60" i="36" s="1"/>
  <c r="C49" i="36"/>
  <c r="F68" i="36"/>
  <c r="F71" i="36"/>
  <c r="D6" i="35"/>
  <c r="P7" i="35"/>
  <c r="R7" i="35"/>
  <c r="R53" i="35" s="1"/>
  <c r="D8" i="35"/>
  <c r="P9" i="35"/>
  <c r="P11" i="35"/>
  <c r="O60" i="35" s="1"/>
  <c r="P47" i="35"/>
  <c r="Q47" i="35"/>
  <c r="C49" i="35"/>
  <c r="F68" i="35"/>
  <c r="F71" i="35"/>
  <c r="D6" i="34"/>
  <c r="R7" i="34"/>
  <c r="D8" i="34"/>
  <c r="P9" i="34"/>
  <c r="P11" i="34"/>
  <c r="O59" i="34" s="1"/>
  <c r="C49" i="34"/>
  <c r="F68" i="34"/>
  <c r="F71" i="34"/>
  <c r="D6" i="30"/>
  <c r="Q7" i="30"/>
  <c r="S46" i="30" s="1"/>
  <c r="S7" i="30"/>
  <c r="D43" i="30" s="1"/>
  <c r="G43" i="30" s="1"/>
  <c r="D8" i="30"/>
  <c r="Q9" i="30"/>
  <c r="Q11" i="30"/>
  <c r="P65" i="30" s="1"/>
  <c r="C46" i="30"/>
  <c r="F64" i="30"/>
  <c r="F67" i="30"/>
  <c r="D6" i="10"/>
  <c r="P7" i="10"/>
  <c r="Q69" i="10" s="1"/>
  <c r="R7" i="10"/>
  <c r="R49" i="10" s="1"/>
  <c r="P9" i="10"/>
  <c r="P11" i="10"/>
  <c r="O47" i="10" s="1"/>
  <c r="D6" i="9"/>
  <c r="P7" i="9"/>
  <c r="R7" i="9"/>
  <c r="R49" i="9" s="1"/>
  <c r="D8" i="9"/>
  <c r="P9" i="9"/>
  <c r="P11" i="9"/>
  <c r="D6" i="8"/>
  <c r="P7" i="8"/>
  <c r="D46" i="8" s="1"/>
  <c r="G46" i="8" s="1"/>
  <c r="R7" i="8"/>
  <c r="R49" i="8" s="1"/>
  <c r="D8" i="8"/>
  <c r="P9" i="8"/>
  <c r="P11" i="8"/>
  <c r="D6" i="7"/>
  <c r="P7" i="7"/>
  <c r="R7" i="7"/>
  <c r="R62" i="7" s="1"/>
  <c r="D8" i="7"/>
  <c r="P9" i="7"/>
  <c r="P11" i="7"/>
  <c r="O47" i="7" s="1"/>
  <c r="D6" i="6"/>
  <c r="Q7" i="6"/>
  <c r="S7" i="6"/>
  <c r="D43" i="6" s="1"/>
  <c r="G43" i="6" s="1"/>
  <c r="F8" i="6"/>
  <c r="Q9" i="6"/>
  <c r="Q11" i="6"/>
  <c r="P44" i="6" s="1"/>
  <c r="F64" i="6"/>
  <c r="D6" i="5"/>
  <c r="O7" i="5"/>
  <c r="P53" i="5" s="1"/>
  <c r="Q7" i="5"/>
  <c r="D17" i="5" s="1"/>
  <c r="D8" i="5"/>
  <c r="O9" i="5"/>
  <c r="O11" i="5"/>
  <c r="O58" i="5" s="1"/>
  <c r="Q22" i="5"/>
  <c r="E50" i="5"/>
  <c r="E54" i="5"/>
  <c r="E5" i="19"/>
  <c r="E9" i="19"/>
  <c r="E11" i="19"/>
  <c r="AA5" i="19" s="1"/>
  <c r="E13" i="19"/>
  <c r="AC5" i="19" s="1"/>
  <c r="E18" i="19"/>
  <c r="R5" i="19" s="1"/>
  <c r="G18" i="19"/>
  <c r="V5" i="19" s="1"/>
  <c r="I32" i="19"/>
  <c r="E5" i="17"/>
  <c r="E9" i="17"/>
  <c r="E11" i="17"/>
  <c r="AA5" i="17" s="1"/>
  <c r="E13" i="17"/>
  <c r="AC5" i="17" s="1"/>
  <c r="E18" i="17"/>
  <c r="R5" i="17" s="1"/>
  <c r="G18" i="17"/>
  <c r="V5" i="17" s="1"/>
  <c r="I32" i="17"/>
  <c r="E5" i="16"/>
  <c r="E9" i="16"/>
  <c r="E11" i="16"/>
  <c r="AA5" i="16" s="1"/>
  <c r="E13" i="16"/>
  <c r="AC5" i="16" s="1"/>
  <c r="E18" i="16"/>
  <c r="R5" i="16" s="1"/>
  <c r="G18" i="16"/>
  <c r="V5" i="16" s="1"/>
  <c r="I31" i="16"/>
  <c r="AE56" i="16"/>
  <c r="G3" i="15"/>
  <c r="K3" i="15"/>
  <c r="Q3" i="15"/>
  <c r="AD4" i="15"/>
  <c r="G7" i="15"/>
  <c r="H9" i="15"/>
  <c r="G11" i="15"/>
  <c r="AC3" i="15" s="1"/>
  <c r="G13" i="15"/>
  <c r="AD3" i="15" s="1"/>
  <c r="G15" i="15"/>
  <c r="H15" i="15"/>
  <c r="E20" i="15"/>
  <c r="H20" i="15"/>
  <c r="D32" i="15" s="1"/>
  <c r="B43" i="15"/>
  <c r="B44" i="15"/>
  <c r="B45" i="15"/>
  <c r="AD54" i="15"/>
  <c r="E4" i="21"/>
  <c r="S4" i="21"/>
  <c r="T4" i="21"/>
  <c r="AC8" i="21" s="1"/>
  <c r="Z13" i="21" s="1"/>
  <c r="W4" i="21"/>
  <c r="AD53" i="21" s="1"/>
  <c r="AB4" i="21"/>
  <c r="AD4" i="21"/>
  <c r="G8" i="21"/>
  <c r="G11" i="21"/>
  <c r="G16" i="21"/>
  <c r="B33" i="21"/>
  <c r="B35" i="21"/>
  <c r="B36" i="21"/>
  <c r="AE56" i="21"/>
  <c r="AA1" i="20"/>
  <c r="E4" i="20"/>
  <c r="Q4" i="20"/>
  <c r="Y27" i="20" s="1"/>
  <c r="Y28" i="20" s="1"/>
  <c r="T4" i="20"/>
  <c r="S21" i="20" s="1"/>
  <c r="D9" i="20"/>
  <c r="D10" i="20"/>
  <c r="D16" i="20"/>
  <c r="AA2" i="14"/>
  <c r="E4" i="14"/>
  <c r="Q4" i="14"/>
  <c r="Z11" i="14" s="1"/>
  <c r="W17" i="14" s="1"/>
  <c r="T4" i="14"/>
  <c r="K52" i="14" s="1"/>
  <c r="D9" i="14"/>
  <c r="D10" i="14"/>
  <c r="D16" i="14"/>
  <c r="N1" i="13"/>
  <c r="B2" i="13"/>
  <c r="E2" i="13"/>
  <c r="I2" i="13"/>
  <c r="O2" i="13"/>
  <c r="S2" i="13"/>
  <c r="V2" i="13"/>
  <c r="X2" i="13"/>
  <c r="Y2" i="13"/>
  <c r="AB2" i="13"/>
  <c r="AC2" i="13"/>
  <c r="O3" i="13"/>
  <c r="X3" i="13"/>
  <c r="B4" i="13"/>
  <c r="L4" i="13"/>
  <c r="AA4" i="13"/>
  <c r="AC4" i="13"/>
  <c r="B5" i="13"/>
  <c r="D5" i="13"/>
  <c r="I5" i="13"/>
  <c r="K5" i="13"/>
  <c r="R5" i="13"/>
  <c r="T5" i="13"/>
  <c r="K6" i="13"/>
  <c r="R6" i="13"/>
  <c r="Y6" i="13"/>
  <c r="C7" i="13"/>
  <c r="E7" i="13"/>
  <c r="C9" i="13"/>
  <c r="F9" i="13"/>
  <c r="E3" i="13" s="1"/>
  <c r="J10" i="13"/>
  <c r="C11" i="13"/>
  <c r="E11" i="13"/>
  <c r="AB3" i="13" s="1"/>
  <c r="J12" i="13"/>
  <c r="S12" i="13"/>
  <c r="C13" i="13"/>
  <c r="E13" i="13"/>
  <c r="AC3" i="13" s="1"/>
  <c r="S14" i="13"/>
  <c r="C15" i="13"/>
  <c r="C17" i="13"/>
  <c r="C19" i="13"/>
  <c r="F19" i="13"/>
  <c r="C20" i="13"/>
  <c r="F20" i="13"/>
  <c r="B32" i="13" s="1"/>
  <c r="Y20" i="13"/>
  <c r="J27" i="13"/>
  <c r="N28" i="13"/>
  <c r="U28" i="13"/>
  <c r="I29" i="13"/>
  <c r="I31" i="13"/>
  <c r="K31" i="13"/>
  <c r="R31" i="13"/>
  <c r="T31" i="13"/>
  <c r="Y31" i="13"/>
  <c r="AA31" i="13"/>
  <c r="L32" i="13"/>
  <c r="J33" i="13"/>
  <c r="N33" i="13"/>
  <c r="R33" i="13"/>
  <c r="Z34" i="13"/>
  <c r="J36" i="13"/>
  <c r="Z36" i="13"/>
  <c r="Z37" i="13"/>
  <c r="R38" i="13"/>
  <c r="Z38" i="13"/>
  <c r="R39" i="13"/>
  <c r="Y39" i="13"/>
  <c r="Y40" i="13"/>
  <c r="R43" i="13"/>
  <c r="R44" i="13"/>
  <c r="Z44" i="13"/>
  <c r="K45" i="13"/>
  <c r="R45" i="13"/>
  <c r="AA45" i="13"/>
  <c r="AA46" i="13"/>
  <c r="E47" i="13"/>
  <c r="AA47" i="13"/>
  <c r="C48" i="13"/>
  <c r="F48" i="13"/>
  <c r="AA48" i="13"/>
  <c r="B49" i="13"/>
  <c r="D49" i="13"/>
  <c r="J50" i="13"/>
  <c r="N51" i="13"/>
  <c r="R51" i="13"/>
  <c r="T51" i="13"/>
  <c r="AA51" i="13"/>
  <c r="AB51" i="13"/>
  <c r="E52" i="13"/>
  <c r="F52" i="13"/>
  <c r="L52" i="13"/>
  <c r="T53" i="13"/>
  <c r="AA54" i="13"/>
  <c r="AC54" i="13"/>
  <c r="AA55" i="13"/>
  <c r="J3" i="1"/>
  <c r="N4" i="1"/>
  <c r="O4" i="1"/>
  <c r="P4" i="1"/>
  <c r="S4" i="1"/>
  <c r="T4" i="1"/>
  <c r="U4" i="1"/>
  <c r="V4" i="1"/>
  <c r="Y4" i="1"/>
  <c r="AD4" i="1"/>
  <c r="AP4" i="1"/>
  <c r="AP5" i="1"/>
  <c r="L6" i="1"/>
  <c r="Q6" i="1"/>
  <c r="AP6" i="1"/>
  <c r="L7" i="1"/>
  <c r="Q7" i="1"/>
  <c r="AP7" i="1"/>
  <c r="L8" i="1"/>
  <c r="Q8" i="1"/>
  <c r="AP8" i="1"/>
  <c r="L9" i="1"/>
  <c r="AP9" i="1"/>
  <c r="L10" i="1"/>
  <c r="AP10" i="1"/>
  <c r="L11" i="1"/>
  <c r="AP11" i="1"/>
  <c r="AP12" i="1"/>
  <c r="AP13" i="1"/>
  <c r="L14" i="1"/>
  <c r="AP14" i="1"/>
  <c r="M15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G25" i="62" l="1"/>
  <c r="Q5" i="1"/>
  <c r="E49" i="13"/>
  <c r="W5" i="1"/>
  <c r="I9" i="44"/>
  <c r="Q71" i="10"/>
  <c r="D18" i="44"/>
  <c r="O47" i="37"/>
  <c r="R49" i="38"/>
  <c r="R51" i="38"/>
  <c r="O47" i="50"/>
  <c r="O47" i="36"/>
  <c r="O68" i="50"/>
  <c r="D46" i="34"/>
  <c r="G46" i="34" s="1"/>
  <c r="R70" i="34"/>
  <c r="D46" i="50"/>
  <c r="G46" i="50" s="1"/>
  <c r="R70" i="50"/>
  <c r="B23" i="44"/>
  <c r="G11" i="44"/>
  <c r="E11" i="44"/>
  <c r="F11" i="44"/>
  <c r="F60" i="6"/>
  <c r="P56" i="6"/>
  <c r="O47" i="35"/>
  <c r="P65" i="6"/>
  <c r="O68" i="34"/>
  <c r="G63" i="55"/>
  <c r="R53" i="38"/>
  <c r="D16" i="50"/>
  <c r="F64" i="36"/>
  <c r="F65" i="36" s="1"/>
  <c r="O47" i="34"/>
  <c r="O68" i="45"/>
  <c r="N35" i="45"/>
  <c r="F64" i="34"/>
  <c r="N35" i="37"/>
  <c r="F22" i="10"/>
  <c r="N35" i="10" s="1"/>
  <c r="W3" i="47"/>
  <c r="W14" i="47" s="1"/>
  <c r="R62" i="38"/>
  <c r="D16" i="34"/>
  <c r="S54" i="20"/>
  <c r="G63" i="34"/>
  <c r="Q69" i="37"/>
  <c r="Q69" i="7"/>
  <c r="D46" i="10"/>
  <c r="G46" i="10" s="1"/>
  <c r="R49" i="55"/>
  <c r="N35" i="55"/>
  <c r="Q71" i="35"/>
  <c r="N35" i="35"/>
  <c r="D16" i="36"/>
  <c r="S16" i="6"/>
  <c r="O34" i="6"/>
  <c r="F22" i="45"/>
  <c r="R16" i="45" s="1"/>
  <c r="F22" i="34"/>
  <c r="R16" i="34" s="1"/>
  <c r="N35" i="34"/>
  <c r="R51" i="50"/>
  <c r="N35" i="50"/>
  <c r="K36" i="20"/>
  <c r="R32" i="44" s="1"/>
  <c r="D16" i="9"/>
  <c r="F10" i="9"/>
  <c r="F10" i="10"/>
  <c r="F10" i="7"/>
  <c r="F10" i="8"/>
  <c r="D46" i="32"/>
  <c r="G46" i="32" s="1"/>
  <c r="D46" i="45"/>
  <c r="G46" i="45" s="1"/>
  <c r="R51" i="45"/>
  <c r="Q69" i="8"/>
  <c r="R64" i="8"/>
  <c r="F22" i="54"/>
  <c r="R16" i="7"/>
  <c r="D16" i="32"/>
  <c r="R62" i="8"/>
  <c r="S22" i="14"/>
  <c r="S21" i="14"/>
  <c r="R49" i="7"/>
  <c r="S51" i="14"/>
  <c r="R51" i="10"/>
  <c r="R51" i="9"/>
  <c r="E23" i="47"/>
  <c r="G59" i="30"/>
  <c r="D16" i="55"/>
  <c r="F22" i="38"/>
  <c r="Q69" i="52"/>
  <c r="Q71" i="52"/>
  <c r="S16" i="30"/>
  <c r="D46" i="38"/>
  <c r="G46" i="38" s="1"/>
  <c r="F22" i="50"/>
  <c r="R16" i="50" s="1"/>
  <c r="Y35" i="50"/>
  <c r="S48" i="30"/>
  <c r="Q69" i="38"/>
  <c r="S60" i="30"/>
  <c r="F22" i="30"/>
  <c r="S58" i="30"/>
  <c r="D12" i="54"/>
  <c r="N9" i="20"/>
  <c r="Y35" i="45"/>
  <c r="R37" i="14"/>
  <c r="P44" i="14" s="1"/>
  <c r="Z11" i="20"/>
  <c r="W17" i="20" s="1"/>
  <c r="R64" i="10"/>
  <c r="K13" i="14"/>
  <c r="W4" i="14" s="1"/>
  <c r="L42" i="14" s="1"/>
  <c r="G59" i="6"/>
  <c r="D21" i="20"/>
  <c r="R62" i="10"/>
  <c r="S48" i="6"/>
  <c r="F64" i="45"/>
  <c r="F65" i="45" s="1"/>
  <c r="F22" i="9"/>
  <c r="N35" i="9" s="1"/>
  <c r="R62" i="9"/>
  <c r="R49" i="34"/>
  <c r="Y13" i="15"/>
  <c r="D24" i="47"/>
  <c r="O47" i="32"/>
  <c r="F22" i="32"/>
  <c r="R16" i="32" s="1"/>
  <c r="R16" i="10"/>
  <c r="D16" i="8"/>
  <c r="R16" i="9"/>
  <c r="O59" i="45"/>
  <c r="R49" i="32"/>
  <c r="D12" i="36"/>
  <c r="Y27" i="14"/>
  <c r="Y28" i="14" s="1"/>
  <c r="Q42" i="44" s="1"/>
  <c r="D10" i="38"/>
  <c r="O59" i="32"/>
  <c r="R49" i="36"/>
  <c r="P44" i="5"/>
  <c r="P44" i="30"/>
  <c r="C23" i="13"/>
  <c r="Q69" i="36"/>
  <c r="F22" i="55"/>
  <c r="R16" i="55" s="1"/>
  <c r="R62" i="35"/>
  <c r="F60" i="30"/>
  <c r="U34" i="30"/>
  <c r="D46" i="35"/>
  <c r="G46" i="35" s="1"/>
  <c r="R61" i="34"/>
  <c r="Q69" i="35"/>
  <c r="D12" i="55"/>
  <c r="F22" i="36"/>
  <c r="R16" i="36" s="1"/>
  <c r="F23" i="5"/>
  <c r="R51" i="35"/>
  <c r="Q69" i="9"/>
  <c r="R49" i="50"/>
  <c r="P37" i="13"/>
  <c r="AC38" i="21"/>
  <c r="V39" i="21"/>
  <c r="Q71" i="9"/>
  <c r="R51" i="37"/>
  <c r="R62" i="37"/>
  <c r="D12" i="32"/>
  <c r="D12" i="35"/>
  <c r="R53" i="54"/>
  <c r="R49" i="52"/>
  <c r="D46" i="54"/>
  <c r="G46" i="54" s="1"/>
  <c r="O35" i="21"/>
  <c r="S32" i="44" s="1"/>
  <c r="R37" i="20"/>
  <c r="P43" i="20" s="1"/>
  <c r="F22" i="6"/>
  <c r="Q71" i="36"/>
  <c r="R51" i="34"/>
  <c r="O47" i="52"/>
  <c r="AC39" i="21"/>
  <c r="S67" i="6"/>
  <c r="R51" i="52"/>
  <c r="R53" i="37"/>
  <c r="S22" i="20"/>
  <c r="D46" i="36"/>
  <c r="G46" i="36" s="1"/>
  <c r="O6" i="13"/>
  <c r="P56" i="30"/>
  <c r="P60" i="5"/>
  <c r="N13" i="21"/>
  <c r="Z4" i="21" s="1"/>
  <c r="P24" i="21" s="1"/>
  <c r="AA54" i="14"/>
  <c r="G63" i="37"/>
  <c r="F65" i="37" s="1"/>
  <c r="F22" i="7"/>
  <c r="N35" i="7" s="1"/>
  <c r="R70" i="45"/>
  <c r="D16" i="7"/>
  <c r="D24" i="15"/>
  <c r="R51" i="54"/>
  <c r="X34" i="6"/>
  <c r="K13" i="20"/>
  <c r="R29" i="44" s="1"/>
  <c r="B14" i="44"/>
  <c r="G63" i="35"/>
  <c r="V21" i="21"/>
  <c r="F64" i="32"/>
  <c r="F65" i="32" s="1"/>
  <c r="V22" i="21"/>
  <c r="D16" i="37"/>
  <c r="S60" i="6"/>
  <c r="D16" i="45"/>
  <c r="S58" i="6"/>
  <c r="O60" i="10"/>
  <c r="Y35" i="35"/>
  <c r="R11" i="20"/>
  <c r="Q14" i="20" s="1"/>
  <c r="X14" i="13"/>
  <c r="D12" i="6"/>
  <c r="F22" i="35"/>
  <c r="R16" i="35" s="1"/>
  <c r="D12" i="30"/>
  <c r="Y35" i="34"/>
  <c r="N35" i="32"/>
  <c r="F22" i="52"/>
  <c r="R16" i="52" s="1"/>
  <c r="D12" i="52"/>
  <c r="U54" i="21"/>
  <c r="U11" i="21"/>
  <c r="T15" i="21" s="1"/>
  <c r="H43" i="5"/>
  <c r="Y35" i="37"/>
  <c r="S46" i="6"/>
  <c r="R64" i="9"/>
  <c r="R49" i="35"/>
  <c r="D12" i="38"/>
  <c r="D12" i="37"/>
  <c r="X4" i="21"/>
  <c r="G63" i="54"/>
  <c r="Q71" i="8"/>
  <c r="D46" i="7"/>
  <c r="G46" i="7" s="1"/>
  <c r="R70" i="32"/>
  <c r="R49" i="37"/>
  <c r="R64" i="7"/>
  <c r="R51" i="32"/>
  <c r="B24" i="13"/>
  <c r="I21" i="44"/>
  <c r="B25" i="44"/>
  <c r="K36" i="14"/>
  <c r="Q32" i="44" s="1"/>
  <c r="R16" i="8"/>
  <c r="F22" i="8"/>
  <c r="O47" i="38"/>
  <c r="D46" i="52"/>
  <c r="G46" i="52" s="1"/>
  <c r="D12" i="9"/>
  <c r="D16" i="35"/>
  <c r="Q71" i="38"/>
  <c r="F64" i="35"/>
  <c r="P8" i="21"/>
  <c r="R63" i="36"/>
  <c r="Y34" i="30"/>
  <c r="F64" i="38"/>
  <c r="F65" i="38" s="1"/>
  <c r="O60" i="7"/>
  <c r="F64" i="54"/>
  <c r="Q18" i="5"/>
  <c r="D16" i="30"/>
  <c r="Q71" i="7"/>
  <c r="B22" i="13"/>
  <c r="R37" i="15"/>
  <c r="V3" i="13"/>
  <c r="L10" i="13" s="1"/>
  <c r="Y3" i="13" s="1"/>
  <c r="O28" i="13" s="1"/>
  <c r="O59" i="55"/>
  <c r="D16" i="52"/>
  <c r="D12" i="7"/>
  <c r="D12" i="45"/>
  <c r="R51" i="55"/>
  <c r="R49" i="45"/>
  <c r="G21" i="21"/>
  <c r="R51" i="36"/>
  <c r="D12" i="34"/>
  <c r="K52" i="20"/>
  <c r="D21" i="14"/>
  <c r="D12" i="50"/>
  <c r="D46" i="9"/>
  <c r="G46" i="9" s="1"/>
  <c r="P42" i="5"/>
  <c r="R61" i="45"/>
  <c r="Y35" i="55"/>
  <c r="D16" i="6"/>
  <c r="R61" i="55"/>
  <c r="O60" i="37"/>
  <c r="D16" i="10"/>
  <c r="R51" i="8"/>
  <c r="AA54" i="20"/>
  <c r="D46" i="37"/>
  <c r="G46" i="37" s="1"/>
  <c r="Q71" i="37"/>
  <c r="D22" i="47"/>
  <c r="S67" i="30"/>
  <c r="H11" i="47"/>
  <c r="AD54" i="47" s="1"/>
  <c r="Q71" i="54"/>
  <c r="D12" i="10"/>
  <c r="D12" i="8"/>
  <c r="Q6" i="15"/>
  <c r="N9" i="14"/>
  <c r="Q39" i="44" s="1"/>
  <c r="P51" i="5"/>
  <c r="P35" i="13"/>
  <c r="R35" i="15"/>
  <c r="X13" i="13"/>
  <c r="O49" i="5"/>
  <c r="Q6" i="47"/>
  <c r="D19" i="47"/>
  <c r="Y13" i="47"/>
  <c r="O40" i="5"/>
  <c r="D12" i="5"/>
  <c r="Y14" i="47"/>
  <c r="L13" i="1"/>
  <c r="L23" i="56" s="1"/>
  <c r="U31" i="44" s="1"/>
  <c r="R4" i="1"/>
  <c r="J9" i="17"/>
  <c r="AC14" i="17"/>
  <c r="U37" i="17"/>
  <c r="U46" i="17" s="1"/>
  <c r="S6" i="17"/>
  <c r="E23" i="17"/>
  <c r="AD15" i="17"/>
  <c r="AC12" i="17"/>
  <c r="AC13" i="17" s="1"/>
  <c r="O6" i="47"/>
  <c r="AC9" i="47"/>
  <c r="AC15" i="47"/>
  <c r="F25" i="47"/>
  <c r="U4" i="47"/>
  <c r="O68" i="55"/>
  <c r="M4" i="1"/>
  <c r="U20" i="19"/>
  <c r="U11" i="19"/>
  <c r="L14" i="19"/>
  <c r="X5" i="19"/>
  <c r="Y6" i="19"/>
  <c r="L5" i="1"/>
  <c r="H17" i="47"/>
  <c r="W3" i="15"/>
  <c r="AE53" i="15" s="1"/>
  <c r="AD55" i="15" s="1"/>
  <c r="U37" i="16"/>
  <c r="U46" i="16" s="1"/>
  <c r="AC12" i="16"/>
  <c r="AC13" i="16" s="1"/>
  <c r="AD15" i="16"/>
  <c r="E23" i="16"/>
  <c r="S6" i="16"/>
  <c r="J9" i="16"/>
  <c r="AC14" i="16"/>
  <c r="R16" i="37"/>
  <c r="F65" i="52"/>
  <c r="F64" i="55"/>
  <c r="R51" i="7"/>
  <c r="R11" i="14"/>
  <c r="Q13" i="14" s="1"/>
  <c r="Q44" i="44" s="1"/>
  <c r="Y14" i="15"/>
  <c r="U11" i="17"/>
  <c r="AD29" i="17"/>
  <c r="L14" i="17"/>
  <c r="U20" i="17"/>
  <c r="Y6" i="17"/>
  <c r="X5" i="17"/>
  <c r="X5" i="16"/>
  <c r="L14" i="16"/>
  <c r="U11" i="16"/>
  <c r="AD29" i="16"/>
  <c r="U20" i="16"/>
  <c r="Y6" i="16"/>
  <c r="AC14" i="19"/>
  <c r="U37" i="19"/>
  <c r="U46" i="19" s="1"/>
  <c r="S6" i="19"/>
  <c r="AC12" i="19"/>
  <c r="AC13" i="19" s="1"/>
  <c r="AD15" i="19"/>
  <c r="AD29" i="19"/>
  <c r="J9" i="19"/>
  <c r="E23" i="19"/>
  <c r="S3" i="13"/>
  <c r="T4" i="13" s="1"/>
  <c r="Q69" i="54"/>
  <c r="G63" i="50"/>
  <c r="F65" i="50" s="1"/>
  <c r="AB28" i="21"/>
  <c r="AB30" i="21" s="1"/>
  <c r="T3" i="15"/>
  <c r="U4" i="15" s="1"/>
  <c r="D10" i="55"/>
  <c r="D23" i="15"/>
  <c r="B19" i="13"/>
  <c r="D10" i="30"/>
  <c r="K4" i="20"/>
  <c r="D10" i="35"/>
  <c r="D10" i="37"/>
  <c r="G49" i="15"/>
  <c r="E50" i="16"/>
  <c r="K4" i="14"/>
  <c r="G8" i="44"/>
  <c r="I20" i="44" s="1"/>
  <c r="E50" i="17"/>
  <c r="D50" i="14"/>
  <c r="G49" i="21"/>
  <c r="D50" i="20"/>
  <c r="E50" i="19"/>
  <c r="N3" i="47"/>
  <c r="K5" i="16"/>
  <c r="D10" i="5"/>
  <c r="D10" i="34"/>
  <c r="D10" i="36"/>
  <c r="N4" i="21"/>
  <c r="D10" i="50"/>
  <c r="L19" i="1"/>
  <c r="I3" i="13"/>
  <c r="K5" i="19"/>
  <c r="F10" i="6"/>
  <c r="N3" i="15"/>
  <c r="D10" i="45"/>
  <c r="D10" i="52"/>
  <c r="D10" i="32"/>
  <c r="K5" i="17"/>
  <c r="D10" i="54"/>
  <c r="Y35" i="10" l="1"/>
  <c r="I14" i="62"/>
  <c r="I7" i="62"/>
  <c r="F40" i="37"/>
  <c r="N36" i="37" s="1"/>
  <c r="I2" i="62"/>
  <c r="E26" i="59"/>
  <c r="I27" i="61"/>
  <c r="E40" i="59"/>
  <c r="H40" i="59" s="1"/>
  <c r="W13" i="47"/>
  <c r="Y3" i="47"/>
  <c r="AD22" i="47"/>
  <c r="N10" i="47"/>
  <c r="P33" i="47" s="1"/>
  <c r="AC36" i="47"/>
  <c r="F61" i="6"/>
  <c r="R16" i="54"/>
  <c r="Y31" i="54"/>
  <c r="Y32" i="54"/>
  <c r="R16" i="38"/>
  <c r="Y31" i="38"/>
  <c r="Y32" i="38"/>
  <c r="V9" i="47"/>
  <c r="V22" i="47"/>
  <c r="AE53" i="47"/>
  <c r="AD55" i="47" s="1"/>
  <c r="C9" i="44"/>
  <c r="C15" i="44" s="1"/>
  <c r="L23" i="57"/>
  <c r="V31" i="44" s="1"/>
  <c r="B4" i="44" s="1"/>
  <c r="F65" i="34"/>
  <c r="F61" i="30"/>
  <c r="F65" i="55"/>
  <c r="N37" i="37"/>
  <c r="H37" i="6"/>
  <c r="C28" i="6" s="1"/>
  <c r="D29" i="6" s="1"/>
  <c r="E30" i="6" s="1"/>
  <c r="F31" i="6" s="1"/>
  <c r="G32" i="6" s="1"/>
  <c r="H33" i="6" s="1"/>
  <c r="J34" i="6" s="1"/>
  <c r="F37" i="30"/>
  <c r="U32" i="30" s="1"/>
  <c r="F40" i="35"/>
  <c r="Y36" i="35" s="1"/>
  <c r="F40" i="34"/>
  <c r="C28" i="34" s="1"/>
  <c r="D29" i="34" s="1"/>
  <c r="E30" i="34" s="1"/>
  <c r="F31" i="34" s="1"/>
  <c r="G32" i="34" s="1"/>
  <c r="H33" i="34" s="1"/>
  <c r="J34" i="34" s="1"/>
  <c r="F40" i="32"/>
  <c r="N37" i="32" s="1"/>
  <c r="Q41" i="44"/>
  <c r="L38" i="14"/>
  <c r="Q29" i="44"/>
  <c r="J40" i="9"/>
  <c r="N38" i="9" s="1"/>
  <c r="H40" i="10"/>
  <c r="Y36" i="10" s="1"/>
  <c r="F15" i="55"/>
  <c r="F40" i="50"/>
  <c r="Y38" i="50" s="1"/>
  <c r="P37" i="21"/>
  <c r="N36" i="9"/>
  <c r="AA32" i="21"/>
  <c r="Y35" i="9"/>
  <c r="F40" i="36"/>
  <c r="L40" i="14"/>
  <c r="W4" i="20"/>
  <c r="T55" i="20" s="1"/>
  <c r="K38" i="20" s="1"/>
  <c r="R33" i="44" s="1"/>
  <c r="G7" i="20"/>
  <c r="R31" i="44" s="1"/>
  <c r="S29" i="44"/>
  <c r="M27" i="14"/>
  <c r="AB29" i="21"/>
  <c r="P41" i="21"/>
  <c r="AA31" i="21"/>
  <c r="AD22" i="15"/>
  <c r="AB26" i="15" s="1"/>
  <c r="T46" i="44" s="1"/>
  <c r="Y36" i="37"/>
  <c r="T53" i="14"/>
  <c r="K42" i="14" s="1"/>
  <c r="Q35" i="44" s="1"/>
  <c r="P39" i="21"/>
  <c r="F40" i="52"/>
  <c r="P27" i="21"/>
  <c r="O39" i="21" s="1"/>
  <c r="S34" i="44" s="1"/>
  <c r="Q40" i="44"/>
  <c r="F40" i="55"/>
  <c r="Y36" i="55" s="1"/>
  <c r="O22" i="5"/>
  <c r="F65" i="54"/>
  <c r="O18" i="5"/>
  <c r="F15" i="45"/>
  <c r="X35" i="7"/>
  <c r="H40" i="7"/>
  <c r="N37" i="7" s="1"/>
  <c r="O24" i="5"/>
  <c r="F65" i="35"/>
  <c r="I11" i="47"/>
  <c r="I40" i="8"/>
  <c r="C28" i="8" s="1"/>
  <c r="D29" i="8" s="1"/>
  <c r="E30" i="8" s="1"/>
  <c r="F31" i="8" s="1"/>
  <c r="G32" i="8" s="1"/>
  <c r="H33" i="8" s="1"/>
  <c r="J34" i="8" s="1"/>
  <c r="V13" i="13"/>
  <c r="P50" i="44" s="1"/>
  <c r="U22" i="13"/>
  <c r="W22" i="15"/>
  <c r="U53" i="13"/>
  <c r="P54" i="44" s="1"/>
  <c r="F37" i="5"/>
  <c r="C29" i="5" s="1"/>
  <c r="D30" i="5" s="1"/>
  <c r="E31" i="5" s="1"/>
  <c r="F32" i="5" s="1"/>
  <c r="G33" i="5" s="1"/>
  <c r="H34" i="5" s="1"/>
  <c r="AC22" i="13"/>
  <c r="Y27" i="13" s="1"/>
  <c r="P46" i="44" s="1"/>
  <c r="P29" i="44"/>
  <c r="V33" i="13"/>
  <c r="AD53" i="13"/>
  <c r="AC55" i="13" s="1"/>
  <c r="V14" i="13"/>
  <c r="P52" i="44" s="1"/>
  <c r="U9" i="13"/>
  <c r="R15" i="13" s="1"/>
  <c r="P44" i="44" s="1"/>
  <c r="F15" i="52"/>
  <c r="N41" i="19"/>
  <c r="F15" i="54"/>
  <c r="F15" i="9"/>
  <c r="F15" i="7"/>
  <c r="L8" i="17"/>
  <c r="O31" i="44" s="1"/>
  <c r="F15" i="32"/>
  <c r="F15" i="50"/>
  <c r="F15" i="34"/>
  <c r="F15" i="37"/>
  <c r="F15" i="35"/>
  <c r="F15" i="38"/>
  <c r="L8" i="19"/>
  <c r="F15" i="30"/>
  <c r="F15" i="10"/>
  <c r="F15" i="8"/>
  <c r="F15" i="36"/>
  <c r="F15" i="6"/>
  <c r="F17" i="5"/>
  <c r="G7" i="14"/>
  <c r="Q31" i="44" s="1"/>
  <c r="J7" i="21"/>
  <c r="S31" i="44" s="1"/>
  <c r="L8" i="16"/>
  <c r="N31" i="44" s="1"/>
  <c r="AC36" i="13"/>
  <c r="T39" i="13" s="1"/>
  <c r="T38" i="13" s="1"/>
  <c r="V31" i="19"/>
  <c r="W14" i="15"/>
  <c r="T52" i="44" s="1"/>
  <c r="V53" i="15"/>
  <c r="W13" i="15"/>
  <c r="T50" i="44" s="1"/>
  <c r="N35" i="13"/>
  <c r="P32" i="44" s="1"/>
  <c r="Y3" i="15"/>
  <c r="R5" i="1"/>
  <c r="E15" i="17" s="1"/>
  <c r="O30" i="44" s="1"/>
  <c r="AB9" i="13"/>
  <c r="AE9" i="13" s="1"/>
  <c r="P48" i="44" s="1"/>
  <c r="D25" i="13"/>
  <c r="N36" i="19"/>
  <c r="V47" i="21"/>
  <c r="V46" i="21" s="1"/>
  <c r="N10" i="15"/>
  <c r="T29" i="44" s="1"/>
  <c r="M5" i="1"/>
  <c r="V9" i="15"/>
  <c r="U15" i="15" s="1"/>
  <c r="T44" i="44" s="1"/>
  <c r="N44" i="19"/>
  <c r="O27" i="19"/>
  <c r="O41" i="19"/>
  <c r="O44" i="19"/>
  <c r="P44" i="19"/>
  <c r="P41" i="19"/>
  <c r="R27" i="19"/>
  <c r="W28" i="19"/>
  <c r="V44" i="21"/>
  <c r="V43" i="21" s="1"/>
  <c r="P35" i="15"/>
  <c r="T32" i="44" s="1"/>
  <c r="P29" i="19"/>
  <c r="Y38" i="37"/>
  <c r="F25" i="15"/>
  <c r="AC36" i="15"/>
  <c r="U44" i="15" s="1"/>
  <c r="U43" i="15" s="1"/>
  <c r="O6" i="15"/>
  <c r="T39" i="44" s="1"/>
  <c r="AC9" i="15"/>
  <c r="AA15" i="15" s="1"/>
  <c r="T48" i="44" s="1"/>
  <c r="M6" i="13"/>
  <c r="P39" i="44" s="1"/>
  <c r="F40" i="45"/>
  <c r="Y38" i="45" s="1"/>
  <c r="N39" i="13"/>
  <c r="P34" i="44" s="1"/>
  <c r="N37" i="13"/>
  <c r="P33" i="44" s="1"/>
  <c r="O27" i="16"/>
  <c r="P38" i="16"/>
  <c r="N35" i="16"/>
  <c r="N32" i="44" s="1"/>
  <c r="P42" i="16"/>
  <c r="W28" i="16"/>
  <c r="P40" i="16"/>
  <c r="R27" i="16"/>
  <c r="P38" i="17"/>
  <c r="O38" i="17"/>
  <c r="N38" i="17"/>
  <c r="N36" i="17"/>
  <c r="O32" i="44" s="1"/>
  <c r="P44" i="17"/>
  <c r="O44" i="17"/>
  <c r="W28" i="17"/>
  <c r="O27" i="17"/>
  <c r="N44" i="17"/>
  <c r="R27" i="17"/>
  <c r="S50" i="21"/>
  <c r="N41" i="13"/>
  <c r="P35" i="44" s="1"/>
  <c r="AA39" i="13"/>
  <c r="P22" i="13"/>
  <c r="N21" i="13" s="1"/>
  <c r="N20" i="13" s="1"/>
  <c r="M19" i="13" s="1"/>
  <c r="L18" i="13" s="1"/>
  <c r="K17" i="13" s="1"/>
  <c r="J16" i="13" s="1"/>
  <c r="O41" i="13"/>
  <c r="P41" i="13" s="1"/>
  <c r="AA40" i="13"/>
  <c r="O39" i="13"/>
  <c r="P39" i="13" s="1"/>
  <c r="V31" i="16"/>
  <c r="N29" i="44"/>
  <c r="P29" i="16"/>
  <c r="N38" i="16" s="1"/>
  <c r="N33" i="44" s="1"/>
  <c r="V31" i="17"/>
  <c r="P29" i="17"/>
  <c r="O29" i="44"/>
  <c r="N36" i="32"/>
  <c r="B27" i="44"/>
  <c r="I14" i="44"/>
  <c r="Y37" i="37" l="1"/>
  <c r="C28" i="37"/>
  <c r="D29" i="37" s="1"/>
  <c r="E30" i="37" s="1"/>
  <c r="F31" i="37" s="1"/>
  <c r="G32" i="37" s="1"/>
  <c r="H33" i="37" s="1"/>
  <c r="J34" i="37" s="1"/>
  <c r="N32" i="54"/>
  <c r="L22" i="47"/>
  <c r="I26" i="59"/>
  <c r="N36" i="62"/>
  <c r="B20" i="62"/>
  <c r="N33" i="62"/>
  <c r="N32" i="62"/>
  <c r="N31" i="54"/>
  <c r="N31" i="38"/>
  <c r="F40" i="38"/>
  <c r="Y34" i="38" s="1"/>
  <c r="Y36" i="38" s="1"/>
  <c r="N36" i="38" s="1"/>
  <c r="F40" i="54"/>
  <c r="C28" i="54" s="1"/>
  <c r="D29" i="54" s="1"/>
  <c r="E30" i="54" s="1"/>
  <c r="F31" i="54" s="1"/>
  <c r="G32" i="54" s="1"/>
  <c r="H33" i="54" s="1"/>
  <c r="J34" i="54" s="1"/>
  <c r="Z3" i="47"/>
  <c r="L28" i="47" s="1"/>
  <c r="Y37" i="9"/>
  <c r="D3" i="47"/>
  <c r="G17" i="47" s="1"/>
  <c r="V30" i="44"/>
  <c r="B3" i="44" s="1"/>
  <c r="Y33" i="30"/>
  <c r="K40" i="20"/>
  <c r="R34" i="44" s="1"/>
  <c r="L42" i="20"/>
  <c r="K42" i="20"/>
  <c r="R35" i="44" s="1"/>
  <c r="O25" i="17"/>
  <c r="N24" i="17" s="1"/>
  <c r="M22" i="17" s="1"/>
  <c r="L21" i="17" s="1"/>
  <c r="K20" i="17" s="1"/>
  <c r="J19" i="17" s="1"/>
  <c r="O25" i="19"/>
  <c r="N24" i="19" s="1"/>
  <c r="M22" i="19" s="1"/>
  <c r="L21" i="19" s="1"/>
  <c r="K20" i="19" s="1"/>
  <c r="J19" i="19" s="1"/>
  <c r="O25" i="16"/>
  <c r="N24" i="16" s="1"/>
  <c r="M22" i="16" s="1"/>
  <c r="L21" i="16" s="1"/>
  <c r="K20" i="16" s="1"/>
  <c r="J19" i="16" s="1"/>
  <c r="N37" i="45"/>
  <c r="X32" i="6"/>
  <c r="O31" i="6"/>
  <c r="C28" i="9"/>
  <c r="D29" i="9" s="1"/>
  <c r="E30" i="9" s="1"/>
  <c r="F31" i="9" s="1"/>
  <c r="G32" i="9" s="1"/>
  <c r="H33" i="9" s="1"/>
  <c r="J34" i="9" s="1"/>
  <c r="N36" i="45"/>
  <c r="N36" i="35"/>
  <c r="Y37" i="35"/>
  <c r="Y38" i="9"/>
  <c r="N37" i="36"/>
  <c r="N36" i="36"/>
  <c r="N35" i="36"/>
  <c r="C28" i="35"/>
  <c r="D29" i="35" s="1"/>
  <c r="E30" i="35" s="1"/>
  <c r="F31" i="35" s="1"/>
  <c r="G32" i="35" s="1"/>
  <c r="H33" i="35" s="1"/>
  <c r="J34" i="35" s="1"/>
  <c r="N38" i="35"/>
  <c r="C28" i="36"/>
  <c r="D29" i="36" s="1"/>
  <c r="E30" i="36" s="1"/>
  <c r="F31" i="36" s="1"/>
  <c r="G32" i="36" s="1"/>
  <c r="H33" i="36" s="1"/>
  <c r="J34" i="36" s="1"/>
  <c r="Y38" i="35"/>
  <c r="N32" i="38"/>
  <c r="U31" i="30"/>
  <c r="X31" i="6"/>
  <c r="O32" i="6"/>
  <c r="N38" i="45"/>
  <c r="Y31" i="30"/>
  <c r="O33" i="6"/>
  <c r="N38" i="34"/>
  <c r="X33" i="6"/>
  <c r="N37" i="34"/>
  <c r="Y38" i="34"/>
  <c r="Y37" i="34"/>
  <c r="C28" i="32"/>
  <c r="D29" i="32" s="1"/>
  <c r="E30" i="32" s="1"/>
  <c r="F31" i="32" s="1"/>
  <c r="G32" i="32" s="1"/>
  <c r="H33" i="32" s="1"/>
  <c r="J34" i="32" s="1"/>
  <c r="N38" i="32"/>
  <c r="N36" i="55"/>
  <c r="Y37" i="45"/>
  <c r="U33" i="30"/>
  <c r="N37" i="55"/>
  <c r="Y32" i="30"/>
  <c r="Y36" i="34"/>
  <c r="C28" i="30"/>
  <c r="D29" i="30" s="1"/>
  <c r="E30" i="30" s="1"/>
  <c r="F31" i="30" s="1"/>
  <c r="G32" i="30" s="1"/>
  <c r="H33" i="30" s="1"/>
  <c r="J34" i="30" s="1"/>
  <c r="N36" i="52"/>
  <c r="N35" i="52"/>
  <c r="N38" i="7"/>
  <c r="N36" i="7"/>
  <c r="M27" i="20"/>
  <c r="L23" i="20" s="1"/>
  <c r="K22" i="20" s="1"/>
  <c r="J21" i="20" s="1"/>
  <c r="I20" i="20" s="1"/>
  <c r="H19" i="20" s="1"/>
  <c r="Y37" i="36"/>
  <c r="N37" i="35"/>
  <c r="N36" i="10"/>
  <c r="N37" i="9"/>
  <c r="N42" i="16"/>
  <c r="N35" i="44" s="1"/>
  <c r="N38" i="10"/>
  <c r="N37" i="10"/>
  <c r="N36" i="50"/>
  <c r="Y36" i="50"/>
  <c r="N36" i="34"/>
  <c r="Y36" i="9"/>
  <c r="L23" i="14"/>
  <c r="K22" i="14" s="1"/>
  <c r="J21" i="14" s="1"/>
  <c r="I20" i="14" s="1"/>
  <c r="H19" i="14" s="1"/>
  <c r="AC37" i="13"/>
  <c r="P41" i="44" s="1"/>
  <c r="Y38" i="10"/>
  <c r="L38" i="20"/>
  <c r="Y35" i="52"/>
  <c r="Y38" i="36"/>
  <c r="K40" i="14"/>
  <c r="Q34" i="44" s="1"/>
  <c r="C28" i="10"/>
  <c r="D29" i="10" s="1"/>
  <c r="E30" i="10" s="1"/>
  <c r="F31" i="10" s="1"/>
  <c r="G32" i="10" s="1"/>
  <c r="H33" i="10" s="1"/>
  <c r="J34" i="10" s="1"/>
  <c r="C28" i="7"/>
  <c r="D29" i="7" s="1"/>
  <c r="E30" i="7" s="1"/>
  <c r="F31" i="7" s="1"/>
  <c r="G32" i="7" s="1"/>
  <c r="H33" i="7" s="1"/>
  <c r="J34" i="7" s="1"/>
  <c r="X38" i="7"/>
  <c r="N37" i="52"/>
  <c r="O23" i="21"/>
  <c r="N22" i="21" s="1"/>
  <c r="M21" i="21" s="1"/>
  <c r="L20" i="21" s="1"/>
  <c r="K19" i="21" s="1"/>
  <c r="K38" i="14"/>
  <c r="Q33" i="44" s="1"/>
  <c r="Y38" i="52"/>
  <c r="Y37" i="52"/>
  <c r="Y37" i="10"/>
  <c r="Y35" i="36"/>
  <c r="L40" i="20"/>
  <c r="Y38" i="8"/>
  <c r="O41" i="21"/>
  <c r="S35" i="44" s="1"/>
  <c r="Y37" i="50"/>
  <c r="R48" i="13"/>
  <c r="P53" i="44" s="1"/>
  <c r="N38" i="55"/>
  <c r="Y38" i="55"/>
  <c r="Y37" i="55"/>
  <c r="C28" i="50"/>
  <c r="D29" i="50" s="1"/>
  <c r="E30" i="50" s="1"/>
  <c r="F31" i="50" s="1"/>
  <c r="G32" i="50" s="1"/>
  <c r="H33" i="50" s="1"/>
  <c r="J34" i="50" s="1"/>
  <c r="N38" i="50"/>
  <c r="N37" i="50"/>
  <c r="C28" i="52"/>
  <c r="D29" i="52" s="1"/>
  <c r="E30" i="52" s="1"/>
  <c r="F31" i="52" s="1"/>
  <c r="G32" i="52" s="1"/>
  <c r="H33" i="52" s="1"/>
  <c r="J34" i="52" s="1"/>
  <c r="O37" i="21"/>
  <c r="S33" i="44" s="1"/>
  <c r="X36" i="7"/>
  <c r="C28" i="55"/>
  <c r="D29" i="55" s="1"/>
  <c r="E30" i="55" s="1"/>
  <c r="F31" i="55" s="1"/>
  <c r="G32" i="55" s="1"/>
  <c r="H33" i="55" s="1"/>
  <c r="J34" i="55" s="1"/>
  <c r="Y35" i="8"/>
  <c r="X37" i="7"/>
  <c r="Y37" i="8"/>
  <c r="E15" i="19"/>
  <c r="U26" i="15"/>
  <c r="T56" i="44"/>
  <c r="G17" i="15"/>
  <c r="D3" i="15" s="1"/>
  <c r="T30" i="44" s="1"/>
  <c r="E17" i="13"/>
  <c r="B3" i="13" s="1"/>
  <c r="P30" i="44" s="1"/>
  <c r="Z3" i="15"/>
  <c r="Q39" i="15" s="1"/>
  <c r="R39" i="15" s="1"/>
  <c r="V33" i="15"/>
  <c r="J24" i="13"/>
  <c r="P31" i="44" s="1"/>
  <c r="T40" i="44"/>
  <c r="U39" i="15"/>
  <c r="U38" i="15" s="1"/>
  <c r="T38" i="44" s="1"/>
  <c r="L22" i="15"/>
  <c r="T31" i="44" s="1"/>
  <c r="T44" i="13"/>
  <c r="T43" i="13" s="1"/>
  <c r="P38" i="44" s="1"/>
  <c r="V48" i="15"/>
  <c r="T53" i="44" s="1"/>
  <c r="AC37" i="15"/>
  <c r="T41" i="44" s="1"/>
  <c r="P40" i="44"/>
  <c r="U30" i="44"/>
  <c r="E15" i="16"/>
  <c r="N30" i="44" s="1"/>
  <c r="O34" i="44"/>
  <c r="O36" i="44"/>
  <c r="C28" i="45"/>
  <c r="D29" i="45" s="1"/>
  <c r="E30" i="45" s="1"/>
  <c r="F31" i="45" s="1"/>
  <c r="G32" i="45" s="1"/>
  <c r="H33" i="45" s="1"/>
  <c r="J34" i="45" s="1"/>
  <c r="Y36" i="45"/>
  <c r="N40" i="16"/>
  <c r="N34" i="44" s="1"/>
  <c r="P39" i="47" l="1"/>
  <c r="P37" i="47"/>
  <c r="Y38" i="38"/>
  <c r="N38" i="38" s="1"/>
  <c r="P21" i="47"/>
  <c r="P20" i="47" s="1"/>
  <c r="O19" i="47" s="1"/>
  <c r="N18" i="47" s="1"/>
  <c r="M17" i="47" s="1"/>
  <c r="L16" i="47" s="1"/>
  <c r="Q39" i="47"/>
  <c r="P35" i="47"/>
  <c r="Q37" i="47"/>
  <c r="N34" i="62"/>
  <c r="C9" i="62" s="1"/>
  <c r="Y33" i="54"/>
  <c r="Y34" i="54"/>
  <c r="Y33" i="38"/>
  <c r="Y35" i="38" s="1"/>
  <c r="C28" i="38"/>
  <c r="D29" i="38" s="1"/>
  <c r="E30" i="38" s="1"/>
  <c r="F31" i="38" s="1"/>
  <c r="G32" i="38" s="1"/>
  <c r="H33" i="38" s="1"/>
  <c r="J34" i="38" s="1"/>
  <c r="Y36" i="36"/>
  <c r="Y36" i="52"/>
  <c r="N38" i="8"/>
  <c r="N33" i="54"/>
  <c r="N34" i="38"/>
  <c r="B10" i="44"/>
  <c r="Y36" i="8"/>
  <c r="N35" i="8"/>
  <c r="N36" i="8" s="1"/>
  <c r="N37" i="8"/>
  <c r="AC38" i="13"/>
  <c r="P42" i="44" s="1"/>
  <c r="AB39" i="15"/>
  <c r="L28" i="15"/>
  <c r="P37" i="15" s="1"/>
  <c r="T33" i="44" s="1"/>
  <c r="P21" i="15"/>
  <c r="Q41" i="15"/>
  <c r="R41" i="15" s="1"/>
  <c r="AB40" i="15"/>
  <c r="AC38" i="15"/>
  <c r="T42" i="44" s="1"/>
  <c r="N33" i="38" l="1"/>
  <c r="Y37" i="38"/>
  <c r="Y36" i="54"/>
  <c r="Y38" i="54"/>
  <c r="Y35" i="54"/>
  <c r="Y37" i="54"/>
  <c r="N34" i="54"/>
  <c r="N35" i="38"/>
  <c r="B22" i="44"/>
  <c r="B16" i="44"/>
  <c r="P20" i="15"/>
  <c r="O19" i="15" s="1"/>
  <c r="N18" i="15" s="1"/>
  <c r="M17" i="15" s="1"/>
  <c r="L16" i="15" s="1"/>
  <c r="P39" i="15"/>
  <c r="T34" i="44" s="1"/>
  <c r="P41" i="15"/>
  <c r="T35" i="44" s="1"/>
  <c r="N38" i="54" l="1"/>
  <c r="N37" i="54"/>
  <c r="N35" i="54"/>
  <c r="N36" i="54"/>
  <c r="N37" i="38"/>
</calcChain>
</file>

<file path=xl/comments1.xml><?xml version="1.0" encoding="utf-8"?>
<comments xmlns="http://schemas.openxmlformats.org/spreadsheetml/2006/main">
  <authors>
    <author>Utaka Yasuo</author>
  </authors>
  <commentList>
    <comment ref="B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Buyer's P.O.</t>
        </r>
      </text>
    </comment>
    <comment ref="E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Internal Order No.
</t>
        </r>
      </text>
    </comment>
    <comment ref="Q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Width of Door</t>
        </r>
      </text>
    </comment>
    <comment ref="T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Height of Door</t>
        </r>
      </text>
    </comment>
    <comment ref="W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Number of Wires except Top Wire and Bottom Wire. So total wire is N+2
</t>
        </r>
      </text>
    </comment>
  </commentList>
</comments>
</file>

<file path=xl/comments2.xml><?xml version="1.0" encoding="utf-8"?>
<comments xmlns="http://schemas.openxmlformats.org/spreadsheetml/2006/main">
  <authors>
    <author>Utaka Yasuo</author>
  </authors>
  <commentList>
    <comment ref="B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Buyer's P.O.</t>
        </r>
      </text>
    </comment>
    <comment ref="E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Internal Order No.
</t>
        </r>
      </text>
    </comment>
    <comment ref="Q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Width of Door</t>
        </r>
      </text>
    </comment>
    <comment ref="T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Height of Door</t>
        </r>
      </text>
    </comment>
    <comment ref="W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Number of Wires except Top Wire and Bottom Wire. So total wire is N+2
</t>
        </r>
      </text>
    </comment>
  </commentList>
</comments>
</file>

<file path=xl/comments3.xml><?xml version="1.0" encoding="utf-8"?>
<comments xmlns="http://schemas.openxmlformats.org/spreadsheetml/2006/main">
  <authors>
    <author>Utaka Yasuo</author>
  </authors>
  <commentList>
    <comment ref="T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Width of Door</t>
        </r>
      </text>
    </comment>
    <comment ref="W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Height of Door</t>
        </r>
      </text>
    </comment>
    <comment ref="Z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Number of Wires except Top Wire and Bottom Wire. So total wire is N+2
</t>
        </r>
      </text>
    </comment>
  </commentList>
</comments>
</file>

<file path=xl/sharedStrings.xml><?xml version="1.0" encoding="utf-8"?>
<sst xmlns="http://schemas.openxmlformats.org/spreadsheetml/2006/main" count="3360" uniqueCount="1154">
  <si>
    <t>PRODOTTO</t>
  </si>
  <si>
    <t>ORDINE</t>
  </si>
  <si>
    <t>DATA SPEDIZIONE</t>
  </si>
  <si>
    <t>CLIENTE</t>
  </si>
  <si>
    <t>BASE</t>
  </si>
  <si>
    <t>ALTEZZA</t>
  </si>
  <si>
    <t>ANTE</t>
  </si>
  <si>
    <t>COLORE</t>
  </si>
  <si>
    <t>N. PEZZI</t>
  </si>
  <si>
    <t>NOTE</t>
  </si>
  <si>
    <t>SEL ANTE</t>
  </si>
  <si>
    <t>PLISSE MOD</t>
  </si>
  <si>
    <t>GIOCONDA</t>
  </si>
  <si>
    <t>GIOCONDA FRIZIONATA</t>
  </si>
  <si>
    <t>GIOCONDA LATERALE</t>
  </si>
  <si>
    <t>GIOCONDA LATERALE 2A</t>
  </si>
  <si>
    <t>GIOCONDA REVERSIBILE</t>
  </si>
  <si>
    <t>GIOCONDA LATERALE MOD.</t>
  </si>
  <si>
    <t>OSCURA GA</t>
  </si>
  <si>
    <t>OSCURA GB</t>
  </si>
  <si>
    <t>01.BIANCO</t>
  </si>
  <si>
    <t>TESTO VALORE 4</t>
  </si>
  <si>
    <t>VALORE 4</t>
  </si>
  <si>
    <t>TESTO VALORE 3</t>
  </si>
  <si>
    <t>VALORE 3</t>
  </si>
  <si>
    <t>TESTO VALORE 2</t>
  </si>
  <si>
    <t>VALORE 2</t>
  </si>
  <si>
    <t>NR PIEGHE</t>
  </si>
  <si>
    <t>CORDINO 4</t>
  </si>
  <si>
    <t>CORDINO 3</t>
  </si>
  <si>
    <t>CORDINO 2</t>
  </si>
  <si>
    <t>CORDINO 1</t>
  </si>
  <si>
    <t>COD.BAR PER TAVOLO RETE</t>
  </si>
  <si>
    <t>ARTICOLO + ANTE + MODULO + COLORE</t>
  </si>
  <si>
    <t>BASE X ALTEZZA</t>
  </si>
  <si>
    <t>all2</t>
  </si>
  <si>
    <t>all1</t>
  </si>
  <si>
    <t xml:space="preserve"> </t>
  </si>
  <si>
    <t>Pieghe</t>
  </si>
  <si>
    <t>rete</t>
  </si>
  <si>
    <t>QUADRO A</t>
  </si>
  <si>
    <t>DATI ORDINE</t>
  </si>
  <si>
    <t xml:space="preserve">CLIENTE    </t>
  </si>
  <si>
    <t>DIMENSIONI</t>
  </si>
  <si>
    <t>X</t>
  </si>
  <si>
    <t xml:space="preserve">N.ORDINE </t>
  </si>
  <si>
    <t xml:space="preserve">COLORE    </t>
  </si>
  <si>
    <t>DATA SPED.</t>
  </si>
  <si>
    <t>PEZZI</t>
  </si>
  <si>
    <t>MQ</t>
  </si>
  <si>
    <t>QUADRO B</t>
  </si>
  <si>
    <t>DIMENSIONE RETE E FORI</t>
  </si>
  <si>
    <t>QUADRO C</t>
  </si>
  <si>
    <t>CORDINI E CATENA</t>
  </si>
  <si>
    <t>CORDINI</t>
  </si>
  <si>
    <t>TAGLIO RETE (BASE-32)</t>
  </si>
  <si>
    <t>(-2)</t>
  </si>
  <si>
    <t>INFILARE I CORDINI SENZA TAGLIARLI</t>
  </si>
  <si>
    <t>QUADRO E</t>
  </si>
  <si>
    <t>ALLUMINIO E SPAZZOLINO</t>
  </si>
  <si>
    <t>DISTANZA STANDARD TRA FORI</t>
  </si>
  <si>
    <t>segno " BIANCO" a SX</t>
  </si>
  <si>
    <t>CASSONETTO - COMPENSATORE</t>
  </si>
  <si>
    <t>QUADRO D</t>
  </si>
  <si>
    <t>RAPPORTO CORDINI</t>
  </si>
  <si>
    <t>LUNGH. (BASE - 34) =</t>
  </si>
  <si>
    <t>N. RAPPORTI</t>
  </si>
  <si>
    <t>LUNG. "SPAZZOLINO 6x9"</t>
  </si>
  <si>
    <t>BARRA DI SCORRIMENTO</t>
  </si>
  <si>
    <t>QUADRO F</t>
  </si>
  <si>
    <t>CONTROLLO QUALITA'</t>
  </si>
  <si>
    <t>LUNGH. (BASE - 104) =</t>
  </si>
  <si>
    <t>LOTTO RETE N.:</t>
  </si>
  <si>
    <t>LUNG. "SPAZZOLINO 6x13"</t>
  </si>
  <si>
    <t>NOTE:</t>
  </si>
  <si>
    <t>GUIDE</t>
  </si>
  <si>
    <t>CONTROLLATO DA:</t>
  </si>
  <si>
    <t>FIRMA</t>
  </si>
  <si>
    <t>FOGLIO LAVORO GIOCONDA FRIZIONATA</t>
  </si>
  <si>
    <t>LUNGHEZZA E NUM. CORDINI</t>
  </si>
  <si>
    <t>PIEGHE N°</t>
  </si>
  <si>
    <t>PRIMO</t>
  </si>
  <si>
    <t>ULTIMO</t>
  </si>
  <si>
    <t>ANNODARE SINGOLARMENTE AI PASSACORDINI SUPERIORI</t>
  </si>
  <si>
    <t>CONTROLLO CORDINI - POST ASSEMBLAGGIO</t>
  </si>
  <si>
    <t>LUNG. Min. CORDINO</t>
  </si>
  <si>
    <t>BARRA SCORREVOLE</t>
  </si>
  <si>
    <t>Altezza</t>
  </si>
  <si>
    <t>+200</t>
  </si>
  <si>
    <t>=</t>
  </si>
  <si>
    <t>IMBALLO</t>
  </si>
  <si>
    <t>ATTENZIONE</t>
  </si>
  <si>
    <t>Imballare insieme</t>
  </si>
  <si>
    <t>SCANTONARE 3 mm X LATO SU SCORREVOLE</t>
  </si>
  <si>
    <t>GUIDE GIOCONDA</t>
  </si>
  <si>
    <t>Set accessori</t>
  </si>
  <si>
    <t>Opuscolo gioconda</t>
  </si>
  <si>
    <t>CASSONETTO</t>
  </si>
  <si>
    <t>Bianco</t>
  </si>
  <si>
    <t>Neutro</t>
  </si>
  <si>
    <t>Person</t>
  </si>
  <si>
    <t>LUNGH. (BASE - 32+2 ) =</t>
  </si>
  <si>
    <t>　Ｌ</t>
  </si>
  <si>
    <t>CONFEZIONE</t>
  </si>
  <si>
    <t>crt</t>
  </si>
  <si>
    <t>VOLUME</t>
  </si>
  <si>
    <t>m³</t>
  </si>
  <si>
    <t>QUADRO G</t>
  </si>
  <si>
    <t>QUALITA'</t>
  </si>
  <si>
    <t>CONTROLLATO DA</t>
  </si>
  <si>
    <t>Note</t>
  </si>
  <si>
    <t>GUIDA</t>
  </si>
  <si>
    <t>OPE.</t>
  </si>
  <si>
    <t>Produzione</t>
  </si>
  <si>
    <t>Rete</t>
  </si>
  <si>
    <t>Lotto N°</t>
  </si>
  <si>
    <t>LUNGH. (ALTEZZA - 28) =</t>
  </si>
  <si>
    <t>FOGLIO LAVORO GIOCONDA LATERALE</t>
  </si>
  <si>
    <t>SCANTONARE LA  RETE DI  3 MM  LATO INFERIORE</t>
  </si>
  <si>
    <t>Base</t>
  </si>
  <si>
    <t>LUNG. MAGNETE</t>
  </si>
  <si>
    <t>SUP. (BASE) =</t>
  </si>
  <si>
    <t>1</t>
  </si>
  <si>
    <t>INF. (BASE) =</t>
  </si>
  <si>
    <t>FOGLIO LAVORO GIOCONDA LATERALE 2 ANTE</t>
  </si>
  <si>
    <t>2</t>
  </si>
  <si>
    <t>FOGLIO LAVORO GIOCONDA REVERSIBILE</t>
  </si>
  <si>
    <t>DORSO / SCORREVOLE</t>
  </si>
  <si>
    <t>FOGLIO LAVORO GIOCONDA LATERALE MODULO</t>
  </si>
  <si>
    <t>+450</t>
  </si>
  <si>
    <t>NUMERO COPIE</t>
  </si>
  <si>
    <t>AUTOMATICA</t>
  </si>
  <si>
    <t>KOMBI 1520</t>
  </si>
  <si>
    <t>KOMBI 20</t>
  </si>
  <si>
    <t>KOMBI  SUPER</t>
  </si>
  <si>
    <t>GIOCONDA LATERALE old</t>
  </si>
  <si>
    <t>GIOCONDA LATERALE 2A old</t>
  </si>
  <si>
    <t>DATA ORDINE</t>
  </si>
  <si>
    <t>Modello</t>
  </si>
  <si>
    <t>Ordine Produzione Nr</t>
  </si>
  <si>
    <t>Data Ordine</t>
  </si>
  <si>
    <t>Data Spedizione</t>
  </si>
  <si>
    <t>L min.</t>
  </si>
  <si>
    <t>L  mm</t>
  </si>
  <si>
    <t>×</t>
  </si>
  <si>
    <t>H mm</t>
  </si>
  <si>
    <t>H min</t>
  </si>
  <si>
    <t>Cordino</t>
  </si>
  <si>
    <t>Quantità</t>
  </si>
  <si>
    <t>Colore</t>
  </si>
  <si>
    <t>COMPENSAZIONE MISURA</t>
  </si>
  <si>
    <t>LARGHEZZA X ANTA</t>
  </si>
  <si>
    <t>Data-Ora Emissione</t>
  </si>
  <si>
    <t>quadro A</t>
  </si>
  <si>
    <t>quadro B</t>
  </si>
  <si>
    <t>RETE PLISSETTATA DA 20 mm</t>
  </si>
  <si>
    <t>quadro D</t>
  </si>
  <si>
    <t>PROFILI IN ALLUMINIO</t>
  </si>
  <si>
    <t>N°</t>
  </si>
  <si>
    <t>pz</t>
  </si>
  <si>
    <t>base min</t>
  </si>
  <si>
    <t xml:space="preserve">N.RO ORD. </t>
  </si>
  <si>
    <t>H - 115 =</t>
  </si>
  <si>
    <t>alt min</t>
  </si>
  <si>
    <t>Taglio rete</t>
  </si>
  <si>
    <t>(- 2 )</t>
  </si>
  <si>
    <t>alt max</t>
  </si>
  <si>
    <t xml:space="preserve">         </t>
  </si>
  <si>
    <t>fori</t>
  </si>
  <si>
    <t>MODULO</t>
  </si>
  <si>
    <t>PORTA SPAZZOLINO</t>
  </si>
  <si>
    <t>PZ</t>
  </si>
  <si>
    <t>MAGNETE</t>
  </si>
  <si>
    <t xml:space="preserve">ANTE      </t>
  </si>
  <si>
    <t xml:space="preserve">  PROFILO CHIUSURA</t>
  </si>
  <si>
    <t>H -115 =</t>
  </si>
  <si>
    <t xml:space="preserve">H - 60= </t>
  </si>
  <si>
    <t>ATTACCHI A MURO</t>
  </si>
  <si>
    <t>SCANTONARE FASCETTE PORTARETE   " 7 mm "</t>
  </si>
  <si>
    <t>quadro C</t>
  </si>
  <si>
    <t>LUNGHEZZA E NUMERO CORDINI</t>
  </si>
  <si>
    <t>quadro E</t>
  </si>
  <si>
    <t>TAVOLO CORDINO</t>
  </si>
  <si>
    <t>quadro F</t>
  </si>
  <si>
    <t>CINGOLI</t>
  </si>
  <si>
    <t>ALTO</t>
  </si>
  <si>
    <t>MIS. RETE:</t>
  </si>
  <si>
    <t>CINGOLI - escluso il preterminale</t>
  </si>
  <si>
    <t>TOTALI</t>
  </si>
  <si>
    <t>pezzi</t>
  </si>
  <si>
    <t xml:space="preserve">       H</t>
  </si>
  <si>
    <t>B. SCORR.</t>
  </si>
  <si>
    <t>DIMA :</t>
  </si>
  <si>
    <t>B. DORSO</t>
  </si>
  <si>
    <t>pezzi + Revers</t>
  </si>
  <si>
    <t>1  2  3</t>
  </si>
  <si>
    <t>MISURA:</t>
  </si>
  <si>
    <t>BASSO</t>
  </si>
  <si>
    <t>altezza rete</t>
  </si>
  <si>
    <t>V.25/05/02 SANZAR SISTEM SRL</t>
  </si>
  <si>
    <t>GIALLO</t>
  </si>
  <si>
    <t>DIMENSIONAMENTO CORDINO DA TAVOLO</t>
  </si>
  <si>
    <t>Guida compensatore</t>
  </si>
  <si>
    <t>Guida a terra</t>
  </si>
  <si>
    <t>VISTA</t>
  </si>
  <si>
    <t>3  2  1</t>
  </si>
  <si>
    <t>Opuscolo Plisse'</t>
  </si>
  <si>
    <t>OPE</t>
  </si>
  <si>
    <t>quadro G</t>
  </si>
  <si>
    <t>CORDINO " 8 "</t>
  </si>
  <si>
    <t xml:space="preserve">LUNGHEZZA </t>
  </si>
  <si>
    <t>PZ. 2</t>
  </si>
  <si>
    <t>M3</t>
  </si>
  <si>
    <t>ORDINE DI VENDITA N°</t>
  </si>
  <si>
    <t>ORDINE N°</t>
  </si>
  <si>
    <t>DATA DI EMISSIONE</t>
  </si>
  <si>
    <t>DATA PARTENZA</t>
  </si>
  <si>
    <t>CODICE MISURA</t>
  </si>
  <si>
    <t>QUANTITA'</t>
  </si>
  <si>
    <t>CALCOLO E DISTINTE TAGLIO</t>
  </si>
  <si>
    <t>RETE PLISSETTATA PP 20</t>
  </si>
  <si>
    <t>COMPENSATORE SUPERIORE</t>
  </si>
  <si>
    <t>NUMERO PIEGHE</t>
  </si>
  <si>
    <t>MODELLO</t>
  </si>
  <si>
    <t>:</t>
  </si>
  <si>
    <t>LARGHEZZA</t>
  </si>
  <si>
    <t>ANTE N°</t>
  </si>
  <si>
    <t>GUIDA A TERRA</t>
  </si>
  <si>
    <t>L=</t>
  </si>
  <si>
    <t>PORTASPAZZOLINO</t>
  </si>
  <si>
    <t>Slide Bar S2</t>
  </si>
  <si>
    <t>CINGOLI - ESCLUSO PRETERMINALI</t>
  </si>
  <si>
    <t>Style Post S3</t>
  </si>
  <si>
    <t>PER SOPRA</t>
  </si>
  <si>
    <t>PER SOTTO</t>
  </si>
  <si>
    <t>SCANTONARE 7 mm LA FETTECCIA - LATO INF. SCORREVOLE</t>
  </si>
  <si>
    <t>SOPRA</t>
  </si>
  <si>
    <t>ROSSO</t>
  </si>
  <si>
    <t>1 PEZZO</t>
  </si>
  <si>
    <t>SOTTO</t>
  </si>
  <si>
    <t>BIANCO</t>
  </si>
  <si>
    <t>LUNGHEZZA CORDINI</t>
  </si>
  <si>
    <t>DORSO 8LF</t>
  </si>
  <si>
    <t>H1=H-41.5</t>
  </si>
  <si>
    <t>L mm</t>
  </si>
  <si>
    <t>X 2</t>
  </si>
  <si>
    <t>１</t>
  </si>
  <si>
    <t>H-107=</t>
  </si>
  <si>
    <t>CLIP A MURO</t>
  </si>
  <si>
    <t>IMBALLARE INSIEME</t>
  </si>
  <si>
    <t>View</t>
  </si>
  <si>
    <t>COMPENSATORE</t>
  </si>
  <si>
    <t>DISTANZA MEDIA TRA CORDINI</t>
  </si>
  <si>
    <t>GUIDA INSTALLAZIONE</t>
  </si>
  <si>
    <t>Production</t>
  </si>
  <si>
    <t>CORDINO DELL'OTTO</t>
  </si>
  <si>
    <t>I</t>
  </si>
  <si>
    <t>LUNGHEZZA</t>
  </si>
  <si>
    <t>M</t>
  </si>
  <si>
    <t>RETE</t>
  </si>
  <si>
    <t>LOTTO N°</t>
  </si>
  <si>
    <t>B</t>
  </si>
  <si>
    <t>NEUTRO</t>
  </si>
  <si>
    <t>A</t>
  </si>
  <si>
    <r>
      <t>47</t>
    </r>
    <r>
      <rPr>
        <b/>
        <sz val="14"/>
        <rFont val="ＭＳ Ｐゴシック"/>
        <family val="3"/>
        <charset val="128"/>
      </rPr>
      <t>　</t>
    </r>
    <r>
      <rPr>
        <b/>
        <sz val="14"/>
        <rFont val="Times New Roman"/>
        <family val="1"/>
      </rPr>
      <t>×</t>
    </r>
  </si>
  <si>
    <r>
      <t>×</t>
    </r>
    <r>
      <rPr>
        <b/>
        <sz val="14"/>
        <rFont val="ＭＳ Ｐゴシック"/>
        <family val="3"/>
        <charset val="128"/>
      </rPr>
      <t>　Ｌ</t>
    </r>
  </si>
  <si>
    <t>L</t>
  </si>
  <si>
    <t>O</t>
  </si>
  <si>
    <t>V.011207</t>
  </si>
  <si>
    <t>GUIDA COMPENSATORE</t>
  </si>
  <si>
    <t xml:space="preserve"> GUIDA A TERRA</t>
  </si>
  <si>
    <t>DORSO A MURO</t>
  </si>
  <si>
    <t>BASE MAX PLISSE</t>
  </si>
  <si>
    <t>BASE MIN PLISSE</t>
  </si>
  <si>
    <t>ALTEZZA MAX PLISSE</t>
  </si>
  <si>
    <t>ALTEZZA MIN PLISSE</t>
  </si>
  <si>
    <t>TIPO RETE</t>
  </si>
  <si>
    <t>01-10</t>
  </si>
  <si>
    <t>11-16</t>
  </si>
  <si>
    <t>81-84</t>
  </si>
  <si>
    <t>17-26</t>
  </si>
  <si>
    <t>27-32</t>
  </si>
  <si>
    <t>85-88</t>
  </si>
  <si>
    <t>33-42</t>
  </si>
  <si>
    <t>43-48</t>
  </si>
  <si>
    <t>89-92</t>
  </si>
  <si>
    <t>49-58</t>
  </si>
  <si>
    <t>59-64</t>
  </si>
  <si>
    <t>93-96</t>
  </si>
  <si>
    <t>65-74</t>
  </si>
  <si>
    <t>75-80</t>
  </si>
  <si>
    <t>97-100</t>
  </si>
  <si>
    <t>101-110</t>
  </si>
  <si>
    <t>111-116</t>
  </si>
  <si>
    <t>117-120</t>
  </si>
  <si>
    <t>FOGLIO LAVORO MINI - PLISSE'</t>
  </si>
  <si>
    <t>CODICE CLIENTE</t>
  </si>
  <si>
    <t>LARGHEZZA mm</t>
  </si>
  <si>
    <t>ALTEZZA mm</t>
  </si>
  <si>
    <t>N° CORDINI</t>
  </si>
  <si>
    <t>Q.TA'</t>
  </si>
  <si>
    <t>UNITA'</t>
  </si>
  <si>
    <t xml:space="preserve">RETE PLISSETTATA  PP２０m/m </t>
  </si>
  <si>
    <t>ALLUMINIO</t>
  </si>
  <si>
    <t>IMBALLO - QUANTITA' PER PEZZO</t>
  </si>
  <si>
    <t>PIEGHE</t>
  </si>
  <si>
    <t>BARRA SCORREVOLE MINI</t>
  </si>
  <si>
    <t>Pezzi in imballo</t>
  </si>
  <si>
    <t>dim. (mm)</t>
  </si>
  <si>
    <t>quantità</t>
  </si>
  <si>
    <t>H－123+10=</t>
  </si>
  <si>
    <t>SET ACCESSORI</t>
  </si>
  <si>
    <t>Guida superiore</t>
  </si>
  <si>
    <t xml:space="preserve">N° PEZZI </t>
  </si>
  <si>
    <t>TAGLIO RETE H - 51+10</t>
  </si>
  <si>
    <t>Celino (per guida superiore)</t>
  </si>
  <si>
    <t>adesivo per celino</t>
  </si>
  <si>
    <t>10-13</t>
  </si>
  <si>
    <t>10-17</t>
  </si>
  <si>
    <t>DORSO A MURO DX &amp; SX</t>
  </si>
  <si>
    <t>L - 28 mm</t>
  </si>
  <si>
    <t>10-25</t>
  </si>
  <si>
    <t>12-13</t>
  </si>
  <si>
    <t>H -70+10=</t>
  </si>
  <si>
    <t>2 PEZZI</t>
  </si>
  <si>
    <t>12-17</t>
  </si>
  <si>
    <t>VISTA INTERNA</t>
  </si>
  <si>
    <t>12-25</t>
  </si>
  <si>
    <t>GUIDA DI INSTALLAZIONE (IMBALLARE INSIEME)</t>
  </si>
  <si>
    <t>13-13</t>
  </si>
  <si>
    <t>Ｐｅ＝Ｗ＝</t>
  </si>
  <si>
    <t>13-17</t>
  </si>
  <si>
    <t>13-25</t>
  </si>
  <si>
    <t>PER CIASCUN PROFILO</t>
  </si>
  <si>
    <t>PIASTRINE DI FISSAGGIO</t>
  </si>
  <si>
    <t>CARTONE</t>
  </si>
  <si>
    <t>DORSO SX</t>
  </si>
  <si>
    <t>DORSO DX</t>
  </si>
  <si>
    <t>ALLINEARE SULLA BASE IN BASSO</t>
  </si>
  <si>
    <t>PASSO</t>
  </si>
  <si>
    <t>MPK</t>
  </si>
  <si>
    <t>　Ｌ=</t>
  </si>
  <si>
    <t>TAGLIARE 2 MM DI RETE (LATO BARRA SCORREVOLE) IN ALTO E IN BASSO</t>
  </si>
  <si>
    <t>P=</t>
  </si>
  <si>
    <t>２PZ</t>
  </si>
  <si>
    <t>GUIDA SUPERIORE - GUIDA INFERIORE</t>
  </si>
  <si>
    <t xml:space="preserve">           Ｐｌ＝Ｈ－51</t>
  </si>
  <si>
    <t>MEDIO</t>
  </si>
  <si>
    <t>L -70+10=</t>
  </si>
  <si>
    <t xml:space="preserve"> CENTRALE</t>
  </si>
  <si>
    <t>ETICHETTA</t>
  </si>
  <si>
    <t>L -70=</t>
  </si>
  <si>
    <t>CONTROLLO TENSIONE</t>
  </si>
  <si>
    <t>ISPEZIONATO</t>
  </si>
  <si>
    <t>PRODUZIONE</t>
  </si>
  <si>
    <t>RETE N°</t>
  </si>
  <si>
    <t>FOGLIO LAVORO MINI - PLISSE' 2ANTE</t>
  </si>
  <si>
    <t>I 4 CORDINI ESTREMI  SONO PORTATI AL 2° REGOLATORE</t>
  </si>
  <si>
    <t>TOT</t>
  </si>
  <si>
    <t>CORDINO 8</t>
  </si>
  <si>
    <t>CORDINO 5</t>
  </si>
  <si>
    <t>CORDINO 6</t>
  </si>
  <si>
    <t>DIMA</t>
  </si>
  <si>
    <t>TOT CINGOLI</t>
  </si>
  <si>
    <t>CINGOLI DORS</t>
  </si>
  <si>
    <t>SCO + DOR (H-115)</t>
  </si>
  <si>
    <t>VALORE 1</t>
  </si>
  <si>
    <t>TESTO VALORE 1</t>
  </si>
  <si>
    <t>CHIUS (H-60)</t>
  </si>
  <si>
    <t>COMP + GUI (B-5)</t>
  </si>
  <si>
    <t>PORTA MAGN (H-127)</t>
  </si>
  <si>
    <t>Magn</t>
  </si>
  <si>
    <t>magnete</t>
  </si>
  <si>
    <t>VALORE DIMENSIONAMENTO CORDINI</t>
  </si>
  <si>
    <t>cordino 8</t>
  </si>
  <si>
    <t>FOGLIO LAVORO PLISSE' XL A MISURA</t>
  </si>
  <si>
    <t>PLISSE XL</t>
  </si>
  <si>
    <t>H-135=</t>
  </si>
  <si>
    <t>H-115=</t>
  </si>
  <si>
    <t>H-87=</t>
  </si>
  <si>
    <t>FOGLIO LAVORO A MODULI STANDARD</t>
  </si>
  <si>
    <t>Ordine cliente n°</t>
  </si>
  <si>
    <t>ordine produzione n°</t>
  </si>
  <si>
    <t>data ordine</t>
  </si>
  <si>
    <t>Data spedizione</t>
  </si>
  <si>
    <t>L MIN</t>
  </si>
  <si>
    <t>H MIN</t>
  </si>
  <si>
    <t>Attacchi a muro</t>
  </si>
  <si>
    <t>COMPENSAZIONE MODULO</t>
  </si>
  <si>
    <t>PEZZI N°</t>
  </si>
  <si>
    <t>H - 135=</t>
  </si>
  <si>
    <t>Taglio rete H-64 =</t>
  </si>
  <si>
    <t>(- 2 mm TOLL.)</t>
  </si>
  <si>
    <t>Applica etichetta " UPSIDE" a testata sup. B.S.</t>
  </si>
  <si>
    <t>GUIDA A TERRA=B</t>
  </si>
  <si>
    <t xml:space="preserve">             PORTA SPAZZOLINO</t>
  </si>
  <si>
    <t>SPAZZOLINO</t>
  </si>
  <si>
    <t>segno " BASSO " a SX</t>
  </si>
  <si>
    <t>distanza standard tra fori rete</t>
  </si>
  <si>
    <t>PLISSE</t>
  </si>
  <si>
    <t>Lunghezza  e numero cordini</t>
  </si>
  <si>
    <t>BASE MINIMA</t>
  </si>
  <si>
    <t>BASE MAX</t>
  </si>
  <si>
    <t>H1=H-30 mm</t>
  </si>
  <si>
    <t>ALTEZZA MINIMA</t>
  </si>
  <si>
    <t>ALTEZZA MAX</t>
  </si>
  <si>
    <t>componenti</t>
  </si>
  <si>
    <t>Profilo di chiusura</t>
  </si>
  <si>
    <t>Pezzi</t>
  </si>
  <si>
    <t>DIMA GRANDE</t>
  </si>
  <si>
    <t>Guida installazione ed uso</t>
  </si>
  <si>
    <t>DIMA PICCOLA</t>
  </si>
  <si>
    <t>47　×</t>
  </si>
  <si>
    <r>
      <t>×</t>
    </r>
    <r>
      <rPr>
        <sz val="14"/>
        <rFont val="ＭＳ Ｐゴシック"/>
        <family val="3"/>
        <charset val="128"/>
      </rPr>
      <t>　Ｌ</t>
    </r>
  </si>
  <si>
    <t>confezione</t>
  </si>
  <si>
    <t>4 pz</t>
  </si>
  <si>
    <t>altro</t>
  </si>
  <si>
    <t>FOGLIO LAVORO MINI - PLISSE' NIGHT &amp; DAY</t>
  </si>
  <si>
    <t>COLORI</t>
  </si>
  <si>
    <t>02.AVORIO</t>
  </si>
  <si>
    <t>03.MARRONE</t>
  </si>
  <si>
    <t>04.VERDE</t>
  </si>
  <si>
    <t>05.ROSSO</t>
  </si>
  <si>
    <t>06.NERO</t>
  </si>
  <si>
    <t>07.TES.MORO</t>
  </si>
  <si>
    <t>08.BRONZO</t>
  </si>
  <si>
    <t>09.ARGENTO</t>
  </si>
  <si>
    <t>10.VER.MAR.</t>
  </si>
  <si>
    <t>11.MAR.MAR.</t>
  </si>
  <si>
    <t>12.GRI.MAR.</t>
  </si>
  <si>
    <t>13.ROS.MAR.</t>
  </si>
  <si>
    <t>14.VE.M.AN.</t>
  </si>
  <si>
    <t>15.MA.M.AN.</t>
  </si>
  <si>
    <t>16.GR.M.AN.</t>
  </si>
  <si>
    <t>18.DEC.NOC.</t>
  </si>
  <si>
    <t>19.DEC.CIL.</t>
  </si>
  <si>
    <t>20.DEC.PIN.</t>
  </si>
  <si>
    <t>21.DEC.DOU.</t>
  </si>
  <si>
    <t>22.DEC.IRO.</t>
  </si>
  <si>
    <t>23.W.NOC.</t>
  </si>
  <si>
    <t>24.W.MOG.</t>
  </si>
  <si>
    <t>25.W.DOU.</t>
  </si>
  <si>
    <t>26.W.ROV.</t>
  </si>
  <si>
    <t>27.N.NO.ME</t>
  </si>
  <si>
    <t>28.N.NO.SC</t>
  </si>
  <si>
    <t>29.N.CIL.</t>
  </si>
  <si>
    <t>COL.SPECIALE</t>
  </si>
  <si>
    <t>GREZZO</t>
  </si>
  <si>
    <t>REN.CASTAGNO</t>
  </si>
  <si>
    <t>REN.CAS.SCURO</t>
  </si>
  <si>
    <t>REN.CILIEGIO</t>
  </si>
  <si>
    <t>REN.DOUGLAS</t>
  </si>
  <si>
    <t>REN.MOGANO</t>
  </si>
  <si>
    <t>REN.NOCE</t>
  </si>
  <si>
    <t>XX.BIA.MAR.</t>
  </si>
  <si>
    <t>XX.BIA.MA.A.</t>
  </si>
  <si>
    <t>XX.BIA.9001</t>
  </si>
  <si>
    <t>XX.BIA.9016</t>
  </si>
  <si>
    <t>XX.ELETTRO</t>
  </si>
  <si>
    <t>CALCOLO MODULO PLISSE</t>
  </si>
  <si>
    <t>CALCOLO MODULO MINI-PLISSE</t>
  </si>
  <si>
    <t>base max</t>
  </si>
  <si>
    <t>GIOCONDA FRIZIONATA MOD</t>
  </si>
  <si>
    <t>ABILITA FOGLIO</t>
  </si>
  <si>
    <t>PLISSE' MOD</t>
  </si>
  <si>
    <t>ID</t>
  </si>
  <si>
    <t>DIMENSIONAMENTO FILI DA BANCO</t>
  </si>
  <si>
    <t>B. SCORR. SUP</t>
  </si>
  <si>
    <t>B. SCORR. INF</t>
  </si>
  <si>
    <t>SCO (H-135)</t>
  </si>
  <si>
    <t xml:space="preserve">B - 5= </t>
  </si>
  <si>
    <t xml:space="preserve">B -5= </t>
  </si>
  <si>
    <t>GUIDA COMPENSATORE =  B-5</t>
  </si>
  <si>
    <t>PZ.1</t>
  </si>
  <si>
    <t>ZANZAR SISTEM V.011207</t>
  </si>
  <si>
    <t>V.25/05/02 SANZAR SISTEM</t>
  </si>
  <si>
    <t>PLISSE 8L MOD</t>
  </si>
  <si>
    <t>PLISSE 8L A MIS</t>
  </si>
  <si>
    <t>FOGLIO DI LAVORO - PLISSE' 8 LF MODULO</t>
  </si>
  <si>
    <t>FOGLIO DI LAVORO - PLISSE' 8 LF MISURA</t>
  </si>
  <si>
    <t>TAGLIO RETE (ALTEZZA-37)</t>
  </si>
  <si>
    <t>FOGLIO LAVORO GIOCONDA FRIZIONATA .22</t>
  </si>
  <si>
    <t>LUNGH. (BASE - 35) =</t>
  </si>
  <si>
    <t>PROFILO A MURO</t>
  </si>
  <si>
    <t>DORSO / CASSONETTO</t>
  </si>
  <si>
    <t>LUNGH. (BASE - 47 ) =</t>
  </si>
  <si>
    <t>LUNGH. (ALTEZZA-2) =</t>
  </si>
  <si>
    <t>DORSO / SCORREVOLE / CHIUSURA</t>
  </si>
  <si>
    <t>FOGLIO LAVORO GIOCONDA FRIZIONATA MODULO</t>
  </si>
  <si>
    <t xml:space="preserve">FOGLIO DA CREARE </t>
  </si>
  <si>
    <t>MINI PLISSE</t>
  </si>
  <si>
    <t>MINI PLISSE 2A</t>
  </si>
  <si>
    <t>MINI PLISSE NIGHT &amp; DAY</t>
  </si>
  <si>
    <t>GIOCONDA FRI .22</t>
  </si>
  <si>
    <t>GIOCONDA FRI .22 MOD</t>
  </si>
  <si>
    <t>GIOCONDA LAT .22</t>
  </si>
  <si>
    <t>GIOCONDA LAT .22 2A</t>
  </si>
  <si>
    <t>GIOCONDA LAT .22 MOD</t>
  </si>
  <si>
    <t xml:space="preserve">DORSO / SCORREVOLE </t>
  </si>
  <si>
    <t>FOGLIO LAVORO GIOCONDA CATENA</t>
  </si>
  <si>
    <t>ALLUMINIO E MAGNETE</t>
  </si>
  <si>
    <t>LUNGH. (ALTEZZA - 38) =</t>
  </si>
  <si>
    <t>LINGUA</t>
  </si>
  <si>
    <t>COD VOCABOLO</t>
  </si>
  <si>
    <t>ITALIANO</t>
  </si>
  <si>
    <t>TEDESCO</t>
  </si>
  <si>
    <t>INGLESE</t>
  </si>
  <si>
    <t>FOGLIO LAVORO PLISSE A MISURA</t>
  </si>
  <si>
    <t>ARBEITSBLATT PLISSE AUF MASS</t>
  </si>
  <si>
    <t>MODELL</t>
  </si>
  <si>
    <t>ORD. PRODUZ. NR.</t>
  </si>
  <si>
    <t>NUMMER</t>
  </si>
  <si>
    <t>DRUCK-DATUM</t>
  </si>
  <si>
    <t>LIEFERTERMIN</t>
  </si>
  <si>
    <t>L MM</t>
  </si>
  <si>
    <t>H MM</t>
  </si>
  <si>
    <t>CORDINO</t>
  </si>
  <si>
    <t>FADEN</t>
  </si>
  <si>
    <t>ANZAHL</t>
  </si>
  <si>
    <t>FARBE</t>
  </si>
  <si>
    <t>AUSGLEICHGROESSE</t>
  </si>
  <si>
    <t>BREITE KASSETTE</t>
  </si>
  <si>
    <t>DATA ORA DI EMISSIONE</t>
  </si>
  <si>
    <t>PRODUKT</t>
  </si>
  <si>
    <t xml:space="preserve">RETE PLISSETTATA 20MM </t>
  </si>
  <si>
    <t>GEWEBE PLISSE 20 MM</t>
  </si>
  <si>
    <t>ALU-PROFILE PLISSE</t>
  </si>
  <si>
    <t>BARRA SCORR/BARRA DORSO</t>
  </si>
  <si>
    <t>SCHIEBE-BEFESTIGUNGSPROFIL</t>
  </si>
  <si>
    <t>GUIDA COMP/GUIDA A TERRA</t>
  </si>
  <si>
    <t>AUSGLEICH-BODEN PROFIL</t>
  </si>
  <si>
    <t>KUNDE</t>
  </si>
  <si>
    <t>NUM. ORDINE</t>
  </si>
  <si>
    <t>AUFTRAGSNR.</t>
  </si>
  <si>
    <t>STUECK</t>
  </si>
  <si>
    <t>KASSETTE</t>
  </si>
  <si>
    <t>MODUL</t>
  </si>
  <si>
    <t xml:space="preserve">BREITE </t>
  </si>
  <si>
    <t>HOEHE</t>
  </si>
  <si>
    <t>ANSICHT</t>
  </si>
  <si>
    <t>KONTROLLE</t>
  </si>
  <si>
    <t>OPERATORE</t>
  </si>
  <si>
    <t>MITARBEITER</t>
  </si>
  <si>
    <t>PRODUKTION</t>
  </si>
  <si>
    <t xml:space="preserve">RETE </t>
  </si>
  <si>
    <t>GEWEBE</t>
  </si>
  <si>
    <t>LOTTO NR.</t>
  </si>
  <si>
    <t>LOS NR.</t>
  </si>
  <si>
    <t>FALTEN</t>
  </si>
  <si>
    <t>FORI</t>
  </si>
  <si>
    <t>LOECHER</t>
  </si>
  <si>
    <t>WEISSE ZEICHNUNG LINKS</t>
  </si>
  <si>
    <t>SCANTONARE FASCETTE PORTARETE 7MM</t>
  </si>
  <si>
    <t>GEWEBE FALZSCHNITT 7MM</t>
  </si>
  <si>
    <t>LUNGHEZZA E NR. CORDINI</t>
  </si>
  <si>
    <t>LAENGE UND ANZAHL DER FAEDEN</t>
  </si>
  <si>
    <t>OBEN</t>
  </si>
  <si>
    <t>ROT</t>
  </si>
  <si>
    <t>GELB</t>
  </si>
  <si>
    <t xml:space="preserve">BIANCO </t>
  </si>
  <si>
    <t>WEISS</t>
  </si>
  <si>
    <t>UNTEN</t>
  </si>
  <si>
    <t>BUERSTEN-MAGNET AUFNAHME</t>
  </si>
  <si>
    <t>BUERSTE-MAGNET</t>
  </si>
  <si>
    <t>WAND CLIP</t>
  </si>
  <si>
    <t>MASSE FUER FADEN-TISCH</t>
  </si>
  <si>
    <t>MISURA RETE</t>
  </si>
  <si>
    <t>MASS GEWEBE</t>
  </si>
  <si>
    <t>GROSS</t>
  </si>
  <si>
    <t>BEMASSUNG DES FADENAM TISCH</t>
  </si>
  <si>
    <t>FADEN 8</t>
  </si>
  <si>
    <t>GESAMTLAENGE</t>
  </si>
  <si>
    <t>PEZZI /PZ.</t>
  </si>
  <si>
    <t>STK.</t>
  </si>
  <si>
    <t>KETTENGLIEDER</t>
  </si>
  <si>
    <t>CINGOLI ESCLUSO IL PRETERMINALE</t>
  </si>
  <si>
    <t xml:space="preserve">KETTENGLIEDER ANZHAL OHNE GLIED MIT HAECKSCHEN </t>
  </si>
  <si>
    <t>GESAMT</t>
  </si>
  <si>
    <t>B. SCORR</t>
  </si>
  <si>
    <t>VORNE (SCHIEB.PROF.)</t>
  </si>
  <si>
    <t>HINTEN (BEF.PROF.)</t>
  </si>
  <si>
    <t>PRIMO ROSSO</t>
  </si>
  <si>
    <t>ERSTE ROT</t>
  </si>
  <si>
    <t>ULTIMO ROSSO</t>
  </si>
  <si>
    <t>LETZTE ROT</t>
  </si>
  <si>
    <t>PRIMO BIANCO</t>
  </si>
  <si>
    <t>ERSTE WEISS</t>
  </si>
  <si>
    <t>ULTIMO BIANCO</t>
  </si>
  <si>
    <t>LETZTE WEISS</t>
  </si>
  <si>
    <t>ZUSAMMEN PACKEN</t>
  </si>
  <si>
    <t>AUSGLEICH PROFIL</t>
  </si>
  <si>
    <t>BODEN SCHIENE</t>
  </si>
  <si>
    <t>PROFILO CHIUSURA</t>
  </si>
  <si>
    <t>ANSCHLAG PROFIL</t>
  </si>
  <si>
    <t>ZUBEHOER</t>
  </si>
  <si>
    <t>OPUSCOLO PLISSE</t>
  </si>
  <si>
    <t>BESCHREIBUNG PLISSE</t>
  </si>
  <si>
    <t xml:space="preserve">NEUTRAL </t>
  </si>
  <si>
    <t>PERSONALIZZATO</t>
  </si>
  <si>
    <t>MIT KUNDEN LOGO</t>
  </si>
  <si>
    <t>VERPACKUNG</t>
  </si>
  <si>
    <t>VOLUMEN</t>
  </si>
  <si>
    <t>QUADRO</t>
  </si>
  <si>
    <t>ZEILE</t>
  </si>
  <si>
    <t>ERRORE!!! H MAX 2580</t>
  </si>
  <si>
    <t>*TED ERRORE!!! H MAX 2580</t>
  </si>
  <si>
    <t>RETE GRIGIA</t>
  </si>
  <si>
    <t>STANDARD LOCHABSTAN</t>
  </si>
  <si>
    <t>DIST.STD TRA FORI RETE</t>
  </si>
  <si>
    <t>DIMA:</t>
  </si>
  <si>
    <t>LEHRE:</t>
  </si>
  <si>
    <t>MASS:</t>
  </si>
  <si>
    <t>*TED PICCOLA</t>
  </si>
  <si>
    <t>SPAGNOLO</t>
  </si>
  <si>
    <t>FRANCESE</t>
  </si>
  <si>
    <t>GRECO</t>
  </si>
  <si>
    <t>WORKCENTER</t>
  </si>
  <si>
    <t>ARTICOLO</t>
  </si>
  <si>
    <t>CARATTERE SINISTRA PER TIPO RETE</t>
  </si>
  <si>
    <t>CARATTERE DESTRA PER TIPO RETE</t>
  </si>
  <si>
    <t>FOGLIO LAVORO</t>
  </si>
  <si>
    <t>TESTO GUIDA 1</t>
  </si>
  <si>
    <t>GUIDA1</t>
  </si>
  <si>
    <t>Magnete</t>
  </si>
  <si>
    <t>CATENA</t>
  </si>
  <si>
    <t>GRAUE GEWEBE</t>
  </si>
  <si>
    <t>RETE NERA</t>
  </si>
  <si>
    <t>*TED RETE NERA</t>
  </si>
  <si>
    <t>MODEL</t>
  </si>
  <si>
    <t>PRODUCTION ORDEN NR</t>
  </si>
  <si>
    <t>ORDER DATE</t>
  </si>
  <si>
    <t>SHIPMENT DATE</t>
  </si>
  <si>
    <t>MIN LENGTH</t>
  </si>
  <si>
    <t>LENGTH MM</t>
  </si>
  <si>
    <t>HEIGHT MM</t>
  </si>
  <si>
    <t>MIN HEIGHT</t>
  </si>
  <si>
    <t>THREAD</t>
  </si>
  <si>
    <t>QUANTITY</t>
  </si>
  <si>
    <t>COLOUR</t>
  </si>
  <si>
    <t>RANGE</t>
  </si>
  <si>
    <t>SHUTTER WIDTH</t>
  </si>
  <si>
    <t>DATE HOUR OF ISSUE</t>
  </si>
  <si>
    <t>PANEL</t>
  </si>
  <si>
    <t xml:space="preserve">PRODUCT </t>
  </si>
  <si>
    <t>20 MM PLEATED SCREEN</t>
  </si>
  <si>
    <t>ALUMINUM PROFILES</t>
  </si>
  <si>
    <t>FOLDS</t>
  </si>
  <si>
    <t>SLIDING END FIX PROFILE</t>
  </si>
  <si>
    <t>COMPENSATION RAIL/BOTTOM RAIL</t>
  </si>
  <si>
    <t>CUSTOMER</t>
  </si>
  <si>
    <t>ORDER NR</t>
  </si>
  <si>
    <t>PIECES</t>
  </si>
  <si>
    <t>SHUTTERS</t>
  </si>
  <si>
    <t>MODULE</t>
  </si>
  <si>
    <t>HEIGHT WARNING</t>
  </si>
  <si>
    <t>MAX HEIGHT 2580 MM</t>
  </si>
  <si>
    <t>VIEW</t>
  </si>
  <si>
    <t>CHECKED BY</t>
  </si>
  <si>
    <t>OPERATOR</t>
  </si>
  <si>
    <t>PRODUCTION</t>
  </si>
  <si>
    <t>SCREEN</t>
  </si>
  <si>
    <t>BATCH NR</t>
  </si>
  <si>
    <t>GREY SCREEN</t>
  </si>
  <si>
    <t>SCREEN MEASURE</t>
  </si>
  <si>
    <t>HOLES</t>
  </si>
  <si>
    <t>STD DISTANCE BETWEEN SCREEN HOLES</t>
  </si>
  <si>
    <t>CUT SETTING PLATE 7 MM</t>
  </si>
  <si>
    <t xml:space="preserve">THREAD LENGHT END NUMBER  </t>
  </si>
  <si>
    <t>UPSIDE</t>
  </si>
  <si>
    <t>RED</t>
  </si>
  <si>
    <t>YELLOW</t>
  </si>
  <si>
    <t>WHITE</t>
  </si>
  <si>
    <t>LOW</t>
  </si>
  <si>
    <t>FIN PLATE</t>
  </si>
  <si>
    <t>MAGNET</t>
  </si>
  <si>
    <t>WALL STICK</t>
  </si>
  <si>
    <t>THREAD TABLE</t>
  </si>
  <si>
    <t>WHITE SIGN ON LEFT SIDE</t>
  </si>
  <si>
    <t>TEST</t>
  </si>
  <si>
    <t>BIG</t>
  </si>
  <si>
    <t>SMALL</t>
  </si>
  <si>
    <t>MEAUSURE</t>
  </si>
  <si>
    <t>THREAD SIZING TABLE</t>
  </si>
  <si>
    <t>LENGHT</t>
  </si>
  <si>
    <t>SCORPION TAIL</t>
  </si>
  <si>
    <t>SCORPION  TAIL END</t>
  </si>
  <si>
    <t>TOTAL</t>
  </si>
  <si>
    <t>SLIDING PROFILE</t>
  </si>
  <si>
    <t>FIX PROFILE</t>
  </si>
  <si>
    <t>FIRST RED</t>
  </si>
  <si>
    <t>LAST RED</t>
  </si>
  <si>
    <t>FIRST WHITE</t>
  </si>
  <si>
    <t>LAST WHITE</t>
  </si>
  <si>
    <t>PACKAGE TOGHETER</t>
  </si>
  <si>
    <t>COMPENSATION RAIL</t>
  </si>
  <si>
    <t>BOTTOM RAIL</t>
  </si>
  <si>
    <t>CLOSING PROFILE</t>
  </si>
  <si>
    <t>ATTACHMENTS</t>
  </si>
  <si>
    <t>PLISSE' FLYER</t>
  </si>
  <si>
    <t>NEUTRAL</t>
  </si>
  <si>
    <t>CUSTOMIZED</t>
  </si>
  <si>
    <t xml:space="preserve">PLISSE' WORKSHEET </t>
  </si>
  <si>
    <t>LUNGH. (ALTEZZA - 30) =</t>
  </si>
  <si>
    <t>LUNG. MAGN. MANIGLIA (-25)</t>
  </si>
  <si>
    <t>LUNG. MAGN. CHIUSURA (-30)</t>
  </si>
  <si>
    <t>SUP. (BASE-2) =</t>
  </si>
  <si>
    <t>INF. (BASE-2) =</t>
  </si>
  <si>
    <t>SUP. (BASE -2) =</t>
  </si>
  <si>
    <t>INF. (BASE -2) =</t>
  </si>
  <si>
    <t>INF. (BASE- 2) =</t>
  </si>
  <si>
    <t>COPIE ETICHETTE</t>
  </si>
  <si>
    <t>NUMERO COPIE ETICHETTE DA STAMP</t>
  </si>
  <si>
    <t>PLISSE 8L</t>
  </si>
  <si>
    <t>ALTEZZA RETE</t>
  </si>
  <si>
    <t>PLISSE 8L MIS</t>
  </si>
  <si>
    <t>PIC</t>
  </si>
  <si>
    <t>GRA</t>
  </si>
  <si>
    <t>TIPO ETICHETTA</t>
  </si>
  <si>
    <t>NR ETICHETTA</t>
  </si>
  <si>
    <t>TIPO ETICHETTA DA STAMPARE</t>
  </si>
  <si>
    <t>NR ETICHETTA DA STAMPARE</t>
  </si>
  <si>
    <t>Dima</t>
  </si>
  <si>
    <t>FOGLIO LAVORO GIOCONDA FRIZIONATA .22 MODULO</t>
  </si>
  <si>
    <t>LUNGH. (BASE - 47 +6 ) =</t>
  </si>
  <si>
    <t>Aggiornamento 16-01-2012 : fili accorciati di 50mm per evitare che il bloccacordini urti la vite di fiss superiore guida per i pezzi accorciati al massimo in larghezza e altezza.</t>
  </si>
  <si>
    <t>KIAVE DI RICERCA INSERIMENTO</t>
  </si>
  <si>
    <t>key</t>
  </si>
  <si>
    <t>CaricaArticoli in combo</t>
  </si>
  <si>
    <t>Seleziona Stampante</t>
  </si>
  <si>
    <t>Seleziona Etichettatrice</t>
  </si>
  <si>
    <t>Stampa Foglio lavoro</t>
  </si>
  <si>
    <t>Stampa etichetta</t>
  </si>
  <si>
    <t>CaricaColori in combo</t>
  </si>
  <si>
    <t>Attenzione articolo già inserito vuoi reinserirlo?</t>
  </si>
  <si>
    <t>MACCHINA</t>
  </si>
  <si>
    <t>ARTICOLO GIA INSERITO VUOI RE-INSERIRLO</t>
  </si>
  <si>
    <t>SPRACHE</t>
  </si>
  <si>
    <t>ARTIKEL</t>
  </si>
  <si>
    <t>BESTELLUNG</t>
  </si>
  <si>
    <t>LIEFERDATUM</t>
  </si>
  <si>
    <t>BREITE</t>
  </si>
  <si>
    <t>FLUEG</t>
  </si>
  <si>
    <t>STUECKZAHL</t>
  </si>
  <si>
    <t>GEWEBEART</t>
  </si>
  <si>
    <t>ANMERKUNGEN</t>
  </si>
  <si>
    <t>KOPIEANZAHL</t>
  </si>
  <si>
    <t>ARBEITSBLATT</t>
  </si>
  <si>
    <t>ETIKETT</t>
  </si>
  <si>
    <t>MASCHINE</t>
  </si>
  <si>
    <t>FOGLIO LAVORO PLISSE' A MISURA SENZA CORDINO DELL' "8"</t>
  </si>
  <si>
    <t xml:space="preserve">B - 4= </t>
  </si>
  <si>
    <t>B - 5 =</t>
  </si>
  <si>
    <t>FILI 1 e 2</t>
  </si>
  <si>
    <t>FILI 3 e 4</t>
  </si>
  <si>
    <t>FILI 5 e 6</t>
  </si>
  <si>
    <t>FILI 7 e 8</t>
  </si>
  <si>
    <t>PLISSE 0</t>
  </si>
  <si>
    <t>MAGN</t>
  </si>
  <si>
    <t>CHIUSURA / SCORREVOLE</t>
  </si>
  <si>
    <t>id</t>
  </si>
  <si>
    <t>LUNGH. (ALTEZZA - 32) =</t>
  </si>
  <si>
    <t>LUNGH. (BASE - 30) =</t>
  </si>
  <si>
    <t>attivato</t>
  </si>
  <si>
    <t xml:space="preserve">  PROFILO XL</t>
  </si>
  <si>
    <t xml:space="preserve">H - 63= </t>
  </si>
  <si>
    <t>11_06_2013</t>
  </si>
  <si>
    <t>Sistemata etichetta PLISSE_XL con riga 29, aggiunta riga 30</t>
  </si>
  <si>
    <t>18_11_2013</t>
  </si>
  <si>
    <t>Inseriti fogli per la .27</t>
  </si>
  <si>
    <t>Language</t>
  </si>
  <si>
    <t>FOGLIO LAVORO GIOCONDA FRIZIONATA 0.27</t>
  </si>
  <si>
    <t>FOGLIO LAVORO GIOCONDA LATERALE 0.27 2 ANTE</t>
  </si>
  <si>
    <t>FOGLIO LAVORO GIOCONDA FRIZIONATA 0.27 MODULO</t>
  </si>
  <si>
    <t>FOGLIO LAVORO GIOCONDA LATERALE 0.27 MODULO</t>
  </si>
  <si>
    <t>GIOCONDA REVERSIBILE .22</t>
  </si>
  <si>
    <t>GIOCONDA FRI .27</t>
  </si>
  <si>
    <t>GIOCONDA FRI .27 MOD</t>
  </si>
  <si>
    <t>GIOCONDA LAT .27</t>
  </si>
  <si>
    <t>GIOCONDA LAT .27 2A</t>
  </si>
  <si>
    <t>GIOCONDA REVERSIBILE .27</t>
  </si>
  <si>
    <t>GIOCONDA LAT .27 MOD</t>
  </si>
  <si>
    <t xml:space="preserve">H - 57= </t>
  </si>
  <si>
    <t>WORKSHEET CLUTCH GIOCONDA .22</t>
  </si>
  <si>
    <t>ORDER DATA</t>
  </si>
  <si>
    <t>WIRES CONTROL - AFTER ASSEMBLING</t>
  </si>
  <si>
    <t>GIOCONDA CLUTCH WORKSHEET</t>
  </si>
  <si>
    <t xml:space="preserve">DIMENSIONI </t>
  </si>
  <si>
    <t>DIMENSIONS</t>
  </si>
  <si>
    <t>TAGLIO RETE</t>
  </si>
  <si>
    <t>SCREEN CUTTING</t>
  </si>
  <si>
    <t xml:space="preserve">WIRE LENGHT AND NUMBER  </t>
  </si>
  <si>
    <t>SCREEN SIZE AND HOLES</t>
  </si>
  <si>
    <t>TIE INDIVIDUALLY TO UPPER WIRERULERS</t>
  </si>
  <si>
    <t>BRUSH 6X9 LENGHT</t>
  </si>
  <si>
    <t>ALUMINIUM AND BRUSH</t>
  </si>
  <si>
    <t>GIOCONDA INSTRUCTIONS</t>
  </si>
  <si>
    <t>CUTTING SETTING PLATE 3MM EACH SIDE ON SLIDING BAR</t>
  </si>
  <si>
    <t>GUIDES</t>
  </si>
  <si>
    <t>LATERAL GIOCONDA 2 SHUTTERS WORKSHEET</t>
  </si>
  <si>
    <t>CUTTING SCREEN 3 MM BOTTOM SIDE</t>
  </si>
  <si>
    <t>INSERT WIRES WITHOUT CUTTING</t>
  </si>
  <si>
    <t xml:space="preserve">LUNG. PORTA MAGNETE   </t>
  </si>
  <si>
    <t>LENGHT MAGNET HOLDER</t>
  </si>
  <si>
    <t xml:space="preserve">DORSO / CHIUSURA     </t>
  </si>
  <si>
    <t>WALL PROFILE/CLOSING PROFILE</t>
  </si>
  <si>
    <t>MAGNET LENGHT</t>
  </si>
  <si>
    <t>ORDER</t>
  </si>
  <si>
    <t>HEIGHT</t>
  </si>
  <si>
    <t>NET TYPE</t>
  </si>
  <si>
    <t>NO. COPY</t>
  </si>
  <si>
    <t>WORKSHEET</t>
  </si>
  <si>
    <t>LABEL</t>
  </si>
  <si>
    <t>MACHINE</t>
  </si>
  <si>
    <t>ITEM</t>
  </si>
  <si>
    <t>WORKSHEET CLUTCH GIOCONDA</t>
  </si>
  <si>
    <t>WORKSHEET CHAIN GIOCONDA</t>
  </si>
  <si>
    <t>LATERAL GIOCONDA WORKSHEET</t>
  </si>
  <si>
    <t>REVERSIBLE GIOCONDA WORKSHEET</t>
  </si>
  <si>
    <t>LATERAL GIOCONDA WORKSHEET MOD</t>
  </si>
  <si>
    <t>PANEL A</t>
  </si>
  <si>
    <t>PANEL B</t>
  </si>
  <si>
    <t>PANEL C</t>
  </si>
  <si>
    <t>QUADRO H</t>
  </si>
  <si>
    <t>PANEL D</t>
  </si>
  <si>
    <t>PANEL E</t>
  </si>
  <si>
    <t>PANEL F</t>
  </si>
  <si>
    <t>PANEL G</t>
  </si>
  <si>
    <t>PANEL H</t>
  </si>
  <si>
    <t>Nr. Cord</t>
  </si>
  <si>
    <t>No. THREAD</t>
  </si>
  <si>
    <t>No. FADEN</t>
  </si>
  <si>
    <t>Comando</t>
  </si>
  <si>
    <t>Befehl</t>
  </si>
  <si>
    <t>COMMAND</t>
  </si>
  <si>
    <t>MONO</t>
  </si>
  <si>
    <t>DOPPIO</t>
  </si>
  <si>
    <t>DOPPELT</t>
  </si>
  <si>
    <t>DOUBLE</t>
  </si>
  <si>
    <t>THREAD AND CHAIN</t>
  </si>
  <si>
    <t>FÄDEN UND KETTE</t>
  </si>
  <si>
    <t>FÄDEN</t>
  </si>
  <si>
    <t>KETTE</t>
  </si>
  <si>
    <t>CHAIN</t>
  </si>
  <si>
    <t>FOGLIO LAVORO GIOCONDA LATERALE REVERSIBILE</t>
  </si>
  <si>
    <t>LATERAL REVERSIBLE GIOCONDA WORKSHEET</t>
  </si>
  <si>
    <t>Minimum length THREAD</t>
  </si>
  <si>
    <t>SLIDING BAR</t>
  </si>
  <si>
    <t>LUNGH. (ALTEZZA</t>
  </si>
  <si>
    <t>LENGHT (HEIGHT</t>
  </si>
  <si>
    <t>LUNGH. (BASE</t>
  </si>
  <si>
    <t>LENGH (WIDTH</t>
  </si>
  <si>
    <t>ATTENTION</t>
  </si>
  <si>
    <t>PACKING</t>
  </si>
  <si>
    <t xml:space="preserve">PACKAGE </t>
  </si>
  <si>
    <t>QUALITY</t>
  </si>
  <si>
    <t>CASE BAR</t>
  </si>
  <si>
    <t>BRUSH 6X13 LENGHT</t>
  </si>
  <si>
    <t>UPPER (BASE) =</t>
  </si>
  <si>
    <t>LOWER (BASE) =</t>
  </si>
  <si>
    <t>BRONZO</t>
  </si>
  <si>
    <t>FOGLIO LAVORO PLISSE' Ø A MISURA SENZA CORDINO DELL' "8"</t>
  </si>
  <si>
    <t>RANIERI</t>
  </si>
  <si>
    <t>1500</t>
  </si>
  <si>
    <t>2000</t>
  </si>
  <si>
    <t>H - 67 =</t>
  </si>
  <si>
    <t>DESCRIZIONE</t>
  </si>
  <si>
    <t>PLISSE MINI 1200-2550 BRO.</t>
  </si>
  <si>
    <t>COD RICERCA</t>
  </si>
  <si>
    <t>PLISSE-M12-25BR</t>
  </si>
  <si>
    <t>(- 2)</t>
  </si>
  <si>
    <t>N. ANTE</t>
  </si>
  <si>
    <t>S (SE PLISSE A SEGUIRE)</t>
  </si>
  <si>
    <t>5 CAR. DAL 7° DEL COD RICERCA</t>
  </si>
  <si>
    <t>-M12-</t>
  </si>
  <si>
    <t>DESCR AGGIUNTIVA</t>
  </si>
  <si>
    <t>PER PLISSE BASE  (FORMATO NUMERICO)</t>
  </si>
  <si>
    <t>PROFILO PORTASPAZZOLINO</t>
  </si>
  <si>
    <t>ALTEZZA  (FORMATO NUMERICO)</t>
  </si>
  <si>
    <t>PER MODELLO PLISSE</t>
  </si>
  <si>
    <t>TIPO ARTICOLO</t>
  </si>
  <si>
    <t>m</t>
  </si>
  <si>
    <t>PER MINI PLISSE BASE  (FORMATO NUMERICO)</t>
  </si>
  <si>
    <t>PER GIOCONDA - N. COMANDI</t>
  </si>
  <si>
    <t>PLISSE ???</t>
  </si>
  <si>
    <t>MINI PLISSE ???</t>
  </si>
  <si>
    <t>H -67 =</t>
  </si>
  <si>
    <t>MINI PLISSE 2A ???</t>
  </si>
  <si>
    <t>GIOCONDA ???</t>
  </si>
  <si>
    <t>GIOCONDA LAT ???</t>
  </si>
  <si>
    <t>GIOCONDA FR ???</t>
  </si>
  <si>
    <t xml:space="preserve"> CON OSCURANTE</t>
  </si>
  <si>
    <t>CON RETE GRIGIA</t>
  </si>
  <si>
    <t>01</t>
  </si>
  <si>
    <t xml:space="preserve">CINGOLI </t>
  </si>
  <si>
    <t>PLISSE2A</t>
  </si>
  <si>
    <t>02</t>
  </si>
  <si>
    <t>PLISSE2A-S</t>
  </si>
  <si>
    <t>03</t>
  </si>
  <si>
    <t>FILO 3 (e 4)</t>
  </si>
  <si>
    <t>PLISSE3A</t>
  </si>
  <si>
    <t>04</t>
  </si>
  <si>
    <t>PLISSE4A</t>
  </si>
  <si>
    <t>05</t>
  </si>
  <si>
    <t>FILO 5 (e 6)</t>
  </si>
  <si>
    <t>LAMINA</t>
  </si>
  <si>
    <t>PLISSE5A</t>
  </si>
  <si>
    <t>06</t>
  </si>
  <si>
    <t>PLISSE6A</t>
  </si>
  <si>
    <t>07</t>
  </si>
  <si>
    <t>FILO 7 (e 8)</t>
  </si>
  <si>
    <t>Lato profilo scorrevole</t>
  </si>
  <si>
    <t>L+43=</t>
  </si>
  <si>
    <t>Lato profilo a muro</t>
  </si>
  <si>
    <t>NCOLLI</t>
  </si>
  <si>
    <t>COD ARTICOLO</t>
  </si>
  <si>
    <t>COD COLORE</t>
  </si>
  <si>
    <t>COD MODULO</t>
  </si>
  <si>
    <t>TIPO+MIS RETE FINITA</t>
  </si>
  <si>
    <t>DESCR AGGIUNT</t>
  </si>
  <si>
    <t>37</t>
  </si>
  <si>
    <t>38</t>
  </si>
  <si>
    <t>39</t>
  </si>
  <si>
    <t>40</t>
  </si>
  <si>
    <t>41</t>
  </si>
  <si>
    <t>WORKCENTER: 27</t>
  </si>
  <si>
    <t xml:space="preserve">FILI 1 </t>
  </si>
  <si>
    <t>FILO 2</t>
  </si>
  <si>
    <t>FILO 3</t>
  </si>
  <si>
    <t>FILO 4</t>
  </si>
  <si>
    <t>FILO 5</t>
  </si>
  <si>
    <t>FILO 6</t>
  </si>
  <si>
    <t>FILO 7</t>
  </si>
  <si>
    <t>FILO 8</t>
  </si>
  <si>
    <t>SCANTONARE</t>
  </si>
  <si>
    <t>PZERO</t>
  </si>
  <si>
    <t>SCANTONARE FASCETTA PORTARETE   " 7 mm "</t>
  </si>
  <si>
    <t>note</t>
  </si>
  <si>
    <t>CINGOLI SCORR O LAMINA</t>
  </si>
  <si>
    <t>SC+DO+P_MG (H-67)</t>
  </si>
  <si>
    <t>CHIUS (H-57)</t>
  </si>
  <si>
    <t>MAGNETE (H-35)</t>
  </si>
  <si>
    <t>Mag(H-27)</t>
  </si>
  <si>
    <t>LUNGH. (ALTEZZA-3) =</t>
  </si>
  <si>
    <t>NomeFoglio</t>
  </si>
  <si>
    <t>Plisse Modulo</t>
  </si>
  <si>
    <t>PlisseMod</t>
  </si>
  <si>
    <t>Gioconda laterale new 2A</t>
  </si>
  <si>
    <t>GiocondaLatnew2a</t>
  </si>
  <si>
    <t>Gioconda reversibile</t>
  </si>
  <si>
    <t>GiocondaRevers</t>
  </si>
  <si>
    <t xml:space="preserve">Gioconda laterale new </t>
  </si>
  <si>
    <t>Gioconda laterale modulo</t>
  </si>
  <si>
    <t>GiocondaLatMod</t>
  </si>
  <si>
    <t>Gioconda .22 Frizionata</t>
  </si>
  <si>
    <t>GioFri22</t>
  </si>
  <si>
    <t>Plisse</t>
  </si>
  <si>
    <t>Mini Plisse 2A</t>
  </si>
  <si>
    <t>MiniPlisse2a</t>
  </si>
  <si>
    <t>Mini Plisse</t>
  </si>
  <si>
    <t>MiniPlisse</t>
  </si>
  <si>
    <t>Mini Plisse Night&amp;Day</t>
  </si>
  <si>
    <t>MiniPlisse N-D</t>
  </si>
  <si>
    <t>Gioconda .22 laterale</t>
  </si>
  <si>
    <t>GioLat22</t>
  </si>
  <si>
    <t>Gioconda .22 laterale 2A</t>
  </si>
  <si>
    <t>GioLat22-2an</t>
  </si>
  <si>
    <t>Gioconda .22 Reversibile</t>
  </si>
  <si>
    <t>GioLat22Revers</t>
  </si>
  <si>
    <t>GioLat22MOD</t>
  </si>
  <si>
    <t>Gioconda .22 laterale Modulo</t>
  </si>
  <si>
    <t>Gioconda .27 Frizionata</t>
  </si>
  <si>
    <t>GioFri27</t>
  </si>
  <si>
    <t>Flexa</t>
  </si>
  <si>
    <t>Plisse XL</t>
  </si>
  <si>
    <t>PlisseXL</t>
  </si>
  <si>
    <t>Gioconda .22 Frizionata MOD</t>
  </si>
  <si>
    <t>GioFri22MOD</t>
  </si>
  <si>
    <t>Gioconda .27 laterale</t>
  </si>
  <si>
    <t>GioLat27</t>
  </si>
  <si>
    <t>Gioconda .27 laterale 2A</t>
  </si>
  <si>
    <t>GioLat27-2an</t>
  </si>
  <si>
    <t>Gioconda .27 laterale Reversibile</t>
  </si>
  <si>
    <t>GioLat27Revers</t>
  </si>
  <si>
    <t>Gioconda .27 laterale Modulo</t>
  </si>
  <si>
    <t>GioLat27MOD</t>
  </si>
  <si>
    <t>Gioconda .27 Frizionata MOD</t>
  </si>
  <si>
    <t>GioFri27MOD</t>
  </si>
  <si>
    <t>Plisse Zero</t>
  </si>
  <si>
    <t>PlisseZero</t>
  </si>
  <si>
    <t>Plisse Zero Modulo</t>
  </si>
  <si>
    <t>PlisseZeroModulo</t>
  </si>
  <si>
    <t>Plisse 8L</t>
  </si>
  <si>
    <t>Plisse8L</t>
  </si>
  <si>
    <t>Gioconda catena</t>
  </si>
  <si>
    <t>GiocondaCat</t>
  </si>
  <si>
    <t>Plisse 8L misura</t>
  </si>
  <si>
    <t>Plisse8Lmis</t>
  </si>
  <si>
    <t>Gioconda frizionata</t>
  </si>
  <si>
    <t>GiocondaFri</t>
  </si>
  <si>
    <t>Plisse-no8</t>
  </si>
  <si>
    <t>Plisse no 8</t>
  </si>
  <si>
    <t>Gioconda Frizionata MOD</t>
  </si>
  <si>
    <t>GiocondaFriMOD</t>
  </si>
  <si>
    <t>PLISSE 0 MOD</t>
  </si>
  <si>
    <t>FOGLIO LAVORO PLISSE' Ø MODULO SENZA CORDINO DELL' "8"</t>
  </si>
  <si>
    <t>NOME FOGLIO</t>
  </si>
  <si>
    <t>PlisseMOD</t>
  </si>
  <si>
    <t>MiniPLisse</t>
  </si>
  <si>
    <t>GiocondaLatnew</t>
  </si>
  <si>
    <t>GiocondaLatnew2A</t>
  </si>
  <si>
    <t>GiocondaLatmod</t>
  </si>
  <si>
    <t>data</t>
  </si>
  <si>
    <t>CLIENTE:</t>
  </si>
  <si>
    <t>01 BIANCO 9010</t>
  </si>
  <si>
    <t>02 AVORIO 1013</t>
  </si>
  <si>
    <t>ORDINE:</t>
  </si>
  <si>
    <t>03 MARRONE 8017</t>
  </si>
  <si>
    <t>1 S</t>
  </si>
  <si>
    <t>04 VERDE 6005</t>
  </si>
  <si>
    <t>1 D</t>
  </si>
  <si>
    <t xml:space="preserve">FLEXA </t>
  </si>
  <si>
    <t>05 ROSSO 3003</t>
  </si>
  <si>
    <t>06 NERO  9005</t>
  </si>
  <si>
    <t>07 TESTA DI MORO</t>
  </si>
  <si>
    <t>08 BRONZO</t>
  </si>
  <si>
    <t>ANTE:</t>
  </si>
  <si>
    <t>Dim.(mm):</t>
  </si>
  <si>
    <t>09 ARGENTO</t>
  </si>
  <si>
    <t>10 VERDE MARMO</t>
  </si>
  <si>
    <t xml:space="preserve">TAGLIO PROFILI </t>
  </si>
  <si>
    <t>11 MARRONE MARMO</t>
  </si>
  <si>
    <t>Cassonetto</t>
  </si>
  <si>
    <t>mm</t>
  </si>
  <si>
    <t>H - 40</t>
  </si>
  <si>
    <t>12 GRIGIO MARMO</t>
  </si>
  <si>
    <t>13 ROSSO MARMO</t>
  </si>
  <si>
    <t>Barra Maniglia</t>
  </si>
  <si>
    <t>H - 110</t>
  </si>
  <si>
    <t>14 VERDE M. ANTICO</t>
  </si>
  <si>
    <t>Porta magnete</t>
  </si>
  <si>
    <t>15 MARRONE M. ANTICO</t>
  </si>
  <si>
    <t>H - 57</t>
  </si>
  <si>
    <t>16 GRIGIO M. ANTICO</t>
  </si>
  <si>
    <t>H - 25</t>
  </si>
  <si>
    <t>17 SUBLIMATO NOCE</t>
  </si>
  <si>
    <t>Compensatore superiore</t>
  </si>
  <si>
    <t>18 SUBLIMATO CILIEGIO</t>
  </si>
  <si>
    <t xml:space="preserve">TAGLIO RETE </t>
  </si>
  <si>
    <t>19 SUBLIMATO PINO</t>
  </si>
  <si>
    <t>Altezza rete</t>
  </si>
  <si>
    <t>20 SUBLIMATO DOUGLAS</t>
  </si>
  <si>
    <t xml:space="preserve"> FILI</t>
  </si>
  <si>
    <t>Filo "8"</t>
  </si>
  <si>
    <t>2 pz</t>
  </si>
  <si>
    <t>H + 300</t>
  </si>
  <si>
    <t>GIRI MOLLA</t>
  </si>
  <si>
    <t>Numero di giri</t>
  </si>
  <si>
    <t>n°</t>
  </si>
  <si>
    <t>LAMINE</t>
  </si>
  <si>
    <t>Lamina esterna</t>
  </si>
  <si>
    <t>1 pz</t>
  </si>
  <si>
    <t xml:space="preserve"> CINGOLI</t>
  </si>
  <si>
    <t>Totale cingoli</t>
  </si>
  <si>
    <t>CINGOLI ANTIVENTO</t>
  </si>
  <si>
    <t>sostituire ogni</t>
  </si>
  <si>
    <t>cingoli</t>
  </si>
  <si>
    <t>CONTROLLO E QUALITA' E IMBALLO</t>
  </si>
  <si>
    <t>Cliente:</t>
  </si>
  <si>
    <t>Dimensioni ( mm )</t>
  </si>
  <si>
    <t>Note:</t>
  </si>
  <si>
    <t>Operatore:</t>
  </si>
  <si>
    <t>CALCOLO GIRI MOLLA FLEXA</t>
  </si>
  <si>
    <t>CALCOLO CINGOLI ANTIVENTO FLEXA</t>
  </si>
  <si>
    <t>FLEXA</t>
  </si>
  <si>
    <t>Tubo 23</t>
  </si>
  <si>
    <t>H - 120</t>
  </si>
  <si>
    <t>Profilo compensazione</t>
  </si>
  <si>
    <t>H - 50</t>
  </si>
  <si>
    <t>H - 20</t>
  </si>
  <si>
    <t>JOLLY</t>
  </si>
  <si>
    <t>CALCOLO GIRI MOLLA JOLLY</t>
  </si>
  <si>
    <t>CALCOLO CINGOLI ANTIVENTO JOLLY</t>
  </si>
  <si>
    <t>2xH + 600</t>
  </si>
  <si>
    <t>Lamina</t>
  </si>
  <si>
    <t>NPI12F619 (HP Color LaserJet MFP M476nw) su Ne02:</t>
  </si>
  <si>
    <t>FLEXA12252347</t>
  </si>
  <si>
    <t>Jolly</t>
  </si>
  <si>
    <t>JOLLY12252347</t>
  </si>
  <si>
    <t>CALCOLO ALTEZZA RETE AVVOLGENTI</t>
  </si>
  <si>
    <t>ARTICOLO + COLORE</t>
  </si>
  <si>
    <t>3254</t>
  </si>
  <si>
    <t>NESTOLA SRL</t>
  </si>
  <si>
    <t>FARE CON INCASSO 45</t>
  </si>
  <si>
    <t>CompSup (B-5)</t>
  </si>
  <si>
    <t>GuidaTerra (B-12)</t>
  </si>
  <si>
    <t>Cingoli</t>
  </si>
  <si>
    <t>ROTOLO RETE</t>
  </si>
  <si>
    <t>TOTALE CINGOLI</t>
  </si>
  <si>
    <t>POSIZIONE CING ANTIV</t>
  </si>
  <si>
    <t>CINGOLI ANTIVENT E POSIZIONE</t>
  </si>
  <si>
    <t>C. Ant.  Pos. Gi.Mol</t>
  </si>
  <si>
    <t>lamina</t>
  </si>
  <si>
    <t>Filo 8 (2x)</t>
  </si>
  <si>
    <t>Man-PortM(H-110)</t>
  </si>
  <si>
    <t>PrChiu (H-57)</t>
  </si>
  <si>
    <t>Man-PortM(H-120)</t>
  </si>
  <si>
    <t>PrChiu (H-20)</t>
  </si>
  <si>
    <t>Magn (H-25)</t>
  </si>
  <si>
    <t>PrComp (H-50)</t>
  </si>
  <si>
    <t>FLEXA325414/05/2016NESTOLA SRL12252347</t>
  </si>
  <si>
    <t>FLEXA325414/05/2016NESTOLA SRL14002500</t>
  </si>
  <si>
    <t>FLEXA325414/05/2016NESTOLA SRL16002500</t>
  </si>
  <si>
    <t>JOLLY325414/05/2016NESTOLA SRL12252347</t>
  </si>
  <si>
    <t>JOLLY325414/05/2016NESTOLA SRL22002347</t>
  </si>
  <si>
    <t>Rev.3 del 16.5.2016</t>
  </si>
  <si>
    <t>Filo 8 (1x)</t>
  </si>
  <si>
    <t>JOLLY325414/05/2016NESTOLA SRL12502467</t>
  </si>
  <si>
    <t>JOLLY325414/05/2016NESTOLA SRL10002000</t>
  </si>
  <si>
    <t>pdfFactory Pro su FPP4:</t>
  </si>
  <si>
    <t>GIOCONDA LAT .27 2A325414/05/2016NESTOLA SRL20002000</t>
  </si>
  <si>
    <t>GIOCONDA LAT .27 MOD325414/05/2016NESTOLA SRL10002200</t>
  </si>
  <si>
    <t>GIOCONDA REVERSIBILE .27325414/05/2016NESTOLA SRL15002200</t>
  </si>
  <si>
    <t>DATA</t>
  </si>
  <si>
    <t>AUTORE</t>
  </si>
  <si>
    <t>Aggiunto foglio con noterilascio</t>
  </si>
  <si>
    <t>CSTALLO</t>
  </si>
  <si>
    <t>FOGLIO</t>
  </si>
  <si>
    <t>GENERICO</t>
  </si>
  <si>
    <t>GIOC LAT 27 2A</t>
  </si>
  <si>
    <t>Sistemata etichetta sostituendo lo 0 con " "</t>
  </si>
  <si>
    <t>GIOC LAT 27 MOD</t>
  </si>
  <si>
    <t>segnalato da KOSTA</t>
  </si>
  <si>
    <t>Sistemata etichetta impostando valore corretto su GUIDE</t>
  </si>
  <si>
    <t>Sistemata etichetta impostando valore corretto su DORSO/SCORREVOLE</t>
  </si>
  <si>
    <t>Sistemata etichetta impostando valore corretto cordini</t>
  </si>
  <si>
    <t>ETICHETTA GIOCONDA</t>
  </si>
  <si>
    <t>Possibilità di visualizzare fino a 8 lunchezze di cordini</t>
  </si>
  <si>
    <t>jolly</t>
  </si>
  <si>
    <t>distinta taglio lamina modificata da +0 a +80 come indicazione produzione</t>
  </si>
  <si>
    <t>GBRUNO</t>
  </si>
  <si>
    <t>COLORE:</t>
  </si>
  <si>
    <t>Rev.5 del 26.7.2016</t>
  </si>
  <si>
    <t>(L- Larghezza)</t>
  </si>
  <si>
    <t>(H - Altezza)</t>
  </si>
  <si>
    <t>L - 05</t>
  </si>
  <si>
    <t>L - 12</t>
  </si>
  <si>
    <t>L + 90</t>
  </si>
  <si>
    <t>L - 5</t>
  </si>
  <si>
    <t>L + 80</t>
  </si>
  <si>
    <t xml:space="preserve">                                                            </t>
  </si>
  <si>
    <t xml:space="preserve">            </t>
  </si>
  <si>
    <t xml:space="preserve">1 </t>
  </si>
  <si>
    <t>ROSARIO</t>
  </si>
  <si>
    <t>9010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</si>
</sst>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64" formatCode="_-&quot;€&quot;\ * #,##0.00_-;\-&quot;€&quot;\ * #,##0.00_-;_-&quot;€&quot;\ * &quot;-&quot;??_-;_-@_-"/>
    <numFmt numFmtId="165" formatCode="_-* #,##0.00_-;\-* #,##0.00_-;_-* &quot;-&quot;??_-;_-@_-"/>
    <numFmt numFmtId="166" formatCode="dd/mm/yy;@"/>
    <numFmt numFmtId="167" formatCode="0.0"/>
    <numFmt numFmtId="168" formatCode="#,##0.000"/>
    <numFmt numFmtId="169" formatCode="0\ \P\z"/>
    <numFmt numFmtId="170" formatCode="dd/mm/yy\ h:mm;@"/>
    <numFmt numFmtId="171" formatCode="&quot;mm&quot;\ 0"/>
    <numFmt numFmtId="172" formatCode="#,##0_ ;\-#,##0\ "/>
    <numFmt numFmtId="173" formatCode="\L\=\ 0"/>
    <numFmt numFmtId="174" formatCode="&quot;distanza standard tra fori rete&quot;\ 0"/>
    <numFmt numFmtId="175" formatCode="&quot;H1=&quot;\ 0"/>
    <numFmt numFmtId="176" formatCode="&quot;H1=&quot;0"/>
    <numFmt numFmtId="177" formatCode="yy/m/d"/>
    <numFmt numFmtId="178" formatCode="m/d"/>
    <numFmt numFmtId="179" formatCode="000000"/>
    <numFmt numFmtId="180" formatCode="0_);[Red]\(0\)"/>
    <numFmt numFmtId="181" formatCode="d\-mmm"/>
  </numFmts>
  <fonts count="189">
    <font>
      <sz val="11"/>
      <color theme="1"/>
      <name val="Calibri"/>
      <family val="2"/>
      <scheme val="minor"/>
    </font>
    <font>
      <sz val="10"/>
      <name val="Futura Lt BT"/>
      <family val="2"/>
    </font>
    <font>
      <sz val="10"/>
      <name val="Arial"/>
      <family val="2"/>
    </font>
    <font>
      <b/>
      <sz val="10"/>
      <name val="Arial"/>
      <family val="2"/>
    </font>
    <font>
      <sz val="36"/>
      <name val="C39HrP48DmTt"/>
    </font>
    <font>
      <sz val="5"/>
      <name val="Arial"/>
      <family val="2"/>
    </font>
    <font>
      <sz val="6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b/>
      <sz val="6"/>
      <name val="Arial"/>
      <family val="2"/>
    </font>
    <font>
      <b/>
      <sz val="8"/>
      <name val="Arial"/>
      <family val="2"/>
    </font>
    <font>
      <sz val="14"/>
      <name val="System"/>
      <family val="2"/>
    </font>
    <font>
      <sz val="14"/>
      <name val="System"/>
      <family val="2"/>
    </font>
    <font>
      <sz val="12"/>
      <name val="Trebuchet MS"/>
      <family val="2"/>
    </font>
    <font>
      <sz val="14"/>
      <name val="Trebuchet MS"/>
      <family val="2"/>
    </font>
    <font>
      <b/>
      <sz val="26"/>
      <name val="Trebuchet MS"/>
      <family val="2"/>
    </font>
    <font>
      <sz val="10"/>
      <name val="Arial"/>
      <family val="2"/>
    </font>
    <font>
      <sz val="20"/>
      <name val="Futura Lt BT"/>
      <family val="2"/>
    </font>
    <font>
      <b/>
      <sz val="14"/>
      <name val="Trebuchet MS"/>
      <family val="2"/>
    </font>
    <font>
      <b/>
      <sz val="24"/>
      <name val="Trebuchet MS"/>
      <family val="2"/>
    </font>
    <font>
      <b/>
      <sz val="12"/>
      <name val="Trebuchet MS"/>
      <family val="2"/>
    </font>
    <font>
      <b/>
      <sz val="20"/>
      <color indexed="55"/>
      <name val="Trebuchet MS"/>
      <family val="2"/>
    </font>
    <font>
      <b/>
      <sz val="20"/>
      <name val="Trebuchet MS"/>
      <family val="2"/>
    </font>
    <font>
      <b/>
      <sz val="12"/>
      <color indexed="10"/>
      <name val="Trebuchet MS"/>
      <family val="2"/>
    </font>
    <font>
      <b/>
      <sz val="16"/>
      <name val="Trebuchet MS"/>
      <family val="2"/>
    </font>
    <font>
      <sz val="14"/>
      <name val="Futura Lt BT"/>
      <family val="2"/>
    </font>
    <font>
      <sz val="20"/>
      <name val="Trebuchet MS"/>
      <family val="2"/>
    </font>
    <font>
      <sz val="18"/>
      <color indexed="55"/>
      <name val="Trebuchet MS"/>
      <family val="2"/>
    </font>
    <font>
      <sz val="100"/>
      <name val="C39HrP48DmTt"/>
    </font>
    <font>
      <b/>
      <sz val="18"/>
      <color indexed="55"/>
      <name val="Trebuchet MS"/>
      <family val="2"/>
    </font>
    <font>
      <sz val="16"/>
      <name val="Trebuchet MS"/>
      <family val="2"/>
    </font>
    <font>
      <b/>
      <sz val="16"/>
      <color indexed="10"/>
      <name val="Trebuchet MS"/>
      <family val="2"/>
    </font>
    <font>
      <b/>
      <sz val="14"/>
      <color indexed="55"/>
      <name val="Trebuchet MS"/>
      <family val="2"/>
    </font>
    <font>
      <sz val="14"/>
      <name val="Arial"/>
      <family val="2"/>
    </font>
    <font>
      <b/>
      <sz val="16"/>
      <color indexed="55"/>
      <name val="Trebuchet MS"/>
      <family val="2"/>
    </font>
    <font>
      <b/>
      <sz val="22"/>
      <name val="Trebuchet MS"/>
      <family val="2"/>
    </font>
    <font>
      <sz val="80"/>
      <name val="C39HrP48DmTt"/>
    </font>
    <font>
      <sz val="10"/>
      <name val="Trebuchet MS"/>
      <family val="2"/>
    </font>
    <font>
      <b/>
      <sz val="10"/>
      <name val="Trebuchet MS"/>
      <family val="2"/>
    </font>
    <font>
      <b/>
      <sz val="10"/>
      <color indexed="10"/>
      <name val="Trebuchet MS"/>
      <family val="2"/>
    </font>
    <font>
      <sz val="10"/>
      <color indexed="12"/>
      <name val="Trebuchet MS"/>
      <family val="2"/>
    </font>
    <font>
      <b/>
      <sz val="22"/>
      <color indexed="55"/>
      <name val="Trebuchet MS"/>
      <family val="2"/>
    </font>
    <font>
      <sz val="24"/>
      <name val="Trebuchet MS"/>
      <family val="2"/>
    </font>
    <font>
      <sz val="22"/>
      <name val="Trebuchet MS"/>
      <family val="2"/>
    </font>
    <font>
      <sz val="16"/>
      <color indexed="55"/>
      <name val="Trebuchet MS"/>
      <family val="2"/>
    </font>
    <font>
      <sz val="28"/>
      <name val="Trebuchet MS"/>
      <family val="2"/>
    </font>
    <font>
      <sz val="20"/>
      <color indexed="12"/>
      <name val="Trebuchet MS"/>
      <family val="2"/>
    </font>
    <font>
      <sz val="18"/>
      <name val="Arial"/>
      <family val="2"/>
    </font>
    <font>
      <b/>
      <sz val="18"/>
      <name val="Trebuchet MS"/>
      <family val="2"/>
    </font>
    <font>
      <sz val="22"/>
      <name val="Futura Lt BT"/>
      <family val="2"/>
    </font>
    <font>
      <b/>
      <u/>
      <sz val="22"/>
      <name val="Futura Lt BT"/>
      <family val="2"/>
    </font>
    <font>
      <b/>
      <sz val="14"/>
      <name val="Futura Lt BT"/>
      <family val="2"/>
    </font>
    <font>
      <b/>
      <sz val="25"/>
      <name val="Futura Lt BT"/>
      <family val="2"/>
    </font>
    <font>
      <sz val="25"/>
      <name val="Futura Lt BT"/>
      <family val="2"/>
    </font>
    <font>
      <b/>
      <i/>
      <u/>
      <sz val="25"/>
      <color indexed="10"/>
      <name val="Futura Lt BT"/>
      <family val="2"/>
    </font>
    <font>
      <b/>
      <sz val="25"/>
      <color indexed="10"/>
      <name val="Futura Lt BT"/>
      <family val="2"/>
    </font>
    <font>
      <b/>
      <i/>
      <sz val="25"/>
      <name val="Futura Lt BT"/>
      <family val="2"/>
    </font>
    <font>
      <b/>
      <sz val="22"/>
      <name val="Futura Lt BT"/>
      <family val="2"/>
    </font>
    <font>
      <b/>
      <sz val="18"/>
      <name val="Futura Lt BT"/>
      <family val="2"/>
    </font>
    <font>
      <b/>
      <sz val="20"/>
      <name val="Futura Lt BT"/>
      <family val="2"/>
    </font>
    <font>
      <b/>
      <sz val="24"/>
      <name val="Futura Lt BT"/>
      <family val="2"/>
    </font>
    <font>
      <b/>
      <sz val="22"/>
      <name val="Lucida Sans Unicode"/>
      <family val="2"/>
    </font>
    <font>
      <sz val="22"/>
      <name val="Lucida Sans Unicode"/>
      <family val="2"/>
    </font>
    <font>
      <sz val="14"/>
      <name val="Lucida Sans Unicode"/>
      <family val="2"/>
    </font>
    <font>
      <b/>
      <u/>
      <sz val="22"/>
      <color indexed="10"/>
      <name val="Futura Lt BT"/>
      <family val="2"/>
    </font>
    <font>
      <b/>
      <sz val="16"/>
      <name val="Futura Lt BT"/>
      <family val="2"/>
    </font>
    <font>
      <b/>
      <sz val="22"/>
      <color indexed="10"/>
      <name val="Times New Roman"/>
      <family val="1"/>
    </font>
    <font>
      <b/>
      <sz val="18"/>
      <color indexed="10"/>
      <name val="Futura Lt BT"/>
      <family val="2"/>
    </font>
    <font>
      <b/>
      <sz val="26"/>
      <name val="Futura Lt BT"/>
      <family val="2"/>
    </font>
    <font>
      <b/>
      <sz val="22"/>
      <color indexed="10"/>
      <name val="Futura Lt BT"/>
      <family val="2"/>
    </font>
    <font>
      <sz val="18"/>
      <name val="Futura Lt BT"/>
      <family val="2"/>
    </font>
    <font>
      <sz val="16"/>
      <name val="Futura Lt BT"/>
      <family val="2"/>
    </font>
    <font>
      <b/>
      <sz val="28"/>
      <name val="Futura Lt BT"/>
      <family val="2"/>
    </font>
    <font>
      <b/>
      <sz val="36"/>
      <name val="Futura Lt BT"/>
      <family val="2"/>
    </font>
    <font>
      <b/>
      <u/>
      <sz val="14"/>
      <name val="Futura Lt BT"/>
      <family val="2"/>
    </font>
    <font>
      <sz val="90"/>
      <name val="C39HrP48DmTt"/>
    </font>
    <font>
      <b/>
      <sz val="14"/>
      <name val="Times New Roman"/>
      <family val="1"/>
    </font>
    <font>
      <b/>
      <u/>
      <sz val="14"/>
      <name val="Times New Roman"/>
      <family val="1"/>
    </font>
    <font>
      <sz val="14"/>
      <name val="Times New Roman"/>
      <family val="1"/>
    </font>
    <font>
      <b/>
      <sz val="16"/>
      <name val="Times New Roman"/>
      <family val="1"/>
    </font>
    <font>
      <b/>
      <sz val="20"/>
      <name val="Times New Roman"/>
      <family val="1"/>
    </font>
    <font>
      <sz val="16"/>
      <name val="Times New Roman"/>
      <family val="1"/>
    </font>
    <font>
      <b/>
      <i/>
      <sz val="18"/>
      <color indexed="10"/>
      <name val="Times New Roman"/>
      <family val="1"/>
    </font>
    <font>
      <b/>
      <sz val="14"/>
      <color indexed="10"/>
      <name val="Times New Roman"/>
      <family val="1"/>
    </font>
    <font>
      <b/>
      <sz val="18"/>
      <name val="Times New Roman"/>
      <family val="1"/>
    </font>
    <font>
      <b/>
      <sz val="12"/>
      <name val="Times New Roman"/>
      <family val="1"/>
    </font>
    <font>
      <b/>
      <sz val="10"/>
      <name val="Times New Roman"/>
      <family val="1"/>
    </font>
    <font>
      <b/>
      <sz val="14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8"/>
      <name val="Arial"/>
      <family val="2"/>
    </font>
    <font>
      <sz val="14"/>
      <name val="System"/>
      <family val="2"/>
    </font>
    <font>
      <sz val="10"/>
      <name val="Arial"/>
      <family val="2"/>
    </font>
    <font>
      <sz val="9"/>
      <name val="ＭＳ 明朝"/>
      <family val="1"/>
      <charset val="128"/>
    </font>
    <font>
      <sz val="18"/>
      <name val="Trebuchet MS"/>
      <family val="2"/>
    </font>
    <font>
      <b/>
      <u/>
      <sz val="14"/>
      <name val="Trebuchet MS"/>
      <family val="2"/>
    </font>
    <font>
      <sz val="9"/>
      <name val="Trebuchet MS"/>
      <family val="2"/>
    </font>
    <font>
      <sz val="20"/>
      <name val="Arial"/>
      <family val="2"/>
    </font>
    <font>
      <b/>
      <sz val="2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19"/>
      <name val="Arial"/>
      <family val="2"/>
    </font>
    <font>
      <sz val="9"/>
      <name val="Arial"/>
      <family val="2"/>
    </font>
    <font>
      <b/>
      <sz val="16"/>
      <name val="Futura Lt BT"/>
    </font>
    <font>
      <b/>
      <sz val="18"/>
      <name val="Arial Black"/>
      <family val="2"/>
    </font>
    <font>
      <b/>
      <sz val="16"/>
      <name val="Arial Black"/>
      <family val="2"/>
    </font>
    <font>
      <b/>
      <u/>
      <sz val="26"/>
      <color indexed="10"/>
      <name val="Times New Roman"/>
      <family val="1"/>
    </font>
    <font>
      <b/>
      <sz val="26"/>
      <color indexed="10"/>
      <name val="Times New Roman"/>
      <family val="1"/>
    </font>
    <font>
      <b/>
      <sz val="26"/>
      <name val="Times New Roman"/>
      <family val="1"/>
    </font>
    <font>
      <b/>
      <sz val="22"/>
      <name val="Times New Roman"/>
      <family val="1"/>
    </font>
    <font>
      <b/>
      <sz val="26"/>
      <color indexed="10"/>
      <name val="System"/>
      <family val="2"/>
    </font>
    <font>
      <b/>
      <i/>
      <sz val="20"/>
      <name val="Times New Roman"/>
      <family val="1"/>
    </font>
    <font>
      <b/>
      <sz val="24"/>
      <name val="Times New Roman"/>
      <family val="1"/>
    </font>
    <font>
      <sz val="18"/>
      <name val="Times New Roman"/>
      <family val="1"/>
    </font>
    <font>
      <sz val="20"/>
      <name val="Times New Roman"/>
      <family val="1"/>
    </font>
    <font>
      <b/>
      <sz val="20"/>
      <color indexed="9"/>
      <name val="Futura Lt BT"/>
      <family val="2"/>
    </font>
    <font>
      <sz val="22"/>
      <name val="Times New Roman"/>
      <family val="1"/>
    </font>
    <font>
      <sz val="14"/>
      <name val="ＭＳ Ｐゴシック"/>
      <family val="3"/>
      <charset val="128"/>
    </font>
    <font>
      <b/>
      <sz val="20"/>
      <name val="Arial"/>
      <family val="2"/>
    </font>
    <font>
      <b/>
      <i/>
      <u/>
      <sz val="25"/>
      <name val="Futura Lt BT"/>
      <family val="2"/>
    </font>
    <font>
      <sz val="58"/>
      <name val="C39HrP48DmTt"/>
    </font>
    <font>
      <b/>
      <sz val="18"/>
      <name val="Futura Lt BT"/>
    </font>
    <font>
      <sz val="75"/>
      <name val="C39HrP48DmTt"/>
    </font>
    <font>
      <sz val="65"/>
      <name val="C39HrP48DmTt"/>
    </font>
    <font>
      <sz val="72"/>
      <name val="C39HrP48DmTt"/>
    </font>
    <font>
      <sz val="70"/>
      <name val="C39HrP48DmTt"/>
    </font>
    <font>
      <sz val="1"/>
      <name val="Futura Lt BT"/>
      <family val="2"/>
    </font>
    <font>
      <sz val="24"/>
      <name val="Arial"/>
      <family val="2"/>
    </font>
    <font>
      <sz val="11"/>
      <name val="Futura Lt BT"/>
      <family val="2"/>
    </font>
    <font>
      <b/>
      <sz val="20"/>
      <name val="Futura Lt BT"/>
    </font>
    <font>
      <b/>
      <sz val="14"/>
      <name val="Futura Lt BT"/>
    </font>
    <font>
      <sz val="10"/>
      <name val="Arial"/>
      <family val="2"/>
    </font>
    <font>
      <sz val="5"/>
      <name val="Arial"/>
      <family val="2"/>
    </font>
    <font>
      <sz val="8"/>
      <name val="Arial"/>
      <family val="2"/>
    </font>
    <font>
      <sz val="7"/>
      <name val="Arial"/>
      <family val="2"/>
    </font>
    <font>
      <sz val="10"/>
      <name val="Arial"/>
      <family val="2"/>
    </font>
    <font>
      <b/>
      <sz val="28"/>
      <name val="Arial Black"/>
      <family val="2"/>
    </font>
    <font>
      <sz val="32"/>
      <name val="C39HrP48DmTt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6" tint="0.59999389629810485"/>
      <name val="Futura Lt BT"/>
      <family val="2"/>
    </font>
    <font>
      <b/>
      <sz val="20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"/>
      <color theme="0"/>
      <name val="Calibri"/>
      <family val="2"/>
      <scheme val="minor"/>
    </font>
    <font>
      <sz val="10"/>
      <color theme="0"/>
      <name val="Futura Lt BT"/>
      <family val="2"/>
    </font>
    <font>
      <b/>
      <sz val="239"/>
      <color rgb="FF6399ED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0"/>
      <name val="Futura Lt BT"/>
    </font>
    <font>
      <b/>
      <sz val="1"/>
      <color theme="0"/>
      <name val="Futura Lt BT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Trebuchet MS"/>
      <family val="2"/>
    </font>
    <font>
      <sz val="12"/>
      <color theme="0"/>
      <name val="Trebuchet MS"/>
      <family val="2"/>
    </font>
    <font>
      <sz val="10"/>
      <color theme="0"/>
      <name val="Trebuchet MS"/>
      <family val="2"/>
    </font>
    <font>
      <sz val="10"/>
      <color theme="0"/>
      <name val="Arial"/>
      <family val="2"/>
    </font>
    <font>
      <b/>
      <sz val="20"/>
      <color theme="0"/>
      <name val="Trebuchet MS"/>
      <family val="2"/>
    </font>
    <font>
      <b/>
      <sz val="24"/>
      <color theme="0"/>
      <name val="Trebuchet MS"/>
      <family val="2"/>
    </font>
    <font>
      <sz val="14"/>
      <color theme="0"/>
      <name val="System"/>
      <family val="2"/>
    </font>
    <font>
      <b/>
      <sz val="10"/>
      <color rgb="FFFF0000"/>
      <name val="Calibri"/>
      <family val="2"/>
      <scheme val="minor"/>
    </font>
    <font>
      <sz val="16"/>
      <color theme="0"/>
      <name val="Calibri"/>
      <family val="2"/>
      <scheme val="minor"/>
    </font>
    <font>
      <sz val="8"/>
      <color rgb="FF000000"/>
      <name val="Tahoma"/>
      <family val="2"/>
    </font>
    <font>
      <i/>
      <sz val="20"/>
      <name val="Futura Lt BT"/>
      <family val="2"/>
    </font>
    <font>
      <b/>
      <sz val="22"/>
      <name val="Futura Lt BT"/>
    </font>
    <font>
      <sz val="11"/>
      <name val="Calibri"/>
      <family val="2"/>
      <scheme val="minor"/>
    </font>
    <font>
      <sz val="11"/>
      <name val="Arial"/>
      <family val="2"/>
    </font>
    <font>
      <b/>
      <sz val="2"/>
      <color indexed="9"/>
      <name val="Arial"/>
      <family val="2"/>
    </font>
    <font>
      <b/>
      <sz val="28"/>
      <color theme="0"/>
      <name val="Arial"/>
      <family val="2"/>
    </font>
    <font>
      <b/>
      <sz val="12"/>
      <color indexed="46"/>
      <name val="Arial"/>
      <family val="2"/>
    </font>
    <font>
      <b/>
      <sz val="12"/>
      <color theme="0"/>
      <name val="Arial"/>
      <family val="2"/>
    </font>
    <font>
      <b/>
      <sz val="25"/>
      <name val="Arial"/>
      <family val="2"/>
    </font>
    <font>
      <b/>
      <sz val="9"/>
      <color indexed="48"/>
      <name val="Arial"/>
      <family val="2"/>
    </font>
    <font>
      <b/>
      <sz val="10"/>
      <color indexed="48"/>
      <name val="Arial"/>
      <family val="2"/>
    </font>
    <font>
      <sz val="10"/>
      <color indexed="48"/>
      <name val="Arial"/>
      <family val="2"/>
    </font>
    <font>
      <b/>
      <sz val="12"/>
      <name val="Arial"/>
      <family val="2"/>
    </font>
    <font>
      <b/>
      <sz val="18"/>
      <color indexed="48"/>
      <name val="Arial"/>
      <family val="2"/>
    </font>
    <font>
      <b/>
      <i/>
      <sz val="10"/>
      <name val="Arial"/>
      <family val="2"/>
    </font>
    <font>
      <b/>
      <sz val="12"/>
      <color indexed="9"/>
      <name val="Arial"/>
      <family val="2"/>
    </font>
    <font>
      <sz val="34"/>
      <name val="C39HrP48DmTt"/>
    </font>
    <font>
      <sz val="10"/>
      <name val="C39HrP48DmTt"/>
    </font>
    <font>
      <sz val="10"/>
      <color theme="0" tint="-0.34998626667073579"/>
      <name val="Arial"/>
      <family val="2"/>
    </font>
    <font>
      <b/>
      <sz val="12"/>
      <color theme="1"/>
      <name val="Arial"/>
      <family val="2"/>
    </font>
    <font>
      <i/>
      <sz val="10"/>
      <name val="Arial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lightTrellis">
        <fgColor indexed="47"/>
        <bgColor indexed="9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Trellis">
        <fgColor theme="0" tint="-0.14996795556505021"/>
        <bgColor theme="0" tint="-0.14996795556505021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10"/>
      </right>
      <top style="hair">
        <color indexed="10"/>
      </top>
      <bottom style="hair">
        <color indexed="10"/>
      </bottom>
      <diagonal/>
    </border>
    <border>
      <left/>
      <right/>
      <top style="hair">
        <color indexed="10"/>
      </top>
      <bottom style="hair">
        <color indexed="1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10"/>
      </left>
      <right style="hair">
        <color indexed="10"/>
      </right>
      <top style="hair">
        <color indexed="10"/>
      </top>
      <bottom style="hair">
        <color indexed="10"/>
      </bottom>
      <diagonal/>
    </border>
    <border>
      <left style="hair">
        <color indexed="10"/>
      </left>
      <right/>
      <top style="hair">
        <color indexed="10"/>
      </top>
      <bottom style="hair">
        <color indexed="10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10"/>
      </bottom>
      <diagonal/>
    </border>
    <border>
      <left/>
      <right/>
      <top style="thin">
        <color indexed="64"/>
      </top>
      <bottom style="hair">
        <color indexed="10"/>
      </bottom>
      <diagonal/>
    </border>
    <border>
      <left/>
      <right style="hair">
        <color indexed="10"/>
      </right>
      <top style="thin">
        <color indexed="64"/>
      </top>
      <bottom style="hair">
        <color indexed="10"/>
      </bottom>
      <diagonal/>
    </border>
    <border>
      <left style="hair">
        <color indexed="10"/>
      </left>
      <right style="hair">
        <color indexed="10"/>
      </right>
      <top style="thin">
        <color indexed="64"/>
      </top>
      <bottom style="hair">
        <color indexed="10"/>
      </bottom>
      <diagonal/>
    </border>
    <border>
      <left style="hair">
        <color indexed="10"/>
      </left>
      <right style="thin">
        <color indexed="64"/>
      </right>
      <top style="thin">
        <color indexed="64"/>
      </top>
      <bottom style="hair">
        <color indexed="10"/>
      </bottom>
      <diagonal/>
    </border>
    <border>
      <left style="thin">
        <color indexed="64"/>
      </left>
      <right/>
      <top style="hair">
        <color indexed="10"/>
      </top>
      <bottom style="hair">
        <color indexed="10"/>
      </bottom>
      <diagonal/>
    </border>
    <border>
      <left style="hair">
        <color indexed="10"/>
      </left>
      <right style="thin">
        <color indexed="64"/>
      </right>
      <top style="hair">
        <color indexed="10"/>
      </top>
      <bottom style="hair">
        <color indexed="10"/>
      </bottom>
      <diagonal/>
    </border>
    <border>
      <left style="thin">
        <color indexed="64"/>
      </left>
      <right/>
      <top style="hair">
        <color indexed="10"/>
      </top>
      <bottom style="thin">
        <color indexed="64"/>
      </bottom>
      <diagonal/>
    </border>
    <border>
      <left/>
      <right/>
      <top style="hair">
        <color indexed="10"/>
      </top>
      <bottom style="thin">
        <color indexed="64"/>
      </bottom>
      <diagonal/>
    </border>
    <border>
      <left/>
      <right style="hair">
        <color indexed="10"/>
      </right>
      <top style="hair">
        <color indexed="10"/>
      </top>
      <bottom style="thin">
        <color indexed="64"/>
      </bottom>
      <diagonal/>
    </border>
    <border>
      <left style="hair">
        <color indexed="10"/>
      </left>
      <right style="thin">
        <color indexed="64"/>
      </right>
      <top style="hair">
        <color indexed="1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10"/>
      </left>
      <right style="hair">
        <color indexed="10"/>
      </right>
      <top style="hair">
        <color indexed="10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55"/>
      </bottom>
      <diagonal/>
    </border>
    <border>
      <left/>
      <right/>
      <top style="thin">
        <color indexed="64"/>
      </top>
      <bottom style="thin">
        <color indexed="55"/>
      </bottom>
      <diagonal/>
    </border>
    <border>
      <left style="medium">
        <color indexed="64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/>
      <top style="thin">
        <color theme="0" tint="-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499984740745262"/>
      </right>
      <top style="thin">
        <color theme="0" tint="-0.34998626667073579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34998626667073579"/>
      </top>
      <bottom style="thin">
        <color theme="0" tint="-0.499984740745262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indexed="22"/>
      </right>
      <top/>
      <bottom/>
      <diagonal/>
    </border>
    <border>
      <left style="thin">
        <color indexed="22"/>
      </left>
      <right style="thin">
        <color theme="0" tint="-0.34998626667073579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34998626667073579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34998626667073579"/>
      </top>
      <bottom style="thin">
        <color theme="0" tint="-0.499984740745262"/>
      </bottom>
      <diagonal/>
    </border>
    <border>
      <left style="thin">
        <color indexed="22"/>
      </left>
      <right style="thin">
        <color theme="0" tint="-0.34998626667073579"/>
      </right>
      <top style="thin">
        <color indexed="22"/>
      </top>
      <bottom/>
      <diagonal/>
    </border>
    <border>
      <left style="thin">
        <color indexed="22"/>
      </left>
      <right style="thin">
        <color theme="0" tint="-0.34998626667073579"/>
      </right>
      <top/>
      <bottom style="thin">
        <color indexed="22"/>
      </bottom>
      <diagonal/>
    </border>
    <border>
      <left style="thin">
        <color theme="0" tint="-0.34998626667073579"/>
      </left>
      <right/>
      <top/>
      <bottom style="thin">
        <color indexed="64"/>
      </bottom>
      <diagonal/>
    </border>
    <border>
      <left/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34998626667073579"/>
      </right>
      <top style="thin">
        <color indexed="64"/>
      </top>
      <bottom style="thin">
        <color indexed="64"/>
      </bottom>
      <diagonal/>
    </border>
  </borders>
  <cellStyleXfs count="26">
    <xf numFmtId="0" fontId="0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1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135" fillId="0" borderId="0" applyFont="0" applyFill="0" applyBorder="0" applyAlignment="0" applyProtection="0"/>
    <xf numFmtId="40" fontId="93" fillId="0" borderId="0" applyFont="0" applyFill="0" applyBorder="0" applyAlignment="0" applyProtection="0"/>
    <xf numFmtId="3" fontId="13" fillId="0" borderId="0" applyFont="0" applyFill="0" applyBorder="0" applyAlignment="0" applyProtection="0"/>
    <xf numFmtId="3" fontId="13" fillId="0" borderId="0" applyFont="0" applyFill="0" applyBorder="0" applyAlignment="0" applyProtection="0"/>
    <xf numFmtId="3" fontId="12" fillId="0" borderId="0" applyFont="0" applyFill="0" applyBorder="0" applyAlignment="0" applyProtection="0"/>
    <xf numFmtId="0" fontId="2" fillId="0" borderId="0"/>
    <xf numFmtId="0" fontId="17" fillId="0" borderId="0"/>
    <xf numFmtId="0" fontId="2" fillId="0" borderId="0"/>
    <xf numFmtId="0" fontId="92" fillId="0" borderId="0"/>
    <xf numFmtId="0" fontId="2" fillId="0" borderId="0"/>
    <xf numFmtId="0" fontId="131" fillId="0" borderId="0"/>
    <xf numFmtId="0" fontId="135" fillId="0" borderId="0"/>
    <xf numFmtId="0" fontId="93" fillId="0" borderId="0"/>
    <xf numFmtId="0" fontId="13" fillId="0" borderId="0"/>
    <xf numFmtId="0" fontId="12" fillId="0" borderId="0"/>
    <xf numFmtId="0" fontId="91" fillId="0" borderId="0"/>
    <xf numFmtId="0" fontId="13" fillId="0" borderId="0"/>
    <xf numFmtId="0" fontId="12" fillId="0" borderId="0"/>
    <xf numFmtId="0" fontId="91" fillId="0" borderId="0"/>
    <xf numFmtId="0" fontId="12" fillId="0" borderId="0"/>
    <xf numFmtId="0" fontId="91" fillId="0" borderId="0"/>
  </cellStyleXfs>
  <cellXfs count="2496">
    <xf numFmtId="0" fontId="0" fillId="0" borderId="0" xfId="0"/>
    <xf numFmtId="49" fontId="1" fillId="12" borderId="1" xfId="0" applyNumberFormat="1" applyFont="1" applyFill="1" applyBorder="1" applyAlignment="1" applyProtection="1">
      <alignment horizontal="center" vertical="center"/>
      <protection locked="0"/>
    </xf>
    <xf numFmtId="0" fontId="1" fillId="12" borderId="1" xfId="0" applyNumberFormat="1" applyFont="1" applyFill="1" applyBorder="1" applyAlignment="1" applyProtection="1">
      <alignment horizontal="center" vertic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2" borderId="2" xfId="0" applyFont="1" applyFill="1" applyBorder="1" applyAlignment="1" applyProtection="1">
      <alignment horizontal="center" vertical="center"/>
      <protection locked="0"/>
    </xf>
    <xf numFmtId="0" fontId="1" fillId="0" borderId="3" xfId="0" applyFont="1" applyFill="1" applyBorder="1" applyAlignment="1">
      <alignment vertical="center"/>
    </xf>
    <xf numFmtId="0" fontId="14" fillId="0" borderId="0" xfId="18" applyFont="1" applyAlignment="1" applyProtection="1">
      <alignment vertical="center"/>
    </xf>
    <xf numFmtId="0" fontId="15" fillId="0" borderId="0" xfId="18" applyFont="1" applyAlignment="1" applyProtection="1">
      <alignment vertical="center"/>
    </xf>
    <xf numFmtId="0" fontId="15" fillId="0" borderId="4" xfId="18" applyFont="1" applyFill="1" applyBorder="1" applyAlignment="1" applyProtection="1">
      <alignment vertical="center"/>
    </xf>
    <xf numFmtId="0" fontId="21" fillId="0" borderId="0" xfId="18" applyFont="1" applyFill="1" applyBorder="1" applyAlignment="1" applyProtection="1">
      <alignment vertical="center"/>
    </xf>
    <xf numFmtId="0" fontId="14" fillId="0" borderId="0" xfId="18" applyFont="1" applyFill="1" applyBorder="1" applyAlignment="1" applyProtection="1">
      <alignment vertical="center"/>
    </xf>
    <xf numFmtId="0" fontId="15" fillId="0" borderId="0" xfId="18" applyFont="1" applyFill="1" applyBorder="1" applyAlignment="1" applyProtection="1">
      <alignment vertical="center"/>
    </xf>
    <xf numFmtId="0" fontId="14" fillId="0" borderId="5" xfId="18" applyFont="1" applyFill="1" applyBorder="1" applyAlignment="1" applyProtection="1">
      <alignment vertical="center"/>
    </xf>
    <xf numFmtId="0" fontId="15" fillId="0" borderId="4" xfId="18" applyFont="1" applyBorder="1" applyAlignment="1" applyProtection="1">
      <alignment vertical="center"/>
    </xf>
    <xf numFmtId="0" fontId="22" fillId="0" borderId="6" xfId="18" applyFont="1" applyBorder="1" applyAlignment="1" applyProtection="1">
      <alignment horizontal="center" vertical="center"/>
    </xf>
    <xf numFmtId="1" fontId="20" fillId="0" borderId="7" xfId="18" applyNumberFormat="1" applyFont="1" applyBorder="1" applyAlignment="1" applyProtection="1">
      <alignment horizontal="center" vertical="center"/>
      <protection locked="0"/>
    </xf>
    <xf numFmtId="1" fontId="20" fillId="0" borderId="0" xfId="18" applyNumberFormat="1" applyFont="1" applyBorder="1" applyAlignment="1" applyProtection="1">
      <alignment horizontal="center" vertical="center"/>
    </xf>
    <xf numFmtId="0" fontId="14" fillId="0" borderId="0" xfId="18" applyFont="1" applyBorder="1" applyAlignment="1" applyProtection="1">
      <alignment vertical="center"/>
    </xf>
    <xf numFmtId="0" fontId="15" fillId="0" borderId="8" xfId="18" applyFont="1" applyBorder="1" applyAlignment="1" applyProtection="1">
      <alignment vertical="center"/>
    </xf>
    <xf numFmtId="0" fontId="15" fillId="0" borderId="9" xfId="18" applyFont="1" applyBorder="1" applyAlignment="1" applyProtection="1">
      <alignment vertical="center"/>
    </xf>
    <xf numFmtId="0" fontId="22" fillId="0" borderId="7" xfId="18" applyFont="1" applyBorder="1" applyAlignment="1" applyProtection="1">
      <alignment horizontal="center" vertical="center"/>
    </xf>
    <xf numFmtId="0" fontId="14" fillId="0" borderId="5" xfId="18" applyFont="1" applyBorder="1" applyAlignment="1" applyProtection="1">
      <alignment vertical="center"/>
    </xf>
    <xf numFmtId="1" fontId="23" fillId="0" borderId="0" xfId="18" applyNumberFormat="1" applyFont="1" applyBorder="1" applyAlignment="1" applyProtection="1">
      <alignment horizontal="center" vertical="center"/>
    </xf>
    <xf numFmtId="1" fontId="20" fillId="0" borderId="6" xfId="18" applyNumberFormat="1" applyFont="1" applyBorder="1" applyAlignment="1" applyProtection="1">
      <alignment horizontal="center" vertical="center"/>
      <protection locked="0"/>
    </xf>
    <xf numFmtId="0" fontId="19" fillId="0" borderId="10" xfId="18" applyFont="1" applyBorder="1" applyAlignment="1" applyProtection="1">
      <alignment horizontal="center" vertical="center"/>
    </xf>
    <xf numFmtId="0" fontId="14" fillId="0" borderId="7" xfId="18" applyFont="1" applyBorder="1" applyAlignment="1" applyProtection="1">
      <alignment vertical="center"/>
    </xf>
    <xf numFmtId="0" fontId="14" fillId="0" borderId="11" xfId="18" applyFont="1" applyBorder="1" applyAlignment="1" applyProtection="1">
      <alignment vertical="center"/>
    </xf>
    <xf numFmtId="0" fontId="14" fillId="0" borderId="0" xfId="18" applyFont="1" applyBorder="1" applyAlignment="1" applyProtection="1">
      <alignment horizontal="center" vertical="center"/>
    </xf>
    <xf numFmtId="0" fontId="14" fillId="0" borderId="0" xfId="18" quotePrefix="1" applyFont="1" applyBorder="1" applyAlignment="1" applyProtection="1">
      <alignment vertical="center"/>
    </xf>
    <xf numFmtId="0" fontId="14" fillId="0" borderId="10" xfId="18" applyFont="1" applyBorder="1" applyAlignment="1" applyProtection="1">
      <alignment vertical="center"/>
    </xf>
    <xf numFmtId="14" fontId="20" fillId="0" borderId="0" xfId="18" quotePrefix="1" applyNumberFormat="1" applyFont="1" applyBorder="1" applyAlignment="1" applyProtection="1">
      <alignment horizontal="center" vertical="center"/>
    </xf>
    <xf numFmtId="4" fontId="14" fillId="0" borderId="0" xfId="7" applyNumberFormat="1" applyFont="1" applyBorder="1" applyAlignment="1" applyProtection="1">
      <alignment horizontal="center" vertical="center" wrapText="1"/>
    </xf>
    <xf numFmtId="0" fontId="22" fillId="0" borderId="6" xfId="18" applyFont="1" applyFill="1" applyBorder="1" applyAlignment="1" applyProtection="1">
      <alignment horizontal="center" vertical="center"/>
    </xf>
    <xf numFmtId="49" fontId="20" fillId="0" borderId="7" xfId="18" applyNumberFormat="1" applyFont="1" applyFill="1" applyBorder="1" applyAlignment="1" applyProtection="1">
      <alignment horizontal="center" vertical="center"/>
      <protection locked="0"/>
    </xf>
    <xf numFmtId="167" fontId="20" fillId="0" borderId="7" xfId="18" applyNumberFormat="1" applyFont="1" applyBorder="1" applyAlignment="1" applyProtection="1">
      <alignment horizontal="center" vertical="center"/>
    </xf>
    <xf numFmtId="0" fontId="24" fillId="0" borderId="0" xfId="18" applyFont="1" applyBorder="1" applyAlignment="1" applyProtection="1">
      <alignment horizontal="center" vertical="center"/>
    </xf>
    <xf numFmtId="0" fontId="13" fillId="0" borderId="0" xfId="18" applyBorder="1" applyAlignment="1" applyProtection="1">
      <alignment horizontal="center" vertical="center"/>
    </xf>
    <xf numFmtId="0" fontId="13" fillId="0" borderId="0" xfId="18" applyBorder="1" applyAlignment="1" applyProtection="1">
      <alignment vertical="center"/>
    </xf>
    <xf numFmtId="0" fontId="21" fillId="0" borderId="0" xfId="18" applyFont="1" applyBorder="1" applyAlignment="1" applyProtection="1">
      <alignment horizontal="center" vertical="center"/>
    </xf>
    <xf numFmtId="2" fontId="21" fillId="0" borderId="0" xfId="18" applyNumberFormat="1" applyFont="1" applyFill="1" applyBorder="1" applyAlignment="1" applyProtection="1">
      <alignment horizontal="center" vertical="center"/>
      <protection hidden="1"/>
    </xf>
    <xf numFmtId="0" fontId="24" fillId="0" borderId="0" xfId="18" applyFont="1" applyFill="1" applyBorder="1" applyAlignment="1" applyProtection="1">
      <alignment horizontal="center" vertical="center"/>
    </xf>
    <xf numFmtId="0" fontId="20" fillId="0" borderId="7" xfId="18" applyFont="1" applyFill="1" applyBorder="1" applyAlignment="1" applyProtection="1">
      <alignment horizontal="center" vertical="center"/>
    </xf>
    <xf numFmtId="0" fontId="13" fillId="0" borderId="0" xfId="18" applyAlignment="1" applyProtection="1">
      <alignment vertical="center"/>
    </xf>
    <xf numFmtId="0" fontId="15" fillId="0" borderId="12" xfId="18" applyFont="1" applyFill="1" applyBorder="1" applyAlignment="1" applyProtection="1">
      <alignment vertical="center"/>
    </xf>
    <xf numFmtId="0" fontId="14" fillId="0" borderId="13" xfId="18" applyFont="1" applyBorder="1" applyAlignment="1" applyProtection="1">
      <alignment vertical="center"/>
    </xf>
    <xf numFmtId="0" fontId="24" fillId="0" borderId="13" xfId="18" applyFont="1" applyFill="1" applyBorder="1" applyAlignment="1" applyProtection="1">
      <alignment horizontal="center" vertical="center"/>
    </xf>
    <xf numFmtId="0" fontId="15" fillId="0" borderId="13" xfId="18" applyFont="1" applyFill="1" applyBorder="1" applyAlignment="1" applyProtection="1">
      <alignment vertical="center"/>
    </xf>
    <xf numFmtId="0" fontId="21" fillId="0" borderId="13" xfId="18" applyFont="1" applyFill="1" applyBorder="1" applyAlignment="1" applyProtection="1">
      <alignment vertical="center"/>
    </xf>
    <xf numFmtId="0" fontId="28" fillId="0" borderId="13" xfId="18" applyFont="1" applyFill="1" applyBorder="1" applyAlignment="1" applyProtection="1">
      <alignment horizontal="right" vertical="center"/>
    </xf>
    <xf numFmtId="0" fontId="14" fillId="0" borderId="13" xfId="18" applyFont="1" applyFill="1" applyBorder="1" applyAlignment="1" applyProtection="1">
      <alignment vertical="center"/>
    </xf>
    <xf numFmtId="0" fontId="14" fillId="0" borderId="14" xfId="18" applyFont="1" applyFill="1" applyBorder="1" applyAlignment="1" applyProtection="1">
      <alignment vertical="center"/>
    </xf>
    <xf numFmtId="0" fontId="15" fillId="0" borderId="4" xfId="18" applyFont="1" applyBorder="1" applyAlignment="1" applyProtection="1">
      <alignment horizontal="center" vertical="center"/>
    </xf>
    <xf numFmtId="0" fontId="21" fillId="0" borderId="0" xfId="18" applyFont="1" applyBorder="1" applyAlignment="1" applyProtection="1">
      <alignment vertical="center"/>
    </xf>
    <xf numFmtId="0" fontId="21" fillId="0" borderId="5" xfId="18" applyFont="1" applyBorder="1" applyAlignment="1" applyProtection="1">
      <alignment vertical="center"/>
    </xf>
    <xf numFmtId="0" fontId="15" fillId="0" borderId="0" xfId="18" applyFont="1" applyBorder="1" applyAlignment="1" applyProtection="1">
      <alignment vertical="center"/>
    </xf>
    <xf numFmtId="0" fontId="21" fillId="0" borderId="0" xfId="18" applyFont="1" applyBorder="1" applyAlignment="1" applyProtection="1">
      <alignment horizontal="right" vertical="center"/>
    </xf>
    <xf numFmtId="0" fontId="22" fillId="0" borderId="6" xfId="18" applyFont="1" applyBorder="1" applyAlignment="1" applyProtection="1">
      <alignment vertical="center"/>
    </xf>
    <xf numFmtId="1" fontId="20" fillId="0" borderId="7" xfId="18" applyNumberFormat="1" applyFont="1" applyBorder="1" applyAlignment="1" applyProtection="1">
      <alignment horizontal="center" vertical="center"/>
    </xf>
    <xf numFmtId="1" fontId="20" fillId="0" borderId="6" xfId="18" applyNumberFormat="1" applyFont="1" applyBorder="1" applyAlignment="1" applyProtection="1">
      <alignment horizontal="center" vertical="center"/>
    </xf>
    <xf numFmtId="0" fontId="23" fillId="0" borderId="7" xfId="18" applyFont="1" applyFill="1" applyBorder="1" applyAlignment="1" applyProtection="1">
      <alignment horizontal="center" vertical="center"/>
    </xf>
    <xf numFmtId="0" fontId="14" fillId="0" borderId="0" xfId="18" applyFont="1" applyBorder="1" applyAlignment="1" applyProtection="1">
      <alignment horizontal="right" vertical="center"/>
    </xf>
    <xf numFmtId="0" fontId="30" fillId="0" borderId="6" xfId="18" applyFont="1" applyBorder="1" applyAlignment="1" applyProtection="1">
      <alignment horizontal="center" vertical="center" wrapText="1"/>
    </xf>
    <xf numFmtId="0" fontId="30" fillId="0" borderId="7" xfId="18" applyFont="1" applyBorder="1" applyAlignment="1" applyProtection="1">
      <alignment horizontal="center" vertical="center" wrapText="1"/>
    </xf>
    <xf numFmtId="0" fontId="23" fillId="0" borderId="15" xfId="18" quotePrefix="1" applyFont="1" applyFill="1" applyBorder="1" applyAlignment="1" applyProtection="1">
      <alignment horizontal="center" vertical="center"/>
    </xf>
    <xf numFmtId="1" fontId="23" fillId="0" borderId="7" xfId="18" applyNumberFormat="1" applyFont="1" applyBorder="1" applyAlignment="1" applyProtection="1">
      <alignment horizontal="center" vertical="center"/>
    </xf>
    <xf numFmtId="1" fontId="20" fillId="0" borderId="11" xfId="18" applyNumberFormat="1" applyFont="1" applyBorder="1" applyAlignment="1" applyProtection="1">
      <alignment horizontal="center" vertical="center"/>
    </xf>
    <xf numFmtId="0" fontId="31" fillId="0" borderId="11" xfId="18" applyFont="1" applyBorder="1" applyAlignment="1" applyProtection="1">
      <alignment horizontal="right" vertical="center"/>
    </xf>
    <xf numFmtId="0" fontId="21" fillId="0" borderId="0" xfId="18" applyFont="1" applyBorder="1" applyAlignment="1" applyProtection="1">
      <alignment horizontal="left" vertical="center"/>
    </xf>
    <xf numFmtId="1" fontId="21" fillId="0" borderId="0" xfId="18" applyNumberFormat="1" applyFont="1" applyBorder="1" applyAlignment="1" applyProtection="1">
      <alignment vertical="center"/>
    </xf>
    <xf numFmtId="0" fontId="20" fillId="0" borderId="0" xfId="18" applyFont="1" applyBorder="1" applyAlignment="1" applyProtection="1">
      <alignment horizontal="left" vertical="center"/>
    </xf>
    <xf numFmtId="1" fontId="20" fillId="0" borderId="0" xfId="18" applyNumberFormat="1" applyFont="1" applyBorder="1" applyAlignment="1" applyProtection="1">
      <alignment horizontal="right" vertical="center"/>
    </xf>
    <xf numFmtId="1" fontId="23" fillId="0" borderId="0" xfId="18" applyNumberFormat="1" applyFont="1" applyBorder="1" applyAlignment="1" applyProtection="1">
      <alignment horizontal="right" vertical="center"/>
    </xf>
    <xf numFmtId="0" fontId="15" fillId="0" borderId="13" xfId="18" applyFont="1" applyBorder="1" applyAlignment="1" applyProtection="1">
      <alignment vertical="center"/>
    </xf>
    <xf numFmtId="0" fontId="14" fillId="0" borderId="14" xfId="18" applyFont="1" applyBorder="1" applyAlignment="1" applyProtection="1">
      <alignment vertical="center"/>
    </xf>
    <xf numFmtId="1" fontId="23" fillId="0" borderId="11" xfId="18" applyNumberFormat="1" applyFont="1" applyBorder="1" applyAlignment="1" applyProtection="1">
      <alignment horizontal="center" vertical="center"/>
    </xf>
    <xf numFmtId="0" fontId="15" fillId="0" borderId="12" xfId="18" applyFont="1" applyBorder="1" applyAlignment="1" applyProtection="1">
      <alignment vertical="center"/>
    </xf>
    <xf numFmtId="0" fontId="14" fillId="0" borderId="5" xfId="18" applyFont="1" applyBorder="1" applyAlignment="1" applyProtection="1">
      <alignment horizontal="right" vertical="center"/>
    </xf>
    <xf numFmtId="0" fontId="15" fillId="0" borderId="4" xfId="18" applyFont="1" applyFill="1" applyBorder="1" applyAlignment="1" applyProtection="1">
      <alignment horizontal="left" vertical="center"/>
    </xf>
    <xf numFmtId="0" fontId="22" fillId="0" borderId="6" xfId="18" applyFont="1" applyBorder="1" applyAlignment="1" applyProtection="1">
      <alignment horizontal="right" vertical="center"/>
    </xf>
    <xf numFmtId="0" fontId="20" fillId="0" borderId="7" xfId="18" applyFont="1" applyBorder="1" applyAlignment="1" applyProtection="1">
      <alignment horizontal="center" vertical="center"/>
    </xf>
    <xf numFmtId="0" fontId="23" fillId="0" borderId="0" xfId="18" applyFont="1" applyFill="1" applyBorder="1" applyAlignment="1" applyProtection="1">
      <alignment horizontal="center" vertical="center"/>
    </xf>
    <xf numFmtId="0" fontId="13" fillId="0" borderId="4" xfId="18" applyFont="1" applyBorder="1" applyAlignment="1" applyProtection="1">
      <alignment vertical="center"/>
    </xf>
    <xf numFmtId="0" fontId="13" fillId="0" borderId="5" xfId="18" applyBorder="1" applyAlignment="1" applyProtection="1">
      <alignment vertical="center"/>
    </xf>
    <xf numFmtId="0" fontId="21" fillId="0" borderId="5" xfId="18" applyFont="1" applyBorder="1" applyAlignment="1" applyProtection="1">
      <alignment horizontal="right" vertical="center"/>
    </xf>
    <xf numFmtId="0" fontId="15" fillId="0" borderId="16" xfId="18" applyFont="1" applyBorder="1" applyAlignment="1" applyProtection="1">
      <alignment vertical="center"/>
    </xf>
    <xf numFmtId="0" fontId="14" fillId="0" borderId="17" xfId="18" applyFont="1" applyBorder="1" applyAlignment="1" applyProtection="1">
      <alignment vertical="center"/>
    </xf>
    <xf numFmtId="0" fontId="13" fillId="0" borderId="4" xfId="18" applyBorder="1" applyAlignment="1" applyProtection="1">
      <alignment vertical="center"/>
    </xf>
    <xf numFmtId="0" fontId="14" fillId="0" borderId="18" xfId="18" applyFont="1" applyBorder="1" applyAlignment="1" applyProtection="1">
      <alignment vertical="center"/>
    </xf>
    <xf numFmtId="0" fontId="13" fillId="0" borderId="16" xfId="18" applyFont="1" applyBorder="1" applyAlignment="1" applyProtection="1">
      <alignment vertical="center"/>
    </xf>
    <xf numFmtId="0" fontId="13" fillId="0" borderId="10" xfId="18" applyBorder="1" applyAlignment="1" applyProtection="1">
      <alignment vertical="center"/>
    </xf>
    <xf numFmtId="0" fontId="13" fillId="0" borderId="17" xfId="18" applyBorder="1" applyAlignment="1" applyProtection="1">
      <alignment vertical="center"/>
    </xf>
    <xf numFmtId="0" fontId="20" fillId="0" borderId="10" xfId="18" applyFont="1" applyBorder="1" applyAlignment="1" applyProtection="1">
      <alignment horizontal="center" vertical="center"/>
    </xf>
    <xf numFmtId="0" fontId="36" fillId="0" borderId="7" xfId="18" applyFont="1" applyBorder="1" applyAlignment="1" applyProtection="1">
      <alignment horizontal="center" vertical="center"/>
    </xf>
    <xf numFmtId="0" fontId="13" fillId="0" borderId="12" xfId="18" applyBorder="1" applyAlignment="1" applyProtection="1">
      <alignment vertical="center"/>
    </xf>
    <xf numFmtId="0" fontId="13" fillId="0" borderId="13" xfId="18" applyBorder="1" applyAlignment="1" applyProtection="1">
      <alignment vertical="center"/>
    </xf>
    <xf numFmtId="0" fontId="13" fillId="0" borderId="14" xfId="18" applyBorder="1" applyAlignment="1" applyProtection="1">
      <alignment vertical="center"/>
    </xf>
    <xf numFmtId="0" fontId="37" fillId="0" borderId="0" xfId="11" applyFont="1" applyFill="1" applyAlignment="1" applyProtection="1">
      <alignment horizontal="right" vertical="center"/>
    </xf>
    <xf numFmtId="0" fontId="38" fillId="0" borderId="0" xfId="21" applyFont="1"/>
    <xf numFmtId="0" fontId="38" fillId="0" borderId="4" xfId="21" applyFont="1" applyBorder="1"/>
    <xf numFmtId="0" fontId="38" fillId="0" borderId="0" xfId="21" applyFont="1" applyBorder="1"/>
    <xf numFmtId="0" fontId="38" fillId="0" borderId="5" xfId="21" applyFont="1" applyBorder="1"/>
    <xf numFmtId="0" fontId="38" fillId="0" borderId="11" xfId="21" applyFont="1" applyBorder="1"/>
    <xf numFmtId="0" fontId="38" fillId="0" borderId="7" xfId="21" applyFont="1" applyBorder="1"/>
    <xf numFmtId="0" fontId="38" fillId="0" borderId="19" xfId="21" applyFont="1" applyBorder="1"/>
    <xf numFmtId="0" fontId="38" fillId="0" borderId="8" xfId="21" applyFont="1" applyBorder="1"/>
    <xf numFmtId="1" fontId="20" fillId="0" borderId="11" xfId="18" applyNumberFormat="1" applyFont="1" applyBorder="1" applyAlignment="1" applyProtection="1">
      <alignment vertical="center"/>
      <protection locked="0"/>
    </xf>
    <xf numFmtId="0" fontId="38" fillId="0" borderId="0" xfId="21" quotePrefix="1" applyFont="1" applyBorder="1"/>
    <xf numFmtId="0" fontId="39" fillId="0" borderId="0" xfId="21" applyFont="1" applyBorder="1" applyAlignment="1">
      <alignment horizontal="left"/>
    </xf>
    <xf numFmtId="2" fontId="40" fillId="0" borderId="8" xfId="21" applyNumberFormat="1" applyFont="1" applyFill="1" applyBorder="1" applyAlignment="1">
      <alignment vertical="center" wrapText="1"/>
    </xf>
    <xf numFmtId="0" fontId="39" fillId="0" borderId="0" xfId="21" applyFont="1" applyBorder="1"/>
    <xf numFmtId="0" fontId="40" fillId="0" borderId="0" xfId="21" applyFont="1" applyFill="1" applyBorder="1" applyAlignment="1">
      <alignment horizontal="center"/>
    </xf>
    <xf numFmtId="0" fontId="40" fillId="0" borderId="0" xfId="21" applyFont="1" applyBorder="1" applyAlignment="1">
      <alignment horizontal="center" vertical="center"/>
    </xf>
    <xf numFmtId="2" fontId="39" fillId="0" borderId="0" xfId="21" applyNumberFormat="1" applyFont="1" applyBorder="1" applyAlignment="1" applyProtection="1">
      <alignment horizontal="center" vertical="center"/>
      <protection hidden="1"/>
    </xf>
    <xf numFmtId="0" fontId="17" fillId="0" borderId="0" xfId="11" applyBorder="1"/>
    <xf numFmtId="0" fontId="38" fillId="0" borderId="13" xfId="21" applyFont="1" applyBorder="1"/>
    <xf numFmtId="0" fontId="39" fillId="0" borderId="0" xfId="21" applyFont="1" applyFill="1" applyBorder="1" applyAlignment="1">
      <alignment horizontal="center" vertical="center"/>
    </xf>
    <xf numFmtId="0" fontId="38" fillId="0" borderId="4" xfId="21" applyFont="1" applyBorder="1" applyAlignment="1" applyProtection="1">
      <alignment horizontal="center" vertical="center"/>
    </xf>
    <xf numFmtId="0" fontId="39" fillId="0" borderId="0" xfId="21" applyFont="1" applyBorder="1" applyAlignment="1">
      <alignment horizontal="centerContinuous"/>
    </xf>
    <xf numFmtId="0" fontId="38" fillId="0" borderId="0" xfId="21" applyFont="1" applyBorder="1" applyAlignment="1">
      <alignment horizontal="centerContinuous"/>
    </xf>
    <xf numFmtId="0" fontId="39" fillId="0" borderId="0" xfId="21" applyFont="1" applyBorder="1" applyAlignment="1">
      <alignment horizontal="right"/>
    </xf>
    <xf numFmtId="0" fontId="39" fillId="0" borderId="0" xfId="21" applyFont="1" applyBorder="1" applyAlignment="1">
      <alignment horizontal="center" vertical="center"/>
    </xf>
    <xf numFmtId="0" fontId="38" fillId="0" borderId="4" xfId="21" applyFont="1" applyBorder="1" applyAlignment="1">
      <alignment vertical="center"/>
    </xf>
    <xf numFmtId="0" fontId="27" fillId="0" borderId="0" xfId="21" applyFont="1" applyBorder="1" applyAlignment="1">
      <alignment horizontal="right" vertical="center"/>
    </xf>
    <xf numFmtId="1" fontId="27" fillId="0" borderId="0" xfId="21" applyNumberFormat="1" applyFont="1" applyBorder="1" applyAlignment="1">
      <alignment horizontal="center" vertical="center"/>
    </xf>
    <xf numFmtId="0" fontId="39" fillId="0" borderId="0" xfId="21" applyFont="1" applyBorder="1" applyAlignment="1">
      <alignment vertical="center"/>
    </xf>
    <xf numFmtId="0" fontId="38" fillId="0" borderId="0" xfId="21" applyFont="1" applyBorder="1" applyAlignment="1">
      <alignment vertical="center"/>
    </xf>
    <xf numFmtId="1" fontId="20" fillId="0" borderId="7" xfId="18" applyNumberFormat="1" applyFont="1" applyFill="1" applyBorder="1" applyAlignment="1" applyProtection="1">
      <alignment horizontal="center" vertical="center"/>
      <protection locked="0"/>
    </xf>
    <xf numFmtId="0" fontId="38" fillId="0" borderId="5" xfId="21" applyFont="1" applyBorder="1" applyAlignment="1">
      <alignment vertical="center"/>
    </xf>
    <xf numFmtId="0" fontId="38" fillId="0" borderId="0" xfId="21" applyFont="1" applyBorder="1" applyAlignment="1">
      <alignment horizontal="right"/>
    </xf>
    <xf numFmtId="0" fontId="38" fillId="0" borderId="0" xfId="21" applyFont="1" applyAlignment="1">
      <alignment vertical="center"/>
    </xf>
    <xf numFmtId="1" fontId="39" fillId="0" borderId="0" xfId="21" applyNumberFormat="1" applyFont="1" applyBorder="1" applyAlignment="1">
      <alignment horizontal="left"/>
    </xf>
    <xf numFmtId="0" fontId="38" fillId="0" borderId="0" xfId="21" applyFont="1" applyBorder="1" applyAlignment="1">
      <alignment horizontal="left"/>
    </xf>
    <xf numFmtId="0" fontId="40" fillId="0" borderId="0" xfId="21" applyFont="1" applyFill="1" applyBorder="1" applyAlignment="1">
      <alignment horizontal="left" vertical="center"/>
    </xf>
    <xf numFmtId="0" fontId="39" fillId="0" borderId="0" xfId="21" applyFont="1" applyBorder="1" applyAlignment="1"/>
    <xf numFmtId="0" fontId="38" fillId="0" borderId="4" xfId="21" applyFont="1" applyBorder="1" applyAlignment="1"/>
    <xf numFmtId="0" fontId="38" fillId="0" borderId="0" xfId="21" applyFont="1" applyBorder="1" applyAlignment="1"/>
    <xf numFmtId="0" fontId="39" fillId="0" borderId="0" xfId="21" applyFont="1" applyBorder="1" applyAlignment="1">
      <alignment horizontal="center"/>
    </xf>
    <xf numFmtId="1" fontId="23" fillId="0" borderId="0" xfId="8" applyNumberFormat="1" applyFont="1" applyBorder="1" applyAlignment="1">
      <alignment horizontal="left"/>
    </xf>
    <xf numFmtId="0" fontId="41" fillId="0" borderId="4" xfId="21" applyFont="1" applyBorder="1"/>
    <xf numFmtId="0" fontId="39" fillId="0" borderId="0" xfId="21" applyFont="1" applyBorder="1" applyAlignment="1">
      <alignment horizontal="left" vertical="center"/>
    </xf>
    <xf numFmtId="0" fontId="39" fillId="0" borderId="4" xfId="21" applyFont="1" applyBorder="1"/>
    <xf numFmtId="0" fontId="39" fillId="0" borderId="5" xfId="21" applyFont="1" applyBorder="1"/>
    <xf numFmtId="0" fontId="22" fillId="0" borderId="0" xfId="18" applyFont="1" applyBorder="1" applyAlignment="1" applyProtection="1">
      <alignment horizontal="center" vertical="center"/>
    </xf>
    <xf numFmtId="0" fontId="17" fillId="0" borderId="0" xfId="11" applyBorder="1" applyAlignment="1">
      <alignment vertical="center"/>
    </xf>
    <xf numFmtId="0" fontId="35" fillId="0" borderId="0" xfId="18" applyFont="1" applyBorder="1" applyAlignment="1" applyProtection="1">
      <alignment horizontal="center" vertical="center"/>
    </xf>
    <xf numFmtId="0" fontId="38" fillId="0" borderId="12" xfId="21" applyFont="1" applyBorder="1"/>
    <xf numFmtId="0" fontId="38" fillId="0" borderId="13" xfId="21" applyFont="1" applyBorder="1" applyAlignment="1">
      <alignment horizontal="center" vertical="center"/>
    </xf>
    <xf numFmtId="0" fontId="39" fillId="0" borderId="13" xfId="21" applyFont="1" applyBorder="1"/>
    <xf numFmtId="0" fontId="38" fillId="0" borderId="14" xfId="21" applyFont="1" applyBorder="1"/>
    <xf numFmtId="0" fontId="38" fillId="0" borderId="4" xfId="21" applyFont="1" applyFill="1" applyBorder="1"/>
    <xf numFmtId="0" fontId="38" fillId="0" borderId="0" xfId="21" applyFont="1" applyFill="1" applyBorder="1"/>
    <xf numFmtId="0" fontId="31" fillId="0" borderId="0" xfId="21" applyFont="1" applyFill="1" applyBorder="1" applyAlignment="1">
      <alignment horizontal="center"/>
    </xf>
    <xf numFmtId="0" fontId="43" fillId="0" borderId="0" xfId="21" applyFont="1" applyFill="1" applyBorder="1"/>
    <xf numFmtId="1" fontId="43" fillId="0" borderId="0" xfId="21" applyNumberFormat="1" applyFont="1" applyFill="1" applyBorder="1"/>
    <xf numFmtId="0" fontId="43" fillId="0" borderId="0" xfId="21" quotePrefix="1" applyFont="1" applyFill="1" applyBorder="1"/>
    <xf numFmtId="1" fontId="43" fillId="0" borderId="0" xfId="21" applyNumberFormat="1" applyFont="1" applyFill="1" applyBorder="1" applyAlignment="1">
      <alignment horizontal="center"/>
    </xf>
    <xf numFmtId="0" fontId="31" fillId="0" borderId="0" xfId="21" applyFont="1" applyFill="1" applyBorder="1"/>
    <xf numFmtId="49" fontId="20" fillId="0" borderId="7" xfId="18" applyNumberFormat="1" applyFont="1" applyBorder="1" applyAlignment="1" applyProtection="1">
      <alignment horizontal="center" vertical="center"/>
    </xf>
    <xf numFmtId="0" fontId="22" fillId="0" borderId="11" xfId="18" applyFont="1" applyBorder="1" applyAlignment="1" applyProtection="1">
      <alignment vertical="center"/>
    </xf>
    <xf numFmtId="0" fontId="22" fillId="0" borderId="0" xfId="18" applyFont="1" applyBorder="1" applyAlignment="1" applyProtection="1">
      <alignment vertical="center"/>
    </xf>
    <xf numFmtId="0" fontId="22" fillId="0" borderId="20" xfId="18" applyFont="1" applyBorder="1" applyAlignment="1" applyProtection="1">
      <alignment vertical="center"/>
    </xf>
    <xf numFmtId="0" fontId="22" fillId="0" borderId="9" xfId="18" applyFont="1" applyBorder="1" applyAlignment="1" applyProtection="1">
      <alignment vertical="center"/>
    </xf>
    <xf numFmtId="0" fontId="38" fillId="0" borderId="9" xfId="21" applyFont="1" applyBorder="1"/>
    <xf numFmtId="1" fontId="20" fillId="0" borderId="9" xfId="18" applyNumberFormat="1" applyFont="1" applyBorder="1" applyAlignment="1" applyProtection="1">
      <alignment horizontal="center" vertical="center"/>
    </xf>
    <xf numFmtId="0" fontId="17" fillId="0" borderId="21" xfId="11" applyBorder="1"/>
    <xf numFmtId="0" fontId="44" fillId="0" borderId="0" xfId="21" applyFont="1" applyBorder="1" applyAlignment="1">
      <alignment horizontal="left" vertical="center"/>
    </xf>
    <xf numFmtId="0" fontId="44" fillId="0" borderId="0" xfId="21" applyFont="1" applyBorder="1" applyAlignment="1">
      <alignment horizontal="center" vertical="center"/>
    </xf>
    <xf numFmtId="0" fontId="38" fillId="0" borderId="0" xfId="21" applyFont="1" applyBorder="1" applyAlignment="1">
      <alignment horizontal="center" vertical="center"/>
    </xf>
    <xf numFmtId="0" fontId="38" fillId="0" borderId="0" xfId="21" applyFont="1" applyBorder="1" applyAlignment="1">
      <alignment horizontal="center"/>
    </xf>
    <xf numFmtId="0" fontId="22" fillId="0" borderId="18" xfId="18" applyFont="1" applyBorder="1" applyAlignment="1" applyProtection="1">
      <alignment vertical="center"/>
    </xf>
    <xf numFmtId="0" fontId="17" fillId="0" borderId="10" xfId="11" applyBorder="1"/>
    <xf numFmtId="0" fontId="17" fillId="0" borderId="22" xfId="11" applyBorder="1"/>
    <xf numFmtId="0" fontId="44" fillId="0" borderId="0" xfId="21" applyFont="1" applyBorder="1"/>
    <xf numFmtId="0" fontId="42" fillId="0" borderId="0" xfId="21" applyFont="1" applyBorder="1"/>
    <xf numFmtId="0" fontId="44" fillId="0" borderId="0" xfId="21" applyFont="1" applyBorder="1" applyAlignment="1">
      <alignment horizontal="right"/>
    </xf>
    <xf numFmtId="0" fontId="38" fillId="0" borderId="16" xfId="21" applyFont="1" applyBorder="1"/>
    <xf numFmtId="0" fontId="39" fillId="0" borderId="10" xfId="21" applyFont="1" applyBorder="1"/>
    <xf numFmtId="0" fontId="38" fillId="0" borderId="10" xfId="21" applyFont="1" applyBorder="1"/>
    <xf numFmtId="0" fontId="38" fillId="0" borderId="17" xfId="21" applyFont="1" applyBorder="1"/>
    <xf numFmtId="0" fontId="31" fillId="0" borderId="23" xfId="21" applyFont="1" applyBorder="1" applyAlignment="1">
      <alignment vertical="center"/>
    </xf>
    <xf numFmtId="0" fontId="31" fillId="0" borderId="9" xfId="21" applyFont="1" applyBorder="1" applyAlignment="1">
      <alignment vertical="center"/>
    </xf>
    <xf numFmtId="0" fontId="31" fillId="0" borderId="24" xfId="21" applyFont="1" applyBorder="1" applyAlignment="1">
      <alignment vertical="center"/>
    </xf>
    <xf numFmtId="0" fontId="25" fillId="0" borderId="4" xfId="21" applyFont="1" applyBorder="1" applyAlignment="1">
      <alignment horizontal="center" vertical="center"/>
    </xf>
    <xf numFmtId="0" fontId="31" fillId="0" borderId="0" xfId="21" applyFont="1" applyBorder="1" applyAlignment="1">
      <alignment vertical="center"/>
    </xf>
    <xf numFmtId="0" fontId="31" fillId="0" borderId="25" xfId="21" applyFont="1" applyBorder="1" applyAlignment="1">
      <alignment horizontal="center" vertical="center"/>
    </xf>
    <xf numFmtId="0" fontId="31" fillId="0" borderId="5" xfId="21" applyFont="1" applyBorder="1" applyAlignment="1">
      <alignment vertical="center"/>
    </xf>
    <xf numFmtId="0" fontId="25" fillId="0" borderId="4" xfId="21" applyFont="1" applyBorder="1" applyAlignment="1">
      <alignment vertical="center"/>
    </xf>
    <xf numFmtId="0" fontId="35" fillId="0" borderId="26" xfId="21" applyFont="1" applyBorder="1" applyAlignment="1">
      <alignment horizontal="center" vertical="center"/>
    </xf>
    <xf numFmtId="0" fontId="45" fillId="0" borderId="26" xfId="21" applyFont="1" applyBorder="1" applyAlignment="1">
      <alignment vertical="center"/>
    </xf>
    <xf numFmtId="0" fontId="45" fillId="0" borderId="0" xfId="21" applyFont="1" applyBorder="1" applyAlignment="1">
      <alignment vertical="center"/>
    </xf>
    <xf numFmtId="0" fontId="25" fillId="0" borderId="4" xfId="21" applyFont="1" applyBorder="1" applyAlignment="1">
      <alignment horizontal="left" vertical="center"/>
    </xf>
    <xf numFmtId="0" fontId="35" fillId="0" borderId="0" xfId="21" applyFont="1" applyBorder="1" applyAlignment="1">
      <alignment vertical="center"/>
    </xf>
    <xf numFmtId="0" fontId="35" fillId="0" borderId="0" xfId="21" applyFont="1" applyBorder="1" applyAlignment="1">
      <alignment horizontal="center" vertical="center"/>
    </xf>
    <xf numFmtId="0" fontId="35" fillId="0" borderId="0" xfId="21" applyFont="1" applyBorder="1" applyAlignment="1">
      <alignment horizontal="left" vertical="center"/>
    </xf>
    <xf numFmtId="0" fontId="31" fillId="0" borderId="4" xfId="21" applyFont="1" applyBorder="1" applyAlignment="1">
      <alignment vertical="center"/>
    </xf>
    <xf numFmtId="0" fontId="31" fillId="0" borderId="12" xfId="21" applyFont="1" applyBorder="1" applyAlignment="1">
      <alignment vertical="center"/>
    </xf>
    <xf numFmtId="0" fontId="31" fillId="0" borderId="13" xfId="21" applyFont="1" applyBorder="1" applyAlignment="1">
      <alignment vertical="center"/>
    </xf>
    <xf numFmtId="0" fontId="35" fillId="0" borderId="13" xfId="21" applyFont="1" applyBorder="1" applyAlignment="1">
      <alignment vertical="center"/>
    </xf>
    <xf numFmtId="168" fontId="35" fillId="0" borderId="13" xfId="21" applyNumberFormat="1" applyFont="1" applyBorder="1" applyAlignment="1">
      <alignment vertical="center"/>
    </xf>
    <xf numFmtId="0" fontId="31" fillId="0" borderId="14" xfId="21" applyFont="1" applyBorder="1" applyAlignment="1">
      <alignment vertical="center"/>
    </xf>
    <xf numFmtId="49" fontId="36" fillId="0" borderId="7" xfId="18" applyNumberFormat="1" applyFont="1" applyBorder="1" applyAlignment="1" applyProtection="1">
      <alignment horizontal="center" vertical="center"/>
    </xf>
    <xf numFmtId="0" fontId="31" fillId="0" borderId="8" xfId="21" applyFont="1" applyBorder="1" applyAlignment="1">
      <alignment vertical="center"/>
    </xf>
    <xf numFmtId="0" fontId="31" fillId="0" borderId="27" xfId="18" applyFont="1" applyBorder="1" applyAlignment="1" applyProtection="1">
      <alignment vertical="center"/>
    </xf>
    <xf numFmtId="0" fontId="31" fillId="0" borderId="13" xfId="18" applyFont="1" applyBorder="1" applyAlignment="1" applyProtection="1">
      <alignment vertical="center"/>
    </xf>
    <xf numFmtId="0" fontId="37" fillId="0" borderId="0" xfId="11" applyFont="1" applyFill="1" applyAlignment="1">
      <alignment horizontal="right" vertical="center"/>
    </xf>
    <xf numFmtId="0" fontId="27" fillId="0" borderId="0" xfId="21" applyFont="1" applyBorder="1"/>
    <xf numFmtId="1" fontId="46" fillId="0" borderId="0" xfId="8" applyNumberFormat="1" applyFont="1" applyBorder="1" applyAlignment="1">
      <alignment horizontal="left"/>
    </xf>
    <xf numFmtId="0" fontId="47" fillId="0" borderId="4" xfId="21" applyFont="1" applyBorder="1"/>
    <xf numFmtId="0" fontId="46" fillId="0" borderId="0" xfId="21" applyFont="1" applyBorder="1"/>
    <xf numFmtId="0" fontId="23" fillId="0" borderId="4" xfId="21" applyFont="1" applyBorder="1"/>
    <xf numFmtId="1" fontId="46" fillId="0" borderId="0" xfId="8" applyNumberFormat="1" applyFont="1" applyBorder="1" applyAlignment="1"/>
    <xf numFmtId="1" fontId="19" fillId="0" borderId="0" xfId="8" applyNumberFormat="1" applyFont="1" applyBorder="1" applyAlignment="1">
      <alignment horizontal="center"/>
    </xf>
    <xf numFmtId="0" fontId="23" fillId="0" borderId="0" xfId="18" applyFont="1" applyBorder="1" applyAlignment="1" applyProtection="1">
      <alignment horizontal="center" vertical="center"/>
    </xf>
    <xf numFmtId="0" fontId="23" fillId="0" borderId="11" xfId="18" applyFont="1" applyFill="1" applyBorder="1" applyAlignment="1" applyProtection="1">
      <alignment horizontal="center" vertical="center"/>
    </xf>
    <xf numFmtId="0" fontId="19" fillId="13" borderId="28" xfId="18" applyFont="1" applyFill="1" applyBorder="1" applyAlignment="1" applyProtection="1">
      <alignment horizontal="left" vertical="center"/>
    </xf>
    <xf numFmtId="0" fontId="14" fillId="13" borderId="29" xfId="18" applyFont="1" applyFill="1" applyBorder="1" applyAlignment="1" applyProtection="1">
      <alignment vertical="center"/>
    </xf>
    <xf numFmtId="0" fontId="15" fillId="13" borderId="29" xfId="18" applyFont="1" applyFill="1" applyBorder="1" applyAlignment="1" applyProtection="1">
      <alignment vertical="center"/>
    </xf>
    <xf numFmtId="0" fontId="14" fillId="13" borderId="30" xfId="18" applyFont="1" applyFill="1" applyBorder="1" applyAlignment="1" applyProtection="1">
      <alignment vertical="center"/>
    </xf>
    <xf numFmtId="0" fontId="20" fillId="13" borderId="29" xfId="18" applyFont="1" applyFill="1" applyBorder="1" applyAlignment="1" applyProtection="1">
      <alignment vertical="center"/>
    </xf>
    <xf numFmtId="0" fontId="19" fillId="13" borderId="29" xfId="18" applyFont="1" applyFill="1" applyBorder="1" applyAlignment="1" applyProtection="1">
      <alignment horizontal="left" vertical="center"/>
    </xf>
    <xf numFmtId="0" fontId="38" fillId="13" borderId="28" xfId="21" applyFont="1" applyFill="1" applyBorder="1"/>
    <xf numFmtId="0" fontId="38" fillId="14" borderId="28" xfId="21" applyFont="1" applyFill="1" applyBorder="1"/>
    <xf numFmtId="0" fontId="38" fillId="14" borderId="29" xfId="21" applyFont="1" applyFill="1" applyBorder="1"/>
    <xf numFmtId="0" fontId="38" fillId="14" borderId="30" xfId="21" applyFont="1" applyFill="1" applyBorder="1"/>
    <xf numFmtId="0" fontId="38" fillId="14" borderId="4" xfId="21" applyFont="1" applyFill="1" applyBorder="1"/>
    <xf numFmtId="0" fontId="38" fillId="14" borderId="0" xfId="21" applyFont="1" applyFill="1" applyBorder="1"/>
    <xf numFmtId="0" fontId="18" fillId="0" borderId="0" xfId="10" applyFont="1" applyFill="1" applyAlignment="1">
      <alignment vertical="center"/>
    </xf>
    <xf numFmtId="49" fontId="18" fillId="0" borderId="0" xfId="10" applyNumberFormat="1" applyFont="1" applyFill="1" applyAlignment="1">
      <alignment horizontal="center" vertical="center"/>
    </xf>
    <xf numFmtId="0" fontId="50" fillId="0" borderId="28" xfId="10" applyFont="1" applyFill="1" applyBorder="1" applyAlignment="1">
      <alignment vertical="center"/>
    </xf>
    <xf numFmtId="0" fontId="50" fillId="0" borderId="29" xfId="10" applyFont="1" applyFill="1" applyBorder="1" applyAlignment="1">
      <alignment vertical="center"/>
    </xf>
    <xf numFmtId="0" fontId="51" fillId="0" borderId="29" xfId="10" applyFont="1" applyFill="1" applyBorder="1" applyAlignment="1">
      <alignment vertical="center"/>
    </xf>
    <xf numFmtId="14" fontId="50" fillId="0" borderId="29" xfId="10" applyNumberFormat="1" applyFont="1" applyFill="1" applyBorder="1" applyAlignment="1">
      <alignment vertical="center"/>
    </xf>
    <xf numFmtId="14" fontId="50" fillId="0" borderId="30" xfId="10" applyNumberFormat="1" applyFont="1" applyFill="1" applyBorder="1" applyAlignment="1">
      <alignment vertical="center"/>
    </xf>
    <xf numFmtId="0" fontId="50" fillId="0" borderId="0" xfId="10" applyFont="1" applyFill="1" applyAlignment="1">
      <alignment vertical="center"/>
    </xf>
    <xf numFmtId="0" fontId="50" fillId="0" borderId="0" xfId="10" applyFont="1" applyFill="1" applyBorder="1" applyAlignment="1">
      <alignment vertical="center"/>
    </xf>
    <xf numFmtId="0" fontId="52" fillId="0" borderId="31" xfId="10" applyFont="1" applyFill="1" applyBorder="1" applyAlignment="1">
      <alignment horizontal="center" vertical="center"/>
    </xf>
    <xf numFmtId="0" fontId="52" fillId="0" borderId="32" xfId="10" applyFont="1" applyFill="1" applyBorder="1" applyAlignment="1">
      <alignment horizontal="center" vertical="center"/>
    </xf>
    <xf numFmtId="0" fontId="52" fillId="0" borderId="0" xfId="10" applyFont="1" applyFill="1" applyAlignment="1">
      <alignment vertical="center"/>
    </xf>
    <xf numFmtId="0" fontId="52" fillId="0" borderId="0" xfId="10" applyFont="1" applyFill="1" applyBorder="1" applyAlignment="1">
      <alignment vertical="center"/>
    </xf>
    <xf numFmtId="0" fontId="53" fillId="0" borderId="33" xfId="10" applyFont="1" applyFill="1" applyBorder="1" applyAlignment="1">
      <alignment horizontal="center" vertical="center"/>
    </xf>
    <xf numFmtId="0" fontId="53" fillId="0" borderId="34" xfId="10" applyFont="1" applyFill="1" applyBorder="1" applyAlignment="1">
      <alignment vertical="center"/>
    </xf>
    <xf numFmtId="169" fontId="53" fillId="0" borderId="33" xfId="10" applyNumberFormat="1" applyFont="1" applyFill="1" applyBorder="1" applyAlignment="1">
      <alignment horizontal="center" vertical="center"/>
    </xf>
    <xf numFmtId="0" fontId="54" fillId="0" borderId="0" xfId="10" applyFont="1" applyFill="1" applyAlignment="1">
      <alignment vertical="center"/>
    </xf>
    <xf numFmtId="0" fontId="54" fillId="0" borderId="0" xfId="10" applyFont="1" applyFill="1" applyBorder="1" applyAlignment="1">
      <alignment vertical="center"/>
    </xf>
    <xf numFmtId="0" fontId="53" fillId="0" borderId="4" xfId="10" applyFont="1" applyFill="1" applyBorder="1" applyAlignment="1">
      <alignment horizontal="left" vertical="center"/>
    </xf>
    <xf numFmtId="0" fontId="55" fillId="0" borderId="35" xfId="10" applyFont="1" applyFill="1" applyBorder="1" applyAlignment="1">
      <alignment horizontal="center" vertical="center"/>
    </xf>
    <xf numFmtId="0" fontId="56" fillId="0" borderId="0" xfId="10" applyFont="1" applyFill="1" applyBorder="1" applyAlignment="1">
      <alignment vertical="center"/>
    </xf>
    <xf numFmtId="0" fontId="57" fillId="0" borderId="0" xfId="10" applyFont="1" applyFill="1" applyBorder="1" applyAlignment="1">
      <alignment horizontal="left" vertical="center"/>
    </xf>
    <xf numFmtId="0" fontId="54" fillId="0" borderId="0" xfId="10" applyFont="1" applyFill="1" applyBorder="1" applyAlignment="1">
      <alignment horizontal="center" vertical="center"/>
    </xf>
    <xf numFmtId="0" fontId="26" fillId="0" borderId="0" xfId="10" applyFont="1" applyFill="1" applyBorder="1" applyAlignment="1">
      <alignment vertical="center"/>
    </xf>
    <xf numFmtId="0" fontId="26" fillId="0" borderId="0" xfId="10" applyFont="1" applyFill="1" applyAlignment="1">
      <alignment vertical="center"/>
    </xf>
    <xf numFmtId="0" fontId="50" fillId="0" borderId="4" xfId="10" applyFont="1" applyFill="1" applyBorder="1" applyAlignment="1">
      <alignment vertical="center"/>
    </xf>
    <xf numFmtId="0" fontId="26" fillId="0" borderId="4" xfId="10" applyFont="1" applyFill="1" applyBorder="1" applyAlignment="1">
      <alignment vertical="center"/>
    </xf>
    <xf numFmtId="0" fontId="59" fillId="0" borderId="0" xfId="10" applyFont="1" applyFill="1" applyBorder="1" applyAlignment="1">
      <alignment horizontal="right" vertical="center"/>
    </xf>
    <xf numFmtId="0" fontId="60" fillId="0" borderId="0" xfId="10" applyFont="1" applyFill="1" applyBorder="1" applyAlignment="1">
      <alignment horizontal="center" vertical="center"/>
    </xf>
    <xf numFmtId="1" fontId="61" fillId="0" borderId="0" xfId="10" applyNumberFormat="1" applyFont="1" applyFill="1" applyBorder="1" applyAlignment="1">
      <alignment horizontal="center" vertical="center"/>
    </xf>
    <xf numFmtId="0" fontId="61" fillId="0" borderId="0" xfId="10" applyFont="1" applyFill="1" applyBorder="1" applyAlignment="1">
      <alignment vertical="center"/>
    </xf>
    <xf numFmtId="0" fontId="61" fillId="0" borderId="5" xfId="10" applyFont="1" applyFill="1" applyBorder="1" applyAlignment="1">
      <alignment vertical="center"/>
    </xf>
    <xf numFmtId="0" fontId="58" fillId="0" borderId="0" xfId="10" applyFont="1" applyFill="1" applyBorder="1" applyAlignment="1">
      <alignment horizontal="left" vertical="center"/>
    </xf>
    <xf numFmtId="0" fontId="26" fillId="0" borderId="4" xfId="10" applyFont="1" applyFill="1" applyBorder="1" applyAlignment="1">
      <alignment horizontal="right" vertical="center"/>
    </xf>
    <xf numFmtId="0" fontId="26" fillId="0" borderId="0" xfId="10" applyFont="1" applyFill="1" applyBorder="1" applyAlignment="1">
      <alignment horizontal="right" vertical="center"/>
    </xf>
    <xf numFmtId="0" fontId="26" fillId="0" borderId="19" xfId="10" applyFont="1" applyFill="1" applyBorder="1" applyAlignment="1">
      <alignment horizontal="right" vertical="center"/>
    </xf>
    <xf numFmtId="0" fontId="59" fillId="0" borderId="0" xfId="10" applyFont="1" applyFill="1" applyBorder="1" applyAlignment="1">
      <alignment vertical="center"/>
    </xf>
    <xf numFmtId="0" fontId="26" fillId="0" borderId="5" xfId="10" applyFont="1" applyFill="1" applyBorder="1" applyAlignment="1">
      <alignment vertical="center"/>
    </xf>
    <xf numFmtId="0" fontId="60" fillId="0" borderId="0" xfId="10" applyFont="1" applyFill="1" applyBorder="1" applyAlignment="1">
      <alignment horizontal="right" vertical="center"/>
    </xf>
    <xf numFmtId="0" fontId="59" fillId="0" borderId="19" xfId="10" applyFont="1" applyFill="1" applyBorder="1" applyAlignment="1">
      <alignment horizontal="right" vertical="center"/>
    </xf>
    <xf numFmtId="0" fontId="58" fillId="0" borderId="5" xfId="10" applyNumberFormat="1" applyFont="1" applyFill="1" applyBorder="1" applyAlignment="1">
      <alignment horizontal="center" vertical="center"/>
    </xf>
    <xf numFmtId="0" fontId="61" fillId="0" borderId="0" xfId="10" applyFont="1" applyFill="1" applyBorder="1" applyAlignment="1">
      <alignment horizontal="right" vertical="center"/>
    </xf>
    <xf numFmtId="1" fontId="61" fillId="0" borderId="0" xfId="10" applyNumberFormat="1" applyFont="1" applyFill="1" applyBorder="1" applyAlignment="1">
      <alignment horizontal="right" vertical="center"/>
    </xf>
    <xf numFmtId="0" fontId="61" fillId="0" borderId="0" xfId="10" applyFont="1" applyFill="1" applyBorder="1" applyAlignment="1">
      <alignment horizontal="center" vertical="center"/>
    </xf>
    <xf numFmtId="0" fontId="58" fillId="0" borderId="5" xfId="10" applyFont="1" applyFill="1" applyBorder="1" applyAlignment="1">
      <alignment vertical="center"/>
    </xf>
    <xf numFmtId="0" fontId="65" fillId="0" borderId="0" xfId="10" applyFont="1" applyFill="1" applyBorder="1" applyAlignment="1" applyProtection="1">
      <alignment vertical="center"/>
    </xf>
    <xf numFmtId="0" fontId="26" fillId="0" borderId="0" xfId="10" applyFont="1" applyFill="1" applyBorder="1" applyAlignment="1">
      <alignment horizontal="center" vertical="center"/>
    </xf>
    <xf numFmtId="0" fontId="50" fillId="0" borderId="4" xfId="10" applyFont="1" applyFill="1" applyBorder="1" applyAlignment="1" applyProtection="1">
      <alignment horizontal="center" vertical="center"/>
    </xf>
    <xf numFmtId="0" fontId="58" fillId="0" borderId="19" xfId="10" applyFont="1" applyFill="1" applyBorder="1" applyAlignment="1">
      <alignment horizontal="right" vertical="center"/>
    </xf>
    <xf numFmtId="0" fontId="59" fillId="0" borderId="0" xfId="10" applyFont="1" applyFill="1" applyBorder="1" applyAlignment="1">
      <alignment horizontal="center" vertical="center"/>
    </xf>
    <xf numFmtId="0" fontId="18" fillId="0" borderId="0" xfId="10" applyFont="1" applyFill="1" applyAlignment="1">
      <alignment horizontal="center" vertical="center"/>
    </xf>
    <xf numFmtId="0" fontId="50" fillId="0" borderId="0" xfId="10" applyFont="1" applyFill="1" applyBorder="1" applyAlignment="1" applyProtection="1">
      <alignment horizontal="center" vertical="center"/>
    </xf>
    <xf numFmtId="0" fontId="60" fillId="0" borderId="19" xfId="10" applyFont="1" applyFill="1" applyBorder="1" applyAlignment="1">
      <alignment horizontal="right" vertical="center"/>
    </xf>
    <xf numFmtId="0" fontId="58" fillId="0" borderId="0" xfId="10" applyFont="1" applyFill="1" applyBorder="1" applyAlignment="1">
      <alignment vertical="center"/>
    </xf>
    <xf numFmtId="1" fontId="58" fillId="0" borderId="0" xfId="10" applyNumberFormat="1" applyFont="1" applyFill="1" applyBorder="1" applyAlignment="1" applyProtection="1">
      <alignment horizontal="left" vertical="center"/>
    </xf>
    <xf numFmtId="1" fontId="58" fillId="0" borderId="0" xfId="10" applyNumberFormat="1" applyFont="1" applyFill="1" applyBorder="1" applyAlignment="1">
      <alignment horizontal="center" vertical="center"/>
    </xf>
    <xf numFmtId="0" fontId="58" fillId="0" borderId="0" xfId="10" applyFont="1" applyFill="1" applyBorder="1" applyAlignment="1">
      <alignment horizontal="center" vertical="center"/>
    </xf>
    <xf numFmtId="0" fontId="58" fillId="0" borderId="4" xfId="10" applyFont="1" applyFill="1" applyBorder="1" applyAlignment="1">
      <alignment horizontal="center" vertical="center"/>
    </xf>
    <xf numFmtId="0" fontId="52" fillId="0" borderId="0" xfId="10" applyFont="1" applyFill="1" applyBorder="1" applyAlignment="1">
      <alignment horizontal="center" vertical="center"/>
    </xf>
    <xf numFmtId="0" fontId="52" fillId="0" borderId="0" xfId="10" applyFont="1" applyFill="1" applyBorder="1" applyAlignment="1">
      <alignment horizontal="left" vertical="center"/>
    </xf>
    <xf numFmtId="0" fontId="52" fillId="0" borderId="4" xfId="10" applyFont="1" applyFill="1" applyBorder="1" applyAlignment="1">
      <alignment vertical="center"/>
    </xf>
    <xf numFmtId="1" fontId="58" fillId="0" borderId="0" xfId="10" applyNumberFormat="1" applyFont="1" applyFill="1" applyBorder="1" applyAlignment="1">
      <alignment horizontal="left" vertical="center"/>
    </xf>
    <xf numFmtId="172" fontId="58" fillId="0" borderId="5" xfId="2" applyNumberFormat="1" applyFont="1" applyFill="1" applyBorder="1" applyAlignment="1">
      <alignment horizontal="center" vertical="center"/>
    </xf>
    <xf numFmtId="0" fontId="18" fillId="0" borderId="0" xfId="10" applyFont="1" applyFill="1" applyAlignment="1" applyProtection="1">
      <alignment horizontal="center" vertical="center"/>
      <protection locked="0"/>
    </xf>
    <xf numFmtId="2" fontId="52" fillId="0" borderId="0" xfId="10" applyNumberFormat="1" applyFont="1" applyFill="1" applyBorder="1" applyAlignment="1">
      <alignment horizontal="left" vertical="center"/>
    </xf>
    <xf numFmtId="2" fontId="26" fillId="0" borderId="5" xfId="10" applyNumberFormat="1" applyFont="1" applyFill="1" applyBorder="1" applyAlignment="1">
      <alignment horizontal="left" vertical="center"/>
    </xf>
    <xf numFmtId="0" fontId="58" fillId="0" borderId="0" xfId="10" applyFont="1" applyFill="1" applyBorder="1" applyAlignment="1">
      <alignment horizontal="right" vertical="center"/>
    </xf>
    <xf numFmtId="0" fontId="52" fillId="0" borderId="19" xfId="10" applyFont="1" applyFill="1" applyBorder="1" applyAlignment="1">
      <alignment horizontal="right" vertical="center"/>
    </xf>
    <xf numFmtId="0" fontId="60" fillId="0" borderId="5" xfId="10" applyFont="1" applyFill="1" applyBorder="1" applyAlignment="1">
      <alignment horizontal="center" vertical="center"/>
    </xf>
    <xf numFmtId="0" fontId="69" fillId="0" borderId="0" xfId="10" applyFont="1" applyFill="1" applyBorder="1" applyAlignment="1">
      <alignment horizontal="right" vertical="center"/>
    </xf>
    <xf numFmtId="0" fontId="61" fillId="0" borderId="0" xfId="10" applyFont="1" applyFill="1" applyBorder="1" applyAlignment="1">
      <alignment horizontal="left" vertical="center"/>
    </xf>
    <xf numFmtId="1" fontId="61" fillId="0" borderId="0" xfId="10" applyNumberFormat="1" applyFont="1" applyFill="1" applyBorder="1" applyAlignment="1">
      <alignment vertical="center"/>
    </xf>
    <xf numFmtId="0" fontId="70" fillId="0" borderId="4" xfId="10" applyFont="1" applyFill="1" applyBorder="1" applyAlignment="1">
      <alignment vertical="center"/>
    </xf>
    <xf numFmtId="173" fontId="58" fillId="0" borderId="0" xfId="10" applyNumberFormat="1" applyFont="1" applyFill="1" applyBorder="1" applyAlignment="1">
      <alignment horizontal="center" vertical="center"/>
    </xf>
    <xf numFmtId="0" fontId="71" fillId="0" borderId="5" xfId="10" applyFont="1" applyFill="1" applyBorder="1" applyAlignment="1">
      <alignment vertical="center"/>
    </xf>
    <xf numFmtId="0" fontId="72" fillId="0" borderId="0" xfId="10" applyFont="1" applyFill="1" applyBorder="1" applyAlignment="1">
      <alignment horizontal="right" vertical="center"/>
    </xf>
    <xf numFmtId="0" fontId="18" fillId="0" borderId="0" xfId="10" applyFont="1" applyFill="1" applyBorder="1" applyAlignment="1">
      <alignment vertical="center"/>
    </xf>
    <xf numFmtId="0" fontId="60" fillId="0" borderId="0" xfId="10" applyFont="1" applyFill="1" applyBorder="1" applyAlignment="1">
      <alignment vertical="center"/>
    </xf>
    <xf numFmtId="0" fontId="26" fillId="0" borderId="12" xfId="10" applyFont="1" applyFill="1" applyBorder="1" applyAlignment="1">
      <alignment vertical="center"/>
    </xf>
    <xf numFmtId="0" fontId="26" fillId="0" borderId="13" xfId="10" applyFont="1" applyFill="1" applyBorder="1" applyAlignment="1">
      <alignment vertical="center"/>
    </xf>
    <xf numFmtId="0" fontId="52" fillId="0" borderId="13" xfId="10" applyFont="1" applyFill="1" applyBorder="1" applyAlignment="1">
      <alignment horizontal="center" vertical="center"/>
    </xf>
    <xf numFmtId="0" fontId="26" fillId="0" borderId="14" xfId="10" applyFont="1" applyFill="1" applyBorder="1" applyAlignment="1">
      <alignment vertical="center"/>
    </xf>
    <xf numFmtId="0" fontId="26" fillId="0" borderId="12" xfId="10" applyFont="1" applyFill="1" applyBorder="1" applyAlignment="1">
      <alignment horizontal="right" vertical="center"/>
    </xf>
    <xf numFmtId="0" fontId="26" fillId="0" borderId="13" xfId="10" applyFont="1" applyFill="1" applyBorder="1" applyAlignment="1">
      <alignment horizontal="right" vertical="center"/>
    </xf>
    <xf numFmtId="0" fontId="26" fillId="0" borderId="36" xfId="10" applyFont="1" applyFill="1" applyBorder="1" applyAlignment="1">
      <alignment horizontal="right" vertical="center"/>
    </xf>
    <xf numFmtId="0" fontId="18" fillId="0" borderId="4" xfId="10" applyFont="1" applyFill="1" applyBorder="1" applyAlignment="1">
      <alignment vertical="center"/>
    </xf>
    <xf numFmtId="0" fontId="18" fillId="0" borderId="5" xfId="10" applyFont="1" applyFill="1" applyBorder="1" applyAlignment="1">
      <alignment vertical="center"/>
    </xf>
    <xf numFmtId="0" fontId="26" fillId="0" borderId="5" xfId="10" applyFont="1" applyFill="1" applyBorder="1" applyAlignment="1">
      <alignment horizontal="right" vertical="center"/>
    </xf>
    <xf numFmtId="0" fontId="60" fillId="0" borderId="5" xfId="10" applyFont="1" applyFill="1" applyBorder="1" applyAlignment="1">
      <alignment vertical="center"/>
    </xf>
    <xf numFmtId="0" fontId="18" fillId="0" borderId="0" xfId="10" applyFont="1" applyFill="1" applyBorder="1" applyAlignment="1">
      <alignment horizontal="right" vertical="center"/>
    </xf>
    <xf numFmtId="0" fontId="60" fillId="0" borderId="5" xfId="10" applyFont="1" applyFill="1" applyBorder="1" applyAlignment="1">
      <alignment horizontal="left" vertical="center"/>
    </xf>
    <xf numFmtId="0" fontId="50" fillId="0" borderId="5" xfId="10" applyFont="1" applyFill="1" applyBorder="1" applyAlignment="1">
      <alignment vertical="center"/>
    </xf>
    <xf numFmtId="0" fontId="18" fillId="0" borderId="0" xfId="10" applyFont="1" applyFill="1" applyBorder="1" applyAlignment="1">
      <alignment horizontal="center" vertical="center"/>
    </xf>
    <xf numFmtId="0" fontId="26" fillId="0" borderId="37" xfId="10" applyFont="1" applyFill="1" applyBorder="1" applyAlignment="1">
      <alignment horizontal="right" vertical="center"/>
    </xf>
    <xf numFmtId="0" fontId="52" fillId="0" borderId="38" xfId="10" applyFont="1" applyFill="1" applyBorder="1" applyAlignment="1">
      <alignment horizontal="right" vertical="center"/>
    </xf>
    <xf numFmtId="0" fontId="58" fillId="0" borderId="38" xfId="10" applyFont="1" applyFill="1" applyBorder="1" applyAlignment="1">
      <alignment horizontal="right" vertical="center"/>
    </xf>
    <xf numFmtId="0" fontId="26" fillId="0" borderId="38" xfId="10" applyFont="1" applyFill="1" applyBorder="1" applyAlignment="1">
      <alignment horizontal="right" vertical="center"/>
    </xf>
    <xf numFmtId="0" fontId="26" fillId="0" borderId="39" xfId="10" applyFont="1" applyFill="1" applyBorder="1" applyAlignment="1">
      <alignment horizontal="right" vertical="center"/>
    </xf>
    <xf numFmtId="0" fontId="58" fillId="0" borderId="0" xfId="10" applyFont="1" applyFill="1" applyAlignment="1">
      <alignment vertical="center"/>
    </xf>
    <xf numFmtId="1" fontId="60" fillId="0" borderId="0" xfId="10" applyNumberFormat="1" applyFont="1" applyFill="1" applyBorder="1" applyAlignment="1">
      <alignment horizontal="center" vertical="center"/>
    </xf>
    <xf numFmtId="0" fontId="52" fillId="0" borderId="0" xfId="10" applyFont="1" applyFill="1" applyBorder="1" applyAlignment="1">
      <alignment horizontal="right" vertical="center"/>
    </xf>
    <xf numFmtId="0" fontId="50" fillId="0" borderId="4" xfId="10" applyFont="1" applyFill="1" applyBorder="1" applyAlignment="1">
      <alignment horizontal="left" vertical="center"/>
    </xf>
    <xf numFmtId="0" fontId="52" fillId="0" borderId="4" xfId="10" applyFont="1" applyFill="1" applyBorder="1" applyAlignment="1">
      <alignment horizontal="center" vertical="center"/>
    </xf>
    <xf numFmtId="0" fontId="58" fillId="0" borderId="4" xfId="10" applyFont="1" applyFill="1" applyBorder="1" applyAlignment="1">
      <alignment horizontal="left" vertical="center"/>
    </xf>
    <xf numFmtId="1" fontId="60" fillId="0" borderId="5" xfId="10" applyNumberFormat="1" applyFont="1" applyFill="1" applyBorder="1" applyAlignment="1">
      <alignment horizontal="left" vertical="center"/>
    </xf>
    <xf numFmtId="0" fontId="59" fillId="0" borderId="38" xfId="10" applyFont="1" applyFill="1" applyBorder="1" applyAlignment="1">
      <alignment horizontal="right" vertical="center"/>
    </xf>
    <xf numFmtId="0" fontId="71" fillId="0" borderId="0" xfId="10" applyFont="1" applyFill="1" applyBorder="1" applyAlignment="1">
      <alignment vertical="center"/>
    </xf>
    <xf numFmtId="0" fontId="75" fillId="0" borderId="0" xfId="10" applyFont="1" applyFill="1" applyBorder="1" applyAlignment="1">
      <alignment vertical="center"/>
    </xf>
    <xf numFmtId="0" fontId="71" fillId="0" borderId="0" xfId="10" applyFont="1" applyFill="1" applyBorder="1" applyAlignment="1">
      <alignment horizontal="center" vertical="center"/>
    </xf>
    <xf numFmtId="0" fontId="71" fillId="0" borderId="0" xfId="10" applyFont="1" applyFill="1" applyBorder="1" applyAlignment="1">
      <alignment horizontal="right" vertical="center"/>
    </xf>
    <xf numFmtId="0" fontId="59" fillId="0" borderId="0" xfId="10" applyFont="1" applyFill="1" applyBorder="1" applyAlignment="1">
      <alignment horizontal="left" vertical="center"/>
    </xf>
    <xf numFmtId="0" fontId="26" fillId="0" borderId="19" xfId="10" applyFont="1" applyFill="1" applyBorder="1" applyAlignment="1">
      <alignment vertical="center"/>
    </xf>
    <xf numFmtId="0" fontId="26" fillId="0" borderId="40" xfId="10" applyFont="1" applyFill="1" applyBorder="1" applyAlignment="1">
      <alignment horizontal="right" vertical="center"/>
    </xf>
    <xf numFmtId="0" fontId="26" fillId="0" borderId="41" xfId="10" applyFont="1" applyFill="1" applyBorder="1" applyAlignment="1">
      <alignment horizontal="left" vertical="center"/>
    </xf>
    <xf numFmtId="0" fontId="26" fillId="0" borderId="42" xfId="10" applyFont="1" applyFill="1" applyBorder="1" applyAlignment="1">
      <alignment horizontal="right" vertical="center"/>
    </xf>
    <xf numFmtId="0" fontId="66" fillId="0" borderId="13" xfId="10" applyFont="1" applyFill="1" applyBorder="1" applyAlignment="1">
      <alignment vertical="center"/>
    </xf>
    <xf numFmtId="0" fontId="26" fillId="0" borderId="43" xfId="10" applyFont="1" applyFill="1" applyBorder="1" applyAlignment="1">
      <alignment vertical="center"/>
    </xf>
    <xf numFmtId="0" fontId="26" fillId="0" borderId="44" xfId="10" applyFont="1" applyFill="1" applyBorder="1" applyAlignment="1">
      <alignment vertical="center"/>
    </xf>
    <xf numFmtId="0" fontId="26" fillId="0" borderId="45" xfId="10" applyFont="1" applyFill="1" applyBorder="1" applyAlignment="1">
      <alignment vertical="center"/>
    </xf>
    <xf numFmtId="0" fontId="58" fillId="0" borderId="13" xfId="10" applyFont="1" applyFill="1" applyBorder="1" applyAlignment="1">
      <alignment horizontal="center" vertical="center"/>
    </xf>
    <xf numFmtId="0" fontId="26" fillId="0" borderId="28" xfId="10" applyFont="1" applyFill="1" applyBorder="1" applyAlignment="1">
      <alignment vertical="center"/>
    </xf>
    <xf numFmtId="0" fontId="26" fillId="0" borderId="25" xfId="10" applyFont="1" applyFill="1" applyBorder="1" applyAlignment="1">
      <alignment horizontal="center" vertical="center"/>
    </xf>
    <xf numFmtId="0" fontId="26" fillId="0" borderId="11" xfId="10" applyFont="1" applyFill="1" applyBorder="1" applyAlignment="1">
      <alignment vertical="center"/>
    </xf>
    <xf numFmtId="0" fontId="26" fillId="0" borderId="23" xfId="10" applyFont="1" applyFill="1" applyBorder="1" applyAlignment="1">
      <alignment vertical="center"/>
    </xf>
    <xf numFmtId="0" fontId="26" fillId="0" borderId="9" xfId="10" applyFont="1" applyFill="1" applyBorder="1" applyAlignment="1">
      <alignment vertical="center"/>
    </xf>
    <xf numFmtId="0" fontId="26" fillId="0" borderId="24" xfId="10" applyFont="1" applyFill="1" applyBorder="1" applyAlignment="1">
      <alignment vertical="center"/>
    </xf>
    <xf numFmtId="0" fontId="59" fillId="0" borderId="4" xfId="10" applyFont="1" applyFill="1" applyBorder="1" applyAlignment="1">
      <alignment vertical="center"/>
    </xf>
    <xf numFmtId="0" fontId="52" fillId="0" borderId="26" xfId="10" applyFont="1" applyFill="1" applyBorder="1" applyAlignment="1">
      <alignment horizontal="center" vertical="center"/>
    </xf>
    <xf numFmtId="0" fontId="26" fillId="0" borderId="26" xfId="10" applyFont="1" applyFill="1" applyBorder="1" applyAlignment="1">
      <alignment vertical="center"/>
    </xf>
    <xf numFmtId="0" fontId="26" fillId="0" borderId="20" xfId="10" applyFont="1" applyFill="1" applyBorder="1" applyAlignment="1">
      <alignment vertical="center"/>
    </xf>
    <xf numFmtId="0" fontId="66" fillId="0" borderId="4" xfId="10" applyFont="1" applyFill="1" applyBorder="1" applyAlignment="1">
      <alignment horizontal="left" vertical="center"/>
    </xf>
    <xf numFmtId="0" fontId="60" fillId="0" borderId="0" xfId="10" applyFont="1" applyFill="1" applyBorder="1" applyAlignment="1">
      <alignment horizontal="left" vertical="center"/>
    </xf>
    <xf numFmtId="0" fontId="26" fillId="0" borderId="0" xfId="10" applyFont="1" applyFill="1" applyBorder="1" applyAlignment="1">
      <alignment horizontal="left" vertical="center"/>
    </xf>
    <xf numFmtId="0" fontId="72" fillId="0" borderId="0" xfId="10" applyFont="1" applyFill="1" applyBorder="1" applyAlignment="1">
      <alignment horizontal="center" vertical="center"/>
    </xf>
    <xf numFmtId="0" fontId="26" fillId="0" borderId="18" xfId="10" applyFont="1" applyFill="1" applyBorder="1" applyAlignment="1">
      <alignment vertical="center"/>
    </xf>
    <xf numFmtId="0" fontId="26" fillId="0" borderId="10" xfId="10" applyFont="1" applyFill="1" applyBorder="1" applyAlignment="1">
      <alignment vertical="center"/>
    </xf>
    <xf numFmtId="0" fontId="60" fillId="0" borderId="4" xfId="10" applyFont="1" applyFill="1" applyBorder="1" applyAlignment="1">
      <alignment horizontal="left" vertical="center"/>
    </xf>
    <xf numFmtId="0" fontId="26" fillId="0" borderId="36" xfId="10" applyFont="1" applyFill="1" applyBorder="1" applyAlignment="1">
      <alignment vertical="center"/>
    </xf>
    <xf numFmtId="0" fontId="26" fillId="0" borderId="27" xfId="10" applyFont="1" applyFill="1" applyBorder="1" applyAlignment="1">
      <alignment vertical="center"/>
    </xf>
    <xf numFmtId="0" fontId="18" fillId="0" borderId="12" xfId="10" applyFont="1" applyFill="1" applyBorder="1" applyAlignment="1">
      <alignment vertical="center"/>
    </xf>
    <xf numFmtId="0" fontId="18" fillId="0" borderId="13" xfId="10" applyFont="1" applyFill="1" applyBorder="1" applyAlignment="1">
      <alignment vertical="center"/>
    </xf>
    <xf numFmtId="0" fontId="18" fillId="0" borderId="14" xfId="10" applyFont="1" applyFill="1" applyBorder="1" applyAlignment="1">
      <alignment vertical="center"/>
    </xf>
    <xf numFmtId="168" fontId="26" fillId="0" borderId="13" xfId="10" applyNumberFormat="1" applyFont="1" applyFill="1" applyBorder="1" applyAlignment="1">
      <alignment vertical="center"/>
    </xf>
    <xf numFmtId="0" fontId="26" fillId="0" borderId="0" xfId="10" applyFont="1" applyFill="1" applyAlignment="1">
      <alignment horizontal="right" vertical="center"/>
    </xf>
    <xf numFmtId="0" fontId="69" fillId="0" borderId="0" xfId="10" applyFont="1" applyFill="1" applyBorder="1" applyAlignment="1">
      <alignment vertical="center"/>
    </xf>
    <xf numFmtId="0" fontId="77" fillId="0" borderId="28" xfId="10" applyFont="1" applyBorder="1"/>
    <xf numFmtId="0" fontId="77" fillId="0" borderId="29" xfId="10" applyFont="1" applyBorder="1"/>
    <xf numFmtId="0" fontId="78" fillId="0" borderId="29" xfId="10" applyFont="1" applyBorder="1"/>
    <xf numFmtId="14" fontId="77" fillId="0" borderId="29" xfId="10" applyNumberFormat="1" applyFont="1" applyBorder="1"/>
    <xf numFmtId="14" fontId="77" fillId="0" borderId="30" xfId="10" applyNumberFormat="1" applyFont="1" applyBorder="1"/>
    <xf numFmtId="0" fontId="79" fillId="0" borderId="0" xfId="10" applyFont="1"/>
    <xf numFmtId="0" fontId="77" fillId="0" borderId="4" xfId="10" applyFont="1" applyBorder="1"/>
    <xf numFmtId="0" fontId="77" fillId="0" borderId="0" xfId="10" applyFont="1" applyBorder="1"/>
    <xf numFmtId="0" fontId="77" fillId="0" borderId="29" xfId="10" applyFont="1" applyBorder="1" applyAlignment="1">
      <alignment horizontal="center"/>
    </xf>
    <xf numFmtId="0" fontId="77" fillId="0" borderId="46" xfId="10" applyFont="1" applyBorder="1"/>
    <xf numFmtId="0" fontId="77" fillId="1" borderId="46" xfId="10" applyFont="1" applyFill="1" applyBorder="1"/>
    <xf numFmtId="0" fontId="77" fillId="1" borderId="29" xfId="10" applyFont="1" applyFill="1" applyBorder="1" applyAlignment="1">
      <alignment horizontal="center"/>
    </xf>
    <xf numFmtId="0" fontId="77" fillId="1" borderId="29" xfId="10" applyFont="1" applyFill="1" applyBorder="1"/>
    <xf numFmtId="0" fontId="77" fillId="0" borderId="47" xfId="10" applyFont="1" applyBorder="1"/>
    <xf numFmtId="0" fontId="77" fillId="0" borderId="29" xfId="10" applyFont="1" applyBorder="1" applyAlignment="1">
      <alignment horizontal="right"/>
    </xf>
    <xf numFmtId="0" fontId="77" fillId="0" borderId="47" xfId="10" applyFont="1" applyBorder="1" applyAlignment="1">
      <alignment horizontal="center"/>
    </xf>
    <xf numFmtId="0" fontId="77" fillId="0" borderId="30" xfId="10" applyFont="1" applyBorder="1"/>
    <xf numFmtId="0" fontId="80" fillId="0" borderId="48" xfId="10" applyFont="1" applyBorder="1" applyAlignment="1">
      <alignment vertical="center"/>
    </xf>
    <xf numFmtId="0" fontId="81" fillId="0" borderId="34" xfId="10" applyFont="1" applyBorder="1" applyAlignment="1">
      <alignment horizontal="center" vertical="center"/>
    </xf>
    <xf numFmtId="0" fontId="80" fillId="0" borderId="34" xfId="10" applyFont="1" applyBorder="1" applyAlignment="1">
      <alignment vertical="center"/>
    </xf>
    <xf numFmtId="0" fontId="80" fillId="0" borderId="49" xfId="10" applyFont="1" applyBorder="1" applyAlignment="1">
      <alignment vertical="center"/>
    </xf>
    <xf numFmtId="1" fontId="80" fillId="0" borderId="34" xfId="10" applyNumberFormat="1" applyFont="1" applyBorder="1" applyAlignment="1">
      <alignment horizontal="center" vertical="center"/>
    </xf>
    <xf numFmtId="178" fontId="80" fillId="0" borderId="34" xfId="10" applyNumberFormat="1" applyFont="1" applyBorder="1" applyAlignment="1">
      <alignment horizontal="center" vertical="center"/>
    </xf>
    <xf numFmtId="178" fontId="81" fillId="0" borderId="34" xfId="10" applyNumberFormat="1" applyFont="1" applyBorder="1" applyAlignment="1">
      <alignment horizontal="center" vertical="center"/>
    </xf>
    <xf numFmtId="0" fontId="80" fillId="0" borderId="50" xfId="10" applyFont="1" applyBorder="1" applyAlignment="1">
      <alignment vertical="center"/>
    </xf>
    <xf numFmtId="179" fontId="80" fillId="0" borderId="34" xfId="10" applyNumberFormat="1" applyFont="1" applyBorder="1" applyAlignment="1">
      <alignment horizontal="center" vertical="center"/>
    </xf>
    <xf numFmtId="0" fontId="80" fillId="0" borderId="34" xfId="10" applyFont="1" applyBorder="1" applyAlignment="1">
      <alignment horizontal="center" vertical="center"/>
    </xf>
    <xf numFmtId="0" fontId="80" fillId="0" borderId="50" xfId="10" applyFont="1" applyBorder="1" applyAlignment="1">
      <alignment horizontal="center" vertical="center"/>
    </xf>
    <xf numFmtId="0" fontId="77" fillId="0" borderId="51" xfId="10" applyFont="1" applyBorder="1" applyAlignment="1">
      <alignment horizontal="center" vertical="center"/>
    </xf>
    <xf numFmtId="0" fontId="82" fillId="0" borderId="0" xfId="10" applyFont="1" applyAlignment="1">
      <alignment vertical="center"/>
    </xf>
    <xf numFmtId="0" fontId="77" fillId="0" borderId="52" xfId="10" applyFont="1" applyBorder="1"/>
    <xf numFmtId="0" fontId="77" fillId="0" borderId="53" xfId="10" applyFont="1" applyBorder="1" applyAlignment="1">
      <alignment horizontal="center"/>
    </xf>
    <xf numFmtId="0" fontId="77" fillId="0" borderId="53" xfId="10" applyFont="1" applyBorder="1"/>
    <xf numFmtId="0" fontId="83" fillId="0" borderId="53" xfId="10" applyFont="1" applyBorder="1"/>
    <xf numFmtId="0" fontId="83" fillId="0" borderId="53" xfId="10" applyFont="1" applyBorder="1" applyAlignment="1">
      <alignment horizontal="center"/>
    </xf>
    <xf numFmtId="0" fontId="84" fillId="0" borderId="53" xfId="10" applyFont="1" applyBorder="1" applyAlignment="1">
      <alignment horizontal="center"/>
    </xf>
    <xf numFmtId="0" fontId="80" fillId="0" borderId="53" xfId="10" applyFont="1" applyBorder="1" applyAlignment="1">
      <alignment horizontal="center" vertical="center"/>
    </xf>
    <xf numFmtId="0" fontId="77" fillId="0" borderId="54" xfId="10" applyFont="1" applyBorder="1"/>
    <xf numFmtId="0" fontId="77" fillId="0" borderId="4" xfId="10" applyFont="1" applyBorder="1" applyAlignment="1">
      <alignment vertical="center"/>
    </xf>
    <xf numFmtId="0" fontId="77" fillId="0" borderId="0" xfId="10" applyFont="1" applyBorder="1" applyAlignment="1">
      <alignment vertical="center"/>
    </xf>
    <xf numFmtId="0" fontId="77" fillId="0" borderId="28" xfId="10" applyFont="1" applyBorder="1" applyAlignment="1">
      <alignment vertical="center"/>
    </xf>
    <xf numFmtId="0" fontId="77" fillId="0" borderId="29" xfId="10" applyFont="1" applyBorder="1" applyAlignment="1">
      <alignment vertical="center"/>
    </xf>
    <xf numFmtId="0" fontId="80" fillId="0" borderId="29" xfId="10" applyFont="1" applyBorder="1" applyAlignment="1">
      <alignment horizontal="center" vertical="center"/>
    </xf>
    <xf numFmtId="0" fontId="77" fillId="0" borderId="30" xfId="10" applyFont="1" applyBorder="1" applyAlignment="1">
      <alignment vertical="center"/>
    </xf>
    <xf numFmtId="0" fontId="77" fillId="0" borderId="29" xfId="10" applyFont="1" applyBorder="1" applyAlignment="1">
      <alignment horizontal="center" vertical="center"/>
    </xf>
    <xf numFmtId="0" fontId="79" fillId="0" borderId="0" xfId="10" applyFont="1" applyAlignment="1">
      <alignment vertical="center"/>
    </xf>
    <xf numFmtId="0" fontId="77" fillId="0" borderId="43" xfId="10" applyFont="1" applyBorder="1"/>
    <xf numFmtId="0" fontId="77" fillId="0" borderId="44" xfId="10" applyFont="1" applyBorder="1"/>
    <xf numFmtId="0" fontId="77" fillId="0" borderId="44" xfId="10" applyFont="1" applyBorder="1" applyAlignment="1"/>
    <xf numFmtId="0" fontId="85" fillId="0" borderId="44" xfId="10" applyFont="1" applyBorder="1"/>
    <xf numFmtId="0" fontId="77" fillId="0" borderId="44" xfId="10" applyFont="1" applyBorder="1" applyAlignment="1">
      <alignment horizontal="center"/>
    </xf>
    <xf numFmtId="0" fontId="86" fillId="0" borderId="44" xfId="10" applyFont="1" applyBorder="1" applyAlignment="1">
      <alignment horizontal="centerContinuous"/>
    </xf>
    <xf numFmtId="0" fontId="77" fillId="0" borderId="55" xfId="10" applyFont="1" applyBorder="1" applyAlignment="1">
      <alignment horizontal="centerContinuous"/>
    </xf>
    <xf numFmtId="0" fontId="77" fillId="0" borderId="55" xfId="10" applyFont="1" applyBorder="1"/>
    <xf numFmtId="0" fontId="77" fillId="0" borderId="5" xfId="10" applyFont="1" applyBorder="1"/>
    <xf numFmtId="12" fontId="80" fillId="0" borderId="0" xfId="10" applyNumberFormat="1" applyFont="1" applyBorder="1"/>
    <xf numFmtId="0" fontId="80" fillId="0" borderId="0" xfId="10" applyFont="1" applyBorder="1"/>
    <xf numFmtId="0" fontId="80" fillId="0" borderId="0" xfId="10" applyFont="1" applyBorder="1" applyAlignment="1">
      <alignment horizontal="right"/>
    </xf>
    <xf numFmtId="0" fontId="85" fillId="0" borderId="0" xfId="10" applyFont="1" applyBorder="1"/>
    <xf numFmtId="20" fontId="77" fillId="0" borderId="0" xfId="10" applyNumberFormat="1" applyFont="1" applyBorder="1"/>
    <xf numFmtId="0" fontId="81" fillId="0" borderId="0" xfId="10" applyFont="1" applyBorder="1"/>
    <xf numFmtId="0" fontId="77" fillId="0" borderId="0" xfId="10" applyFont="1" applyBorder="1" applyAlignment="1">
      <alignment horizontal="center"/>
    </xf>
    <xf numFmtId="0" fontId="77" fillId="0" borderId="4" xfId="10" applyFont="1" applyBorder="1" applyAlignment="1">
      <alignment horizontal="center"/>
    </xf>
    <xf numFmtId="0" fontId="77" fillId="0" borderId="0" xfId="10" applyFont="1" applyBorder="1" applyAlignment="1">
      <alignment horizontal="left"/>
    </xf>
    <xf numFmtId="1" fontId="77" fillId="0" borderId="0" xfId="10" applyNumberFormat="1" applyFont="1" applyBorder="1" applyAlignment="1">
      <alignment horizontal="left"/>
    </xf>
    <xf numFmtId="1" fontId="77" fillId="0" borderId="0" xfId="10" applyNumberFormat="1" applyFont="1" applyBorder="1" applyAlignment="1">
      <alignment horizontal="center"/>
    </xf>
    <xf numFmtId="0" fontId="80" fillId="0" borderId="0" xfId="10" applyFont="1" applyBorder="1" applyAlignment="1">
      <alignment horizontal="center"/>
    </xf>
    <xf numFmtId="0" fontId="77" fillId="0" borderId="0" xfId="10" applyFont="1" applyBorder="1" applyAlignment="1">
      <alignment horizontal="right"/>
    </xf>
    <xf numFmtId="1" fontId="77" fillId="0" borderId="0" xfId="10" applyNumberFormat="1" applyFont="1" applyBorder="1"/>
    <xf numFmtId="2" fontId="77" fillId="0" borderId="0" xfId="10" applyNumberFormat="1" applyFont="1" applyBorder="1" applyAlignment="1">
      <alignment horizontal="left"/>
    </xf>
    <xf numFmtId="2" fontId="77" fillId="0" borderId="5" xfId="10" applyNumberFormat="1" applyFont="1" applyBorder="1" applyAlignment="1">
      <alignment horizontal="left"/>
    </xf>
    <xf numFmtId="0" fontId="77" fillId="0" borderId="6" xfId="10" applyFont="1" applyBorder="1"/>
    <xf numFmtId="0" fontId="77" fillId="0" borderId="11" xfId="10" applyFont="1" applyFill="1" applyBorder="1"/>
    <xf numFmtId="0" fontId="77" fillId="0" borderId="7" xfId="10" applyFont="1" applyFill="1" applyBorder="1"/>
    <xf numFmtId="2" fontId="77" fillId="0" borderId="0" xfId="10" applyNumberFormat="1" applyFont="1" applyBorder="1" applyAlignment="1">
      <alignment horizontal="right"/>
    </xf>
    <xf numFmtId="0" fontId="77" fillId="0" borderId="0" xfId="10" applyFont="1" applyBorder="1" applyAlignment="1">
      <alignment horizontal="left" vertical="center"/>
    </xf>
    <xf numFmtId="2" fontId="77" fillId="0" borderId="0" xfId="10" applyNumberFormat="1" applyFont="1" applyBorder="1" applyAlignment="1">
      <alignment horizontal="center"/>
    </xf>
    <xf numFmtId="0" fontId="77" fillId="0" borderId="0" xfId="10" applyFont="1" applyFill="1" applyBorder="1" applyAlignment="1">
      <alignment horizontal="left"/>
    </xf>
    <xf numFmtId="0" fontId="77" fillId="0" borderId="20" xfId="10" applyFont="1" applyBorder="1"/>
    <xf numFmtId="0" fontId="77" fillId="0" borderId="9" xfId="10" applyFont="1" applyFill="1" applyBorder="1"/>
    <xf numFmtId="0" fontId="77" fillId="0" borderId="21" xfId="10" applyFont="1" applyFill="1" applyBorder="1"/>
    <xf numFmtId="0" fontId="77" fillId="0" borderId="8" xfId="10" applyFont="1" applyBorder="1"/>
    <xf numFmtId="0" fontId="77" fillId="0" borderId="0" xfId="10" applyFont="1" applyFill="1" applyBorder="1"/>
    <xf numFmtId="0" fontId="77" fillId="0" borderId="19" xfId="10" applyFont="1" applyFill="1" applyBorder="1"/>
    <xf numFmtId="0" fontId="77" fillId="0" borderId="12" xfId="10" applyFont="1" applyBorder="1"/>
    <xf numFmtId="0" fontId="77" fillId="0" borderId="13" xfId="10" applyFont="1" applyBorder="1"/>
    <xf numFmtId="0" fontId="77" fillId="0" borderId="14" xfId="10" applyFont="1" applyBorder="1"/>
    <xf numFmtId="0" fontId="77" fillId="0" borderId="8" xfId="10" applyFont="1" applyBorder="1" applyAlignment="1">
      <alignment vertical="center"/>
    </xf>
    <xf numFmtId="0" fontId="77" fillId="0" borderId="0" xfId="10" applyFont="1" applyFill="1" applyBorder="1" applyAlignment="1">
      <alignment vertical="center"/>
    </xf>
    <xf numFmtId="0" fontId="77" fillId="0" borderId="19" xfId="10" applyFont="1" applyFill="1" applyBorder="1" applyAlignment="1">
      <alignment vertical="center"/>
    </xf>
    <xf numFmtId="0" fontId="77" fillId="0" borderId="56" xfId="10" applyFont="1" applyBorder="1" applyAlignment="1">
      <alignment vertical="center"/>
    </xf>
    <xf numFmtId="0" fontId="80" fillId="0" borderId="32" xfId="10" applyFont="1" applyBorder="1" applyAlignment="1">
      <alignment horizontal="center" vertical="center"/>
    </xf>
    <xf numFmtId="0" fontId="77" fillId="0" borderId="57" xfId="10" applyFont="1" applyBorder="1"/>
    <xf numFmtId="0" fontId="79" fillId="0" borderId="5" xfId="10" applyFont="1" applyBorder="1"/>
    <xf numFmtId="0" fontId="77" fillId="0" borderId="58" xfId="10" applyFont="1" applyBorder="1"/>
    <xf numFmtId="1" fontId="80" fillId="0" borderId="0" xfId="10" applyNumberFormat="1" applyFont="1" applyBorder="1" applyAlignment="1">
      <alignment horizontal="center"/>
    </xf>
    <xf numFmtId="0" fontId="77" fillId="0" borderId="11" xfId="10" applyFont="1" applyBorder="1"/>
    <xf numFmtId="0" fontId="77" fillId="0" borderId="7" xfId="10" applyFont="1" applyBorder="1"/>
    <xf numFmtId="0" fontId="77" fillId="0" borderId="18" xfId="10" applyFont="1" applyBorder="1"/>
    <xf numFmtId="0" fontId="77" fillId="0" borderId="10" xfId="10" applyFont="1" applyFill="1" applyBorder="1"/>
    <xf numFmtId="0" fontId="77" fillId="0" borderId="22" xfId="10" applyFont="1" applyFill="1" applyBorder="1"/>
    <xf numFmtId="0" fontId="77" fillId="0" borderId="4" xfId="10" applyFont="1" applyBorder="1" applyAlignment="1">
      <alignment horizontal="right"/>
    </xf>
    <xf numFmtId="0" fontId="77" fillId="0" borderId="5" xfId="10" applyFont="1" applyBorder="1" applyAlignment="1">
      <alignment horizontal="center"/>
    </xf>
    <xf numFmtId="0" fontId="77" fillId="0" borderId="0" xfId="10" applyFont="1" applyBorder="1" applyAlignment="1"/>
    <xf numFmtId="2" fontId="80" fillId="0" borderId="0" xfId="10" applyNumberFormat="1" applyFont="1" applyBorder="1"/>
    <xf numFmtId="0" fontId="85" fillId="0" borderId="0" xfId="10" applyFont="1" applyBorder="1" applyAlignment="1">
      <alignment horizontal="right"/>
    </xf>
    <xf numFmtId="0" fontId="85" fillId="0" borderId="0" xfId="10" applyFont="1" applyBorder="1" applyAlignment="1">
      <alignment horizontal="left"/>
    </xf>
    <xf numFmtId="0" fontId="77" fillId="0" borderId="59" xfId="10" applyFont="1" applyBorder="1"/>
    <xf numFmtId="0" fontId="77" fillId="0" borderId="40" xfId="10" applyFont="1" applyBorder="1" applyAlignment="1">
      <alignment horizontal="right"/>
    </xf>
    <xf numFmtId="0" fontId="77" fillId="0" borderId="41" xfId="10" applyFont="1" applyBorder="1" applyAlignment="1">
      <alignment horizontal="left"/>
    </xf>
    <xf numFmtId="0" fontId="77" fillId="0" borderId="42" xfId="10" applyFont="1" applyBorder="1" applyAlignment="1">
      <alignment horizontal="right"/>
    </xf>
    <xf numFmtId="0" fontId="77" fillId="0" borderId="9" xfId="10" applyFont="1" applyBorder="1"/>
    <xf numFmtId="0" fontId="77" fillId="0" borderId="24" xfId="10" applyFont="1" applyBorder="1"/>
    <xf numFmtId="0" fontId="77" fillId="0" borderId="45" xfId="10" applyFont="1" applyBorder="1"/>
    <xf numFmtId="0" fontId="77" fillId="0" borderId="23" xfId="10" applyFont="1" applyBorder="1" applyAlignment="1">
      <alignment horizontal="center"/>
    </xf>
    <xf numFmtId="0" fontId="77" fillId="0" borderId="19" xfId="10" applyFont="1" applyBorder="1"/>
    <xf numFmtId="0" fontId="77" fillId="0" borderId="8" xfId="10" applyFont="1" applyBorder="1" applyAlignment="1">
      <alignment horizontal="left"/>
    </xf>
    <xf numFmtId="0" fontId="80" fillId="0" borderId="0" xfId="10" applyFont="1" applyBorder="1" applyAlignment="1">
      <alignment horizontal="left"/>
    </xf>
    <xf numFmtId="0" fontId="77" fillId="0" borderId="3" xfId="10" applyFont="1" applyBorder="1"/>
    <xf numFmtId="0" fontId="77" fillId="0" borderId="4" xfId="10" applyFont="1" applyBorder="1" applyAlignment="1">
      <alignment horizontal="left"/>
    </xf>
    <xf numFmtId="0" fontId="77" fillId="0" borderId="4" xfId="10" applyFont="1" applyBorder="1" applyAlignment="1">
      <alignment horizontal="center" vertical="top" textRotation="255"/>
    </xf>
    <xf numFmtId="0" fontId="77" fillId="0" borderId="36" xfId="10" applyFont="1" applyBorder="1"/>
    <xf numFmtId="0" fontId="77" fillId="0" borderId="12" xfId="10" applyFont="1" applyBorder="1" applyAlignment="1">
      <alignment horizontal="center"/>
    </xf>
    <xf numFmtId="0" fontId="77" fillId="0" borderId="27" xfId="10" applyFont="1" applyBorder="1"/>
    <xf numFmtId="0" fontId="79" fillId="0" borderId="0" xfId="10" applyFont="1" applyBorder="1"/>
    <xf numFmtId="0" fontId="79" fillId="0" borderId="0" xfId="10" applyFont="1" applyAlignment="1">
      <alignment horizontal="left"/>
    </xf>
    <xf numFmtId="0" fontId="79" fillId="0" borderId="0" xfId="10" applyFont="1" applyAlignment="1">
      <alignment horizontal="right"/>
    </xf>
    <xf numFmtId="0" fontId="26" fillId="0" borderId="22" xfId="10" applyFont="1" applyFill="1" applyBorder="1" applyAlignment="1">
      <alignment vertical="center"/>
    </xf>
    <xf numFmtId="0" fontId="59" fillId="0" borderId="13" xfId="10" applyFont="1" applyFill="1" applyBorder="1" applyAlignment="1">
      <alignment horizontal="right" vertical="center"/>
    </xf>
    <xf numFmtId="0" fontId="58" fillId="0" borderId="13" xfId="10" applyFont="1" applyFill="1" applyBorder="1" applyAlignment="1">
      <alignment vertical="center"/>
    </xf>
    <xf numFmtId="0" fontId="60" fillId="0" borderId="5" xfId="10" applyNumberFormat="1" applyFont="1" applyFill="1" applyBorder="1" applyAlignment="1">
      <alignment horizontal="left" vertical="center"/>
    </xf>
    <xf numFmtId="0" fontId="18" fillId="2" borderId="20" xfId="10" applyFont="1" applyFill="1" applyBorder="1" applyAlignment="1">
      <alignment vertical="center"/>
    </xf>
    <xf numFmtId="0" fontId="18" fillId="2" borderId="21" xfId="10" applyFont="1" applyFill="1" applyBorder="1" applyAlignment="1" applyProtection="1">
      <alignment horizontal="center" vertical="center"/>
      <protection locked="0"/>
    </xf>
    <xf numFmtId="0" fontId="18" fillId="2" borderId="8" xfId="10" applyFont="1" applyFill="1" applyBorder="1" applyAlignment="1">
      <alignment vertical="center"/>
    </xf>
    <xf numFmtId="0" fontId="18" fillId="2" borderId="19" xfId="10" applyFont="1" applyFill="1" applyBorder="1" applyAlignment="1" applyProtection="1">
      <alignment horizontal="center" vertical="center"/>
      <protection locked="0"/>
    </xf>
    <xf numFmtId="0" fontId="18" fillId="2" borderId="18" xfId="10" applyFont="1" applyFill="1" applyBorder="1" applyAlignment="1">
      <alignment vertical="center"/>
    </xf>
    <xf numFmtId="0" fontId="18" fillId="2" borderId="22" xfId="10" applyFont="1" applyFill="1" applyBorder="1" applyAlignment="1" applyProtection="1">
      <alignment horizontal="center" vertical="center"/>
      <protection locked="0"/>
    </xf>
    <xf numFmtId="0" fontId="58" fillId="0" borderId="4" xfId="10" applyFont="1" applyFill="1" applyBorder="1" applyAlignment="1">
      <alignment horizontal="right" vertical="center"/>
    </xf>
    <xf numFmtId="0" fontId="50" fillId="0" borderId="13" xfId="10" applyFont="1" applyFill="1" applyBorder="1" applyAlignment="1">
      <alignment horizontal="right" vertical="center"/>
    </xf>
    <xf numFmtId="0" fontId="60" fillId="0" borderId="13" xfId="10" applyFont="1" applyFill="1" applyBorder="1" applyAlignment="1">
      <alignment horizontal="right" vertical="center"/>
    </xf>
    <xf numFmtId="0" fontId="60" fillId="0" borderId="14" xfId="10" applyFont="1" applyFill="1" applyBorder="1" applyAlignment="1">
      <alignment horizontal="right" vertical="center"/>
    </xf>
    <xf numFmtId="0" fontId="140" fillId="12" borderId="1" xfId="0" applyFont="1" applyFill="1" applyBorder="1" applyAlignment="1" applyProtection="1">
      <alignment horizontal="right" vertical="center"/>
      <protection locked="0"/>
    </xf>
    <xf numFmtId="0" fontId="0" fillId="0" borderId="15" xfId="0" applyBorder="1"/>
    <xf numFmtId="0" fontId="0" fillId="0" borderId="15" xfId="0" quotePrefix="1" applyBorder="1"/>
    <xf numFmtId="0" fontId="15" fillId="0" borderId="0" xfId="25" applyFont="1" applyAlignment="1">
      <alignment vertical="center"/>
    </xf>
    <xf numFmtId="0" fontId="15" fillId="0" borderId="0" xfId="25" applyFont="1" applyBorder="1" applyAlignment="1">
      <alignment vertical="center"/>
    </xf>
    <xf numFmtId="14" fontId="15" fillId="0" borderId="0" xfId="25" applyNumberFormat="1" applyFont="1" applyAlignment="1">
      <alignment vertical="center"/>
    </xf>
    <xf numFmtId="15" fontId="25" fillId="0" borderId="0" xfId="25" applyNumberFormat="1" applyFont="1" applyAlignment="1">
      <alignment vertical="center"/>
    </xf>
    <xf numFmtId="0" fontId="31" fillId="0" borderId="0" xfId="25" applyFont="1" applyAlignment="1">
      <alignment vertical="center"/>
    </xf>
    <xf numFmtId="0" fontId="30" fillId="0" borderId="60" xfId="25" applyFont="1" applyBorder="1" applyAlignment="1">
      <alignment horizontal="center" vertical="center"/>
    </xf>
    <xf numFmtId="49" fontId="27" fillId="0" borderId="61" xfId="25" applyNumberFormat="1" applyFont="1" applyFill="1" applyBorder="1" applyAlignment="1">
      <alignment horizontal="center" vertical="center"/>
    </xf>
    <xf numFmtId="0" fontId="15" fillId="0" borderId="0" xfId="25" applyFont="1" applyBorder="1" applyAlignment="1">
      <alignment horizontal="center" vertical="center"/>
    </xf>
    <xf numFmtId="0" fontId="25" fillId="0" borderId="13" xfId="25" applyFont="1" applyBorder="1" applyAlignment="1">
      <alignment horizontal="center" vertical="center"/>
    </xf>
    <xf numFmtId="0" fontId="15" fillId="3" borderId="28" xfId="25" applyFont="1" applyFill="1" applyBorder="1" applyAlignment="1">
      <alignment vertical="center"/>
    </xf>
    <xf numFmtId="0" fontId="15" fillId="3" borderId="47" xfId="25" applyFont="1" applyFill="1" applyBorder="1" applyAlignment="1">
      <alignment vertical="center"/>
    </xf>
    <xf numFmtId="0" fontId="15" fillId="0" borderId="43" xfId="25" applyFont="1" applyBorder="1" applyAlignment="1">
      <alignment vertical="center"/>
    </xf>
    <xf numFmtId="0" fontId="15" fillId="0" borderId="44" xfId="25" applyFont="1" applyBorder="1" applyAlignment="1">
      <alignment vertical="center"/>
    </xf>
    <xf numFmtId="0" fontId="15" fillId="0" borderId="45" xfId="25" applyFont="1" applyBorder="1" applyAlignment="1">
      <alignment vertical="center"/>
    </xf>
    <xf numFmtId="0" fontId="15" fillId="0" borderId="62" xfId="25" applyFont="1" applyBorder="1" applyAlignment="1">
      <alignment vertical="center"/>
    </xf>
    <xf numFmtId="0" fontId="15" fillId="0" borderId="5" xfId="25" applyFont="1" applyBorder="1" applyAlignment="1">
      <alignment vertical="center"/>
    </xf>
    <xf numFmtId="0" fontId="15" fillId="0" borderId="4" xfId="25" applyFont="1" applyBorder="1" applyAlignment="1">
      <alignment vertical="center"/>
    </xf>
    <xf numFmtId="49" fontId="25" fillId="0" borderId="11" xfId="25" applyNumberFormat="1" applyFont="1" applyFill="1" applyBorder="1" applyAlignment="1">
      <alignment vertical="center"/>
    </xf>
    <xf numFmtId="0" fontId="15" fillId="0" borderId="11" xfId="25" applyFont="1" applyBorder="1" applyAlignment="1">
      <alignment vertical="center"/>
    </xf>
    <xf numFmtId="0" fontId="15" fillId="0" borderId="7" xfId="25" applyFont="1" applyBorder="1" applyAlignment="1">
      <alignment vertical="center"/>
    </xf>
    <xf numFmtId="0" fontId="15" fillId="0" borderId="19" xfId="25" applyFont="1" applyBorder="1" applyAlignment="1">
      <alignment vertical="center"/>
    </xf>
    <xf numFmtId="12" fontId="49" fillId="0" borderId="0" xfId="25" applyNumberFormat="1" applyFont="1" applyBorder="1" applyAlignment="1">
      <alignment vertical="center"/>
    </xf>
    <xf numFmtId="0" fontId="19" fillId="0" borderId="0" xfId="25" applyFont="1" applyBorder="1" applyAlignment="1">
      <alignment vertical="center"/>
    </xf>
    <xf numFmtId="0" fontId="15" fillId="0" borderId="8" xfId="25" applyFont="1" applyBorder="1" applyAlignment="1">
      <alignment vertical="center"/>
    </xf>
    <xf numFmtId="0" fontId="49" fillId="0" borderId="0" xfId="25" applyFont="1" applyBorder="1" applyAlignment="1">
      <alignment horizontal="right" vertical="center"/>
    </xf>
    <xf numFmtId="0" fontId="15" fillId="0" borderId="58" xfId="25" applyFont="1" applyBorder="1" applyAlignment="1">
      <alignment vertical="center"/>
    </xf>
    <xf numFmtId="0" fontId="15" fillId="0" borderId="58" xfId="25" applyFont="1" applyBorder="1" applyAlignment="1">
      <alignment horizontal="center" vertical="center"/>
    </xf>
    <xf numFmtId="0" fontId="15" fillId="0" borderId="57" xfId="25" applyFont="1" applyBorder="1" applyAlignment="1">
      <alignment vertical="center"/>
    </xf>
    <xf numFmtId="0" fontId="15" fillId="0" borderId="63" xfId="25" applyFont="1" applyBorder="1" applyAlignment="1">
      <alignment horizontal="center" vertical="center"/>
    </xf>
    <xf numFmtId="0" fontId="15" fillId="0" borderId="64" xfId="25" applyFont="1" applyBorder="1" applyAlignment="1">
      <alignment horizontal="center" vertical="center"/>
    </xf>
    <xf numFmtId="49" fontId="25" fillId="0" borderId="11" xfId="25" applyNumberFormat="1" applyFont="1" applyBorder="1" applyAlignment="1">
      <alignment vertical="center"/>
    </xf>
    <xf numFmtId="0" fontId="25" fillId="0" borderId="11" xfId="25" applyFont="1" applyBorder="1" applyAlignment="1">
      <alignment vertical="center"/>
    </xf>
    <xf numFmtId="0" fontId="15" fillId="0" borderId="0" xfId="25" applyFont="1" applyBorder="1" applyAlignment="1">
      <alignment horizontal="right" vertical="center"/>
    </xf>
    <xf numFmtId="1" fontId="36" fillId="0" borderId="0" xfId="25" applyNumberFormat="1" applyFont="1" applyBorder="1" applyAlignment="1">
      <alignment vertical="center"/>
    </xf>
    <xf numFmtId="167" fontId="25" fillId="0" borderId="63" xfId="25" applyNumberFormat="1" applyFont="1" applyBorder="1" applyAlignment="1">
      <alignment horizontal="right" vertical="center"/>
    </xf>
    <xf numFmtId="0" fontId="49" fillId="0" borderId="64" xfId="25" applyFont="1" applyBorder="1" applyAlignment="1">
      <alignment horizontal="center" vertical="center"/>
    </xf>
    <xf numFmtId="167" fontId="49" fillId="0" borderId="63" xfId="25" applyNumberFormat="1" applyFont="1" applyBorder="1" applyAlignment="1">
      <alignment horizontal="right" vertical="center"/>
    </xf>
    <xf numFmtId="49" fontId="25" fillId="0" borderId="11" xfId="25" applyNumberFormat="1" applyFont="1" applyFill="1" applyBorder="1" applyAlignment="1">
      <alignment horizontal="center" vertical="center"/>
    </xf>
    <xf numFmtId="0" fontId="19" fillId="0" borderId="0" xfId="25" applyFont="1" applyBorder="1" applyAlignment="1">
      <alignment horizontal="right" vertical="center"/>
    </xf>
    <xf numFmtId="0" fontId="49" fillId="0" borderId="0" xfId="25" applyFont="1" applyBorder="1" applyAlignment="1">
      <alignment horizontal="center" vertical="center"/>
    </xf>
    <xf numFmtId="0" fontId="15" fillId="0" borderId="6" xfId="25" applyFont="1" applyBorder="1" applyAlignment="1">
      <alignment vertical="center"/>
    </xf>
    <xf numFmtId="0" fontId="25" fillId="0" borderId="11" xfId="25" applyNumberFormat="1" applyFont="1" applyBorder="1" applyAlignment="1">
      <alignment horizontal="center" vertical="center"/>
    </xf>
    <xf numFmtId="167" fontId="15" fillId="0" borderId="63" xfId="25" applyNumberFormat="1" applyFont="1" applyBorder="1" applyAlignment="1">
      <alignment horizontal="right" vertical="center"/>
    </xf>
    <xf numFmtId="0" fontId="19" fillId="0" borderId="8" xfId="25" applyFont="1" applyBorder="1" applyAlignment="1">
      <alignment vertical="center"/>
    </xf>
    <xf numFmtId="0" fontId="19" fillId="0" borderId="0" xfId="25" applyFont="1" applyBorder="1" applyAlignment="1">
      <alignment horizontal="center" vertical="center"/>
    </xf>
    <xf numFmtId="0" fontId="15" fillId="0" borderId="65" xfId="25" applyFont="1" applyBorder="1" applyAlignment="1">
      <alignment vertical="center"/>
    </xf>
    <xf numFmtId="0" fontId="15" fillId="0" borderId="38" xfId="25" applyFont="1" applyBorder="1" applyAlignment="1">
      <alignment vertical="center"/>
    </xf>
    <xf numFmtId="0" fontId="15" fillId="0" borderId="66" xfId="25" applyFont="1" applyBorder="1" applyAlignment="1">
      <alignment vertical="center"/>
    </xf>
    <xf numFmtId="0" fontId="30" fillId="0" borderId="20" xfId="20" applyFont="1" applyBorder="1" applyAlignment="1" applyProtection="1">
      <alignment horizontal="center" vertical="center"/>
    </xf>
    <xf numFmtId="0" fontId="30" fillId="0" borderId="21" xfId="20" applyFont="1" applyBorder="1" applyAlignment="1" applyProtection="1">
      <alignment horizontal="center" vertical="center"/>
    </xf>
    <xf numFmtId="0" fontId="15" fillId="0" borderId="9" xfId="20" applyFont="1" applyBorder="1" applyAlignment="1" applyProtection="1">
      <alignment vertical="center"/>
    </xf>
    <xf numFmtId="1" fontId="16" fillId="0" borderId="18" xfId="25" applyNumberFormat="1" applyFont="1" applyBorder="1" applyAlignment="1">
      <alignment horizontal="center" vertical="center"/>
    </xf>
    <xf numFmtId="0" fontId="19" fillId="0" borderId="10" xfId="20" applyFont="1" applyBorder="1" applyAlignment="1" applyProtection="1">
      <alignment horizontal="center" vertical="center"/>
    </xf>
    <xf numFmtId="1" fontId="16" fillId="0" borderId="22" xfId="25" applyNumberFormat="1" applyFont="1" applyBorder="1" applyAlignment="1">
      <alignment horizontal="center" vertical="center"/>
    </xf>
    <xf numFmtId="1" fontId="36" fillId="0" borderId="8" xfId="25" applyNumberFormat="1" applyFont="1" applyBorder="1" applyAlignment="1">
      <alignment horizontal="center" vertical="center"/>
    </xf>
    <xf numFmtId="0" fontId="49" fillId="0" borderId="0" xfId="25" applyFont="1" applyBorder="1" applyAlignment="1">
      <alignment vertical="center"/>
    </xf>
    <xf numFmtId="1" fontId="36" fillId="0" borderId="0" xfId="25" applyNumberFormat="1" applyFont="1" applyBorder="1" applyAlignment="1">
      <alignment horizontal="center" vertical="center"/>
    </xf>
    <xf numFmtId="1" fontId="15" fillId="0" borderId="0" xfId="25" applyNumberFormat="1" applyFont="1" applyBorder="1" applyAlignment="1">
      <alignment vertical="center"/>
    </xf>
    <xf numFmtId="0" fontId="15" fillId="0" borderId="5" xfId="25" applyFont="1" applyBorder="1" applyAlignment="1">
      <alignment horizontal="center" vertical="center"/>
    </xf>
    <xf numFmtId="1" fontId="15" fillId="0" borderId="8" xfId="25" applyNumberFormat="1" applyFont="1" applyBorder="1" applyAlignment="1">
      <alignment vertical="center"/>
    </xf>
    <xf numFmtId="1" fontId="36" fillId="0" borderId="0" xfId="25" applyNumberFormat="1" applyFont="1" applyBorder="1" applyAlignment="1">
      <alignment horizontal="right" vertical="center"/>
    </xf>
    <xf numFmtId="38" fontId="23" fillId="0" borderId="0" xfId="6" applyNumberFormat="1" applyFont="1" applyBorder="1" applyAlignment="1">
      <alignment vertical="center"/>
    </xf>
    <xf numFmtId="0" fontId="15" fillId="3" borderId="56" xfId="25" applyFont="1" applyFill="1" applyBorder="1" applyAlignment="1">
      <alignment vertical="center"/>
    </xf>
    <xf numFmtId="0" fontId="23" fillId="0" borderId="0" xfId="25" applyFont="1" applyBorder="1" applyAlignment="1">
      <alignment vertical="center"/>
    </xf>
    <xf numFmtId="1" fontId="36" fillId="0" borderId="0" xfId="25" applyNumberFormat="1" applyFont="1" applyFill="1" applyBorder="1" applyAlignment="1">
      <alignment horizontal="center" vertical="center"/>
    </xf>
    <xf numFmtId="0" fontId="31" fillId="0" borderId="0" xfId="25" applyFont="1" applyBorder="1" applyAlignment="1">
      <alignment horizontal="center" vertical="center"/>
    </xf>
    <xf numFmtId="0" fontId="23" fillId="0" borderId="0" xfId="25" applyFont="1" applyBorder="1" applyAlignment="1">
      <alignment horizontal="center" vertical="center"/>
    </xf>
    <xf numFmtId="0" fontId="31" fillId="0" borderId="0" xfId="25" applyFont="1" applyBorder="1" applyAlignment="1">
      <alignment horizontal="right" vertical="center"/>
    </xf>
    <xf numFmtId="0" fontId="15" fillId="0" borderId="52" xfId="25" applyFont="1" applyBorder="1" applyAlignment="1">
      <alignment vertical="center"/>
    </xf>
    <xf numFmtId="0" fontId="15" fillId="0" borderId="53" xfId="25" applyFont="1" applyBorder="1" applyAlignment="1">
      <alignment vertical="center"/>
    </xf>
    <xf numFmtId="0" fontId="15" fillId="1" borderId="54" xfId="25" applyFont="1" applyFill="1" applyBorder="1" applyAlignment="1">
      <alignment vertical="center"/>
    </xf>
    <xf numFmtId="0" fontId="36" fillId="0" borderId="8" xfId="25" applyFont="1" applyBorder="1" applyAlignment="1">
      <alignment vertical="center"/>
    </xf>
    <xf numFmtId="0" fontId="15" fillId="0" borderId="20" xfId="25" applyFont="1" applyBorder="1" applyAlignment="1">
      <alignment vertical="center"/>
    </xf>
    <xf numFmtId="0" fontId="15" fillId="0" borderId="21" xfId="25" applyFont="1" applyBorder="1" applyAlignment="1">
      <alignment vertical="center"/>
    </xf>
    <xf numFmtId="0" fontId="15" fillId="0" borderId="9" xfId="25" applyFont="1" applyBorder="1" applyAlignment="1">
      <alignment vertical="center"/>
    </xf>
    <xf numFmtId="0" fontId="15" fillId="0" borderId="24" xfId="25" applyFont="1" applyBorder="1" applyAlignment="1">
      <alignment vertical="center"/>
    </xf>
    <xf numFmtId="180" fontId="23" fillId="0" borderId="0" xfId="25" applyNumberFormat="1" applyFont="1" applyBorder="1" applyAlignment="1">
      <alignment horizontal="center" vertical="center"/>
    </xf>
    <xf numFmtId="0" fontId="15" fillId="0" borderId="19" xfId="25" applyFont="1" applyBorder="1" applyAlignment="1">
      <alignment horizontal="left" vertical="center"/>
    </xf>
    <xf numFmtId="0" fontId="19" fillId="0" borderId="6" xfId="25" applyFont="1" applyBorder="1" applyAlignment="1">
      <alignment vertical="center"/>
    </xf>
    <xf numFmtId="1" fontId="49" fillId="0" borderId="7" xfId="25" applyNumberFormat="1" applyFont="1" applyBorder="1" applyAlignment="1">
      <alignment vertical="center"/>
    </xf>
    <xf numFmtId="167" fontId="94" fillId="0" borderId="19" xfId="25" applyNumberFormat="1" applyFont="1" applyBorder="1" applyAlignment="1">
      <alignment vertical="center"/>
    </xf>
    <xf numFmtId="0" fontId="25" fillId="0" borderId="0" xfId="25" applyFont="1" applyBorder="1" applyAlignment="1">
      <alignment horizontal="right" vertical="center"/>
    </xf>
    <xf numFmtId="1" fontId="23" fillId="0" borderId="0" xfId="25" applyNumberFormat="1" applyFont="1" applyBorder="1" applyAlignment="1">
      <alignment horizontal="center" vertical="center"/>
    </xf>
    <xf numFmtId="0" fontId="95" fillId="0" borderId="8" xfId="17" applyFont="1" applyBorder="1" applyAlignment="1">
      <alignment horizontal="left"/>
    </xf>
    <xf numFmtId="0" fontId="15" fillId="0" borderId="18" xfId="25" applyFont="1" applyBorder="1" applyAlignment="1">
      <alignment vertical="center"/>
    </xf>
    <xf numFmtId="0" fontId="15" fillId="0" borderId="22" xfId="25" applyFont="1" applyBorder="1" applyAlignment="1">
      <alignment vertical="center"/>
    </xf>
    <xf numFmtId="0" fontId="15" fillId="1" borderId="21" xfId="25" applyFont="1" applyFill="1" applyBorder="1" applyAlignment="1">
      <alignment vertical="center"/>
    </xf>
    <xf numFmtId="0" fontId="15" fillId="0" borderId="10" xfId="25" applyFont="1" applyBorder="1" applyAlignment="1">
      <alignment vertical="center"/>
    </xf>
    <xf numFmtId="0" fontId="38" fillId="4" borderId="20" xfId="23" applyFont="1" applyFill="1" applyBorder="1"/>
    <xf numFmtId="0" fontId="38" fillId="4" borderId="9" xfId="23" applyFont="1" applyFill="1" applyBorder="1"/>
    <xf numFmtId="0" fontId="38" fillId="4" borderId="24" xfId="23" applyFont="1" applyFill="1" applyBorder="1"/>
    <xf numFmtId="0" fontId="15" fillId="1" borderId="19" xfId="25" applyFont="1" applyFill="1" applyBorder="1" applyAlignment="1">
      <alignment vertical="center"/>
    </xf>
    <xf numFmtId="0" fontId="38" fillId="4" borderId="8" xfId="23" applyFont="1" applyFill="1" applyBorder="1"/>
    <xf numFmtId="0" fontId="38" fillId="4" borderId="0" xfId="23" applyFont="1" applyFill="1" applyBorder="1"/>
    <xf numFmtId="0" fontId="38" fillId="4" borderId="5" xfId="23" applyFont="1" applyFill="1" applyBorder="1"/>
    <xf numFmtId="0" fontId="15" fillId="0" borderId="9" xfId="25" applyFont="1" applyBorder="1" applyAlignment="1">
      <alignment horizontal="center" vertical="center"/>
    </xf>
    <xf numFmtId="0" fontId="94" fillId="0" borderId="0" xfId="25" applyFont="1" applyBorder="1" applyAlignment="1">
      <alignment vertical="center"/>
    </xf>
    <xf numFmtId="0" fontId="49" fillId="0" borderId="0" xfId="25" applyFont="1" applyBorder="1" applyAlignment="1">
      <alignment horizontal="left" vertical="center"/>
    </xf>
    <xf numFmtId="0" fontId="27" fillId="0" borderId="0" xfId="25" applyFont="1" applyBorder="1" applyAlignment="1">
      <alignment horizontal="right" vertical="center"/>
    </xf>
    <xf numFmtId="0" fontId="36" fillId="0" borderId="0" xfId="25" applyFont="1" applyBorder="1" applyAlignment="1">
      <alignment horizontal="right" vertical="center"/>
    </xf>
    <xf numFmtId="0" fontId="36" fillId="0" borderId="0" xfId="25" applyFont="1" applyBorder="1" applyAlignment="1">
      <alignment horizontal="left" vertical="center"/>
    </xf>
    <xf numFmtId="38" fontId="49" fillId="0" borderId="0" xfId="6" applyNumberFormat="1" applyFont="1" applyBorder="1" applyAlignment="1">
      <alignment vertical="center"/>
    </xf>
    <xf numFmtId="0" fontId="36" fillId="0" borderId="0" xfId="25" applyFont="1" applyBorder="1" applyAlignment="1">
      <alignment vertical="center"/>
    </xf>
    <xf numFmtId="0" fontId="31" fillId="0" borderId="0" xfId="25" applyFont="1" applyBorder="1" applyAlignment="1">
      <alignment vertical="center"/>
    </xf>
    <xf numFmtId="1" fontId="25" fillId="0" borderId="0" xfId="25" applyNumberFormat="1" applyFont="1" applyBorder="1" applyAlignment="1">
      <alignment horizontal="right" vertical="center"/>
    </xf>
    <xf numFmtId="0" fontId="15" fillId="1" borderId="22" xfId="25" applyFont="1" applyFill="1" applyBorder="1" applyAlignment="1">
      <alignment vertical="center"/>
    </xf>
    <xf numFmtId="0" fontId="15" fillId="0" borderId="0" xfId="25" applyFont="1" applyBorder="1" applyAlignment="1">
      <alignment horizontal="left" vertical="center"/>
    </xf>
    <xf numFmtId="0" fontId="25" fillId="0" borderId="0" xfId="25" applyFont="1" applyBorder="1" applyAlignment="1">
      <alignment vertical="center"/>
    </xf>
    <xf numFmtId="0" fontId="15" fillId="0" borderId="0" xfId="17" applyFont="1" applyBorder="1"/>
    <xf numFmtId="0" fontId="96" fillId="0" borderId="0" xfId="25" applyFont="1" applyBorder="1" applyAlignment="1">
      <alignment vertical="center"/>
    </xf>
    <xf numFmtId="0" fontId="19" fillId="0" borderId="0" xfId="17" applyFont="1" applyBorder="1"/>
    <xf numFmtId="167" fontId="94" fillId="0" borderId="0" xfId="25" applyNumberFormat="1" applyFont="1" applyBorder="1" applyAlignment="1">
      <alignment vertical="center"/>
    </xf>
    <xf numFmtId="0" fontId="15" fillId="0" borderId="67" xfId="25" applyFont="1" applyBorder="1" applyAlignment="1">
      <alignment vertical="center"/>
    </xf>
    <xf numFmtId="0" fontId="15" fillId="0" borderId="11" xfId="25" applyFont="1" applyBorder="1" applyAlignment="1">
      <alignment horizontal="center" vertical="center"/>
    </xf>
    <xf numFmtId="0" fontId="15" fillId="0" borderId="11" xfId="25" applyFont="1" applyBorder="1" applyAlignment="1">
      <alignment horizontal="right" vertical="center"/>
    </xf>
    <xf numFmtId="0" fontId="15" fillId="0" borderId="68" xfId="25" applyFont="1" applyBorder="1" applyAlignment="1">
      <alignment horizontal="center" vertical="center"/>
    </xf>
    <xf numFmtId="0" fontId="15" fillId="0" borderId="69" xfId="25" applyFont="1" applyBorder="1" applyAlignment="1">
      <alignment vertical="center"/>
    </xf>
    <xf numFmtId="0" fontId="15" fillId="0" borderId="70" xfId="25" applyFont="1" applyBorder="1" applyAlignment="1">
      <alignment vertical="center"/>
    </xf>
    <xf numFmtId="0" fontId="15" fillId="0" borderId="6" xfId="25" applyFont="1" applyBorder="1" applyAlignment="1">
      <alignment horizontal="right" vertical="center"/>
    </xf>
    <xf numFmtId="0" fontId="15" fillId="0" borderId="71" xfId="25" applyFont="1" applyBorder="1" applyAlignment="1">
      <alignment vertical="center"/>
    </xf>
    <xf numFmtId="0" fontId="15" fillId="0" borderId="13" xfId="25" applyFont="1" applyBorder="1" applyAlignment="1">
      <alignment vertical="center"/>
    </xf>
    <xf numFmtId="0" fontId="15" fillId="0" borderId="36" xfId="25" applyFont="1" applyBorder="1" applyAlignment="1">
      <alignment vertical="center"/>
    </xf>
    <xf numFmtId="0" fontId="15" fillId="0" borderId="27" xfId="25" applyFont="1" applyBorder="1" applyAlignment="1">
      <alignment vertical="center"/>
    </xf>
    <xf numFmtId="0" fontId="38" fillId="4" borderId="27" xfId="23" applyFont="1" applyFill="1" applyBorder="1"/>
    <xf numFmtId="0" fontId="38" fillId="4" borderId="13" xfId="23" applyFont="1" applyFill="1" applyBorder="1"/>
    <xf numFmtId="0" fontId="38" fillId="4" borderId="14" xfId="23" applyFont="1" applyFill="1" applyBorder="1"/>
    <xf numFmtId="0" fontId="19" fillId="0" borderId="0" xfId="25" applyFont="1" applyAlignment="1">
      <alignment horizontal="center" vertical="center"/>
    </xf>
    <xf numFmtId="0" fontId="76" fillId="0" borderId="0" xfId="13" applyFont="1" applyFill="1" applyAlignment="1">
      <alignment horizontal="right" vertical="center"/>
    </xf>
    <xf numFmtId="0" fontId="34" fillId="0" borderId="8" xfId="25" applyFont="1" applyBorder="1" applyAlignment="1">
      <alignment vertical="center"/>
    </xf>
    <xf numFmtId="0" fontId="34" fillId="0" borderId="0" xfId="25" applyFont="1" applyBorder="1" applyAlignment="1">
      <alignment vertical="center"/>
    </xf>
    <xf numFmtId="0" fontId="97" fillId="0" borderId="0" xfId="25" applyFont="1" applyBorder="1" applyAlignment="1">
      <alignment horizontal="right" vertical="center"/>
    </xf>
    <xf numFmtId="0" fontId="90" fillId="0" borderId="0" xfId="25" applyFont="1" applyBorder="1" applyAlignment="1">
      <alignment horizontal="right" vertical="center"/>
    </xf>
    <xf numFmtId="0" fontId="98" fillId="0" borderId="0" xfId="25" applyFont="1" applyBorder="1" applyAlignment="1">
      <alignment horizontal="right" vertical="center"/>
    </xf>
    <xf numFmtId="0" fontId="98" fillId="0" borderId="0" xfId="25" applyFont="1" applyBorder="1" applyAlignment="1">
      <alignment horizontal="left" vertical="center"/>
    </xf>
    <xf numFmtId="0" fontId="90" fillId="0" borderId="0" xfId="25" applyFont="1" applyBorder="1" applyAlignment="1">
      <alignment vertical="center"/>
    </xf>
    <xf numFmtId="0" fontId="99" fillId="0" borderId="0" xfId="25" applyFont="1" applyBorder="1" applyAlignment="1">
      <alignment vertical="center"/>
    </xf>
    <xf numFmtId="0" fontId="98" fillId="0" borderId="0" xfId="25" applyFont="1" applyBorder="1" applyAlignment="1">
      <alignment vertical="center"/>
    </xf>
    <xf numFmtId="1" fontId="90" fillId="0" borderId="0" xfId="25" applyNumberFormat="1" applyFont="1" applyBorder="1" applyAlignment="1">
      <alignment horizontal="right" vertical="center"/>
    </xf>
    <xf numFmtId="1" fontId="100" fillId="0" borderId="0" xfId="25" applyNumberFormat="1" applyFont="1" applyBorder="1" applyAlignment="1">
      <alignment horizontal="right" vertical="center"/>
    </xf>
    <xf numFmtId="0" fontId="100" fillId="0" borderId="0" xfId="25" applyFont="1" applyBorder="1" applyAlignment="1">
      <alignment horizontal="left" vertical="center"/>
    </xf>
    <xf numFmtId="1" fontId="98" fillId="0" borderId="0" xfId="25" applyNumberFormat="1" applyFont="1" applyBorder="1" applyAlignment="1">
      <alignment horizontal="right" vertical="center"/>
    </xf>
    <xf numFmtId="0" fontId="100" fillId="0" borderId="0" xfId="25" applyFont="1" applyBorder="1" applyAlignment="1">
      <alignment vertical="center"/>
    </xf>
    <xf numFmtId="49" fontId="77" fillId="0" borderId="0" xfId="10" applyNumberFormat="1" applyFont="1" applyBorder="1"/>
    <xf numFmtId="0" fontId="77" fillId="0" borderId="72" xfId="10" applyFont="1" applyBorder="1"/>
    <xf numFmtId="0" fontId="77" fillId="0" borderId="73" xfId="10" applyFont="1" applyBorder="1" applyAlignment="1">
      <alignment horizontal="center"/>
    </xf>
    <xf numFmtId="0" fontId="77" fillId="0" borderId="74" xfId="10" applyFont="1" applyBorder="1"/>
    <xf numFmtId="0" fontId="77" fillId="0" borderId="75" xfId="10" applyFont="1" applyBorder="1" applyAlignment="1">
      <alignment horizontal="center"/>
    </xf>
    <xf numFmtId="0" fontId="87" fillId="0" borderId="76" xfId="10" applyFont="1" applyBorder="1" applyAlignment="1">
      <alignment horizontal="center"/>
    </xf>
    <xf numFmtId="0" fontId="77" fillId="0" borderId="77" xfId="10" applyFont="1" applyBorder="1"/>
    <xf numFmtId="0" fontId="88" fillId="0" borderId="78" xfId="10" applyFont="1" applyBorder="1" applyAlignment="1">
      <alignment horizontal="center"/>
    </xf>
    <xf numFmtId="0" fontId="77" fillId="0" borderId="79" xfId="10" applyFont="1" applyBorder="1"/>
    <xf numFmtId="0" fontId="77" fillId="0" borderId="80" xfId="10" applyFont="1" applyBorder="1"/>
    <xf numFmtId="0" fontId="77" fillId="0" borderId="81" xfId="10" applyFont="1" applyBorder="1"/>
    <xf numFmtId="0" fontId="88" fillId="0" borderId="82" xfId="10" applyFont="1" applyBorder="1" applyAlignment="1">
      <alignment horizontal="center"/>
    </xf>
    <xf numFmtId="0" fontId="0" fillId="0" borderId="15" xfId="0" quotePrefix="1" applyFill="1" applyBorder="1"/>
    <xf numFmtId="0" fontId="15" fillId="3" borderId="8" xfId="25" applyFont="1" applyFill="1" applyBorder="1" applyAlignment="1">
      <alignment vertical="center"/>
    </xf>
    <xf numFmtId="0" fontId="0" fillId="0" borderId="7" xfId="0" applyBorder="1"/>
    <xf numFmtId="0" fontId="0" fillId="0" borderId="83" xfId="0" applyBorder="1"/>
    <xf numFmtId="0" fontId="0" fillId="0" borderId="84" xfId="0" applyBorder="1"/>
    <xf numFmtId="0" fontId="0" fillId="0" borderId="85" xfId="0" applyBorder="1"/>
    <xf numFmtId="0" fontId="0" fillId="0" borderId="60" xfId="0" applyBorder="1"/>
    <xf numFmtId="1" fontId="58" fillId="0" borderId="0" xfId="10" applyNumberFormat="1" applyFont="1" applyFill="1" applyBorder="1" applyAlignment="1" applyProtection="1">
      <alignment horizontal="center" vertical="center"/>
    </xf>
    <xf numFmtId="0" fontId="0" fillId="0" borderId="6" xfId="0" applyBorder="1"/>
    <xf numFmtId="0" fontId="0" fillId="0" borderId="86" xfId="0" applyBorder="1"/>
    <xf numFmtId="0" fontId="0" fillId="0" borderId="87" xfId="0" applyBorder="1"/>
    <xf numFmtId="0" fontId="0" fillId="0" borderId="84" xfId="0" quotePrefix="1" applyFill="1" applyBorder="1"/>
    <xf numFmtId="0" fontId="0" fillId="0" borderId="87" xfId="0" quotePrefix="1" applyBorder="1"/>
    <xf numFmtId="0" fontId="0" fillId="0" borderId="84" xfId="0" quotePrefix="1" applyBorder="1"/>
    <xf numFmtId="0" fontId="0" fillId="0" borderId="88" xfId="0" quotePrefix="1" applyBorder="1"/>
    <xf numFmtId="0" fontId="0" fillId="0" borderId="89" xfId="0" applyBorder="1"/>
    <xf numFmtId="0" fontId="0" fillId="0" borderId="6" xfId="0" quotePrefix="1" applyFill="1" applyBorder="1"/>
    <xf numFmtId="0" fontId="0" fillId="0" borderId="90" xfId="0" quotePrefix="1" applyFill="1" applyBorder="1"/>
    <xf numFmtId="0" fontId="0" fillId="15" borderId="60" xfId="0" applyFill="1" applyBorder="1"/>
    <xf numFmtId="0" fontId="0" fillId="0" borderId="0" xfId="0" applyAlignment="1">
      <alignment horizontal="center"/>
    </xf>
    <xf numFmtId="0" fontId="119" fillId="0" borderId="35" xfId="10" applyFont="1" applyFill="1" applyBorder="1" applyAlignment="1">
      <alignment horizontal="center" vertical="center"/>
    </xf>
    <xf numFmtId="0" fontId="53" fillId="0" borderId="0" xfId="10" applyFont="1" applyFill="1" applyBorder="1" applyAlignment="1">
      <alignment vertical="center"/>
    </xf>
    <xf numFmtId="0" fontId="51" fillId="0" borderId="0" xfId="10" applyFont="1" applyFill="1" applyBorder="1" applyAlignment="1" applyProtection="1">
      <alignment vertical="center"/>
    </xf>
    <xf numFmtId="0" fontId="58" fillId="0" borderId="4" xfId="10" applyFont="1" applyFill="1" applyBorder="1" applyAlignment="1">
      <alignment vertical="center"/>
    </xf>
    <xf numFmtId="0" fontId="141" fillId="17" borderId="91" xfId="0" applyFont="1" applyFill="1" applyBorder="1" applyAlignment="1">
      <alignment horizontal="center" vertical="center"/>
    </xf>
    <xf numFmtId="0" fontId="142" fillId="17" borderId="92" xfId="0" applyFont="1" applyFill="1" applyBorder="1" applyAlignment="1">
      <alignment horizontal="center" vertical="center"/>
    </xf>
    <xf numFmtId="0" fontId="143" fillId="17" borderId="93" xfId="0" applyFont="1" applyFill="1" applyBorder="1" applyAlignment="1">
      <alignment horizontal="center"/>
    </xf>
    <xf numFmtId="49" fontId="62" fillId="0" borderId="0" xfId="10" applyNumberFormat="1" applyFont="1" applyFill="1" applyBorder="1" applyAlignment="1" applyProtection="1">
      <alignment horizontal="center" vertical="center"/>
    </xf>
    <xf numFmtId="0" fontId="62" fillId="0" borderId="0" xfId="10" applyFont="1" applyFill="1" applyBorder="1" applyAlignment="1">
      <alignment horizontal="left" vertical="center"/>
    </xf>
    <xf numFmtId="0" fontId="63" fillId="0" borderId="0" xfId="10" applyFont="1" applyFill="1" applyBorder="1" applyAlignment="1">
      <alignment vertical="center"/>
    </xf>
    <xf numFmtId="0" fontId="64" fillId="0" borderId="0" xfId="10" applyFont="1" applyFill="1" applyAlignment="1" applyProtection="1">
      <alignment vertical="center"/>
    </xf>
    <xf numFmtId="0" fontId="62" fillId="0" borderId="0" xfId="10" applyNumberFormat="1" applyFont="1" applyFill="1" applyBorder="1" applyAlignment="1">
      <alignment horizontal="center" vertical="center"/>
    </xf>
    <xf numFmtId="49" fontId="58" fillId="0" borderId="0" xfId="10" applyNumberFormat="1" applyFont="1" applyFill="1" applyBorder="1" applyAlignment="1" applyProtection="1">
      <alignment horizontal="center" vertical="center"/>
    </xf>
    <xf numFmtId="0" fontId="109" fillId="0" borderId="4" xfId="10" applyFont="1" applyFill="1" applyBorder="1" applyAlignment="1">
      <alignment horizontal="left" vertical="center"/>
    </xf>
    <xf numFmtId="0" fontId="67" fillId="0" borderId="4" xfId="10" applyFont="1" applyFill="1" applyBorder="1" applyAlignment="1">
      <alignment horizontal="left" vertical="center"/>
    </xf>
    <xf numFmtId="0" fontId="77" fillId="1" borderId="29" xfId="10" applyNumberFormat="1" applyFont="1" applyFill="1" applyBorder="1" applyAlignment="1">
      <alignment horizontal="center"/>
    </xf>
    <xf numFmtId="0" fontId="79" fillId="1" borderId="46" xfId="10" applyNumberFormat="1" applyFont="1" applyFill="1" applyBorder="1"/>
    <xf numFmtId="0" fontId="79" fillId="0" borderId="46" xfId="10" applyNumberFormat="1" applyFont="1" applyBorder="1"/>
    <xf numFmtId="0" fontId="79" fillId="0" borderId="29" xfId="10" applyNumberFormat="1" applyFont="1" applyBorder="1"/>
    <xf numFmtId="0" fontId="79" fillId="0" borderId="29" xfId="10" applyNumberFormat="1" applyFont="1" applyBorder="1" applyAlignment="1">
      <alignment horizontal="center"/>
    </xf>
    <xf numFmtId="0" fontId="79" fillId="0" borderId="28" xfId="10" applyNumberFormat="1" applyFont="1" applyBorder="1" applyAlignment="1">
      <alignment horizontal="right"/>
    </xf>
    <xf numFmtId="0" fontId="79" fillId="0" borderId="0" xfId="10" applyNumberFormat="1" applyFont="1" applyBorder="1"/>
    <xf numFmtId="0" fontId="79" fillId="0" borderId="0" xfId="10" applyNumberFormat="1" applyFont="1"/>
    <xf numFmtId="0" fontId="18" fillId="0" borderId="0" xfId="10" applyNumberFormat="1" applyFont="1" applyFill="1" applyAlignment="1">
      <alignment vertical="center"/>
    </xf>
    <xf numFmtId="49" fontId="81" fillId="0" borderId="34" xfId="10" applyNumberFormat="1" applyFont="1" applyBorder="1" applyAlignment="1">
      <alignment horizontal="center" vertical="center"/>
    </xf>
    <xf numFmtId="49" fontId="85" fillId="0" borderId="0" xfId="10" applyNumberFormat="1" applyFont="1" applyBorder="1"/>
    <xf numFmtId="0" fontId="79" fillId="1" borderId="29" xfId="10" applyNumberFormat="1" applyFont="1" applyFill="1" applyBorder="1"/>
    <xf numFmtId="0" fontId="79" fillId="0" borderId="47" xfId="10" applyNumberFormat="1" applyFont="1" applyBorder="1"/>
    <xf numFmtId="0" fontId="80" fillId="0" borderId="29" xfId="10" applyNumberFormat="1" applyFont="1" applyBorder="1" applyAlignment="1">
      <alignment horizontal="center"/>
    </xf>
    <xf numFmtId="0" fontId="79" fillId="0" borderId="29" xfId="10" applyNumberFormat="1" applyFont="1" applyBorder="1" applyAlignment="1">
      <alignment horizontal="right"/>
    </xf>
    <xf numFmtId="0" fontId="77" fillId="0" borderId="29" xfId="10" applyNumberFormat="1" applyFont="1" applyBorder="1" applyAlignment="1">
      <alignment horizontal="center"/>
    </xf>
    <xf numFmtId="0" fontId="77" fillId="0" borderId="47" xfId="10" applyNumberFormat="1" applyFont="1" applyBorder="1" applyAlignment="1">
      <alignment horizontal="center"/>
    </xf>
    <xf numFmtId="0" fontId="79" fillId="0" borderId="30" xfId="10" applyNumberFormat="1" applyFont="1" applyBorder="1"/>
    <xf numFmtId="0" fontId="82" fillId="0" borderId="48" xfId="10" applyNumberFormat="1" applyFont="1" applyBorder="1" applyAlignment="1">
      <alignment vertical="center"/>
    </xf>
    <xf numFmtId="0" fontId="81" fillId="0" borderId="34" xfId="10" applyNumberFormat="1" applyFont="1" applyBorder="1" applyAlignment="1">
      <alignment horizontal="center" vertical="center"/>
    </xf>
    <xf numFmtId="0" fontId="82" fillId="0" borderId="34" xfId="10" applyNumberFormat="1" applyFont="1" applyBorder="1" applyAlignment="1">
      <alignment vertical="center"/>
    </xf>
    <xf numFmtId="0" fontId="82" fillId="0" borderId="49" xfId="10" applyNumberFormat="1" applyFont="1" applyBorder="1" applyAlignment="1">
      <alignment vertical="center"/>
    </xf>
    <xf numFmtId="0" fontId="82" fillId="0" borderId="34" xfId="10" applyNumberFormat="1" applyFont="1" applyBorder="1" applyAlignment="1">
      <alignment horizontal="center" vertical="center"/>
    </xf>
    <xf numFmtId="0" fontId="82" fillId="0" borderId="50" xfId="10" applyNumberFormat="1" applyFont="1" applyBorder="1" applyAlignment="1">
      <alignment vertical="center"/>
    </xf>
    <xf numFmtId="0" fontId="82" fillId="0" borderId="49" xfId="10" applyNumberFormat="1" applyFont="1" applyBorder="1" applyAlignment="1">
      <alignment horizontal="center" vertical="center"/>
    </xf>
    <xf numFmtId="0" fontId="108" fillId="0" borderId="34" xfId="10" applyNumberFormat="1" applyFont="1" applyBorder="1" applyAlignment="1">
      <alignment horizontal="center" vertical="center"/>
    </xf>
    <xf numFmtId="0" fontId="109" fillId="0" borderId="34" xfId="10" applyNumberFormat="1" applyFont="1" applyBorder="1" applyAlignment="1">
      <alignment horizontal="center" vertical="center"/>
    </xf>
    <xf numFmtId="0" fontId="82" fillId="0" borderId="50" xfId="10" applyNumberFormat="1" applyFont="1" applyBorder="1" applyAlignment="1">
      <alignment horizontal="center" vertical="center"/>
    </xf>
    <xf numFmtId="0" fontId="109" fillId="0" borderId="51" xfId="10" applyNumberFormat="1" applyFont="1" applyBorder="1" applyAlignment="1">
      <alignment horizontal="left" vertical="center"/>
    </xf>
    <xf numFmtId="0" fontId="82" fillId="0" borderId="0" xfId="10" applyNumberFormat="1" applyFont="1" applyAlignment="1">
      <alignment vertical="center"/>
    </xf>
    <xf numFmtId="0" fontId="79" fillId="0" borderId="9" xfId="10" applyNumberFormat="1" applyFont="1" applyBorder="1"/>
    <xf numFmtId="0" fontId="77" fillId="0" borderId="9" xfId="10" applyNumberFormat="1" applyFont="1" applyBorder="1" applyAlignment="1">
      <alignment horizontal="left"/>
    </xf>
    <xf numFmtId="0" fontId="79" fillId="0" borderId="9" xfId="10" applyNumberFormat="1" applyFont="1" applyBorder="1" applyAlignment="1">
      <alignment horizontal="center"/>
    </xf>
    <xf numFmtId="0" fontId="83" fillId="0" borderId="9" xfId="10" applyNumberFormat="1" applyFont="1" applyBorder="1"/>
    <xf numFmtId="0" fontId="80" fillId="0" borderId="44" xfId="10" applyNumberFormat="1" applyFont="1" applyBorder="1" applyAlignment="1">
      <alignment horizontal="center" vertical="center"/>
    </xf>
    <xf numFmtId="0" fontId="111" fillId="0" borderId="9" xfId="10" applyNumberFormat="1" applyFont="1" applyBorder="1" applyAlignment="1">
      <alignment horizontal="left"/>
    </xf>
    <xf numFmtId="0" fontId="79" fillId="0" borderId="28" xfId="10" applyNumberFormat="1" applyFont="1" applyBorder="1" applyAlignment="1">
      <alignment vertical="center"/>
    </xf>
    <xf numFmtId="0" fontId="79" fillId="0" borderId="29" xfId="10" applyNumberFormat="1" applyFont="1" applyBorder="1" applyAlignment="1">
      <alignment vertical="center"/>
    </xf>
    <xf numFmtId="0" fontId="79" fillId="0" borderId="29" xfId="10" applyNumberFormat="1" applyFont="1" applyBorder="1" applyAlignment="1">
      <alignment horizontal="center" vertical="center"/>
    </xf>
    <xf numFmtId="0" fontId="79" fillId="0" borderId="59" xfId="10" applyNumberFormat="1" applyFont="1" applyBorder="1" applyAlignment="1">
      <alignment vertical="center"/>
    </xf>
    <xf numFmtId="0" fontId="79" fillId="0" borderId="30" xfId="10" applyNumberFormat="1" applyFont="1" applyBorder="1" applyAlignment="1">
      <alignment vertical="center"/>
    </xf>
    <xf numFmtId="0" fontId="79" fillId="0" borderId="0" xfId="10" applyNumberFormat="1" applyFont="1" applyAlignment="1">
      <alignment vertical="center"/>
    </xf>
    <xf numFmtId="0" fontId="79" fillId="0" borderId="43" xfId="10" applyNumberFormat="1" applyFont="1" applyBorder="1"/>
    <xf numFmtId="0" fontId="79" fillId="0" borderId="44" xfId="10" applyNumberFormat="1" applyFont="1" applyBorder="1"/>
    <xf numFmtId="0" fontId="79" fillId="0" borderId="44" xfId="10" applyNumberFormat="1" applyFont="1" applyBorder="1" applyAlignment="1"/>
    <xf numFmtId="0" fontId="79" fillId="0" borderId="45" xfId="10" applyNumberFormat="1" applyFont="1" applyBorder="1"/>
    <xf numFmtId="0" fontId="85" fillId="0" borderId="44" xfId="10" applyNumberFormat="1" applyFont="1" applyBorder="1"/>
    <xf numFmtId="0" fontId="79" fillId="0" borderId="44" xfId="10" applyNumberFormat="1" applyFont="1" applyBorder="1" applyAlignment="1">
      <alignment horizontal="center"/>
    </xf>
    <xf numFmtId="0" fontId="86" fillId="0" borderId="44" xfId="10" applyNumberFormat="1" applyFont="1" applyBorder="1" applyAlignment="1">
      <alignment horizontal="centerContinuous"/>
    </xf>
    <xf numFmtId="0" fontId="79" fillId="0" borderId="20" xfId="10" applyNumberFormat="1" applyFont="1" applyBorder="1"/>
    <xf numFmtId="0" fontId="79" fillId="0" borderId="24" xfId="10" applyNumberFormat="1" applyFont="1" applyBorder="1"/>
    <xf numFmtId="0" fontId="79" fillId="0" borderId="4" xfId="10" applyNumberFormat="1" applyFont="1" applyBorder="1"/>
    <xf numFmtId="0" fontId="79" fillId="0" borderId="0" xfId="10" applyNumberFormat="1" applyFont="1" applyBorder="1" applyAlignment="1">
      <alignment horizontal="right"/>
    </xf>
    <xf numFmtId="0" fontId="77" fillId="0" borderId="0" xfId="10" applyNumberFormat="1" applyFont="1" applyBorder="1"/>
    <xf numFmtId="0" fontId="79" fillId="0" borderId="19" xfId="10" applyNumberFormat="1" applyFont="1" applyBorder="1"/>
    <xf numFmtId="0" fontId="79" fillId="0" borderId="8" xfId="10" applyNumberFormat="1" applyFont="1" applyBorder="1"/>
    <xf numFmtId="0" fontId="85" fillId="0" borderId="0" xfId="10" applyNumberFormat="1" applyFont="1" applyBorder="1" applyAlignment="1">
      <alignment horizontal="left"/>
    </xf>
    <xf numFmtId="0" fontId="109" fillId="0" borderId="0" xfId="10" applyNumberFormat="1" applyFont="1" applyBorder="1" applyAlignment="1">
      <alignment horizontal="right"/>
    </xf>
    <xf numFmtId="0" fontId="85" fillId="0" borderId="0" xfId="10" applyNumberFormat="1" applyFont="1" applyBorder="1"/>
    <xf numFmtId="0" fontId="79" fillId="0" borderId="5" xfId="10" applyNumberFormat="1" applyFont="1" applyBorder="1"/>
    <xf numFmtId="0" fontId="80" fillId="0" borderId="0" xfId="10" applyNumberFormat="1" applyFont="1" applyBorder="1"/>
    <xf numFmtId="0" fontId="112" fillId="0" borderId="0" xfId="10" applyNumberFormat="1" applyFont="1" applyBorder="1" applyAlignment="1"/>
    <xf numFmtId="0" fontId="85" fillId="0" borderId="0" xfId="10" applyNumberFormat="1" applyFont="1" applyBorder="1" applyAlignment="1">
      <alignment horizontal="right"/>
    </xf>
    <xf numFmtId="0" fontId="77" fillId="0" borderId="0" xfId="10" applyNumberFormat="1" applyFont="1" applyBorder="1" applyAlignment="1">
      <alignment horizontal="right"/>
    </xf>
    <xf numFmtId="0" fontId="112" fillId="0" borderId="0" xfId="10" applyNumberFormat="1" applyFont="1" applyBorder="1"/>
    <xf numFmtId="0" fontId="18" fillId="0" borderId="0" xfId="10" applyNumberFormat="1" applyFont="1" applyFill="1" applyAlignment="1" applyProtection="1">
      <alignment horizontal="center" vertical="center"/>
      <protection locked="0"/>
    </xf>
    <xf numFmtId="0" fontId="81" fillId="0" borderId="0" xfId="10" applyNumberFormat="1" applyFont="1" applyBorder="1"/>
    <xf numFmtId="0" fontId="79" fillId="0" borderId="0" xfId="10" applyNumberFormat="1" applyFont="1" applyBorder="1" applyAlignment="1">
      <alignment horizontal="center"/>
    </xf>
    <xf numFmtId="0" fontId="109" fillId="0" borderId="0" xfId="10" applyNumberFormat="1" applyFont="1" applyBorder="1"/>
    <xf numFmtId="0" fontId="112" fillId="0" borderId="8" xfId="10" applyNumberFormat="1" applyFont="1" applyBorder="1" applyAlignment="1">
      <alignment horizontal="center" vertical="center"/>
    </xf>
    <xf numFmtId="0" fontId="112" fillId="0" borderId="0" xfId="10" applyNumberFormat="1" applyFont="1" applyBorder="1" applyAlignment="1">
      <alignment horizontal="center"/>
    </xf>
    <xf numFmtId="0" fontId="112" fillId="0" borderId="0" xfId="10" applyNumberFormat="1" applyFont="1" applyBorder="1" applyAlignment="1">
      <alignment horizontal="left"/>
    </xf>
    <xf numFmtId="0" fontId="112" fillId="0" borderId="8" xfId="10" applyNumberFormat="1" applyFont="1" applyBorder="1"/>
    <xf numFmtId="0" fontId="112" fillId="0" borderId="0" xfId="10" applyNumberFormat="1" applyFont="1" applyBorder="1" applyAlignment="1">
      <alignment horizontal="left" vertical="center"/>
    </xf>
    <xf numFmtId="0" fontId="112" fillId="0" borderId="0" xfId="10" applyNumberFormat="1" applyFont="1" applyBorder="1" applyAlignment="1">
      <alignment horizontal="center" vertical="center"/>
    </xf>
    <xf numFmtId="0" fontId="109" fillId="0" borderId="0" xfId="10" applyNumberFormat="1" applyFont="1" applyBorder="1" applyAlignment="1">
      <alignment horizontal="center"/>
    </xf>
    <xf numFmtId="0" fontId="79" fillId="0" borderId="0" xfId="10" applyNumberFormat="1" applyFont="1" applyBorder="1" applyAlignment="1">
      <alignment horizontal="left"/>
    </xf>
    <xf numFmtId="0" fontId="77" fillId="0" borderId="8" xfId="10" applyNumberFormat="1" applyFont="1" applyBorder="1" applyAlignment="1">
      <alignment horizontal="center"/>
    </xf>
    <xf numFmtId="0" fontId="77" fillId="0" borderId="0" xfId="10" applyNumberFormat="1" applyFont="1" applyBorder="1" applyAlignment="1">
      <alignment horizontal="center"/>
    </xf>
    <xf numFmtId="0" fontId="85" fillId="0" borderId="0" xfId="10" applyNumberFormat="1" applyFont="1" applyBorder="1" applyAlignment="1">
      <alignment horizontal="center"/>
    </xf>
    <xf numFmtId="0" fontId="79" fillId="0" borderId="6" xfId="10" applyNumberFormat="1" applyFont="1" applyBorder="1"/>
    <xf numFmtId="0" fontId="79" fillId="0" borderId="11" xfId="10" applyNumberFormat="1" applyFont="1" applyFill="1" applyBorder="1"/>
    <xf numFmtId="0" fontId="79" fillId="0" borderId="7" xfId="10" applyNumberFormat="1" applyFont="1" applyFill="1" applyBorder="1"/>
    <xf numFmtId="0" fontId="79" fillId="0" borderId="18" xfId="10" applyNumberFormat="1" applyFont="1" applyBorder="1"/>
    <xf numFmtId="0" fontId="79" fillId="0" borderId="10" xfId="10" applyNumberFormat="1" applyFont="1" applyBorder="1"/>
    <xf numFmtId="0" fontId="79" fillId="0" borderId="17" xfId="10" applyNumberFormat="1" applyFont="1" applyBorder="1"/>
    <xf numFmtId="0" fontId="79" fillId="0" borderId="21" xfId="10" applyNumberFormat="1" applyFont="1" applyBorder="1"/>
    <xf numFmtId="0" fontId="79" fillId="0" borderId="11" xfId="10" applyNumberFormat="1" applyFont="1" applyBorder="1"/>
    <xf numFmtId="0" fontId="81" fillId="0" borderId="11" xfId="10" applyNumberFormat="1" applyFont="1" applyBorder="1"/>
    <xf numFmtId="0" fontId="77" fillId="0" borderId="11" xfId="10" applyNumberFormat="1" applyFont="1" applyBorder="1"/>
    <xf numFmtId="0" fontId="79" fillId="0" borderId="3" xfId="10" applyNumberFormat="1" applyFont="1" applyBorder="1"/>
    <xf numFmtId="0" fontId="77" fillId="0" borderId="0" xfId="10" applyNumberFormat="1" applyFont="1" applyBorder="1" applyAlignment="1">
      <alignment horizontal="left" vertical="center"/>
    </xf>
    <xf numFmtId="0" fontId="113" fillId="0" borderId="0" xfId="10" applyNumberFormat="1" applyFont="1" applyBorder="1"/>
    <xf numFmtId="0" fontId="79" fillId="0" borderId="9" xfId="10" applyNumberFormat="1" applyFont="1" applyFill="1" applyBorder="1"/>
    <xf numFmtId="0" fontId="79" fillId="0" borderId="21" xfId="10" applyNumberFormat="1" applyFont="1" applyFill="1" applyBorder="1"/>
    <xf numFmtId="0" fontId="82" fillId="0" borderId="0" xfId="10" applyNumberFormat="1" applyFont="1" applyBorder="1"/>
    <xf numFmtId="0" fontId="79" fillId="0" borderId="0" xfId="10" applyNumberFormat="1" applyFont="1" applyFill="1" applyBorder="1"/>
    <xf numFmtId="0" fontId="79" fillId="0" borderId="19" xfId="10" applyNumberFormat="1" applyFont="1" applyFill="1" applyBorder="1"/>
    <xf numFmtId="0" fontId="81" fillId="0" borderId="0" xfId="10" applyNumberFormat="1" applyFont="1" applyBorder="1" applyAlignment="1">
      <alignment horizontal="right"/>
    </xf>
    <xf numFmtId="0" fontId="81" fillId="0" borderId="0" xfId="10" applyNumberFormat="1" applyFont="1" applyBorder="1" applyAlignment="1">
      <alignment vertical="center"/>
    </xf>
    <xf numFmtId="0" fontId="114" fillId="0" borderId="0" xfId="10" applyNumberFormat="1" applyFont="1" applyBorder="1"/>
    <xf numFmtId="0" fontId="79" fillId="0" borderId="4" xfId="10" applyNumberFormat="1" applyFont="1" applyBorder="1" applyAlignment="1">
      <alignment vertical="center"/>
    </xf>
    <xf numFmtId="0" fontId="79" fillId="0" borderId="8" xfId="10" applyNumberFormat="1" applyFont="1" applyBorder="1" applyAlignment="1">
      <alignment vertical="center"/>
    </xf>
    <xf numFmtId="0" fontId="79" fillId="0" borderId="0" xfId="10" applyNumberFormat="1" applyFont="1" applyFill="1" applyBorder="1" applyAlignment="1">
      <alignment vertical="center"/>
    </xf>
    <xf numFmtId="0" fontId="79" fillId="0" borderId="19" xfId="10" applyNumberFormat="1" applyFont="1" applyFill="1" applyBorder="1" applyAlignment="1">
      <alignment vertical="center"/>
    </xf>
    <xf numFmtId="0" fontId="79" fillId="0" borderId="0" xfId="10" applyNumberFormat="1" applyFont="1" applyBorder="1" applyAlignment="1">
      <alignment vertical="center"/>
    </xf>
    <xf numFmtId="0" fontId="79" fillId="0" borderId="19" xfId="10" applyNumberFormat="1" applyFont="1" applyBorder="1" applyAlignment="1">
      <alignment vertical="center"/>
    </xf>
    <xf numFmtId="0" fontId="79" fillId="0" borderId="94" xfId="10" applyNumberFormat="1" applyFont="1" applyBorder="1" applyAlignment="1">
      <alignment vertical="center"/>
    </xf>
    <xf numFmtId="0" fontId="79" fillId="0" borderId="9" xfId="10" applyNumberFormat="1" applyFont="1" applyBorder="1" applyAlignment="1">
      <alignment vertical="center"/>
    </xf>
    <xf numFmtId="0" fontId="109" fillId="0" borderId="9" xfId="10" applyNumberFormat="1" applyFont="1" applyBorder="1" applyAlignment="1">
      <alignment horizontal="center" vertical="center"/>
    </xf>
    <xf numFmtId="0" fontId="77" fillId="0" borderId="0" xfId="10" applyNumberFormat="1" applyFont="1" applyBorder="1" applyAlignment="1">
      <alignment horizontal="left"/>
    </xf>
    <xf numFmtId="0" fontId="77" fillId="0" borderId="44" xfId="10" applyNumberFormat="1" applyFont="1" applyBorder="1" applyAlignment="1">
      <alignment horizontal="right"/>
    </xf>
    <xf numFmtId="0" fontId="115" fillId="5" borderId="15" xfId="10" applyNumberFormat="1" applyFont="1" applyFill="1" applyBorder="1" applyAlignment="1">
      <alignment vertical="center"/>
    </xf>
    <xf numFmtId="0" fontId="18" fillId="2" borderId="21" xfId="10" applyNumberFormat="1" applyFont="1" applyFill="1" applyBorder="1" applyAlignment="1" applyProtection="1">
      <alignment horizontal="center" vertical="center"/>
      <protection locked="0"/>
    </xf>
    <xf numFmtId="0" fontId="18" fillId="2" borderId="19" xfId="10" applyNumberFormat="1" applyFont="1" applyFill="1" applyBorder="1" applyAlignment="1" applyProtection="1">
      <alignment horizontal="center" vertical="center"/>
      <protection locked="0"/>
    </xf>
    <xf numFmtId="0" fontId="81" fillId="0" borderId="19" xfId="10" applyNumberFormat="1" applyFont="1" applyBorder="1" applyAlignment="1">
      <alignment horizontal="right"/>
    </xf>
    <xf numFmtId="0" fontId="81" fillId="0" borderId="0" xfId="10" applyNumberFormat="1" applyFont="1" applyBorder="1" applyAlignment="1">
      <alignment horizontal="center"/>
    </xf>
    <xf numFmtId="0" fontId="79" fillId="0" borderId="0" xfId="10" applyNumberFormat="1" applyFont="1" applyBorder="1" applyAlignment="1">
      <alignment horizontal="center" vertical="center"/>
    </xf>
    <xf numFmtId="0" fontId="79" fillId="0" borderId="5" xfId="10" applyNumberFormat="1" applyFont="1" applyBorder="1" applyAlignment="1">
      <alignment vertical="center"/>
    </xf>
    <xf numFmtId="0" fontId="18" fillId="2" borderId="22" xfId="10" applyNumberFormat="1" applyFont="1" applyFill="1" applyBorder="1" applyAlignment="1" applyProtection="1">
      <alignment horizontal="center" vertical="center"/>
      <protection locked="0"/>
    </xf>
    <xf numFmtId="0" fontId="113" fillId="0" borderId="0" xfId="10" applyNumberFormat="1" applyFont="1" applyBorder="1" applyAlignment="1">
      <alignment horizontal="center"/>
    </xf>
    <xf numFmtId="0" fontId="109" fillId="0" borderId="0" xfId="10" applyNumberFormat="1" applyFont="1" applyBorder="1" applyAlignment="1">
      <alignment vertical="center"/>
    </xf>
    <xf numFmtId="0" fontId="116" fillId="0" borderId="0" xfId="10" applyNumberFormat="1" applyFont="1" applyBorder="1"/>
    <xf numFmtId="0" fontId="79" fillId="0" borderId="64" xfId="10" applyNumberFormat="1" applyFont="1" applyBorder="1"/>
    <xf numFmtId="0" fontId="79" fillId="0" borderId="58" xfId="10" applyNumberFormat="1" applyFont="1" applyBorder="1" applyAlignment="1">
      <alignment horizontal="center"/>
    </xf>
    <xf numFmtId="0" fontId="79" fillId="0" borderId="57" xfId="10" applyNumberFormat="1" applyFont="1" applyBorder="1"/>
    <xf numFmtId="0" fontId="79" fillId="0" borderId="63" xfId="10" applyNumberFormat="1" applyFont="1" applyBorder="1" applyAlignment="1">
      <alignment horizontal="center"/>
    </xf>
    <xf numFmtId="0" fontId="85" fillId="0" borderId="64" xfId="10" applyNumberFormat="1" applyFont="1" applyBorder="1"/>
    <xf numFmtId="0" fontId="79" fillId="0" borderId="58" xfId="10" applyNumberFormat="1" applyFont="1" applyBorder="1"/>
    <xf numFmtId="0" fontId="81" fillId="0" borderId="63" xfId="10" applyNumberFormat="1" applyFont="1" applyBorder="1" applyAlignment="1">
      <alignment horizontal="right"/>
    </xf>
    <xf numFmtId="0" fontId="77" fillId="0" borderId="63" xfId="10" applyNumberFormat="1" applyFont="1" applyBorder="1" applyAlignment="1">
      <alignment horizontal="center"/>
    </xf>
    <xf numFmtId="0" fontId="79" fillId="0" borderId="10" xfId="10" applyNumberFormat="1" applyFont="1" applyFill="1" applyBorder="1"/>
    <xf numFmtId="0" fontId="79" fillId="0" borderId="22" xfId="10" applyNumberFormat="1" applyFont="1" applyFill="1" applyBorder="1"/>
    <xf numFmtId="0" fontId="79" fillId="0" borderId="22" xfId="10" applyNumberFormat="1" applyFont="1" applyBorder="1"/>
    <xf numFmtId="0" fontId="79" fillId="0" borderId="19" xfId="10" applyNumberFormat="1" applyFont="1" applyBorder="1" applyAlignment="1">
      <alignment horizontal="right"/>
    </xf>
    <xf numFmtId="0" fontId="80" fillId="0" borderId="0" xfId="10" applyNumberFormat="1" applyFont="1" applyBorder="1" applyAlignment="1">
      <alignment horizontal="center"/>
    </xf>
    <xf numFmtId="0" fontId="79" fillId="0" borderId="8" xfId="10" applyNumberFormat="1" applyFont="1" applyBorder="1" applyAlignment="1">
      <alignment horizontal="right"/>
    </xf>
    <xf numFmtId="0" fontId="79" fillId="0" borderId="5" xfId="10" applyNumberFormat="1" applyFont="1" applyBorder="1" applyAlignment="1">
      <alignment horizontal="center"/>
    </xf>
    <xf numFmtId="0" fontId="85" fillId="0" borderId="0" xfId="10" applyNumberFormat="1" applyFont="1" applyBorder="1" applyAlignment="1"/>
    <xf numFmtId="0" fontId="109" fillId="0" borderId="0" xfId="10" applyNumberFormat="1" applyFont="1" applyBorder="1" applyAlignment="1">
      <alignment horizontal="left"/>
    </xf>
    <xf numFmtId="0" fontId="113" fillId="0" borderId="0" xfId="10" applyNumberFormat="1" applyFont="1" applyBorder="1" applyAlignment="1">
      <alignment horizontal="right"/>
    </xf>
    <xf numFmtId="0" fontId="79" fillId="0" borderId="23" xfId="10" applyNumberFormat="1" applyFont="1" applyBorder="1"/>
    <xf numFmtId="0" fontId="79" fillId="0" borderId="9" xfId="10" applyNumberFormat="1" applyFont="1" applyBorder="1" applyAlignment="1">
      <alignment horizontal="right"/>
    </xf>
    <xf numFmtId="0" fontId="109" fillId="0" borderId="8" xfId="10" applyNumberFormat="1" applyFont="1" applyBorder="1"/>
    <xf numFmtId="0" fontId="116" fillId="0" borderId="19" xfId="10" applyNumberFormat="1" applyFont="1" applyBorder="1"/>
    <xf numFmtId="0" fontId="79" fillId="0" borderId="40" xfId="10" applyNumberFormat="1" applyFont="1" applyBorder="1" applyAlignment="1">
      <alignment horizontal="right"/>
    </xf>
    <xf numFmtId="0" fontId="79" fillId="0" borderId="41" xfId="10" applyNumberFormat="1" applyFont="1" applyBorder="1" applyAlignment="1">
      <alignment horizontal="left"/>
    </xf>
    <xf numFmtId="0" fontId="79" fillId="0" borderId="42" xfId="10" applyNumberFormat="1" applyFont="1" applyBorder="1" applyAlignment="1">
      <alignment horizontal="right"/>
    </xf>
    <xf numFmtId="0" fontId="116" fillId="0" borderId="8" xfId="10" applyNumberFormat="1" applyFont="1" applyBorder="1"/>
    <xf numFmtId="0" fontId="79" fillId="0" borderId="25" xfId="10" applyNumberFormat="1" applyFont="1" applyBorder="1" applyAlignment="1">
      <alignment horizontal="center"/>
    </xf>
    <xf numFmtId="0" fontId="79" fillId="0" borderId="26" xfId="10" applyNumberFormat="1" applyFont="1" applyBorder="1"/>
    <xf numFmtId="0" fontId="80" fillId="0" borderId="8" xfId="10" applyNumberFormat="1" applyFont="1" applyBorder="1"/>
    <xf numFmtId="0" fontId="82" fillId="0" borderId="0" xfId="10" applyNumberFormat="1" applyFont="1" applyBorder="1" applyAlignment="1">
      <alignment horizontal="center"/>
    </xf>
    <xf numFmtId="0" fontId="118" fillId="0" borderId="0" xfId="10" applyNumberFormat="1" applyFont="1" applyBorder="1" applyAlignment="1">
      <alignment horizontal="right"/>
    </xf>
    <xf numFmtId="0" fontId="79" fillId="0" borderId="12" xfId="10" applyNumberFormat="1" applyFont="1" applyBorder="1"/>
    <xf numFmtId="0" fontId="79" fillId="0" borderId="13" xfId="10" applyNumberFormat="1" applyFont="1" applyBorder="1"/>
    <xf numFmtId="0" fontId="79" fillId="0" borderId="36" xfId="10" applyNumberFormat="1" applyFont="1" applyBorder="1"/>
    <xf numFmtId="0" fontId="79" fillId="0" borderId="27" xfId="10" applyNumberFormat="1" applyFont="1" applyBorder="1"/>
    <xf numFmtId="0" fontId="79" fillId="0" borderId="14" xfId="10" applyNumberFormat="1" applyFont="1" applyBorder="1"/>
    <xf numFmtId="0" fontId="79" fillId="0" borderId="0" xfId="10" applyNumberFormat="1" applyFont="1" applyAlignment="1">
      <alignment horizontal="left"/>
    </xf>
    <xf numFmtId="0" fontId="76" fillId="0" borderId="0" xfId="10" applyNumberFormat="1" applyFont="1" applyFill="1" applyAlignment="1">
      <alignment horizontal="right" vertical="center"/>
    </xf>
    <xf numFmtId="0" fontId="77" fillId="0" borderId="32" xfId="10" applyFont="1" applyBorder="1" applyAlignment="1">
      <alignment vertical="center"/>
    </xf>
    <xf numFmtId="0" fontId="79" fillId="0" borderId="4" xfId="10" applyFont="1" applyBorder="1"/>
    <xf numFmtId="0" fontId="77" fillId="0" borderId="5" xfId="10" applyFont="1" applyBorder="1" applyAlignment="1">
      <alignment vertical="center"/>
    </xf>
    <xf numFmtId="0" fontId="77" fillId="0" borderId="5" xfId="10" applyFont="1" applyBorder="1" applyAlignment="1">
      <alignment horizontal="right"/>
    </xf>
    <xf numFmtId="0" fontId="77" fillId="0" borderId="32" xfId="10" applyFont="1" applyBorder="1" applyAlignment="1">
      <alignment horizontal="center" vertical="center"/>
    </xf>
    <xf numFmtId="0" fontId="77" fillId="0" borderId="95" xfId="10" applyFont="1" applyBorder="1" applyAlignment="1">
      <alignment vertical="center"/>
    </xf>
    <xf numFmtId="0" fontId="77" fillId="0" borderId="32" xfId="10" applyFont="1" applyBorder="1" applyAlignment="1">
      <alignment horizontal="left" vertical="center"/>
    </xf>
    <xf numFmtId="0" fontId="86" fillId="0" borderId="0" xfId="10" applyFont="1" applyBorder="1" applyAlignment="1">
      <alignment horizontal="centerContinuous"/>
    </xf>
    <xf numFmtId="0" fontId="77" fillId="0" borderId="5" xfId="10" applyFont="1" applyBorder="1" applyAlignment="1">
      <alignment horizontal="centerContinuous"/>
    </xf>
    <xf numFmtId="0" fontId="77" fillId="0" borderId="32" xfId="10" applyFont="1" applyBorder="1"/>
    <xf numFmtId="0" fontId="109" fillId="0" borderId="0" xfId="10" applyNumberFormat="1" applyFont="1" applyBorder="1" applyAlignment="1">
      <alignment horizontal="center" vertical="center"/>
    </xf>
    <xf numFmtId="0" fontId="77" fillId="0" borderId="0" xfId="10" applyNumberFormat="1" applyFont="1" applyBorder="1" applyAlignment="1">
      <alignment horizontal="center" vertical="top" textRotation="255"/>
    </xf>
    <xf numFmtId="0" fontId="79" fillId="0" borderId="0" xfId="10" applyNumberFormat="1" applyFont="1" applyBorder="1" applyAlignment="1">
      <alignment horizontal="center" vertical="top" textRotation="255"/>
    </xf>
    <xf numFmtId="0" fontId="26" fillId="0" borderId="21" xfId="10" applyFont="1" applyFill="1" applyBorder="1" applyAlignment="1">
      <alignment vertical="center"/>
    </xf>
    <xf numFmtId="0" fontId="66" fillId="0" borderId="8" xfId="10" applyFont="1" applyFill="1" applyBorder="1" applyAlignment="1">
      <alignment horizontal="left" vertical="center"/>
    </xf>
    <xf numFmtId="0" fontId="79" fillId="0" borderId="20" xfId="10" applyNumberFormat="1" applyFont="1" applyBorder="1" applyAlignment="1">
      <alignment vertical="center"/>
    </xf>
    <xf numFmtId="0" fontId="79" fillId="0" borderId="21" xfId="10" applyNumberFormat="1" applyFont="1" applyBorder="1" applyAlignment="1">
      <alignment vertical="center"/>
    </xf>
    <xf numFmtId="0" fontId="79" fillId="0" borderId="45" xfId="10" applyNumberFormat="1" applyFont="1" applyBorder="1" applyAlignment="1">
      <alignment horizontal="centerContinuous"/>
    </xf>
    <xf numFmtId="0" fontId="79" fillId="0" borderId="19" xfId="10" applyNumberFormat="1" applyFont="1" applyBorder="1" applyAlignment="1">
      <alignment horizontal="left"/>
    </xf>
    <xf numFmtId="0" fontId="81" fillId="0" borderId="8" xfId="10" applyNumberFormat="1" applyFont="1" applyBorder="1" applyAlignment="1">
      <alignment horizontal="left"/>
    </xf>
    <xf numFmtId="0" fontId="113" fillId="0" borderId="19" xfId="10" applyNumberFormat="1" applyFont="1" applyBorder="1"/>
    <xf numFmtId="1" fontId="77" fillId="0" borderId="63" xfId="10" applyNumberFormat="1" applyFont="1" applyBorder="1" applyAlignment="1">
      <alignment horizontal="right"/>
    </xf>
    <xf numFmtId="1" fontId="77" fillId="0" borderId="96" xfId="10" applyNumberFormat="1" applyFont="1" applyBorder="1" applyAlignment="1">
      <alignment horizontal="right"/>
    </xf>
    <xf numFmtId="0" fontId="38" fillId="13" borderId="29" xfId="21" applyFont="1" applyFill="1" applyBorder="1"/>
    <xf numFmtId="0" fontId="41" fillId="0" borderId="0" xfId="21" applyFont="1" applyBorder="1"/>
    <xf numFmtId="0" fontId="15" fillId="0" borderId="0" xfId="18" applyFont="1" applyFill="1" applyBorder="1" applyAlignment="1" applyProtection="1">
      <alignment horizontal="left" vertical="center"/>
    </xf>
    <xf numFmtId="0" fontId="13" fillId="0" borderId="0" xfId="18" applyFont="1" applyBorder="1" applyAlignment="1" applyProtection="1">
      <alignment vertical="center"/>
    </xf>
    <xf numFmtId="0" fontId="15" fillId="0" borderId="10" xfId="18" applyFont="1" applyBorder="1" applyAlignment="1" applyProtection="1">
      <alignment vertical="center"/>
    </xf>
    <xf numFmtId="0" fontId="13" fillId="0" borderId="10" xfId="18" applyFont="1" applyBorder="1" applyAlignment="1" applyProtection="1">
      <alignment vertical="center"/>
    </xf>
    <xf numFmtId="0" fontId="144" fillId="0" borderId="0" xfId="0" applyFont="1"/>
    <xf numFmtId="0" fontId="0" fillId="0" borderId="54" xfId="0" applyBorder="1" applyAlignment="1">
      <alignment horizontal="center" vertical="center"/>
    </xf>
    <xf numFmtId="0" fontId="0" fillId="0" borderId="17" xfId="0" applyBorder="1"/>
    <xf numFmtId="0" fontId="0" fillId="0" borderId="3" xfId="0" applyBorder="1"/>
    <xf numFmtId="0" fontId="0" fillId="0" borderId="97" xfId="0" applyBorder="1"/>
    <xf numFmtId="0" fontId="145" fillId="0" borderId="15" xfId="0" applyFont="1" applyFill="1" applyBorder="1" applyAlignment="1">
      <alignment horizontal="center" vertical="center"/>
    </xf>
    <xf numFmtId="49" fontId="126" fillId="12" borderId="1" xfId="0" applyNumberFormat="1" applyFont="1" applyFill="1" applyBorder="1" applyAlignment="1" applyProtection="1">
      <alignment horizontal="center" vertical="center"/>
      <protection locked="0"/>
    </xf>
    <xf numFmtId="0" fontId="138" fillId="19" borderId="60" xfId="0" applyFont="1" applyFill="1" applyBorder="1" applyAlignment="1">
      <alignment horizontal="center"/>
    </xf>
    <xf numFmtId="0" fontId="138" fillId="19" borderId="60" xfId="0" applyFont="1" applyFill="1" applyBorder="1" applyAlignment="1">
      <alignment horizontal="center" wrapText="1"/>
    </xf>
    <xf numFmtId="0" fontId="138" fillId="19" borderId="60" xfId="0" applyFont="1" applyFill="1" applyBorder="1"/>
    <xf numFmtId="0" fontId="138" fillId="19" borderId="86" xfId="0" applyFont="1" applyFill="1" applyBorder="1"/>
    <xf numFmtId="0" fontId="146" fillId="19" borderId="7" xfId="0" applyFont="1" applyFill="1" applyBorder="1"/>
    <xf numFmtId="0" fontId="138" fillId="19" borderId="15" xfId="0" applyFont="1" applyFill="1" applyBorder="1" applyAlignment="1">
      <alignment horizontal="center" vertical="center"/>
    </xf>
    <xf numFmtId="0" fontId="138" fillId="19" borderId="15" xfId="0" applyFont="1" applyFill="1" applyBorder="1"/>
    <xf numFmtId="0" fontId="138" fillId="19" borderId="87" xfId="0" applyFont="1" applyFill="1" applyBorder="1"/>
    <xf numFmtId="0" fontId="147" fillId="19" borderId="98" xfId="0" applyFont="1" applyFill="1" applyBorder="1" applyAlignment="1">
      <alignment vertical="center"/>
    </xf>
    <xf numFmtId="0" fontId="138" fillId="19" borderId="25" xfId="0" applyFont="1" applyFill="1" applyBorder="1"/>
    <xf numFmtId="0" fontId="138" fillId="19" borderId="85" xfId="0" applyFont="1" applyFill="1" applyBorder="1"/>
    <xf numFmtId="0" fontId="138" fillId="19" borderId="7" xfId="0" applyFont="1" applyFill="1" applyBorder="1"/>
    <xf numFmtId="0" fontId="147" fillId="19" borderId="7" xfId="0" applyFont="1" applyFill="1" applyBorder="1" applyAlignment="1">
      <alignment vertical="center"/>
    </xf>
    <xf numFmtId="0" fontId="148" fillId="0" borderId="0" xfId="0" applyFont="1" applyAlignment="1">
      <alignment horizontal="center"/>
    </xf>
    <xf numFmtId="0" fontId="149" fillId="19" borderId="15" xfId="0" applyFont="1" applyFill="1" applyBorder="1" applyAlignment="1">
      <alignment horizontal="center" vertical="center"/>
    </xf>
    <xf numFmtId="0" fontId="139" fillId="0" borderId="7" xfId="0" applyFont="1" applyBorder="1" applyAlignment="1">
      <alignment horizontal="center" vertical="center"/>
    </xf>
    <xf numFmtId="0" fontId="14" fillId="0" borderId="0" xfId="19" applyFont="1" applyAlignment="1" applyProtection="1">
      <alignment vertical="center"/>
    </xf>
    <xf numFmtId="0" fontId="38" fillId="0" borderId="0" xfId="22" applyFont="1"/>
    <xf numFmtId="0" fontId="38" fillId="13" borderId="28" xfId="22" applyFont="1" applyFill="1" applyBorder="1"/>
    <xf numFmtId="0" fontId="19" fillId="13" borderId="29" xfId="19" applyFont="1" applyFill="1" applyBorder="1" applyAlignment="1" applyProtection="1">
      <alignment horizontal="left" vertical="center"/>
    </xf>
    <xf numFmtId="0" fontId="14" fillId="13" borderId="29" xfId="19" applyFont="1" applyFill="1" applyBorder="1" applyAlignment="1" applyProtection="1">
      <alignment vertical="center"/>
    </xf>
    <xf numFmtId="0" fontId="15" fillId="13" borderId="29" xfId="19" applyFont="1" applyFill="1" applyBorder="1" applyAlignment="1" applyProtection="1">
      <alignment vertical="center"/>
    </xf>
    <xf numFmtId="0" fontId="14" fillId="13" borderId="30" xfId="19" applyFont="1" applyFill="1" applyBorder="1" applyAlignment="1" applyProtection="1">
      <alignment vertical="center"/>
    </xf>
    <xf numFmtId="0" fontId="38" fillId="0" borderId="4" xfId="22" applyFont="1" applyBorder="1"/>
    <xf numFmtId="0" fontId="38" fillId="0" borderId="0" xfId="22" applyFont="1" applyBorder="1"/>
    <xf numFmtId="0" fontId="38" fillId="0" borderId="5" xfId="22" applyFont="1" applyBorder="1"/>
    <xf numFmtId="0" fontId="22" fillId="0" borderId="6" xfId="19" applyFont="1" applyBorder="1" applyAlignment="1" applyProtection="1">
      <alignment horizontal="center" vertical="center"/>
    </xf>
    <xf numFmtId="0" fontId="38" fillId="0" borderId="11" xfId="22" applyFont="1" applyBorder="1"/>
    <xf numFmtId="0" fontId="38" fillId="0" borderId="7" xfId="22" applyFont="1" applyBorder="1"/>
    <xf numFmtId="0" fontId="38" fillId="0" borderId="19" xfId="22" applyFont="1" applyBorder="1"/>
    <xf numFmtId="0" fontId="38" fillId="0" borderId="8" xfId="22" applyFont="1" applyBorder="1"/>
    <xf numFmtId="0" fontId="15" fillId="0" borderId="9" xfId="19" applyFont="1" applyBorder="1" applyAlignment="1" applyProtection="1">
      <alignment vertical="center"/>
    </xf>
    <xf numFmtId="1" fontId="20" fillId="0" borderId="6" xfId="19" applyNumberFormat="1" applyFont="1" applyBorder="1" applyAlignment="1" applyProtection="1">
      <alignment horizontal="center" vertical="center"/>
      <protection locked="0"/>
    </xf>
    <xf numFmtId="0" fontId="19" fillId="0" borderId="10" xfId="19" applyFont="1" applyBorder="1" applyAlignment="1" applyProtection="1">
      <alignment horizontal="center" vertical="center"/>
    </xf>
    <xf numFmtId="1" fontId="20" fillId="0" borderId="11" xfId="19" applyNumberFormat="1" applyFont="1" applyBorder="1" applyAlignment="1" applyProtection="1">
      <alignment vertical="center"/>
      <protection locked="0"/>
    </xf>
    <xf numFmtId="0" fontId="38" fillId="0" borderId="0" xfId="22" quotePrefix="1" applyFont="1" applyBorder="1"/>
    <xf numFmtId="0" fontId="39" fillId="0" borderId="0" xfId="22" applyFont="1" applyBorder="1" applyAlignment="1">
      <alignment horizontal="left"/>
    </xf>
    <xf numFmtId="49" fontId="20" fillId="0" borderId="7" xfId="19" applyNumberFormat="1" applyFont="1" applyFill="1" applyBorder="1" applyAlignment="1" applyProtection="1">
      <alignment horizontal="center" vertical="center"/>
      <protection locked="0"/>
    </xf>
    <xf numFmtId="167" fontId="20" fillId="0" borderId="7" xfId="19" applyNumberFormat="1" applyFont="1" applyBorder="1" applyAlignment="1" applyProtection="1">
      <alignment horizontal="center" vertical="center"/>
    </xf>
    <xf numFmtId="0" fontId="39" fillId="0" borderId="0" xfId="22" applyFont="1" applyBorder="1"/>
    <xf numFmtId="0" fontId="40" fillId="0" borderId="0" xfId="22" applyFont="1" applyFill="1" applyBorder="1" applyAlignment="1">
      <alignment horizontal="center"/>
    </xf>
    <xf numFmtId="0" fontId="40" fillId="0" borderId="0" xfId="22" applyFont="1" applyBorder="1" applyAlignment="1">
      <alignment horizontal="center" vertical="center"/>
    </xf>
    <xf numFmtId="2" fontId="39" fillId="0" borderId="0" xfId="22" applyNumberFormat="1" applyFont="1" applyBorder="1" applyAlignment="1" applyProtection="1">
      <alignment horizontal="center" vertical="center"/>
      <protection hidden="1"/>
    </xf>
    <xf numFmtId="0" fontId="2" fillId="0" borderId="0" xfId="12" applyBorder="1"/>
    <xf numFmtId="0" fontId="38" fillId="0" borderId="13" xfId="22" applyFont="1" applyBorder="1"/>
    <xf numFmtId="0" fontId="39" fillId="0" borderId="0" xfId="22" applyFont="1" applyFill="1" applyBorder="1" applyAlignment="1">
      <alignment horizontal="center" vertical="center"/>
    </xf>
    <xf numFmtId="0" fontId="38" fillId="0" borderId="4" xfId="22" applyFont="1" applyBorder="1" applyAlignment="1" applyProtection="1">
      <alignment horizontal="center" vertical="center"/>
    </xf>
    <xf numFmtId="0" fontId="39" fillId="0" borderId="0" xfId="22" applyFont="1" applyBorder="1" applyAlignment="1"/>
    <xf numFmtId="0" fontId="38" fillId="0" borderId="0" xfId="22" applyFont="1" applyBorder="1" applyAlignment="1">
      <alignment horizontal="centerContinuous"/>
    </xf>
    <xf numFmtId="0" fontId="39" fillId="0" borderId="0" xfId="22" applyFont="1" applyBorder="1" applyAlignment="1">
      <alignment horizontal="right"/>
    </xf>
    <xf numFmtId="0" fontId="39" fillId="0" borderId="0" xfId="22" applyFont="1" applyBorder="1" applyAlignment="1">
      <alignment horizontal="center" vertical="center"/>
    </xf>
    <xf numFmtId="0" fontId="38" fillId="0" borderId="4" xfId="22" applyFont="1" applyBorder="1" applyAlignment="1">
      <alignment vertical="center"/>
    </xf>
    <xf numFmtId="0" fontId="27" fillId="0" borderId="0" xfId="22" applyFont="1" applyBorder="1" applyAlignment="1">
      <alignment horizontal="right" vertical="center"/>
    </xf>
    <xf numFmtId="1" fontId="27" fillId="0" borderId="0" xfId="22" applyNumberFormat="1" applyFont="1" applyBorder="1" applyAlignment="1">
      <alignment horizontal="center" vertical="center"/>
    </xf>
    <xf numFmtId="0" fontId="39" fillId="0" borderId="0" xfId="22" applyFont="1" applyBorder="1" applyAlignment="1">
      <alignment vertical="center"/>
    </xf>
    <xf numFmtId="0" fontId="38" fillId="0" borderId="0" xfId="22" applyFont="1" applyBorder="1" applyAlignment="1">
      <alignment vertical="center"/>
    </xf>
    <xf numFmtId="1" fontId="20" fillId="0" borderId="7" xfId="19" applyNumberFormat="1" applyFont="1" applyFill="1" applyBorder="1" applyAlignment="1" applyProtection="1">
      <alignment horizontal="center" vertical="center"/>
      <protection locked="0"/>
    </xf>
    <xf numFmtId="0" fontId="38" fillId="0" borderId="5" xfId="22" applyFont="1" applyBorder="1" applyAlignment="1">
      <alignment vertical="center"/>
    </xf>
    <xf numFmtId="0" fontId="38" fillId="0" borderId="0" xfId="22" applyFont="1" applyBorder="1" applyAlignment="1">
      <alignment horizontal="right"/>
    </xf>
    <xf numFmtId="0" fontId="38" fillId="0" borderId="0" xfId="22" applyFont="1" applyAlignment="1">
      <alignment vertical="center"/>
    </xf>
    <xf numFmtId="1" fontId="39" fillId="0" borderId="0" xfId="22" applyNumberFormat="1" applyFont="1" applyBorder="1" applyAlignment="1">
      <alignment horizontal="left"/>
    </xf>
    <xf numFmtId="0" fontId="38" fillId="0" borderId="0" xfId="22" applyFont="1" applyBorder="1" applyAlignment="1">
      <alignment horizontal="left"/>
    </xf>
    <xf numFmtId="0" fontId="40" fillId="0" borderId="0" xfId="22" applyFont="1" applyFill="1" applyBorder="1" applyAlignment="1">
      <alignment horizontal="left" vertical="center"/>
    </xf>
    <xf numFmtId="0" fontId="38" fillId="0" borderId="4" xfId="22" applyFont="1" applyBorder="1" applyAlignment="1"/>
    <xf numFmtId="0" fontId="38" fillId="0" borderId="0" xfId="22" applyFont="1" applyBorder="1" applyAlignment="1"/>
    <xf numFmtId="0" fontId="39" fillId="0" borderId="0" xfId="22" applyFont="1" applyBorder="1" applyAlignment="1">
      <alignment horizontal="center"/>
    </xf>
    <xf numFmtId="1" fontId="20" fillId="0" borderId="11" xfId="19" applyNumberFormat="1" applyFont="1" applyBorder="1" applyAlignment="1" applyProtection="1">
      <alignment horizontal="center" vertical="center"/>
    </xf>
    <xf numFmtId="0" fontId="31" fillId="0" borderId="11" xfId="19" applyFont="1" applyBorder="1" applyAlignment="1" applyProtection="1">
      <alignment horizontal="right" vertical="center"/>
    </xf>
    <xf numFmtId="0" fontId="14" fillId="0" borderId="11" xfId="19" applyFont="1" applyBorder="1" applyAlignment="1" applyProtection="1">
      <alignment vertical="center"/>
    </xf>
    <xf numFmtId="0" fontId="14" fillId="0" borderId="7" xfId="19" applyFont="1" applyBorder="1" applyAlignment="1" applyProtection="1">
      <alignment vertical="center"/>
    </xf>
    <xf numFmtId="0" fontId="20" fillId="0" borderId="0" xfId="19" applyFont="1" applyBorder="1" applyAlignment="1" applyProtection="1">
      <alignment horizontal="left" vertical="center"/>
    </xf>
    <xf numFmtId="1" fontId="20" fillId="0" borderId="0" xfId="19" applyNumberFormat="1" applyFont="1" applyBorder="1" applyAlignment="1" applyProtection="1">
      <alignment horizontal="center" vertical="center"/>
    </xf>
    <xf numFmtId="1" fontId="20" fillId="0" borderId="0" xfId="19" applyNumberFormat="1" applyFont="1" applyBorder="1" applyAlignment="1" applyProtection="1">
      <alignment horizontal="right" vertical="center"/>
    </xf>
    <xf numFmtId="0" fontId="27" fillId="0" borderId="0" xfId="22" applyFont="1" applyBorder="1"/>
    <xf numFmtId="1" fontId="46" fillId="0" borderId="0" xfId="9" applyNumberFormat="1" applyFont="1" applyBorder="1" applyAlignment="1"/>
    <xf numFmtId="0" fontId="47" fillId="0" borderId="4" xfId="22" applyFont="1" applyBorder="1"/>
    <xf numFmtId="1" fontId="46" fillId="0" borderId="0" xfId="9" applyNumberFormat="1" applyFont="1" applyBorder="1" applyAlignment="1">
      <alignment horizontal="left"/>
    </xf>
    <xf numFmtId="0" fontId="46" fillId="0" borderId="0" xfId="22" applyFont="1" applyBorder="1"/>
    <xf numFmtId="0" fontId="22" fillId="0" borderId="0" xfId="19" applyFont="1" applyBorder="1" applyAlignment="1" applyProtection="1">
      <alignment horizontal="center" vertical="center"/>
    </xf>
    <xf numFmtId="0" fontId="23" fillId="0" borderId="4" xfId="22" applyFont="1" applyBorder="1"/>
    <xf numFmtId="0" fontId="39" fillId="0" borderId="5" xfId="22" applyFont="1" applyBorder="1"/>
    <xf numFmtId="0" fontId="39" fillId="0" borderId="4" xfId="22" applyFont="1" applyBorder="1"/>
    <xf numFmtId="1" fontId="19" fillId="0" borderId="0" xfId="9" applyNumberFormat="1" applyFont="1" applyBorder="1" applyAlignment="1">
      <alignment horizontal="center"/>
    </xf>
    <xf numFmtId="1" fontId="23" fillId="0" borderId="11" xfId="19" applyNumberFormat="1" applyFont="1" applyBorder="1" applyAlignment="1" applyProtection="1">
      <alignment horizontal="center" vertical="center"/>
    </xf>
    <xf numFmtId="0" fontId="2" fillId="0" borderId="0" xfId="12" applyBorder="1" applyAlignment="1">
      <alignment vertical="center"/>
    </xf>
    <xf numFmtId="1" fontId="23" fillId="0" borderId="0" xfId="19" applyNumberFormat="1" applyFont="1" applyBorder="1" applyAlignment="1" applyProtection="1">
      <alignment horizontal="center" vertical="center"/>
    </xf>
    <xf numFmtId="0" fontId="35" fillId="0" borderId="0" xfId="19" applyFont="1" applyBorder="1" applyAlignment="1" applyProtection="1">
      <alignment horizontal="center" vertical="center"/>
    </xf>
    <xf numFmtId="0" fontId="38" fillId="0" borderId="12" xfId="22" applyFont="1" applyBorder="1"/>
    <xf numFmtId="0" fontId="38" fillId="0" borderId="13" xfId="22" applyFont="1" applyBorder="1" applyAlignment="1">
      <alignment horizontal="center" vertical="center"/>
    </xf>
    <xf numFmtId="0" fontId="39" fillId="0" borderId="13" xfId="22" applyFont="1" applyBorder="1"/>
    <xf numFmtId="0" fontId="38" fillId="0" borderId="14" xfId="22" applyFont="1" applyBorder="1"/>
    <xf numFmtId="0" fontId="38" fillId="0" borderId="4" xfId="22" applyFont="1" applyFill="1" applyBorder="1"/>
    <xf numFmtId="0" fontId="38" fillId="0" borderId="0" xfId="22" applyFont="1" applyFill="1" applyBorder="1"/>
    <xf numFmtId="0" fontId="15" fillId="0" borderId="4" xfId="19" applyFont="1" applyBorder="1" applyAlignment="1" applyProtection="1">
      <alignment vertical="center"/>
    </xf>
    <xf numFmtId="0" fontId="15" fillId="0" borderId="0" xfId="19" applyFont="1" applyBorder="1" applyAlignment="1" applyProtection="1">
      <alignment vertical="center"/>
    </xf>
    <xf numFmtId="0" fontId="14" fillId="0" borderId="0" xfId="19" applyFont="1" applyBorder="1" applyAlignment="1" applyProtection="1">
      <alignment vertical="center"/>
    </xf>
    <xf numFmtId="0" fontId="14" fillId="0" borderId="5" xfId="19" applyFont="1" applyBorder="1" applyAlignment="1" applyProtection="1">
      <alignment vertical="center"/>
    </xf>
    <xf numFmtId="0" fontId="31" fillId="0" borderId="0" xfId="22" applyFont="1" applyFill="1" applyBorder="1" applyAlignment="1">
      <alignment horizontal="center"/>
    </xf>
    <xf numFmtId="0" fontId="43" fillId="0" borderId="0" xfId="22" applyFont="1" applyFill="1" applyBorder="1"/>
    <xf numFmtId="1" fontId="43" fillId="0" borderId="0" xfId="22" applyNumberFormat="1" applyFont="1" applyFill="1" applyBorder="1"/>
    <xf numFmtId="0" fontId="43" fillId="0" borderId="0" xfId="22" quotePrefix="1" applyFont="1" applyFill="1" applyBorder="1"/>
    <xf numFmtId="1" fontId="43" fillId="0" borderId="0" xfId="22" applyNumberFormat="1" applyFont="1" applyFill="1" applyBorder="1" applyAlignment="1">
      <alignment horizontal="center"/>
    </xf>
    <xf numFmtId="0" fontId="31" fillId="0" borderId="0" xfId="22" applyFont="1" applyFill="1" applyBorder="1"/>
    <xf numFmtId="0" fontId="15" fillId="0" borderId="4" xfId="19" applyFont="1" applyFill="1" applyBorder="1" applyAlignment="1" applyProtection="1">
      <alignment horizontal="left" vertical="center"/>
    </xf>
    <xf numFmtId="0" fontId="22" fillId="0" borderId="6" xfId="19" applyFont="1" applyBorder="1" applyAlignment="1" applyProtection="1">
      <alignment vertical="center"/>
    </xf>
    <xf numFmtId="0" fontId="14" fillId="0" borderId="5" xfId="19" applyFont="1" applyFill="1" applyBorder="1" applyAlignment="1" applyProtection="1">
      <alignment vertical="center"/>
    </xf>
    <xf numFmtId="0" fontId="38" fillId="14" borderId="28" xfId="22" applyFont="1" applyFill="1" applyBorder="1"/>
    <xf numFmtId="0" fontId="38" fillId="14" borderId="29" xfId="22" applyFont="1" applyFill="1" applyBorder="1"/>
    <xf numFmtId="0" fontId="38" fillId="14" borderId="30" xfId="22" applyFont="1" applyFill="1" applyBorder="1"/>
    <xf numFmtId="0" fontId="38" fillId="14" borderId="4" xfId="22" applyFont="1" applyFill="1" applyBorder="1"/>
    <xf numFmtId="0" fontId="38" fillId="14" borderId="0" xfId="22" applyFont="1" applyFill="1" applyBorder="1"/>
    <xf numFmtId="0" fontId="12" fillId="0" borderId="4" xfId="19" applyFont="1" applyBorder="1" applyAlignment="1" applyProtection="1">
      <alignment vertical="center"/>
    </xf>
    <xf numFmtId="0" fontId="22" fillId="0" borderId="11" xfId="19" applyFont="1" applyBorder="1" applyAlignment="1" applyProtection="1">
      <alignment vertical="center"/>
    </xf>
    <xf numFmtId="1" fontId="20" fillId="0" borderId="7" xfId="19" applyNumberFormat="1" applyFont="1" applyBorder="1" applyAlignment="1" applyProtection="1">
      <alignment horizontal="center" vertical="center"/>
    </xf>
    <xf numFmtId="0" fontId="12" fillId="0" borderId="5" xfId="19" applyBorder="1" applyAlignment="1" applyProtection="1">
      <alignment vertical="center"/>
    </xf>
    <xf numFmtId="0" fontId="22" fillId="0" borderId="0" xfId="19" applyFont="1" applyBorder="1" applyAlignment="1" applyProtection="1">
      <alignment vertical="center"/>
    </xf>
    <xf numFmtId="0" fontId="44" fillId="0" borderId="0" xfId="22" applyFont="1" applyBorder="1" applyAlignment="1">
      <alignment horizontal="left" vertical="center"/>
    </xf>
    <xf numFmtId="0" fontId="44" fillId="0" borderId="0" xfId="22" applyFont="1" applyBorder="1" applyAlignment="1">
      <alignment horizontal="center" vertical="center"/>
    </xf>
    <xf numFmtId="0" fontId="38" fillId="0" borderId="0" xfId="22" applyFont="1" applyBorder="1" applyAlignment="1">
      <alignment horizontal="center" vertical="center"/>
    </xf>
    <xf numFmtId="0" fontId="38" fillId="0" borderId="0" xfId="22" applyFont="1" applyBorder="1" applyAlignment="1">
      <alignment horizontal="center"/>
    </xf>
    <xf numFmtId="0" fontId="15" fillId="0" borderId="16" xfId="19" applyFont="1" applyBorder="1" applyAlignment="1" applyProtection="1">
      <alignment vertical="center"/>
    </xf>
    <xf numFmtId="0" fontId="15" fillId="0" borderId="10" xfId="19" applyFont="1" applyBorder="1" applyAlignment="1" applyProtection="1">
      <alignment vertical="center"/>
    </xf>
    <xf numFmtId="0" fontId="14" fillId="0" borderId="10" xfId="19" applyFont="1" applyBorder="1" applyAlignment="1" applyProtection="1">
      <alignment vertical="center"/>
    </xf>
    <xf numFmtId="0" fontId="14" fillId="0" borderId="17" xfId="19" applyFont="1" applyBorder="1" applyAlignment="1" applyProtection="1">
      <alignment vertical="center"/>
    </xf>
    <xf numFmtId="0" fontId="44" fillId="0" borderId="0" xfId="22" applyFont="1" applyBorder="1"/>
    <xf numFmtId="0" fontId="42" fillId="0" borderId="0" xfId="22" applyFont="1" applyBorder="1"/>
    <xf numFmtId="0" fontId="44" fillId="0" borderId="0" xfId="22" applyFont="1" applyBorder="1" applyAlignment="1">
      <alignment horizontal="right"/>
    </xf>
    <xf numFmtId="0" fontId="23" fillId="0" borderId="0" xfId="19" applyFont="1" applyBorder="1" applyAlignment="1" applyProtection="1">
      <alignment horizontal="center" vertical="center"/>
    </xf>
    <xf numFmtId="0" fontId="38" fillId="0" borderId="16" xfId="22" applyFont="1" applyBorder="1"/>
    <xf numFmtId="0" fontId="39" fillId="0" borderId="10" xfId="22" applyFont="1" applyBorder="1"/>
    <xf numFmtId="0" fontId="38" fillId="0" borderId="10" xfId="22" applyFont="1" applyBorder="1"/>
    <xf numFmtId="0" fontId="38" fillId="0" borderId="17" xfId="22" applyFont="1" applyBorder="1"/>
    <xf numFmtId="0" fontId="22" fillId="0" borderId="6" xfId="19" applyFont="1" applyBorder="1" applyAlignment="1" applyProtection="1">
      <alignment horizontal="right" vertical="center"/>
    </xf>
    <xf numFmtId="0" fontId="23" fillId="0" borderId="0" xfId="19" applyFont="1" applyFill="1" applyBorder="1" applyAlignment="1" applyProtection="1">
      <alignment horizontal="center" vertical="center"/>
    </xf>
    <xf numFmtId="0" fontId="31" fillId="0" borderId="23" xfId="22" applyFont="1" applyBorder="1" applyAlignment="1">
      <alignment vertical="center"/>
    </xf>
    <xf numFmtId="0" fontId="31" fillId="0" borderId="9" xfId="22" applyFont="1" applyBorder="1" applyAlignment="1">
      <alignment vertical="center"/>
    </xf>
    <xf numFmtId="0" fontId="31" fillId="0" borderId="24" xfId="22" applyFont="1" applyBorder="1" applyAlignment="1">
      <alignment vertical="center"/>
    </xf>
    <xf numFmtId="0" fontId="25" fillId="0" borderId="4" xfId="22" applyFont="1" applyBorder="1" applyAlignment="1">
      <alignment horizontal="center" vertical="center"/>
    </xf>
    <xf numFmtId="0" fontId="31" fillId="0" borderId="0" xfId="22" applyFont="1" applyBorder="1" applyAlignment="1">
      <alignment vertical="center"/>
    </xf>
    <xf numFmtId="0" fontId="31" fillId="0" borderId="25" xfId="22" applyFont="1" applyBorder="1" applyAlignment="1">
      <alignment horizontal="center" vertical="center"/>
    </xf>
    <xf numFmtId="0" fontId="31" fillId="0" borderId="5" xfId="22" applyFont="1" applyBorder="1" applyAlignment="1">
      <alignment vertical="center"/>
    </xf>
    <xf numFmtId="0" fontId="25" fillId="0" borderId="4" xfId="22" applyFont="1" applyBorder="1" applyAlignment="1">
      <alignment vertical="center"/>
    </xf>
    <xf numFmtId="0" fontId="35" fillId="0" borderId="26" xfId="22" applyFont="1" applyBorder="1" applyAlignment="1">
      <alignment horizontal="center" vertical="center"/>
    </xf>
    <xf numFmtId="0" fontId="45" fillId="0" borderId="26" xfId="22" applyFont="1" applyBorder="1" applyAlignment="1">
      <alignment vertical="center"/>
    </xf>
    <xf numFmtId="0" fontId="45" fillId="0" borderId="0" xfId="22" applyFont="1" applyBorder="1" applyAlignment="1">
      <alignment vertical="center"/>
    </xf>
    <xf numFmtId="0" fontId="25" fillId="0" borderId="4" xfId="22" applyFont="1" applyBorder="1" applyAlignment="1">
      <alignment horizontal="left" vertical="center"/>
    </xf>
    <xf numFmtId="0" fontId="35" fillId="0" borderId="0" xfId="22" applyFont="1" applyBorder="1" applyAlignment="1">
      <alignment vertical="center"/>
    </xf>
    <xf numFmtId="0" fontId="35" fillId="0" borderId="0" xfId="22" applyFont="1" applyBorder="1" applyAlignment="1">
      <alignment horizontal="center" vertical="center"/>
    </xf>
    <xf numFmtId="0" fontId="35" fillId="0" borderId="0" xfId="22" applyFont="1" applyBorder="1" applyAlignment="1">
      <alignment horizontal="left" vertical="center"/>
    </xf>
    <xf numFmtId="0" fontId="31" fillId="0" borderId="4" xfId="22" applyFont="1" applyBorder="1" applyAlignment="1">
      <alignment vertical="center"/>
    </xf>
    <xf numFmtId="0" fontId="12" fillId="0" borderId="16" xfId="19" applyFont="1" applyBorder="1" applyAlignment="1" applyProtection="1">
      <alignment vertical="center"/>
    </xf>
    <xf numFmtId="0" fontId="12" fillId="0" borderId="10" xfId="19" applyFont="1" applyBorder="1" applyAlignment="1" applyProtection="1">
      <alignment vertical="center"/>
    </xf>
    <xf numFmtId="0" fontId="12" fillId="0" borderId="10" xfId="19" applyBorder="1" applyAlignment="1" applyProtection="1">
      <alignment vertical="center"/>
    </xf>
    <xf numFmtId="0" fontId="12" fillId="0" borderId="17" xfId="19" applyBorder="1" applyAlignment="1" applyProtection="1">
      <alignment vertical="center"/>
    </xf>
    <xf numFmtId="0" fontId="31" fillId="0" borderId="12" xfId="22" applyFont="1" applyBorder="1" applyAlignment="1">
      <alignment vertical="center"/>
    </xf>
    <xf numFmtId="0" fontId="31" fillId="0" borderId="13" xfId="22" applyFont="1" applyBorder="1" applyAlignment="1">
      <alignment vertical="center"/>
    </xf>
    <xf numFmtId="0" fontId="35" fillId="0" borderId="13" xfId="22" applyFont="1" applyBorder="1" applyAlignment="1">
      <alignment vertical="center"/>
    </xf>
    <xf numFmtId="168" fontId="35" fillId="0" borderId="13" xfId="22" applyNumberFormat="1" applyFont="1" applyBorder="1" applyAlignment="1">
      <alignment vertical="center"/>
    </xf>
    <xf numFmtId="0" fontId="31" fillId="0" borderId="14" xfId="22" applyFont="1" applyBorder="1" applyAlignment="1">
      <alignment vertical="center"/>
    </xf>
    <xf numFmtId="0" fontId="31" fillId="0" borderId="8" xfId="22" applyFont="1" applyBorder="1" applyAlignment="1">
      <alignment vertical="center"/>
    </xf>
    <xf numFmtId="0" fontId="31" fillId="0" borderId="27" xfId="19" applyFont="1" applyBorder="1" applyAlignment="1" applyProtection="1">
      <alignment vertical="center"/>
    </xf>
    <xf numFmtId="0" fontId="31" fillId="0" borderId="13" xfId="19" applyFont="1" applyBorder="1" applyAlignment="1" applyProtection="1">
      <alignment vertical="center"/>
    </xf>
    <xf numFmtId="0" fontId="15" fillId="0" borderId="12" xfId="19" applyFont="1" applyBorder="1" applyAlignment="1" applyProtection="1">
      <alignment vertical="center"/>
    </xf>
    <xf numFmtId="0" fontId="14" fillId="0" borderId="13" xfId="19" applyFont="1" applyBorder="1" applyAlignment="1" applyProtection="1">
      <alignment vertical="center"/>
    </xf>
    <xf numFmtId="0" fontId="14" fillId="0" borderId="14" xfId="19" applyFont="1" applyBorder="1" applyAlignment="1" applyProtection="1">
      <alignment vertical="center"/>
    </xf>
    <xf numFmtId="0" fontId="37" fillId="0" borderId="0" xfId="12" applyFont="1" applyFill="1" applyAlignment="1">
      <alignment horizontal="right" vertical="center"/>
    </xf>
    <xf numFmtId="0" fontId="127" fillId="0" borderId="11" xfId="12" applyFont="1" applyBorder="1"/>
    <xf numFmtId="0" fontId="23" fillId="0" borderId="11" xfId="19" applyFont="1" applyFill="1" applyBorder="1" applyAlignment="1" applyProtection="1">
      <alignment horizontal="center" vertical="center"/>
    </xf>
    <xf numFmtId="49" fontId="36" fillId="0" borderId="7" xfId="19" applyNumberFormat="1" applyFont="1" applyBorder="1" applyAlignment="1" applyProtection="1">
      <alignment horizontal="center" vertical="center"/>
    </xf>
    <xf numFmtId="0" fontId="2" fillId="0" borderId="11" xfId="12" applyBorder="1"/>
    <xf numFmtId="0" fontId="39" fillId="0" borderId="11" xfId="22" applyFont="1" applyBorder="1"/>
    <xf numFmtId="1" fontId="46" fillId="0" borderId="0" xfId="9" applyNumberFormat="1" applyFont="1" applyFill="1" applyBorder="1" applyAlignment="1">
      <alignment horizontal="left"/>
    </xf>
    <xf numFmtId="0" fontId="46" fillId="0" borderId="0" xfId="22" applyFont="1" applyFill="1" applyBorder="1"/>
    <xf numFmtId="0" fontId="39" fillId="0" borderId="0" xfId="22" applyFont="1" applyFill="1" applyBorder="1" applyAlignment="1">
      <alignment horizontal="left"/>
    </xf>
    <xf numFmtId="0" fontId="20" fillId="0" borderId="7" xfId="19" applyNumberFormat="1" applyFont="1" applyBorder="1" applyAlignment="1" applyProtection="1">
      <alignment horizontal="center" vertical="center"/>
    </xf>
    <xf numFmtId="0" fontId="39" fillId="0" borderId="0" xfId="22" applyFont="1" applyBorder="1" applyAlignment="1">
      <alignment horizontal="left" vertical="center"/>
    </xf>
    <xf numFmtId="1" fontId="58" fillId="0" borderId="0" xfId="10" applyNumberFormat="1" applyFont="1" applyFill="1" applyBorder="1" applyAlignment="1">
      <alignment horizontal="right" vertical="center"/>
    </xf>
    <xf numFmtId="0" fontId="39" fillId="0" borderId="0" xfId="22" applyFont="1" applyFill="1" applyBorder="1" applyAlignment="1">
      <alignment horizontal="left" vertical="center"/>
    </xf>
    <xf numFmtId="0" fontId="39" fillId="0" borderId="0" xfId="22" applyFont="1" applyFill="1" applyBorder="1" applyAlignment="1">
      <alignment horizontal="right"/>
    </xf>
    <xf numFmtId="1" fontId="46" fillId="0" borderId="0" xfId="9" applyNumberFormat="1" applyFont="1" applyFill="1" applyBorder="1" applyAlignment="1"/>
    <xf numFmtId="0" fontId="128" fillId="0" borderId="40" xfId="10" applyFont="1" applyFill="1" applyBorder="1" applyAlignment="1">
      <alignment horizontal="right" vertical="center" wrapText="1"/>
    </xf>
    <xf numFmtId="0" fontId="1" fillId="0" borderId="42" xfId="10" applyFont="1" applyFill="1" applyBorder="1" applyAlignment="1">
      <alignment horizontal="right" vertical="center"/>
    </xf>
    <xf numFmtId="0" fontId="66" fillId="0" borderId="0" xfId="10" applyFont="1" applyFill="1" applyBorder="1" applyAlignment="1">
      <alignment vertical="center"/>
    </xf>
    <xf numFmtId="174" fontId="58" fillId="0" borderId="0" xfId="10" applyNumberFormat="1" applyFont="1" applyFill="1" applyBorder="1" applyAlignment="1">
      <alignment vertical="center"/>
    </xf>
    <xf numFmtId="174" fontId="58" fillId="0" borderId="0" xfId="10" applyNumberFormat="1" applyFont="1" applyFill="1" applyBorder="1" applyAlignment="1">
      <alignment horizontal="right" vertical="center"/>
    </xf>
    <xf numFmtId="0" fontId="129" fillId="0" borderId="0" xfId="10" applyFont="1" applyFill="1" applyBorder="1" applyAlignment="1">
      <alignment vertical="center"/>
    </xf>
    <xf numFmtId="0" fontId="129" fillId="0" borderId="0" xfId="10" applyFont="1" applyFill="1" applyBorder="1" applyAlignment="1">
      <alignment horizontal="center" vertical="center"/>
    </xf>
    <xf numFmtId="0" fontId="0" fillId="0" borderId="0" xfId="0" applyFill="1" applyBorder="1"/>
    <xf numFmtId="0" fontId="150" fillId="16" borderId="11" xfId="0" applyFont="1" applyFill="1" applyBorder="1" applyAlignment="1">
      <alignment horizontal="left" vertical="center"/>
    </xf>
    <xf numFmtId="0" fontId="138" fillId="19" borderId="99" xfId="0" applyFont="1" applyFill="1" applyBorder="1"/>
    <xf numFmtId="0" fontId="1" fillId="0" borderId="17" xfId="0" applyFont="1" applyFill="1" applyBorder="1" applyAlignment="1">
      <alignment vertical="center"/>
    </xf>
    <xf numFmtId="0" fontId="151" fillId="20" borderId="100" xfId="0" applyFont="1" applyFill="1" applyBorder="1" applyAlignment="1" applyProtection="1">
      <alignment horizontal="center" vertical="center"/>
      <protection locked="0"/>
    </xf>
    <xf numFmtId="49" fontId="126" fillId="21" borderId="54" xfId="0" applyNumberFormat="1" applyFont="1" applyFill="1" applyBorder="1" applyAlignment="1" applyProtection="1">
      <alignment horizontal="center" vertical="center"/>
      <protection locked="0"/>
    </xf>
    <xf numFmtId="0" fontId="0" fillId="0" borderId="13" xfId="0" applyBorder="1"/>
    <xf numFmtId="0" fontId="0" fillId="0" borderId="14" xfId="0" applyBorder="1"/>
    <xf numFmtId="0" fontId="0" fillId="0" borderId="101" xfId="0" applyBorder="1"/>
    <xf numFmtId="0" fontId="0" fillId="0" borderId="102" xfId="0" applyBorder="1"/>
    <xf numFmtId="0" fontId="152" fillId="0" borderId="103" xfId="0" applyFont="1" applyBorder="1" applyAlignment="1">
      <alignment horizontal="center" vertical="center"/>
    </xf>
    <xf numFmtId="0" fontId="152" fillId="0" borderId="12" xfId="0" applyFont="1" applyBorder="1" applyAlignment="1">
      <alignment horizontal="center" vertical="center"/>
    </xf>
    <xf numFmtId="0" fontId="0" fillId="0" borderId="101" xfId="0" applyFill="1" applyBorder="1" applyAlignment="1">
      <alignment vertical="center"/>
    </xf>
    <xf numFmtId="0" fontId="0" fillId="0" borderId="13" xfId="0" applyFill="1" applyBorder="1" applyAlignment="1">
      <alignment vertical="center"/>
    </xf>
    <xf numFmtId="0" fontId="138" fillId="21" borderId="0" xfId="0" applyFont="1" applyFill="1" applyAlignment="1">
      <alignment horizontal="center"/>
    </xf>
    <xf numFmtId="0" fontId="153" fillId="13" borderId="104" xfId="0" applyFont="1" applyFill="1" applyBorder="1"/>
    <xf numFmtId="0" fontId="0" fillId="13" borderId="104" xfId="0" applyFill="1" applyBorder="1"/>
    <xf numFmtId="0" fontId="154" fillId="22" borderId="91" xfId="0" applyFont="1" applyFill="1" applyBorder="1" applyAlignment="1">
      <alignment horizontal="center" vertical="center"/>
    </xf>
    <xf numFmtId="0" fontId="0" fillId="22" borderId="93" xfId="0" applyFill="1" applyBorder="1"/>
    <xf numFmtId="0" fontId="154" fillId="23" borderId="91" xfId="0" applyFont="1" applyFill="1" applyBorder="1" applyAlignment="1">
      <alignment horizontal="center" vertical="center"/>
    </xf>
    <xf numFmtId="0" fontId="0" fillId="23" borderId="92" xfId="0" applyFill="1" applyBorder="1" applyAlignment="1">
      <alignment horizontal="center" vertical="center"/>
    </xf>
    <xf numFmtId="0" fontId="0" fillId="23" borderId="93" xfId="0" applyFill="1" applyBorder="1"/>
    <xf numFmtId="0" fontId="2" fillId="0" borderId="0" xfId="10" applyBorder="1" applyAlignment="1">
      <alignment vertical="top"/>
    </xf>
    <xf numFmtId="0" fontId="8" fillId="0" borderId="0" xfId="10" applyFont="1" applyBorder="1" applyAlignment="1">
      <alignment horizontal="center" vertical="top"/>
    </xf>
    <xf numFmtId="0" fontId="2" fillId="0" borderId="0" xfId="10" applyAlignment="1">
      <alignment vertical="top"/>
    </xf>
    <xf numFmtId="0" fontId="2" fillId="0" borderId="0" xfId="10" applyNumberFormat="1" applyBorder="1" applyAlignment="1">
      <alignment horizontal="right" vertical="top"/>
    </xf>
    <xf numFmtId="0" fontId="2" fillId="0" borderId="0" xfId="10" applyBorder="1" applyAlignment="1">
      <alignment vertical="center"/>
    </xf>
    <xf numFmtId="0" fontId="3" fillId="2" borderId="15" xfId="10" applyFont="1" applyFill="1" applyBorder="1" applyAlignment="1">
      <alignment horizontal="center" vertical="center"/>
    </xf>
    <xf numFmtId="0" fontId="9" fillId="0" borderId="0" xfId="10" applyFont="1" applyAlignment="1">
      <alignment vertical="top"/>
    </xf>
    <xf numFmtId="0" fontId="9" fillId="0" borderId="0" xfId="10" applyFont="1" applyBorder="1" applyAlignment="1">
      <alignment vertical="top"/>
    </xf>
    <xf numFmtId="0" fontId="9" fillId="0" borderId="0" xfId="10" applyFont="1" applyBorder="1"/>
    <xf numFmtId="0" fontId="9" fillId="0" borderId="0" xfId="10" applyFont="1" applyAlignment="1">
      <alignment horizontal="right"/>
    </xf>
    <xf numFmtId="0" fontId="4" fillId="0" borderId="0" xfId="10" applyFont="1" applyBorder="1" applyAlignment="1"/>
    <xf numFmtId="0" fontId="2" fillId="0" borderId="0" xfId="10" applyBorder="1"/>
    <xf numFmtId="0" fontId="3" fillId="0" borderId="15" xfId="10" applyFont="1" applyBorder="1" applyAlignment="1">
      <alignment horizontal="center"/>
    </xf>
    <xf numFmtId="0" fontId="2" fillId="0" borderId="15" xfId="10" applyBorder="1" applyAlignment="1">
      <alignment horizontal="center" vertical="center"/>
    </xf>
    <xf numFmtId="0" fontId="2" fillId="0" borderId="15" xfId="10" applyBorder="1"/>
    <xf numFmtId="0" fontId="2" fillId="2" borderId="15" xfId="10" applyFill="1" applyBorder="1"/>
    <xf numFmtId="1" fontId="2" fillId="2" borderId="15" xfId="10" applyNumberFormat="1" applyFill="1" applyBorder="1"/>
    <xf numFmtId="0" fontId="2" fillId="2" borderId="15" xfId="10" applyFill="1" applyBorder="1" applyAlignment="1">
      <alignment horizontal="center"/>
    </xf>
    <xf numFmtId="1" fontId="2" fillId="8" borderId="15" xfId="10" applyNumberFormat="1" applyFill="1" applyBorder="1"/>
    <xf numFmtId="12" fontId="2" fillId="8" borderId="15" xfId="10" applyNumberFormat="1" applyFill="1" applyBorder="1"/>
    <xf numFmtId="0" fontId="2" fillId="9" borderId="15" xfId="10" applyFill="1" applyBorder="1"/>
    <xf numFmtId="1" fontId="2" fillId="9" borderId="15" xfId="10" applyNumberFormat="1" applyFill="1" applyBorder="1"/>
    <xf numFmtId="1" fontId="2" fillId="0" borderId="15" xfId="10" applyNumberFormat="1" applyBorder="1"/>
    <xf numFmtId="0" fontId="2" fillId="6" borderId="15" xfId="10" applyFill="1" applyBorder="1"/>
    <xf numFmtId="0" fontId="2" fillId="10" borderId="15" xfId="10" applyFill="1" applyBorder="1"/>
    <xf numFmtId="1" fontId="2" fillId="6" borderId="15" xfId="10" applyNumberFormat="1" applyFill="1" applyBorder="1"/>
    <xf numFmtId="1" fontId="2" fillId="10" borderId="15" xfId="10" applyNumberFormat="1" applyFill="1" applyBorder="1"/>
    <xf numFmtId="0" fontId="155" fillId="0" borderId="52" xfId="0" applyFont="1" applyBorder="1" applyAlignment="1">
      <alignment horizontal="center" vertical="center"/>
    </xf>
    <xf numFmtId="0" fontId="94" fillId="0" borderId="15" xfId="21" applyFont="1" applyBorder="1"/>
    <xf numFmtId="0" fontId="38" fillId="0" borderId="15" xfId="21" applyFont="1" applyBorder="1"/>
    <xf numFmtId="1" fontId="38" fillId="0" borderId="15" xfId="21" applyNumberFormat="1" applyFont="1" applyBorder="1"/>
    <xf numFmtId="0" fontId="2" fillId="24" borderId="15" xfId="10" applyFill="1" applyBorder="1"/>
    <xf numFmtId="0" fontId="2" fillId="24" borderId="0" xfId="10" applyFont="1" applyFill="1"/>
    <xf numFmtId="0" fontId="2" fillId="24" borderId="15" xfId="10" applyFill="1" applyBorder="1" applyAlignment="1">
      <alignment horizontal="center"/>
    </xf>
    <xf numFmtId="1" fontId="2" fillId="24" borderId="15" xfId="10" applyNumberFormat="1" applyFill="1" applyBorder="1"/>
    <xf numFmtId="0" fontId="2" fillId="0" borderId="0" xfId="10" applyBorder="1" applyAlignment="1"/>
    <xf numFmtId="0" fontId="0" fillId="22" borderId="92" xfId="0" applyFill="1" applyBorder="1" applyAlignment="1">
      <alignment horizontal="center" vertical="center"/>
    </xf>
    <xf numFmtId="0" fontId="131" fillId="0" borderId="0" xfId="15" applyFill="1" applyBorder="1" applyAlignment="1">
      <alignment vertical="center"/>
    </xf>
    <xf numFmtId="0" fontId="131" fillId="0" borderId="0" xfId="15" applyAlignment="1">
      <alignment horizontal="center"/>
    </xf>
    <xf numFmtId="0" fontId="132" fillId="0" borderId="0" xfId="15" applyFont="1" applyBorder="1" applyAlignment="1">
      <alignment horizontal="center"/>
    </xf>
    <xf numFmtId="0" fontId="132" fillId="0" borderId="19" xfId="15" applyFont="1" applyBorder="1" applyAlignment="1">
      <alignment horizontal="center"/>
    </xf>
    <xf numFmtId="0" fontId="132" fillId="0" borderId="105" xfId="15" applyFont="1" applyBorder="1" applyAlignment="1">
      <alignment horizontal="center"/>
    </xf>
    <xf numFmtId="0" fontId="10" fillId="0" borderId="0" xfId="15" applyFont="1" applyBorder="1" applyAlignment="1">
      <alignment horizontal="center" vertical="center"/>
    </xf>
    <xf numFmtId="1" fontId="10" fillId="0" borderId="19" xfId="15" applyNumberFormat="1" applyFont="1" applyBorder="1" applyAlignment="1">
      <alignment horizontal="center" vertical="center"/>
    </xf>
    <xf numFmtId="1" fontId="10" fillId="0" borderId="0" xfId="15" applyNumberFormat="1" applyFont="1" applyBorder="1" applyAlignment="1">
      <alignment horizontal="center" vertical="center"/>
    </xf>
    <xf numFmtId="0" fontId="4" fillId="0" borderId="0" xfId="15" applyFont="1" applyBorder="1" applyAlignment="1">
      <alignment horizontal="center"/>
    </xf>
    <xf numFmtId="0" fontId="133" fillId="0" borderId="0" xfId="15" applyFont="1" applyAlignment="1">
      <alignment horizontal="right"/>
    </xf>
    <xf numFmtId="0" fontId="4" fillId="0" borderId="0" xfId="15" applyFont="1" applyBorder="1" applyAlignment="1"/>
    <xf numFmtId="0" fontId="3" fillId="0" borderId="0" xfId="15" applyFont="1" applyAlignment="1">
      <alignment horizontal="center"/>
    </xf>
    <xf numFmtId="0" fontId="131" fillId="0" borderId="15" xfId="15" applyBorder="1" applyAlignment="1">
      <alignment horizontal="center"/>
    </xf>
    <xf numFmtId="0" fontId="3" fillId="0" borderId="0" xfId="15" applyFont="1" applyAlignment="1">
      <alignment horizontal="right"/>
    </xf>
    <xf numFmtId="0" fontId="131" fillId="0" borderId="0" xfId="15" applyBorder="1" applyAlignment="1">
      <alignment horizontal="center"/>
    </xf>
    <xf numFmtId="0" fontId="5" fillId="0" borderId="105" xfId="15" applyFont="1" applyBorder="1" applyAlignment="1">
      <alignment horizontal="center"/>
    </xf>
    <xf numFmtId="0" fontId="5" fillId="0" borderId="0" xfId="15" applyFont="1" applyAlignment="1">
      <alignment horizontal="center"/>
    </xf>
    <xf numFmtId="0" fontId="131" fillId="0" borderId="0" xfId="15" applyAlignment="1"/>
    <xf numFmtId="0" fontId="131" fillId="0" borderId="0" xfId="15" applyBorder="1" applyAlignment="1"/>
    <xf numFmtId="0" fontId="8" fillId="0" borderId="0" xfId="15" applyFont="1" applyBorder="1" applyAlignment="1">
      <alignment horizontal="center"/>
    </xf>
    <xf numFmtId="49" fontId="2" fillId="0" borderId="0" xfId="15" applyNumberFormat="1" applyFont="1" applyBorder="1" applyAlignment="1">
      <alignment horizontal="right"/>
    </xf>
    <xf numFmtId="0" fontId="131" fillId="0" borderId="0" xfId="15" applyFill="1" applyBorder="1" applyAlignment="1"/>
    <xf numFmtId="0" fontId="131" fillId="0" borderId="15" xfId="15" applyBorder="1" applyAlignment="1"/>
    <xf numFmtId="0" fontId="3" fillId="2" borderId="15" xfId="15" applyFont="1" applyFill="1" applyBorder="1" applyAlignment="1">
      <alignment horizontal="center"/>
    </xf>
    <xf numFmtId="0" fontId="10" fillId="0" borderId="0" xfId="15" applyFont="1" applyBorder="1" applyAlignment="1">
      <alignment horizontal="center"/>
    </xf>
    <xf numFmtId="0" fontId="10" fillId="0" borderId="0" xfId="15" applyNumberFormat="1" applyFont="1" applyBorder="1" applyAlignment="1">
      <alignment horizontal="center"/>
    </xf>
    <xf numFmtId="0" fontId="133" fillId="0" borderId="0" xfId="15" applyFont="1" applyAlignment="1"/>
    <xf numFmtId="0" fontId="133" fillId="0" borderId="0" xfId="15" applyFont="1" applyBorder="1" applyAlignment="1"/>
    <xf numFmtId="0" fontId="133" fillId="0" borderId="0" xfId="15" applyNumberFormat="1" applyFont="1" applyAlignment="1">
      <alignment horizontal="right"/>
    </xf>
    <xf numFmtId="49" fontId="131" fillId="0" borderId="0" xfId="15" applyNumberFormat="1" applyBorder="1" applyAlignment="1">
      <alignment horizontal="right"/>
    </xf>
    <xf numFmtId="0" fontId="6" fillId="0" borderId="0" xfId="15" applyFont="1" applyBorder="1" applyAlignment="1">
      <alignment horizontal="center"/>
    </xf>
    <xf numFmtId="0" fontId="3" fillId="15" borderId="15" xfId="15" applyFont="1" applyFill="1" applyBorder="1" applyAlignment="1">
      <alignment horizontal="center"/>
    </xf>
    <xf numFmtId="1" fontId="131" fillId="0" borderId="15" xfId="15" applyNumberFormat="1" applyBorder="1" applyAlignment="1"/>
    <xf numFmtId="0" fontId="2" fillId="0" borderId="0" xfId="15" applyFont="1" applyAlignment="1"/>
    <xf numFmtId="0" fontId="131" fillId="25" borderId="15" xfId="15" applyFill="1" applyBorder="1" applyAlignment="1"/>
    <xf numFmtId="12" fontId="131" fillId="0" borderId="15" xfId="15" applyNumberFormat="1" applyBorder="1" applyAlignment="1"/>
    <xf numFmtId="0" fontId="134" fillId="0" borderId="105" xfId="15" applyFont="1" applyBorder="1" applyAlignment="1">
      <alignment horizontal="center" vertical="center"/>
    </xf>
    <xf numFmtId="0" fontId="6" fillId="0" borderId="105" xfId="15" applyFont="1" applyBorder="1" applyAlignment="1">
      <alignment horizontal="center" vertical="center"/>
    </xf>
    <xf numFmtId="0" fontId="9" fillId="0" borderId="0" xfId="15" applyFont="1" applyBorder="1" applyAlignment="1"/>
    <xf numFmtId="0" fontId="8" fillId="0" borderId="0" xfId="10" applyFont="1" applyAlignment="1"/>
    <xf numFmtId="0" fontId="2" fillId="0" borderId="15" xfId="15" applyFont="1" applyBorder="1" applyAlignment="1"/>
    <xf numFmtId="0" fontId="0" fillId="0" borderId="52" xfId="0" applyBorder="1" applyAlignment="1">
      <alignment horizontal="center"/>
    </xf>
    <xf numFmtId="0" fontId="0" fillId="0" borderId="53" xfId="0" applyBorder="1"/>
    <xf numFmtId="0" fontId="0" fillId="0" borderId="54" xfId="0" applyBorder="1"/>
    <xf numFmtId="0" fontId="156" fillId="0" borderId="0" xfId="19" applyFont="1" applyBorder="1" applyAlignment="1" applyProtection="1">
      <alignment vertical="center"/>
    </xf>
    <xf numFmtId="0" fontId="157" fillId="0" borderId="0" xfId="19" applyFont="1" applyBorder="1" applyAlignment="1" applyProtection="1">
      <alignment vertical="center"/>
    </xf>
    <xf numFmtId="0" fontId="158" fillId="0" borderId="0" xfId="22" applyFont="1" applyBorder="1"/>
    <xf numFmtId="0" fontId="159" fillId="0" borderId="0" xfId="12" applyFont="1" applyBorder="1"/>
    <xf numFmtId="0" fontId="157" fillId="0" borderId="5" xfId="19" applyFont="1" applyBorder="1" applyAlignment="1" applyProtection="1">
      <alignment vertical="center"/>
    </xf>
    <xf numFmtId="0" fontId="160" fillId="0" borderId="0" xfId="19" applyFont="1" applyBorder="1" applyAlignment="1" applyProtection="1">
      <alignment horizontal="center" vertical="center"/>
    </xf>
    <xf numFmtId="0" fontId="160" fillId="0" borderId="6" xfId="19" applyFont="1" applyBorder="1" applyAlignment="1" applyProtection="1">
      <alignment horizontal="right" vertical="center"/>
    </xf>
    <xf numFmtId="1" fontId="161" fillId="0" borderId="7" xfId="19" applyNumberFormat="1" applyFont="1" applyBorder="1" applyAlignment="1" applyProtection="1">
      <alignment horizontal="center" vertical="center"/>
    </xf>
    <xf numFmtId="0" fontId="160" fillId="0" borderId="0" xfId="19" applyFont="1" applyFill="1" applyBorder="1" applyAlignment="1" applyProtection="1">
      <alignment horizontal="center" vertical="center"/>
    </xf>
    <xf numFmtId="0" fontId="162" fillId="0" borderId="10" xfId="19" applyFont="1" applyBorder="1" applyAlignment="1" applyProtection="1">
      <alignment vertical="center"/>
    </xf>
    <xf numFmtId="0" fontId="162" fillId="0" borderId="17" xfId="19" applyFont="1" applyBorder="1" applyAlignment="1" applyProtection="1">
      <alignment vertical="center"/>
    </xf>
    <xf numFmtId="0" fontId="46" fillId="0" borderId="0" xfId="22" applyFont="1"/>
    <xf numFmtId="0" fontId="1" fillId="0" borderId="5" xfId="0" applyFont="1" applyFill="1" applyBorder="1" applyAlignment="1">
      <alignment vertical="center"/>
    </xf>
    <xf numFmtId="0" fontId="1" fillId="0" borderId="52" xfId="0" applyFont="1" applyFill="1" applyBorder="1" applyAlignment="1">
      <alignment horizontal="left" vertical="center"/>
    </xf>
    <xf numFmtId="0" fontId="0" fillId="0" borderId="52" xfId="0" applyNumberFormat="1" applyBorder="1" applyAlignment="1">
      <alignment horizontal="center"/>
    </xf>
    <xf numFmtId="0" fontId="18" fillId="0" borderId="0" xfId="16" applyFont="1" applyFill="1" applyAlignment="1">
      <alignment vertical="center"/>
    </xf>
    <xf numFmtId="0" fontId="50" fillId="0" borderId="28" xfId="16" applyFont="1" applyFill="1" applyBorder="1" applyAlignment="1">
      <alignment vertical="center"/>
    </xf>
    <xf numFmtId="0" fontId="50" fillId="0" borderId="29" xfId="16" applyFont="1" applyFill="1" applyBorder="1" applyAlignment="1">
      <alignment vertical="center"/>
    </xf>
    <xf numFmtId="0" fontId="51" fillId="0" borderId="29" xfId="16" applyFont="1" applyFill="1" applyBorder="1" applyAlignment="1">
      <alignment vertical="center"/>
    </xf>
    <xf numFmtId="14" fontId="50" fillId="0" borderId="29" xfId="16" applyNumberFormat="1" applyFont="1" applyFill="1" applyBorder="1" applyAlignment="1">
      <alignment vertical="center"/>
    </xf>
    <xf numFmtId="14" fontId="50" fillId="0" borderId="30" xfId="16" applyNumberFormat="1" applyFont="1" applyFill="1" applyBorder="1" applyAlignment="1">
      <alignment vertical="center"/>
    </xf>
    <xf numFmtId="0" fontId="50" fillId="0" borderId="0" xfId="16" applyFont="1" applyFill="1" applyAlignment="1">
      <alignment vertical="center"/>
    </xf>
    <xf numFmtId="0" fontId="50" fillId="0" borderId="0" xfId="16" applyFont="1" applyFill="1" applyBorder="1" applyAlignment="1">
      <alignment vertical="center"/>
    </xf>
    <xf numFmtId="0" fontId="52" fillId="0" borderId="31" xfId="16" applyFont="1" applyFill="1" applyBorder="1" applyAlignment="1">
      <alignment horizontal="center" vertical="center"/>
    </xf>
    <xf numFmtId="0" fontId="52" fillId="0" borderId="32" xfId="16" applyFont="1" applyFill="1" applyBorder="1" applyAlignment="1">
      <alignment horizontal="center" vertical="center"/>
    </xf>
    <xf numFmtId="0" fontId="52" fillId="0" borderId="0" xfId="16" applyFont="1" applyFill="1" applyAlignment="1">
      <alignment vertical="center"/>
    </xf>
    <xf numFmtId="0" fontId="52" fillId="0" borderId="0" xfId="16" applyFont="1" applyFill="1" applyBorder="1" applyAlignment="1">
      <alignment vertical="center"/>
    </xf>
    <xf numFmtId="0" fontId="53" fillId="0" borderId="33" xfId="16" applyFont="1" applyFill="1" applyBorder="1" applyAlignment="1">
      <alignment horizontal="center" vertical="center"/>
    </xf>
    <xf numFmtId="0" fontId="53" fillId="0" borderId="34" xfId="16" applyFont="1" applyFill="1" applyBorder="1" applyAlignment="1">
      <alignment vertical="center"/>
    </xf>
    <xf numFmtId="169" fontId="53" fillId="0" borderId="33" xfId="16" applyNumberFormat="1" applyFont="1" applyFill="1" applyBorder="1" applyAlignment="1">
      <alignment horizontal="center" vertical="center"/>
    </xf>
    <xf numFmtId="0" fontId="54" fillId="0" borderId="0" xfId="16" applyFont="1" applyFill="1" applyAlignment="1">
      <alignment vertical="center"/>
    </xf>
    <xf numFmtId="0" fontId="54" fillId="0" borderId="0" xfId="16" applyFont="1" applyFill="1" applyBorder="1" applyAlignment="1">
      <alignment vertical="center"/>
    </xf>
    <xf numFmtId="0" fontId="53" fillId="0" borderId="4" xfId="16" applyFont="1" applyFill="1" applyBorder="1" applyAlignment="1">
      <alignment horizontal="left" vertical="center"/>
    </xf>
    <xf numFmtId="0" fontId="55" fillId="0" borderId="35" xfId="16" applyFont="1" applyFill="1" applyBorder="1" applyAlignment="1">
      <alignment horizontal="center" vertical="center"/>
    </xf>
    <xf numFmtId="0" fontId="56" fillId="0" borderId="0" xfId="16" applyFont="1" applyFill="1" applyBorder="1" applyAlignment="1">
      <alignment vertical="center"/>
    </xf>
    <xf numFmtId="0" fontId="57" fillId="0" borderId="0" xfId="16" applyFont="1" applyFill="1" applyBorder="1" applyAlignment="1">
      <alignment horizontal="left" vertical="center"/>
    </xf>
    <xf numFmtId="0" fontId="54" fillId="0" borderId="0" xfId="16" applyFont="1" applyFill="1" applyBorder="1" applyAlignment="1">
      <alignment horizontal="center" vertical="center"/>
    </xf>
    <xf numFmtId="0" fontId="26" fillId="0" borderId="0" xfId="16" applyFont="1" applyFill="1" applyBorder="1" applyAlignment="1">
      <alignment vertical="center"/>
    </xf>
    <xf numFmtId="0" fontId="26" fillId="0" borderId="0" xfId="16" applyFont="1" applyFill="1" applyAlignment="1">
      <alignment vertical="center"/>
    </xf>
    <xf numFmtId="0" fontId="50" fillId="0" borderId="4" xfId="16" applyFont="1" applyFill="1" applyBorder="1" applyAlignment="1">
      <alignment vertical="center"/>
    </xf>
    <xf numFmtId="0" fontId="26" fillId="0" borderId="4" xfId="16" applyFont="1" applyFill="1" applyBorder="1" applyAlignment="1">
      <alignment vertical="center"/>
    </xf>
    <xf numFmtId="0" fontId="59" fillId="0" borderId="0" xfId="16" applyFont="1" applyFill="1" applyBorder="1" applyAlignment="1">
      <alignment horizontal="right" vertical="center"/>
    </xf>
    <xf numFmtId="0" fontId="60" fillId="0" borderId="0" xfId="16" applyFont="1" applyFill="1" applyBorder="1" applyAlignment="1">
      <alignment horizontal="center" vertical="center"/>
    </xf>
    <xf numFmtId="1" fontId="61" fillId="0" borderId="0" xfId="16" applyNumberFormat="1" applyFont="1" applyFill="1" applyBorder="1" applyAlignment="1">
      <alignment horizontal="center" vertical="center"/>
    </xf>
    <xf numFmtId="0" fontId="61" fillId="0" borderId="0" xfId="16" applyFont="1" applyFill="1" applyBorder="1" applyAlignment="1">
      <alignment vertical="center"/>
    </xf>
    <xf numFmtId="0" fontId="61" fillId="0" borderId="5" xfId="16" applyFont="1" applyFill="1" applyBorder="1" applyAlignment="1">
      <alignment vertical="center"/>
    </xf>
    <xf numFmtId="0" fontId="58" fillId="0" borderId="0" xfId="16" applyFont="1" applyFill="1" applyBorder="1" applyAlignment="1">
      <alignment horizontal="left" vertical="center"/>
    </xf>
    <xf numFmtId="0" fontId="26" fillId="0" borderId="4" xfId="16" applyFont="1" applyFill="1" applyBorder="1" applyAlignment="1">
      <alignment horizontal="right" vertical="center"/>
    </xf>
    <xf numFmtId="0" fontId="26" fillId="0" borderId="0" xfId="16" applyFont="1" applyFill="1" applyBorder="1" applyAlignment="1">
      <alignment horizontal="right" vertical="center"/>
    </xf>
    <xf numFmtId="0" fontId="26" fillId="0" borderId="19" xfId="16" applyFont="1" applyFill="1" applyBorder="1" applyAlignment="1">
      <alignment horizontal="right" vertical="center"/>
    </xf>
    <xf numFmtId="0" fontId="59" fillId="0" borderId="0" xfId="16" applyFont="1" applyFill="1" applyBorder="1" applyAlignment="1">
      <alignment vertical="center"/>
    </xf>
    <xf numFmtId="0" fontId="26" fillId="0" borderId="5" xfId="16" applyFont="1" applyFill="1" applyBorder="1" applyAlignment="1">
      <alignment vertical="center"/>
    </xf>
    <xf numFmtId="0" fontId="60" fillId="0" borderId="0" xfId="16" applyFont="1" applyFill="1" applyBorder="1" applyAlignment="1">
      <alignment horizontal="right" vertical="center"/>
    </xf>
    <xf numFmtId="0" fontId="59" fillId="0" borderId="19" xfId="16" applyFont="1" applyFill="1" applyBorder="1" applyAlignment="1">
      <alignment horizontal="right" vertical="center"/>
    </xf>
    <xf numFmtId="0" fontId="62" fillId="7" borderId="0" xfId="16" applyFont="1" applyFill="1" applyBorder="1" applyAlignment="1">
      <alignment horizontal="left" vertical="center"/>
    </xf>
    <xf numFmtId="0" fontId="63" fillId="7" borderId="0" xfId="16" applyFont="1" applyFill="1" applyBorder="1" applyAlignment="1">
      <alignment vertical="center"/>
    </xf>
    <xf numFmtId="0" fontId="64" fillId="7" borderId="0" xfId="16" applyFont="1" applyFill="1" applyAlignment="1" applyProtection="1">
      <alignment vertical="center"/>
    </xf>
    <xf numFmtId="49" fontId="62" fillId="7" borderId="0" xfId="16" applyNumberFormat="1" applyFont="1" applyFill="1" applyBorder="1" applyAlignment="1" applyProtection="1">
      <alignment horizontal="center" vertical="center"/>
    </xf>
    <xf numFmtId="0" fontId="62" fillId="7" borderId="0" xfId="16" applyNumberFormat="1" applyFont="1" applyFill="1" applyBorder="1" applyAlignment="1">
      <alignment horizontal="center" vertical="center"/>
    </xf>
    <xf numFmtId="0" fontId="61" fillId="0" borderId="0" xfId="16" applyFont="1" applyFill="1" applyBorder="1" applyAlignment="1">
      <alignment horizontal="right" vertical="center"/>
    </xf>
    <xf numFmtId="1" fontId="61" fillId="0" borderId="0" xfId="16" applyNumberFormat="1" applyFont="1" applyFill="1" applyBorder="1" applyAlignment="1">
      <alignment horizontal="right" vertical="center"/>
    </xf>
    <xf numFmtId="0" fontId="61" fillId="0" borderId="0" xfId="16" applyFont="1" applyFill="1" applyBorder="1" applyAlignment="1">
      <alignment horizontal="center" vertical="center"/>
    </xf>
    <xf numFmtId="0" fontId="58" fillId="0" borderId="5" xfId="16" applyFont="1" applyFill="1" applyBorder="1" applyAlignment="1">
      <alignment vertical="center"/>
    </xf>
    <xf numFmtId="49" fontId="58" fillId="7" borderId="0" xfId="16" applyNumberFormat="1" applyFont="1" applyFill="1" applyBorder="1" applyAlignment="1" applyProtection="1">
      <alignment horizontal="center" vertical="center"/>
    </xf>
    <xf numFmtId="0" fontId="65" fillId="0" borderId="0" xfId="16" applyFont="1" applyFill="1" applyBorder="1" applyAlignment="1" applyProtection="1">
      <alignment vertical="center"/>
    </xf>
    <xf numFmtId="0" fontId="26" fillId="0" borderId="0" xfId="16" applyFont="1" applyFill="1" applyBorder="1" applyAlignment="1">
      <alignment horizontal="center" vertical="center"/>
    </xf>
    <xf numFmtId="0" fontId="50" fillId="0" borderId="4" xfId="16" applyFont="1" applyFill="1" applyBorder="1" applyAlignment="1" applyProtection="1">
      <alignment horizontal="center" vertical="center"/>
    </xf>
    <xf numFmtId="0" fontId="66" fillId="0" borderId="0" xfId="16" applyFont="1" applyFill="1" applyBorder="1" applyAlignment="1">
      <alignment horizontal="left" vertical="center"/>
    </xf>
    <xf numFmtId="0" fontId="58" fillId="0" borderId="19" xfId="16" applyFont="1" applyFill="1" applyBorder="1" applyAlignment="1">
      <alignment horizontal="right" vertical="center"/>
    </xf>
    <xf numFmtId="0" fontId="18" fillId="0" borderId="0" xfId="16" applyFont="1" applyFill="1" applyAlignment="1">
      <alignment horizontal="center" vertical="center"/>
    </xf>
    <xf numFmtId="0" fontId="50" fillId="0" borderId="0" xfId="16" applyFont="1" applyFill="1" applyBorder="1" applyAlignment="1" applyProtection="1">
      <alignment horizontal="center" vertical="center"/>
    </xf>
    <xf numFmtId="0" fontId="60" fillId="0" borderId="19" xfId="16" applyFont="1" applyFill="1" applyBorder="1" applyAlignment="1">
      <alignment horizontal="right" vertical="center"/>
    </xf>
    <xf numFmtId="0" fontId="58" fillId="0" borderId="0" xfId="16" applyFont="1" applyFill="1" applyBorder="1" applyAlignment="1">
      <alignment vertical="center"/>
    </xf>
    <xf numFmtId="1" fontId="58" fillId="0" borderId="0" xfId="16" applyNumberFormat="1" applyFont="1" applyFill="1" applyBorder="1" applyAlignment="1" applyProtection="1">
      <alignment horizontal="left" vertical="center"/>
    </xf>
    <xf numFmtId="1" fontId="58" fillId="0" borderId="0" xfId="16" applyNumberFormat="1" applyFont="1" applyFill="1" applyBorder="1" applyAlignment="1">
      <alignment horizontal="center" vertical="center"/>
    </xf>
    <xf numFmtId="0" fontId="58" fillId="0" borderId="0" xfId="16" applyFont="1" applyFill="1" applyBorder="1" applyAlignment="1">
      <alignment horizontal="center" vertical="center"/>
    </xf>
    <xf numFmtId="0" fontId="58" fillId="0" borderId="4" xfId="16" applyFont="1" applyFill="1" applyBorder="1" applyAlignment="1">
      <alignment horizontal="center" vertical="center"/>
    </xf>
    <xf numFmtId="0" fontId="52" fillId="0" borderId="0" xfId="16" applyFont="1" applyFill="1" applyBorder="1" applyAlignment="1">
      <alignment horizontal="center" vertical="center"/>
    </xf>
    <xf numFmtId="0" fontId="52" fillId="0" borderId="0" xfId="16" applyFont="1" applyFill="1" applyBorder="1" applyAlignment="1">
      <alignment horizontal="left" vertical="center"/>
    </xf>
    <xf numFmtId="0" fontId="66" fillId="0" borderId="0" xfId="16" applyFont="1" applyFill="1" applyBorder="1" applyAlignment="1">
      <alignment horizontal="right" vertical="center"/>
    </xf>
    <xf numFmtId="0" fontId="52" fillId="0" borderId="4" xfId="16" applyFont="1" applyFill="1" applyBorder="1" applyAlignment="1">
      <alignment vertical="center"/>
    </xf>
    <xf numFmtId="1" fontId="58" fillId="0" borderId="0" xfId="16" applyNumberFormat="1" applyFont="1" applyFill="1" applyBorder="1" applyAlignment="1">
      <alignment horizontal="left" vertical="center"/>
    </xf>
    <xf numFmtId="0" fontId="58" fillId="0" borderId="0" xfId="16" applyFont="1" applyFill="1" applyBorder="1" applyAlignment="1">
      <alignment horizontal="right" vertical="center"/>
    </xf>
    <xf numFmtId="0" fontId="26" fillId="0" borderId="16" xfId="16" applyFont="1" applyFill="1" applyBorder="1" applyAlignment="1">
      <alignment vertical="center"/>
    </xf>
    <xf numFmtId="0" fontId="26" fillId="0" borderId="10" xfId="16" applyFont="1" applyFill="1" applyBorder="1" applyAlignment="1">
      <alignment vertical="center"/>
    </xf>
    <xf numFmtId="0" fontId="26" fillId="0" borderId="22" xfId="16" applyFont="1" applyFill="1" applyBorder="1" applyAlignment="1">
      <alignment vertical="center"/>
    </xf>
    <xf numFmtId="172" fontId="58" fillId="0" borderId="5" xfId="5" applyNumberFormat="1" applyFont="1" applyFill="1" applyBorder="1" applyAlignment="1">
      <alignment horizontal="center" vertical="center"/>
    </xf>
    <xf numFmtId="0" fontId="18" fillId="0" borderId="0" xfId="16" applyFont="1" applyFill="1" applyAlignment="1" applyProtection="1">
      <alignment horizontal="center" vertical="center"/>
      <protection locked="0"/>
    </xf>
    <xf numFmtId="0" fontId="67" fillId="0" borderId="4" xfId="16" applyFont="1" applyBorder="1" applyAlignment="1">
      <alignment horizontal="left" vertical="center"/>
    </xf>
    <xf numFmtId="2" fontId="52" fillId="0" borderId="0" xfId="16" applyNumberFormat="1" applyFont="1" applyFill="1" applyBorder="1" applyAlignment="1">
      <alignment horizontal="left" vertical="center"/>
    </xf>
    <xf numFmtId="2" fontId="26" fillId="0" borderId="5" xfId="16" applyNumberFormat="1" applyFont="1" applyFill="1" applyBorder="1" applyAlignment="1">
      <alignment horizontal="left" vertical="center"/>
    </xf>
    <xf numFmtId="0" fontId="52" fillId="0" borderId="19" xfId="16" applyFont="1" applyFill="1" applyBorder="1" applyAlignment="1">
      <alignment horizontal="right" vertical="center"/>
    </xf>
    <xf numFmtId="0" fontId="60" fillId="0" borderId="5" xfId="16" applyFont="1" applyFill="1" applyBorder="1" applyAlignment="1">
      <alignment horizontal="center" vertical="center"/>
    </xf>
    <xf numFmtId="0" fontId="69" fillId="0" borderId="0" xfId="16" applyFont="1" applyFill="1" applyBorder="1" applyAlignment="1">
      <alignment horizontal="right" vertical="center"/>
    </xf>
    <xf numFmtId="0" fontId="61" fillId="0" borderId="0" xfId="16" applyFont="1" applyFill="1" applyBorder="1" applyAlignment="1">
      <alignment horizontal="left" vertical="center"/>
    </xf>
    <xf numFmtId="1" fontId="61" fillId="0" borderId="0" xfId="16" applyNumberFormat="1" applyFont="1" applyFill="1" applyBorder="1" applyAlignment="1">
      <alignment vertical="center"/>
    </xf>
    <xf numFmtId="0" fontId="70" fillId="0" borderId="0" xfId="16" applyFont="1" applyFill="1" applyBorder="1" applyAlignment="1">
      <alignment vertical="center"/>
    </xf>
    <xf numFmtId="0" fontId="70" fillId="0" borderId="4" xfId="16" applyFont="1" applyFill="1" applyBorder="1" applyAlignment="1">
      <alignment vertical="center"/>
    </xf>
    <xf numFmtId="173" fontId="58" fillId="0" borderId="0" xfId="16" applyNumberFormat="1" applyFont="1" applyFill="1" applyBorder="1" applyAlignment="1">
      <alignment horizontal="center" vertical="center"/>
    </xf>
    <xf numFmtId="0" fontId="71" fillId="0" borderId="5" xfId="16" applyFont="1" applyFill="1" applyBorder="1" applyAlignment="1">
      <alignment vertical="center"/>
    </xf>
    <xf numFmtId="0" fontId="72" fillId="0" borderId="0" xfId="16" applyFont="1" applyFill="1" applyBorder="1" applyAlignment="1">
      <alignment horizontal="right" vertical="center"/>
    </xf>
    <xf numFmtId="0" fontId="59" fillId="0" borderId="0" xfId="16" applyFont="1" applyFill="1" applyBorder="1" applyAlignment="1">
      <alignment horizontal="center" vertical="center"/>
    </xf>
    <xf numFmtId="0" fontId="18" fillId="0" borderId="0" xfId="16" applyFont="1" applyFill="1" applyBorder="1" applyAlignment="1">
      <alignment vertical="center"/>
    </xf>
    <xf numFmtId="0" fontId="60" fillId="0" borderId="0" xfId="16" applyFont="1" applyFill="1" applyBorder="1" applyAlignment="1">
      <alignment vertical="center"/>
    </xf>
    <xf numFmtId="0" fontId="26" fillId="0" borderId="13" xfId="16" applyFont="1" applyFill="1" applyBorder="1" applyAlignment="1">
      <alignment horizontal="right" vertical="center"/>
    </xf>
    <xf numFmtId="0" fontId="26" fillId="0" borderId="13" xfId="16" applyFont="1" applyFill="1" applyBorder="1" applyAlignment="1">
      <alignment vertical="center"/>
    </xf>
    <xf numFmtId="0" fontId="59" fillId="0" borderId="13" xfId="16" applyFont="1" applyFill="1" applyBorder="1" applyAlignment="1">
      <alignment horizontal="right" vertical="center"/>
    </xf>
    <xf numFmtId="0" fontId="58" fillId="0" borderId="13" xfId="16" applyFont="1" applyFill="1" applyBorder="1" applyAlignment="1">
      <alignment vertical="center"/>
    </xf>
    <xf numFmtId="0" fontId="58" fillId="0" borderId="13" xfId="16" applyFont="1" applyFill="1" applyBorder="1" applyAlignment="1">
      <alignment horizontal="center" vertical="center"/>
    </xf>
    <xf numFmtId="0" fontId="26" fillId="0" borderId="14" xfId="16" applyFont="1" applyFill="1" applyBorder="1" applyAlignment="1">
      <alignment vertical="center"/>
    </xf>
    <xf numFmtId="0" fontId="18" fillId="0" borderId="4" xfId="16" applyFont="1" applyFill="1" applyBorder="1" applyAlignment="1">
      <alignment vertical="center"/>
    </xf>
    <xf numFmtId="0" fontId="26" fillId="0" borderId="5" xfId="16" applyFont="1" applyFill="1" applyBorder="1" applyAlignment="1">
      <alignment horizontal="right" vertical="center"/>
    </xf>
    <xf numFmtId="0" fontId="129" fillId="0" borderId="0" xfId="16" applyFont="1" applyFill="1" applyBorder="1" applyAlignment="1">
      <alignment horizontal="right" vertical="center"/>
    </xf>
    <xf numFmtId="1" fontId="60" fillId="0" borderId="0" xfId="16" applyNumberFormat="1" applyFont="1" applyFill="1" applyBorder="1" applyAlignment="1">
      <alignment horizontal="center" vertical="center"/>
    </xf>
    <xf numFmtId="0" fontId="18" fillId="0" borderId="0" xfId="16" applyFont="1" applyFill="1" applyBorder="1" applyAlignment="1">
      <alignment horizontal="center" vertical="center"/>
    </xf>
    <xf numFmtId="0" fontId="18" fillId="0" borderId="5" xfId="16" applyFont="1" applyFill="1" applyBorder="1" applyAlignment="1">
      <alignment vertical="center"/>
    </xf>
    <xf numFmtId="0" fontId="50" fillId="0" borderId="5" xfId="16" applyFont="1" applyFill="1" applyBorder="1" applyAlignment="1">
      <alignment vertical="center"/>
    </xf>
    <xf numFmtId="0" fontId="113" fillId="0" borderId="0" xfId="16" applyFont="1" applyBorder="1" applyAlignment="1">
      <alignment horizontal="center"/>
    </xf>
    <xf numFmtId="0" fontId="52" fillId="0" borderId="0" xfId="16" applyFont="1" applyFill="1" applyBorder="1" applyAlignment="1">
      <alignment horizontal="right" vertical="center"/>
    </xf>
    <xf numFmtId="0" fontId="58" fillId="0" borderId="0" xfId="16" applyFont="1" applyFill="1" applyAlignment="1">
      <alignment vertical="center"/>
    </xf>
    <xf numFmtId="0" fontId="50" fillId="0" borderId="0" xfId="16" applyFont="1" applyFill="1" applyBorder="1" applyAlignment="1">
      <alignment horizontal="left" vertical="center"/>
    </xf>
    <xf numFmtId="0" fontId="79" fillId="0" borderId="0" xfId="16" applyFont="1" applyBorder="1"/>
    <xf numFmtId="0" fontId="18" fillId="0" borderId="0" xfId="16" applyFont="1" applyFill="1" applyBorder="1" applyAlignment="1">
      <alignment horizontal="right" vertical="center"/>
    </xf>
    <xf numFmtId="0" fontId="18" fillId="2" borderId="20" xfId="16" applyFont="1" applyFill="1" applyBorder="1" applyAlignment="1">
      <alignment vertical="center"/>
    </xf>
    <xf numFmtId="0" fontId="18" fillId="2" borderId="21" xfId="16" applyFont="1" applyFill="1" applyBorder="1" applyAlignment="1" applyProtection="1">
      <alignment horizontal="center" vertical="center"/>
      <protection locked="0"/>
    </xf>
    <xf numFmtId="0" fontId="18" fillId="2" borderId="8" xfId="16" applyFont="1" applyFill="1" applyBorder="1" applyAlignment="1">
      <alignment vertical="center"/>
    </xf>
    <xf numFmtId="0" fontId="18" fillId="2" borderId="19" xfId="16" applyFont="1" applyFill="1" applyBorder="1" applyAlignment="1" applyProtection="1">
      <alignment horizontal="center" vertical="center"/>
      <protection locked="0"/>
    </xf>
    <xf numFmtId="0" fontId="71" fillId="0" borderId="0" xfId="16" applyFont="1" applyFill="1" applyBorder="1" applyAlignment="1">
      <alignment vertical="center"/>
    </xf>
    <xf numFmtId="0" fontId="18" fillId="2" borderId="18" xfId="16" applyFont="1" applyFill="1" applyBorder="1" applyAlignment="1">
      <alignment vertical="center"/>
    </xf>
    <xf numFmtId="0" fontId="18" fillId="2" borderId="22" xfId="16" applyFont="1" applyFill="1" applyBorder="1" applyAlignment="1" applyProtection="1">
      <alignment horizontal="center" vertical="center"/>
      <protection locked="0"/>
    </xf>
    <xf numFmtId="0" fontId="75" fillId="0" borderId="0" xfId="16" applyFont="1" applyFill="1" applyBorder="1" applyAlignment="1">
      <alignment vertical="center"/>
    </xf>
    <xf numFmtId="0" fontId="71" fillId="0" borderId="0" xfId="16" applyFont="1" applyFill="1" applyBorder="1" applyAlignment="1">
      <alignment horizontal="center" vertical="center"/>
    </xf>
    <xf numFmtId="0" fontId="26" fillId="0" borderId="12" xfId="16" applyFont="1" applyFill="1" applyBorder="1" applyAlignment="1">
      <alignment vertical="center"/>
    </xf>
    <xf numFmtId="0" fontId="71" fillId="0" borderId="0" xfId="16" applyFont="1" applyFill="1" applyBorder="1" applyAlignment="1">
      <alignment horizontal="right" vertical="center"/>
    </xf>
    <xf numFmtId="0" fontId="59" fillId="0" borderId="0" xfId="16" applyFont="1" applyFill="1" applyBorder="1" applyAlignment="1">
      <alignment horizontal="left" vertical="center"/>
    </xf>
    <xf numFmtId="0" fontId="26" fillId="0" borderId="19" xfId="16" applyFont="1" applyFill="1" applyBorder="1" applyAlignment="1">
      <alignment vertical="center"/>
    </xf>
    <xf numFmtId="0" fontId="26" fillId="0" borderId="40" xfId="16" applyFont="1" applyFill="1" applyBorder="1" applyAlignment="1">
      <alignment horizontal="right" vertical="center"/>
    </xf>
    <xf numFmtId="0" fontId="26" fillId="0" borderId="41" xfId="16" applyFont="1" applyFill="1" applyBorder="1" applyAlignment="1">
      <alignment horizontal="left" vertical="center"/>
    </xf>
    <xf numFmtId="0" fontId="26" fillId="0" borderId="42" xfId="16" applyFont="1" applyFill="1" applyBorder="1" applyAlignment="1">
      <alignment horizontal="right" vertical="center"/>
    </xf>
    <xf numFmtId="0" fontId="66" fillId="0" borderId="13" xfId="16" applyFont="1" applyFill="1" applyBorder="1" applyAlignment="1">
      <alignment vertical="center"/>
    </xf>
    <xf numFmtId="0" fontId="26" fillId="0" borderId="43" xfId="16" applyFont="1" applyFill="1" applyBorder="1" applyAlignment="1">
      <alignment vertical="center"/>
    </xf>
    <xf numFmtId="0" fontId="26" fillId="0" borderId="44" xfId="16" applyFont="1" applyFill="1" applyBorder="1" applyAlignment="1">
      <alignment vertical="center"/>
    </xf>
    <xf numFmtId="0" fontId="26" fillId="0" borderId="45" xfId="16" applyFont="1" applyFill="1" applyBorder="1" applyAlignment="1">
      <alignment vertical="center"/>
    </xf>
    <xf numFmtId="0" fontId="50" fillId="0" borderId="0" xfId="16" applyFont="1" applyFill="1" applyBorder="1" applyAlignment="1">
      <alignment horizontal="right" vertical="center"/>
    </xf>
    <xf numFmtId="0" fontId="60" fillId="0" borderId="5" xfId="16" applyFont="1" applyFill="1" applyBorder="1" applyAlignment="1">
      <alignment horizontal="right" vertical="center"/>
    </xf>
    <xf numFmtId="0" fontId="26" fillId="0" borderId="29" xfId="16" applyFont="1" applyFill="1" applyBorder="1" applyAlignment="1">
      <alignment vertical="center"/>
    </xf>
    <xf numFmtId="0" fontId="26" fillId="0" borderId="25" xfId="16" applyFont="1" applyFill="1" applyBorder="1" applyAlignment="1">
      <alignment horizontal="center" vertical="center"/>
    </xf>
    <xf numFmtId="0" fontId="26" fillId="0" borderId="11" xfId="16" applyFont="1" applyFill="1" applyBorder="1" applyAlignment="1">
      <alignment vertical="center"/>
    </xf>
    <xf numFmtId="0" fontId="52" fillId="0" borderId="26" xfId="16" applyFont="1" applyFill="1" applyBorder="1" applyAlignment="1">
      <alignment horizontal="center" vertical="center"/>
    </xf>
    <xf numFmtId="0" fontId="26" fillId="0" borderId="26" xfId="16" applyFont="1" applyFill="1" applyBorder="1" applyAlignment="1">
      <alignment vertical="center"/>
    </xf>
    <xf numFmtId="0" fontId="26" fillId="0" borderId="20" xfId="16" applyFont="1" applyFill="1" applyBorder="1" applyAlignment="1">
      <alignment vertical="center"/>
    </xf>
    <xf numFmtId="0" fontId="26" fillId="0" borderId="9" xfId="16" applyFont="1" applyFill="1" applyBorder="1" applyAlignment="1">
      <alignment vertical="center"/>
    </xf>
    <xf numFmtId="0" fontId="60" fillId="0" borderId="0" xfId="16" applyFont="1" applyFill="1" applyBorder="1" applyAlignment="1">
      <alignment horizontal="left" vertical="center"/>
    </xf>
    <xf numFmtId="0" fontId="26" fillId="0" borderId="0" xfId="16" applyFont="1" applyFill="1" applyBorder="1" applyAlignment="1">
      <alignment horizontal="left" vertical="center"/>
    </xf>
    <xf numFmtId="0" fontId="72" fillId="0" borderId="0" xfId="16" applyFont="1" applyFill="1" applyBorder="1" applyAlignment="1">
      <alignment horizontal="center" vertical="center"/>
    </xf>
    <xf numFmtId="0" fontId="26" fillId="0" borderId="18" xfId="16" applyFont="1" applyFill="1" applyBorder="1" applyAlignment="1">
      <alignment vertical="center"/>
    </xf>
    <xf numFmtId="0" fontId="18" fillId="0" borderId="13" xfId="16" applyFont="1" applyFill="1" applyBorder="1" applyAlignment="1">
      <alignment vertical="center"/>
    </xf>
    <xf numFmtId="0" fontId="26" fillId="0" borderId="36" xfId="16" applyFont="1" applyFill="1" applyBorder="1" applyAlignment="1">
      <alignment vertical="center"/>
    </xf>
    <xf numFmtId="0" fontId="26" fillId="0" borderId="27" xfId="16" applyFont="1" applyFill="1" applyBorder="1" applyAlignment="1">
      <alignment vertical="center"/>
    </xf>
    <xf numFmtId="168" fontId="26" fillId="0" borderId="13" xfId="16" applyNumberFormat="1" applyFont="1" applyFill="1" applyBorder="1" applyAlignment="1">
      <alignment vertical="center"/>
    </xf>
    <xf numFmtId="0" fontId="26" fillId="0" borderId="0" xfId="16" applyFont="1" applyFill="1" applyAlignment="1">
      <alignment horizontal="right" vertical="center"/>
    </xf>
    <xf numFmtId="0" fontId="26" fillId="0" borderId="0" xfId="16" applyFont="1" applyFill="1" applyAlignment="1">
      <alignment horizontal="left" vertical="center"/>
    </xf>
    <xf numFmtId="0" fontId="76" fillId="0" borderId="0" xfId="16" applyFont="1" applyFill="1" applyAlignment="1">
      <alignment horizontal="right" vertical="center"/>
    </xf>
    <xf numFmtId="0" fontId="69" fillId="0" borderId="0" xfId="16" applyFont="1" applyFill="1" applyBorder="1" applyAlignment="1">
      <alignment vertical="center"/>
    </xf>
    <xf numFmtId="0" fontId="147" fillId="19" borderId="106" xfId="0" applyFont="1" applyFill="1" applyBorder="1" applyAlignment="1">
      <alignment vertical="center"/>
    </xf>
    <xf numFmtId="0" fontId="50" fillId="0" borderId="107" xfId="16" applyFont="1" applyFill="1" applyBorder="1" applyAlignment="1">
      <alignment vertical="center"/>
    </xf>
    <xf numFmtId="0" fontId="58" fillId="0" borderId="107" xfId="16" applyNumberFormat="1" applyFont="1" applyFill="1" applyBorder="1" applyAlignment="1">
      <alignment horizontal="center" vertical="center"/>
    </xf>
    <xf numFmtId="0" fontId="26" fillId="0" borderId="107" xfId="16" applyFont="1" applyFill="1" applyBorder="1" applyAlignment="1">
      <alignment vertical="center"/>
    </xf>
    <xf numFmtId="0" fontId="60" fillId="0" borderId="4" xfId="16" applyFont="1" applyFill="1" applyBorder="1" applyAlignment="1">
      <alignment horizontal="left" vertical="center"/>
    </xf>
    <xf numFmtId="0" fontId="18" fillId="0" borderId="27" xfId="16" applyFont="1" applyFill="1" applyBorder="1" applyAlignment="1">
      <alignment vertical="center"/>
    </xf>
    <xf numFmtId="1" fontId="27" fillId="0" borderId="15" xfId="21" applyNumberFormat="1" applyFont="1" applyBorder="1"/>
    <xf numFmtId="0" fontId="27" fillId="0" borderId="15" xfId="21" applyFont="1" applyBorder="1"/>
    <xf numFmtId="1" fontId="27" fillId="0" borderId="15" xfId="22" applyNumberFormat="1" applyFont="1" applyBorder="1"/>
    <xf numFmtId="49" fontId="155" fillId="0" borderId="52" xfId="0" applyNumberFormat="1" applyFont="1" applyBorder="1" applyAlignment="1">
      <alignment horizontal="center" vertical="center"/>
    </xf>
    <xf numFmtId="16" fontId="94" fillId="0" borderId="0" xfId="21" quotePrefix="1" applyNumberFormat="1" applyFont="1" applyAlignment="1">
      <alignment horizontal="center"/>
    </xf>
    <xf numFmtId="1" fontId="94" fillId="0" borderId="15" xfId="21" applyNumberFormat="1" applyFont="1" applyBorder="1" applyAlignment="1">
      <alignment horizontal="center"/>
    </xf>
    <xf numFmtId="0" fontId="94" fillId="0" borderId="0" xfId="21" applyFont="1" applyAlignment="1">
      <alignment horizontal="center"/>
    </xf>
    <xf numFmtId="1" fontId="94" fillId="0" borderId="15" xfId="22" applyNumberFormat="1" applyFont="1" applyBorder="1" applyAlignment="1">
      <alignment horizontal="center"/>
    </xf>
    <xf numFmtId="0" fontId="94" fillId="0" borderId="15" xfId="21" applyFont="1" applyBorder="1" applyAlignment="1">
      <alignment horizontal="center"/>
    </xf>
    <xf numFmtId="0" fontId="131" fillId="0" borderId="0" xfId="15" applyAlignment="1">
      <alignment vertical="center"/>
    </xf>
    <xf numFmtId="1" fontId="27" fillId="0" borderId="15" xfId="21" applyNumberFormat="1" applyFont="1" applyBorder="1" applyAlignment="1">
      <alignment horizontal="center"/>
    </xf>
    <xf numFmtId="0" fontId="27" fillId="0" borderId="15" xfId="21" applyFont="1" applyBorder="1" applyAlignment="1">
      <alignment horizontal="center"/>
    </xf>
    <xf numFmtId="14" fontId="1" fillId="12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10" applyFont="1" applyBorder="1" applyAlignment="1">
      <alignment vertical="center"/>
    </xf>
    <xf numFmtId="16" fontId="27" fillId="0" borderId="0" xfId="21" quotePrefix="1" applyNumberFormat="1" applyFont="1" applyAlignment="1">
      <alignment horizontal="center"/>
    </xf>
    <xf numFmtId="0" fontId="27" fillId="0" borderId="0" xfId="21" applyFont="1" applyAlignment="1">
      <alignment horizontal="center"/>
    </xf>
    <xf numFmtId="166" fontId="1" fillId="0" borderId="3" xfId="0" applyNumberFormat="1" applyFont="1" applyFill="1" applyBorder="1" applyAlignment="1">
      <alignment vertical="center"/>
    </xf>
    <xf numFmtId="166" fontId="0" fillId="0" borderId="0" xfId="0" applyNumberFormat="1"/>
    <xf numFmtId="16" fontId="15" fillId="0" borderId="0" xfId="21" quotePrefix="1" applyNumberFormat="1" applyFont="1" applyAlignment="1">
      <alignment horizontal="center"/>
    </xf>
    <xf numFmtId="0" fontId="15" fillId="0" borderId="0" xfId="21" applyFont="1" applyAlignment="1">
      <alignment horizontal="center"/>
    </xf>
    <xf numFmtId="0" fontId="31" fillId="0" borderId="0" xfId="21" applyFont="1" applyAlignment="1">
      <alignment horizontal="center"/>
    </xf>
    <xf numFmtId="0" fontId="58" fillId="0" borderId="102" xfId="10" applyFont="1" applyFill="1" applyBorder="1" applyAlignment="1">
      <alignment horizontal="center" vertical="center"/>
    </xf>
    <xf numFmtId="0" fontId="66" fillId="0" borderId="0" xfId="10" applyFont="1" applyFill="1" applyBorder="1" applyAlignment="1">
      <alignment horizontal="left" vertical="center"/>
    </xf>
    <xf numFmtId="2" fontId="26" fillId="0" borderId="0" xfId="10" applyNumberFormat="1" applyFont="1" applyFill="1" applyBorder="1" applyAlignment="1">
      <alignment horizontal="left" vertical="center"/>
    </xf>
    <xf numFmtId="1" fontId="60" fillId="0" borderId="0" xfId="10" applyNumberFormat="1" applyFont="1" applyFill="1" applyBorder="1" applyAlignment="1">
      <alignment horizontal="left" vertical="center"/>
    </xf>
    <xf numFmtId="0" fontId="37" fillId="0" borderId="0" xfId="10" applyFont="1" applyFill="1" applyAlignment="1">
      <alignment vertical="center"/>
    </xf>
    <xf numFmtId="1" fontId="58" fillId="0" borderId="0" xfId="10" applyNumberFormat="1" applyFont="1" applyFill="1" applyBorder="1" applyAlignment="1">
      <alignment vertical="center"/>
    </xf>
    <xf numFmtId="1" fontId="94" fillId="16" borderId="15" xfId="22" applyNumberFormat="1" applyFont="1" applyFill="1" applyBorder="1" applyAlignment="1">
      <alignment horizontal="center"/>
    </xf>
    <xf numFmtId="0" fontId="94" fillId="16" borderId="15" xfId="21" applyFont="1" applyFill="1" applyBorder="1" applyAlignment="1">
      <alignment horizontal="center"/>
    </xf>
    <xf numFmtId="0" fontId="163" fillId="0" borderId="15" xfId="0" applyFont="1" applyFill="1" applyBorder="1" applyAlignment="1">
      <alignment horizontal="center" vertical="center"/>
    </xf>
    <xf numFmtId="0" fontId="164" fillId="19" borderId="85" xfId="0" applyFont="1" applyFill="1" applyBorder="1"/>
    <xf numFmtId="14" fontId="2" fillId="0" borderId="15" xfId="10" applyNumberFormat="1" applyBorder="1"/>
    <xf numFmtId="14" fontId="2" fillId="0" borderId="15" xfId="10" applyNumberFormat="1" applyFont="1" applyBorder="1"/>
    <xf numFmtId="1" fontId="27" fillId="0" borderId="0" xfId="22" applyNumberFormat="1" applyFont="1" applyBorder="1" applyAlignment="1">
      <alignment horizontal="left" vertical="center"/>
    </xf>
    <xf numFmtId="0" fontId="139" fillId="0" borderId="15" xfId="0" applyFont="1" applyBorder="1"/>
    <xf numFmtId="0" fontId="1" fillId="0" borderId="15" xfId="0" applyFont="1" applyFill="1" applyBorder="1" applyAlignment="1">
      <alignment vertical="center"/>
    </xf>
    <xf numFmtId="0" fontId="22" fillId="0" borderId="0" xfId="19" applyFont="1" applyBorder="1" applyAlignment="1" applyProtection="1">
      <alignment horizontal="right" vertical="center"/>
    </xf>
    <xf numFmtId="0" fontId="15" fillId="0" borderId="28" xfId="19" applyFont="1" applyBorder="1" applyAlignment="1" applyProtection="1">
      <alignment vertical="center"/>
    </xf>
    <xf numFmtId="0" fontId="22" fillId="0" borderId="29" xfId="19" applyFont="1" applyBorder="1" applyAlignment="1" applyProtection="1">
      <alignment vertical="center"/>
    </xf>
    <xf numFmtId="0" fontId="2" fillId="0" borderId="29" xfId="12" applyBorder="1"/>
    <xf numFmtId="0" fontId="14" fillId="0" borderId="30" xfId="19" applyFont="1" applyBorder="1" applyAlignment="1" applyProtection="1">
      <alignment vertical="center"/>
    </xf>
    <xf numFmtId="0" fontId="12" fillId="0" borderId="12" xfId="19" applyFont="1" applyBorder="1" applyAlignment="1" applyProtection="1">
      <alignment vertical="center"/>
    </xf>
    <xf numFmtId="0" fontId="12" fillId="0" borderId="13" xfId="19" applyBorder="1" applyAlignment="1" applyProtection="1">
      <alignment vertical="center"/>
    </xf>
    <xf numFmtId="0" fontId="12" fillId="0" borderId="14" xfId="19" applyBorder="1" applyAlignment="1" applyProtection="1">
      <alignment vertical="center"/>
    </xf>
    <xf numFmtId="0" fontId="15" fillId="0" borderId="29" xfId="19" applyFont="1" applyBorder="1" applyAlignment="1" applyProtection="1">
      <alignment vertical="center"/>
    </xf>
    <xf numFmtId="0" fontId="14" fillId="0" borderId="29" xfId="19" applyFont="1" applyBorder="1" applyAlignment="1" applyProtection="1">
      <alignment vertical="center"/>
    </xf>
    <xf numFmtId="0" fontId="38" fillId="0" borderId="29" xfId="22" applyFont="1" applyBorder="1"/>
    <xf numFmtId="0" fontId="12" fillId="0" borderId="13" xfId="19" applyFont="1" applyBorder="1" applyAlignment="1" applyProtection="1">
      <alignment vertical="center"/>
    </xf>
    <xf numFmtId="0" fontId="160" fillId="0" borderId="0" xfId="19" applyFont="1" applyBorder="1" applyAlignment="1" applyProtection="1">
      <alignment horizontal="right" vertical="center"/>
    </xf>
    <xf numFmtId="1" fontId="161" fillId="0" borderId="0" xfId="19" applyNumberFormat="1" applyFont="1" applyBorder="1" applyAlignment="1" applyProtection="1">
      <alignment horizontal="center" vertical="center"/>
    </xf>
    <xf numFmtId="0" fontId="156" fillId="0" borderId="29" xfId="19" applyFont="1" applyBorder="1" applyAlignment="1" applyProtection="1">
      <alignment vertical="center"/>
    </xf>
    <xf numFmtId="0" fontId="157" fillId="0" borderId="29" xfId="19" applyFont="1" applyBorder="1" applyAlignment="1" applyProtection="1">
      <alignment vertical="center"/>
    </xf>
    <xf numFmtId="0" fontId="158" fillId="0" borderId="29" xfId="22" applyFont="1" applyBorder="1"/>
    <xf numFmtId="0" fontId="159" fillId="0" borderId="29" xfId="12" applyFont="1" applyBorder="1"/>
    <xf numFmtId="0" fontId="157" fillId="0" borderId="30" xfId="19" applyFont="1" applyBorder="1" applyAlignment="1" applyProtection="1">
      <alignment vertical="center"/>
    </xf>
    <xf numFmtId="0" fontId="162" fillId="0" borderId="13" xfId="19" applyFont="1" applyBorder="1" applyAlignment="1" applyProtection="1">
      <alignment vertical="center"/>
    </xf>
    <xf numFmtId="0" fontId="162" fillId="0" borderId="14" xfId="19" applyFont="1" applyBorder="1" applyAlignment="1" applyProtection="1">
      <alignment vertical="center"/>
    </xf>
    <xf numFmtId="0" fontId="147" fillId="19" borderId="121" xfId="0" applyFont="1" applyFill="1" applyBorder="1" applyAlignment="1">
      <alignment vertical="center"/>
    </xf>
    <xf numFmtId="0" fontId="147" fillId="0" borderId="0" xfId="0" applyFont="1" applyFill="1" applyBorder="1" applyAlignment="1">
      <alignment vertical="center"/>
    </xf>
    <xf numFmtId="0" fontId="163" fillId="0" borderId="0" xfId="0" applyFont="1" applyFill="1" applyBorder="1" applyAlignment="1">
      <alignment horizontal="center" vertical="center"/>
    </xf>
    <xf numFmtId="0" fontId="138" fillId="0" borderId="0" xfId="0" applyFont="1" applyFill="1" applyBorder="1"/>
    <xf numFmtId="0" fontId="147" fillId="19" borderId="109" xfId="0" applyFont="1" applyFill="1" applyBorder="1" applyAlignment="1">
      <alignment vertical="center"/>
    </xf>
    <xf numFmtId="0" fontId="138" fillId="19" borderId="84" xfId="0" applyFont="1" applyFill="1" applyBorder="1"/>
    <xf numFmtId="0" fontId="138" fillId="19" borderId="88" xfId="0" applyFont="1" applyFill="1" applyBorder="1"/>
    <xf numFmtId="0" fontId="138" fillId="19" borderId="122" xfId="0" applyFont="1" applyFill="1" applyBorder="1"/>
    <xf numFmtId="0" fontId="138" fillId="19" borderId="1" xfId="0" applyFont="1" applyFill="1" applyBorder="1"/>
    <xf numFmtId="0" fontId="138" fillId="19" borderId="123" xfId="0" applyFont="1" applyFill="1" applyBorder="1"/>
    <xf numFmtId="0" fontId="138" fillId="19" borderId="2" xfId="0" applyFont="1" applyFill="1" applyBorder="1"/>
    <xf numFmtId="0" fontId="0" fillId="18" borderId="6" xfId="0" applyFill="1" applyBorder="1"/>
    <xf numFmtId="0" fontId="0" fillId="15" borderId="0" xfId="0" applyFill="1"/>
    <xf numFmtId="0" fontId="61" fillId="0" borderId="0" xfId="10" applyFont="1" applyFill="1" applyBorder="1" applyAlignment="1">
      <alignment horizontal="left" vertical="center"/>
    </xf>
    <xf numFmtId="0" fontId="22" fillId="0" borderId="6" xfId="18" applyFont="1" applyBorder="1" applyAlignment="1" applyProtection="1">
      <alignment horizontal="right" vertical="center"/>
    </xf>
    <xf numFmtId="0" fontId="0" fillId="0" borderId="105" xfId="0" applyFill="1" applyBorder="1"/>
    <xf numFmtId="0" fontId="22" fillId="0" borderId="6" xfId="19" applyFont="1" applyBorder="1" applyAlignment="1" applyProtection="1">
      <alignment horizontal="center" vertical="center"/>
    </xf>
    <xf numFmtId="0" fontId="22" fillId="0" borderId="6" xfId="18" applyFont="1" applyBorder="1" applyAlignment="1" applyProtection="1">
      <alignment horizontal="center" vertical="center"/>
    </xf>
    <xf numFmtId="1" fontId="20" fillId="0" borderId="0" xfId="19" applyNumberFormat="1" applyFont="1" applyBorder="1" applyAlignment="1" applyProtection="1">
      <alignment horizontal="left" vertical="center"/>
    </xf>
    <xf numFmtId="1" fontId="20" fillId="0" borderId="0" xfId="19" applyNumberFormat="1" applyFont="1" applyBorder="1" applyAlignment="1" applyProtection="1">
      <alignment horizontal="center" vertical="center"/>
    </xf>
    <xf numFmtId="0" fontId="35" fillId="0" borderId="11" xfId="18" applyFont="1" applyBorder="1" applyAlignment="1" applyProtection="1">
      <alignment vertical="center"/>
    </xf>
    <xf numFmtId="0" fontId="35" fillId="0" borderId="7" xfId="18" applyFont="1" applyBorder="1" applyAlignment="1" applyProtection="1">
      <alignment vertical="center"/>
    </xf>
    <xf numFmtId="0" fontId="30" fillId="0" borderId="6" xfId="18" applyFont="1" applyBorder="1" applyAlignment="1" applyProtection="1">
      <alignment vertical="center"/>
    </xf>
    <xf numFmtId="0" fontId="48" fillId="0" borderId="11" xfId="11" applyFont="1" applyBorder="1" applyAlignment="1">
      <alignment vertical="center"/>
    </xf>
    <xf numFmtId="0" fontId="45" fillId="0" borderId="22" xfId="21" applyFont="1" applyBorder="1" applyAlignment="1">
      <alignment vertical="center"/>
    </xf>
    <xf numFmtId="0" fontId="45" fillId="0" borderId="18" xfId="21" applyFont="1" applyBorder="1" applyAlignment="1">
      <alignment vertical="center"/>
    </xf>
    <xf numFmtId="168" fontId="35" fillId="0" borderId="0" xfId="21" applyNumberFormat="1" applyFont="1" applyBorder="1" applyAlignment="1">
      <alignment vertical="center"/>
    </xf>
    <xf numFmtId="0" fontId="0" fillId="0" borderId="15" xfId="0" applyFill="1" applyBorder="1"/>
    <xf numFmtId="14" fontId="20" fillId="0" borderId="11" xfId="18" applyNumberFormat="1" applyFont="1" applyBorder="1" applyAlignment="1" applyProtection="1">
      <alignment vertical="center"/>
      <protection locked="0"/>
    </xf>
    <xf numFmtId="0" fontId="22" fillId="0" borderId="6" xfId="18" applyFont="1" applyBorder="1" applyAlignment="1" applyProtection="1">
      <alignment horizontal="left" vertical="center"/>
    </xf>
    <xf numFmtId="0" fontId="58" fillId="0" borderId="0" xfId="10" applyFont="1" applyFill="1" applyBorder="1" applyAlignment="1">
      <alignment horizontal="left" vertical="center"/>
    </xf>
    <xf numFmtId="0" fontId="52" fillId="0" borderId="31" xfId="10" applyFont="1" applyFill="1" applyBorder="1" applyAlignment="1">
      <alignment horizontal="center" vertical="center"/>
    </xf>
    <xf numFmtId="0" fontId="52" fillId="0" borderId="32" xfId="10" applyFont="1" applyFill="1" applyBorder="1" applyAlignment="1">
      <alignment horizontal="center" vertical="center"/>
    </xf>
    <xf numFmtId="0" fontId="53" fillId="0" borderId="33" xfId="10" applyFont="1" applyFill="1" applyBorder="1" applyAlignment="1">
      <alignment horizontal="center" vertical="center"/>
    </xf>
    <xf numFmtId="0" fontId="61" fillId="0" borderId="0" xfId="10" applyFont="1" applyFill="1" applyBorder="1" applyAlignment="1">
      <alignment horizontal="center" vertical="center"/>
    </xf>
    <xf numFmtId="0" fontId="59" fillId="0" borderId="0" xfId="10" applyFont="1" applyFill="1" applyBorder="1" applyAlignment="1">
      <alignment horizontal="center" vertical="center"/>
    </xf>
    <xf numFmtId="0" fontId="58" fillId="0" borderId="0" xfId="10" applyFont="1" applyFill="1" applyBorder="1" applyAlignment="1">
      <alignment horizontal="center" vertical="center"/>
    </xf>
    <xf numFmtId="0" fontId="60" fillId="0" borderId="0" xfId="10" applyFont="1" applyFill="1" applyBorder="1" applyAlignment="1">
      <alignment horizontal="center" vertical="center"/>
    </xf>
    <xf numFmtId="173" fontId="58" fillId="0" borderId="0" xfId="10" applyNumberFormat="1" applyFont="1" applyFill="1" applyBorder="1" applyAlignment="1">
      <alignment horizontal="center" vertical="center"/>
    </xf>
    <xf numFmtId="0" fontId="66" fillId="0" borderId="0" xfId="10" applyFont="1" applyFill="1" applyBorder="1" applyAlignment="1">
      <alignment horizontal="left" vertical="center"/>
    </xf>
    <xf numFmtId="0" fontId="69" fillId="0" borderId="0" xfId="10" applyFont="1" applyFill="1" applyBorder="1" applyAlignment="1">
      <alignment horizontal="right" vertical="center"/>
    </xf>
    <xf numFmtId="0" fontId="52" fillId="0" borderId="0" xfId="10" applyFont="1" applyFill="1" applyBorder="1" applyAlignment="1">
      <alignment horizontal="center" vertical="center"/>
    </xf>
    <xf numFmtId="0" fontId="58" fillId="0" borderId="5" xfId="10" applyFont="1" applyFill="1" applyBorder="1" applyAlignment="1">
      <alignment horizontal="center" vertical="center"/>
    </xf>
    <xf numFmtId="0" fontId="26" fillId="0" borderId="0" xfId="10" applyFont="1" applyFill="1" applyBorder="1" applyAlignment="1">
      <alignment horizontal="center" vertical="center"/>
    </xf>
    <xf numFmtId="49" fontId="18" fillId="8" borderId="91" xfId="10" applyNumberFormat="1" applyFont="1" applyFill="1" applyBorder="1" applyAlignment="1" applyProtection="1">
      <alignment horizontal="center" vertical="center"/>
      <protection locked="0"/>
    </xf>
    <xf numFmtId="49" fontId="18" fillId="8" borderId="92" xfId="10" applyNumberFormat="1" applyFont="1" applyFill="1" applyBorder="1" applyAlignment="1" applyProtection="1">
      <alignment horizontal="center" vertical="center"/>
      <protection locked="0"/>
    </xf>
    <xf numFmtId="0" fontId="26" fillId="26" borderId="4" xfId="10" applyFont="1" applyFill="1" applyBorder="1" applyAlignment="1">
      <alignment horizontal="right" vertical="center"/>
    </xf>
    <xf numFmtId="0" fontId="26" fillId="26" borderId="0" xfId="10" applyFont="1" applyFill="1" applyBorder="1" applyAlignment="1">
      <alignment horizontal="right" vertical="center"/>
    </xf>
    <xf numFmtId="0" fontId="26" fillId="26" borderId="19" xfId="10" applyFont="1" applyFill="1" applyBorder="1" applyAlignment="1">
      <alignment horizontal="right" vertical="center"/>
    </xf>
    <xf numFmtId="0" fontId="26" fillId="26" borderId="0" xfId="10" applyFont="1" applyFill="1" applyBorder="1" applyAlignment="1">
      <alignment vertical="center"/>
    </xf>
    <xf numFmtId="0" fontId="59" fillId="26" borderId="0" xfId="10" applyFont="1" applyFill="1" applyBorder="1" applyAlignment="1">
      <alignment vertical="center"/>
    </xf>
    <xf numFmtId="0" fontId="61" fillId="26" borderId="0" xfId="10" applyFont="1" applyFill="1" applyBorder="1" applyAlignment="1">
      <alignment vertical="center"/>
    </xf>
    <xf numFmtId="0" fontId="26" fillId="26" borderId="5" xfId="10" applyFont="1" applyFill="1" applyBorder="1" applyAlignment="1">
      <alignment vertical="center"/>
    </xf>
    <xf numFmtId="0" fontId="61" fillId="26" borderId="0" xfId="10" applyFont="1" applyFill="1" applyBorder="1" applyAlignment="1">
      <alignment horizontal="right" vertical="center"/>
    </xf>
    <xf numFmtId="1" fontId="61" fillId="26" borderId="0" xfId="10" applyNumberFormat="1" applyFont="1" applyFill="1" applyBorder="1" applyAlignment="1">
      <alignment horizontal="right" vertical="center"/>
    </xf>
    <xf numFmtId="0" fontId="60" fillId="26" borderId="0" xfId="10" applyFont="1" applyFill="1" applyBorder="1" applyAlignment="1">
      <alignment horizontal="right" vertical="center"/>
    </xf>
    <xf numFmtId="0" fontId="59" fillId="26" borderId="19" xfId="10" applyFont="1" applyFill="1" applyBorder="1" applyAlignment="1">
      <alignment horizontal="right" vertical="center"/>
    </xf>
    <xf numFmtId="0" fontId="52" fillId="26" borderId="0" xfId="10" applyFont="1" applyFill="1" applyBorder="1" applyAlignment="1">
      <alignment vertical="center"/>
    </xf>
    <xf numFmtId="0" fontId="62" fillId="7" borderId="0" xfId="10" applyFont="1" applyFill="1" applyBorder="1" applyAlignment="1">
      <alignment horizontal="left" vertical="center"/>
    </xf>
    <xf numFmtId="0" fontId="63" fillId="7" borderId="0" xfId="10" applyFont="1" applyFill="1" applyBorder="1" applyAlignment="1">
      <alignment vertical="center"/>
    </xf>
    <xf numFmtId="0" fontId="64" fillId="7" borderId="0" xfId="10" applyFont="1" applyFill="1" applyAlignment="1" applyProtection="1">
      <alignment vertical="center"/>
    </xf>
    <xf numFmtId="49" fontId="62" fillId="7" borderId="0" xfId="10" applyNumberFormat="1" applyFont="1" applyFill="1" applyBorder="1" applyAlignment="1" applyProtection="1">
      <alignment horizontal="center" vertical="center"/>
    </xf>
    <xf numFmtId="0" fontId="62" fillId="7" borderId="0" xfId="10" applyNumberFormat="1" applyFont="1" applyFill="1" applyBorder="1" applyAlignment="1">
      <alignment horizontal="center" vertical="center"/>
    </xf>
    <xf numFmtId="0" fontId="59" fillId="26" borderId="0" xfId="10" applyFont="1" applyFill="1" applyBorder="1" applyAlignment="1">
      <alignment horizontal="right" vertical="center"/>
    </xf>
    <xf numFmtId="1" fontId="18" fillId="8" borderId="92" xfId="10" applyNumberFormat="1" applyFont="1" applyFill="1" applyBorder="1" applyAlignment="1" applyProtection="1">
      <alignment horizontal="center" vertical="center"/>
      <protection locked="0"/>
    </xf>
    <xf numFmtId="49" fontId="58" fillId="7" borderId="0" xfId="10" applyNumberFormat="1" applyFont="1" applyFill="1" applyBorder="1" applyAlignment="1" applyProtection="1">
      <alignment horizontal="center" vertical="center"/>
    </xf>
    <xf numFmtId="0" fontId="66" fillId="26" borderId="0" xfId="10" applyFont="1" applyFill="1" applyBorder="1" applyAlignment="1">
      <alignment horizontal="left" vertical="center"/>
    </xf>
    <xf numFmtId="0" fontId="58" fillId="26" borderId="19" xfId="10" applyFont="1" applyFill="1" applyBorder="1" applyAlignment="1">
      <alignment horizontal="right" vertical="center"/>
    </xf>
    <xf numFmtId="0" fontId="18" fillId="8" borderId="93" xfId="10" applyFont="1" applyFill="1" applyBorder="1" applyAlignment="1" applyProtection="1">
      <alignment horizontal="center" vertical="center"/>
      <protection locked="0"/>
    </xf>
    <xf numFmtId="0" fontId="60" fillId="26" borderId="19" xfId="10" applyFont="1" applyFill="1" applyBorder="1" applyAlignment="1">
      <alignment horizontal="right" vertical="center"/>
    </xf>
    <xf numFmtId="1" fontId="18" fillId="0" borderId="0" xfId="10" applyNumberFormat="1" applyFont="1" applyFill="1" applyAlignment="1" applyProtection="1">
      <alignment horizontal="center" vertical="center"/>
    </xf>
    <xf numFmtId="0" fontId="26" fillId="26" borderId="4" xfId="10" applyFont="1" applyFill="1" applyBorder="1" applyAlignment="1">
      <alignment vertical="center"/>
    </xf>
    <xf numFmtId="0" fontId="26" fillId="26" borderId="21" xfId="10" applyFont="1" applyFill="1" applyBorder="1" applyAlignment="1">
      <alignment vertical="center"/>
    </xf>
    <xf numFmtId="1" fontId="58" fillId="26" borderId="0" xfId="10" applyNumberFormat="1" applyFont="1" applyFill="1" applyBorder="1" applyAlignment="1">
      <alignment horizontal="center" vertical="center"/>
    </xf>
    <xf numFmtId="0" fontId="52" fillId="26" borderId="0" xfId="10" applyFont="1" applyFill="1" applyBorder="1" applyAlignment="1">
      <alignment horizontal="center" vertical="center"/>
    </xf>
    <xf numFmtId="0" fontId="18" fillId="0" borderId="0" xfId="10" applyFont="1" applyFill="1" applyAlignment="1" applyProtection="1">
      <alignment horizontal="center" vertical="center"/>
    </xf>
    <xf numFmtId="0" fontId="26" fillId="26" borderId="19" xfId="10" applyFont="1" applyFill="1" applyBorder="1" applyAlignment="1">
      <alignment vertical="center"/>
    </xf>
    <xf numFmtId="0" fontId="26" fillId="26" borderId="0" xfId="10" applyFont="1" applyFill="1" applyBorder="1" applyAlignment="1">
      <alignment horizontal="center" vertical="center"/>
    </xf>
    <xf numFmtId="0" fontId="166" fillId="3" borderId="15" xfId="10" applyFont="1" applyFill="1" applyBorder="1" applyAlignment="1" applyProtection="1">
      <alignment horizontal="center" vertical="center"/>
      <protection locked="0"/>
    </xf>
    <xf numFmtId="0" fontId="67" fillId="0" borderId="4" xfId="10" applyFont="1" applyBorder="1" applyAlignment="1">
      <alignment horizontal="left" vertical="center"/>
    </xf>
    <xf numFmtId="0" fontId="26" fillId="26" borderId="8" xfId="10" applyFont="1" applyFill="1" applyBorder="1" applyAlignment="1">
      <alignment vertical="center"/>
    </xf>
    <xf numFmtId="0" fontId="60" fillId="26" borderId="5" xfId="10" applyFont="1" applyFill="1" applyBorder="1" applyAlignment="1">
      <alignment horizontal="center" vertical="center"/>
    </xf>
    <xf numFmtId="0" fontId="29" fillId="0" borderId="0" xfId="10" applyFont="1" applyFill="1" applyBorder="1" applyAlignment="1">
      <alignment vertical="center"/>
    </xf>
    <xf numFmtId="0" fontId="18" fillId="0" borderId="20" xfId="10" applyFont="1" applyFill="1" applyBorder="1" applyAlignment="1">
      <alignment vertical="center"/>
    </xf>
    <xf numFmtId="0" fontId="18" fillId="0" borderId="21" xfId="10" applyFont="1" applyFill="1" applyBorder="1" applyAlignment="1" applyProtection="1">
      <alignment horizontal="center" vertical="center"/>
      <protection locked="0"/>
    </xf>
    <xf numFmtId="0" fontId="70" fillId="0" borderId="0" xfId="10" applyFont="1" applyFill="1" applyBorder="1" applyAlignment="1">
      <alignment vertical="center"/>
    </xf>
    <xf numFmtId="0" fontId="18" fillId="0" borderId="8" xfId="10" applyFont="1" applyFill="1" applyBorder="1" applyAlignment="1">
      <alignment vertical="center"/>
    </xf>
    <xf numFmtId="0" fontId="18" fillId="0" borderId="19" xfId="10" applyFont="1" applyFill="1" applyBorder="1" applyAlignment="1" applyProtection="1">
      <alignment horizontal="center" vertical="center"/>
      <protection locked="0"/>
    </xf>
    <xf numFmtId="0" fontId="61" fillId="26" borderId="0" xfId="10" applyFont="1" applyFill="1" applyBorder="1" applyAlignment="1">
      <alignment horizontal="left" vertical="center"/>
    </xf>
    <xf numFmtId="0" fontId="18" fillId="0" borderId="18" xfId="10" applyFont="1" applyFill="1" applyBorder="1" applyAlignment="1">
      <alignment vertical="center"/>
    </xf>
    <xf numFmtId="0" fontId="18" fillId="0" borderId="22" xfId="10" applyFont="1" applyFill="1" applyBorder="1" applyAlignment="1" applyProtection="1">
      <alignment horizontal="center" vertical="center"/>
      <protection locked="0"/>
    </xf>
    <xf numFmtId="0" fontId="58" fillId="26" borderId="0" xfId="10" applyFont="1" applyFill="1" applyBorder="1" applyAlignment="1">
      <alignment horizontal="right" vertical="center"/>
    </xf>
    <xf numFmtId="0" fontId="59" fillId="26" borderId="0" xfId="10" applyFont="1" applyFill="1" applyBorder="1" applyAlignment="1">
      <alignment horizontal="center" vertical="center"/>
    </xf>
    <xf numFmtId="0" fontId="58" fillId="26" borderId="0" xfId="10" applyFont="1" applyFill="1" applyBorder="1" applyAlignment="1">
      <alignment vertical="center"/>
    </xf>
    <xf numFmtId="0" fontId="58" fillId="26" borderId="0" xfId="10" applyFont="1" applyFill="1" applyBorder="1" applyAlignment="1">
      <alignment horizontal="center" vertical="center"/>
    </xf>
    <xf numFmtId="0" fontId="60" fillId="0" borderId="0" xfId="10" applyFont="1" applyFill="1" applyAlignment="1" applyProtection="1">
      <alignment horizontal="center" vertical="center"/>
      <protection locked="0"/>
    </xf>
    <xf numFmtId="0" fontId="26" fillId="26" borderId="12" xfId="10" applyFont="1" applyFill="1" applyBorder="1" applyAlignment="1">
      <alignment horizontal="right" vertical="center"/>
    </xf>
    <xf numFmtId="0" fontId="26" fillId="26" borderId="13" xfId="10" applyFont="1" applyFill="1" applyBorder="1" applyAlignment="1">
      <alignment horizontal="right" vertical="center"/>
    </xf>
    <xf numFmtId="0" fontId="72" fillId="26" borderId="13" xfId="10" applyFont="1" applyFill="1" applyBorder="1" applyAlignment="1">
      <alignment horizontal="right" vertical="center"/>
    </xf>
    <xf numFmtId="0" fontId="26" fillId="26" borderId="36" xfId="10" applyFont="1" applyFill="1" applyBorder="1" applyAlignment="1">
      <alignment horizontal="right" vertical="center"/>
    </xf>
    <xf numFmtId="0" fontId="26" fillId="26" borderId="13" xfId="10" applyFont="1" applyFill="1" applyBorder="1" applyAlignment="1">
      <alignment vertical="center"/>
    </xf>
    <xf numFmtId="0" fontId="59" fillId="26" borderId="13" xfId="10" applyFont="1" applyFill="1" applyBorder="1" applyAlignment="1">
      <alignment horizontal="right" vertical="center"/>
    </xf>
    <xf numFmtId="0" fontId="58" fillId="26" borderId="13" xfId="10" applyFont="1" applyFill="1" applyBorder="1" applyAlignment="1">
      <alignment vertical="center"/>
    </xf>
    <xf numFmtId="0" fontId="58" fillId="26" borderId="13" xfId="10" applyFont="1" applyFill="1" applyBorder="1" applyAlignment="1">
      <alignment horizontal="center" vertical="center"/>
    </xf>
    <xf numFmtId="0" fontId="26" fillId="26" borderId="14" xfId="10" applyFont="1" applyFill="1" applyBorder="1" applyAlignment="1">
      <alignment vertical="center"/>
    </xf>
    <xf numFmtId="0" fontId="18" fillId="0" borderId="0" xfId="10" quotePrefix="1" applyFont="1" applyFill="1" applyAlignment="1" applyProtection="1">
      <alignment horizontal="center" vertical="center"/>
      <protection locked="0"/>
    </xf>
    <xf numFmtId="0" fontId="129" fillId="0" borderId="0" xfId="10" applyFont="1" applyFill="1" applyBorder="1" applyAlignment="1">
      <alignment horizontal="right" vertical="center"/>
    </xf>
    <xf numFmtId="0" fontId="113" fillId="0" borderId="0" xfId="10" applyFont="1" applyBorder="1" applyAlignment="1">
      <alignment horizontal="center"/>
    </xf>
    <xf numFmtId="0" fontId="167" fillId="0" borderId="0" xfId="10" applyFont="1" applyFill="1" applyBorder="1" applyAlignment="1">
      <alignment vertical="center"/>
    </xf>
    <xf numFmtId="0" fontId="71" fillId="0" borderId="9" xfId="10" applyFont="1" applyFill="1" applyBorder="1" applyAlignment="1">
      <alignment vertical="center"/>
    </xf>
    <xf numFmtId="0" fontId="26" fillId="0" borderId="9" xfId="10" applyFont="1" applyFill="1" applyBorder="1" applyAlignment="1">
      <alignment horizontal="center" vertical="center"/>
    </xf>
    <xf numFmtId="0" fontId="50" fillId="0" borderId="0" xfId="10" applyFont="1" applyFill="1" applyBorder="1" applyAlignment="1">
      <alignment horizontal="right" vertical="center"/>
    </xf>
    <xf numFmtId="0" fontId="60" fillId="0" borderId="5" xfId="10" applyFont="1" applyFill="1" applyBorder="1" applyAlignment="1">
      <alignment horizontal="right" vertical="center"/>
    </xf>
    <xf numFmtId="0" fontId="26" fillId="0" borderId="29" xfId="10" applyFont="1" applyFill="1" applyBorder="1" applyAlignment="1">
      <alignment vertical="center"/>
    </xf>
    <xf numFmtId="0" fontId="26" fillId="0" borderId="0" xfId="10" applyFont="1" applyFill="1" applyAlignment="1">
      <alignment horizontal="left" vertical="center"/>
    </xf>
    <xf numFmtId="0" fontId="76" fillId="0" borderId="0" xfId="10" applyFont="1" applyFill="1" applyAlignment="1">
      <alignment horizontal="right" vertical="center"/>
    </xf>
    <xf numFmtId="2" fontId="18" fillId="0" borderId="20" xfId="10" applyNumberFormat="1" applyFont="1" applyFill="1" applyBorder="1" applyAlignment="1">
      <alignment vertical="center"/>
    </xf>
    <xf numFmtId="1" fontId="18" fillId="0" borderId="0" xfId="10" applyNumberFormat="1" applyFont="1" applyFill="1" applyBorder="1" applyAlignment="1">
      <alignment vertical="center"/>
    </xf>
    <xf numFmtId="0" fontId="18" fillId="0" borderId="19" xfId="10" applyFont="1" applyFill="1" applyBorder="1" applyAlignment="1" applyProtection="1">
      <alignment horizontal="left" vertical="center"/>
      <protection locked="0"/>
    </xf>
    <xf numFmtId="1" fontId="18" fillId="0" borderId="8" xfId="10" applyNumberFormat="1" applyFont="1" applyFill="1" applyBorder="1" applyAlignment="1">
      <alignment horizontal="left" vertical="center"/>
    </xf>
    <xf numFmtId="1" fontId="26" fillId="0" borderId="0" xfId="10" applyNumberFormat="1" applyFont="1" applyFill="1" applyAlignment="1">
      <alignment vertical="center"/>
    </xf>
    <xf numFmtId="0" fontId="2" fillId="27" borderId="124" xfId="10" applyFill="1" applyBorder="1" applyAlignment="1">
      <alignment horizontal="center"/>
    </xf>
    <xf numFmtId="0" fontId="2" fillId="27" borderId="124" xfId="10" quotePrefix="1" applyFill="1" applyBorder="1" applyAlignment="1">
      <alignment horizontal="center"/>
    </xf>
    <xf numFmtId="0" fontId="130" fillId="0" borderId="0" xfId="10" applyFont="1" applyFill="1" applyBorder="1" applyAlignment="1">
      <alignment vertical="center"/>
    </xf>
    <xf numFmtId="0" fontId="18" fillId="0" borderId="15" xfId="10" applyFont="1" applyFill="1" applyBorder="1" applyAlignment="1" applyProtection="1">
      <alignment horizontal="center" vertical="center"/>
      <protection locked="0"/>
    </xf>
    <xf numFmtId="0" fontId="58" fillId="0" borderId="0" xfId="10" applyNumberFormat="1" applyFont="1" applyFill="1" applyBorder="1" applyAlignment="1">
      <alignment horizontal="center" vertical="center"/>
    </xf>
    <xf numFmtId="172" fontId="58" fillId="0" borderId="0" xfId="2" applyNumberFormat="1" applyFont="1" applyFill="1" applyBorder="1" applyAlignment="1">
      <alignment horizontal="center" vertical="center"/>
    </xf>
    <xf numFmtId="1" fontId="46" fillId="0" borderId="0" xfId="9" applyNumberFormat="1" applyFont="1" applyBorder="1" applyAlignment="1">
      <alignment horizontal="left"/>
    </xf>
    <xf numFmtId="0" fontId="139" fillId="0" borderId="0" xfId="0" applyFont="1"/>
    <xf numFmtId="1" fontId="131" fillId="0" borderId="0" xfId="15" applyNumberFormat="1" applyBorder="1" applyAlignment="1"/>
    <xf numFmtId="0" fontId="131" fillId="25" borderId="0" xfId="15" applyFill="1" applyBorder="1" applyAlignment="1"/>
    <xf numFmtId="0" fontId="147" fillId="19" borderId="22" xfId="0" applyFont="1" applyFill="1" applyBorder="1" applyAlignment="1">
      <alignment vertical="center"/>
    </xf>
    <xf numFmtId="0" fontId="147" fillId="19" borderId="21" xfId="0" applyFont="1" applyFill="1" applyBorder="1" applyAlignment="1">
      <alignment vertical="center"/>
    </xf>
    <xf numFmtId="0" fontId="147" fillId="19" borderId="83" xfId="0" applyFont="1" applyFill="1" applyBorder="1" applyAlignment="1">
      <alignment vertical="center"/>
    </xf>
    <xf numFmtId="0" fontId="168" fillId="21" borderId="0" xfId="0" applyFont="1" applyFill="1" applyAlignment="1">
      <alignment horizontal="center"/>
    </xf>
    <xf numFmtId="0" fontId="138" fillId="19" borderId="60" xfId="0" applyFont="1" applyFill="1" applyBorder="1" applyAlignment="1">
      <alignment horizontal="center" vertical="center"/>
    </xf>
    <xf numFmtId="0" fontId="138" fillId="19" borderId="86" xfId="0" applyFont="1" applyFill="1" applyBorder="1" applyAlignment="1">
      <alignment horizontal="center" vertical="center"/>
    </xf>
    <xf numFmtId="0" fontId="8" fillId="0" borderId="0" xfId="10" applyFont="1" applyAlignment="1">
      <alignment horizontal="center"/>
    </xf>
    <xf numFmtId="0" fontId="5" fillId="0" borderId="0" xfId="10" applyFont="1" applyBorder="1" applyAlignment="1">
      <alignment horizontal="center" vertical="center"/>
    </xf>
    <xf numFmtId="0" fontId="4" fillId="0" borderId="0" xfId="10" applyFont="1" applyBorder="1" applyAlignment="1">
      <alignment horizontal="center"/>
    </xf>
    <xf numFmtId="0" fontId="5" fillId="0" borderId="0" xfId="10" applyFont="1" applyBorder="1" applyAlignment="1">
      <alignment horizontal="center"/>
    </xf>
    <xf numFmtId="0" fontId="2" fillId="0" borderId="0" xfId="10"/>
    <xf numFmtId="0" fontId="2" fillId="0" borderId="0" xfId="10" applyFont="1" applyAlignment="1" applyProtection="1">
      <alignment horizontal="left"/>
      <protection hidden="1"/>
    </xf>
    <xf numFmtId="0" fontId="2" fillId="0" borderId="0" xfId="10" applyBorder="1" applyProtection="1">
      <protection locked="0"/>
    </xf>
    <xf numFmtId="0" fontId="134" fillId="0" borderId="127" xfId="10" applyFont="1" applyBorder="1"/>
    <xf numFmtId="0" fontId="2" fillId="0" borderId="127" xfId="10" applyFont="1" applyBorder="1"/>
    <xf numFmtId="14" fontId="9" fillId="0" borderId="0" xfId="10" applyNumberFormat="1" applyFont="1" applyAlignment="1" applyProtection="1">
      <alignment horizontal="left" vertical="center"/>
      <protection hidden="1"/>
    </xf>
    <xf numFmtId="0" fontId="2" fillId="0" borderId="0" xfId="10" applyBorder="1" applyAlignment="1" applyProtection="1">
      <alignment horizontal="left"/>
      <protection hidden="1"/>
    </xf>
    <xf numFmtId="0" fontId="2" fillId="0" borderId="0" xfId="10" applyBorder="1" applyProtection="1">
      <protection hidden="1"/>
    </xf>
    <xf numFmtId="0" fontId="134" fillId="0" borderId="0" xfId="10" applyFont="1"/>
    <xf numFmtId="0" fontId="2" fillId="0" borderId="0" xfId="10" applyProtection="1">
      <protection hidden="1"/>
    </xf>
    <xf numFmtId="0" fontId="2" fillId="0" borderId="0" xfId="10" applyFont="1" applyAlignment="1">
      <alignment horizontal="right"/>
    </xf>
    <xf numFmtId="0" fontId="170" fillId="0" borderId="0" xfId="10" applyFont="1" applyBorder="1" applyAlignment="1" applyProtection="1">
      <alignment horizontal="center"/>
      <protection hidden="1"/>
    </xf>
    <xf numFmtId="14" fontId="2" fillId="0" borderId="0" xfId="10" applyNumberFormat="1" applyAlignment="1" applyProtection="1">
      <alignment horizontal="left"/>
      <protection locked="0"/>
    </xf>
    <xf numFmtId="0" fontId="2" fillId="0" borderId="0" xfId="10" applyProtection="1">
      <protection locked="0"/>
    </xf>
    <xf numFmtId="0" fontId="2" fillId="0" borderId="0" xfId="10" applyFont="1"/>
    <xf numFmtId="0" fontId="172" fillId="0" borderId="0" xfId="10" applyFont="1" applyFill="1"/>
    <xf numFmtId="0" fontId="173" fillId="16" borderId="133" xfId="10" applyFont="1" applyFill="1" applyBorder="1" applyProtection="1">
      <protection hidden="1"/>
    </xf>
    <xf numFmtId="0" fontId="173" fillId="16" borderId="133" xfId="10" applyFont="1" applyFill="1" applyBorder="1" applyAlignment="1" applyProtection="1">
      <alignment horizontal="left"/>
      <protection hidden="1"/>
    </xf>
    <xf numFmtId="0" fontId="2" fillId="16" borderId="133" xfId="10" applyFill="1" applyBorder="1" applyProtection="1">
      <protection locked="0"/>
    </xf>
    <xf numFmtId="0" fontId="2" fillId="16" borderId="134" xfId="10" applyFill="1" applyBorder="1" applyProtection="1">
      <protection locked="0"/>
    </xf>
    <xf numFmtId="0" fontId="2" fillId="0" borderId="10" xfId="10" applyBorder="1" applyProtection="1">
      <protection locked="0"/>
    </xf>
    <xf numFmtId="0" fontId="134" fillId="0" borderId="0" xfId="10" applyFont="1" applyFill="1" applyBorder="1"/>
    <xf numFmtId="0" fontId="9" fillId="0" borderId="0" xfId="10" applyFont="1" applyBorder="1" applyAlignment="1" applyProtection="1">
      <alignment horizontal="right" vertical="center"/>
      <protection hidden="1"/>
    </xf>
    <xf numFmtId="0" fontId="2" fillId="28" borderId="8" xfId="10" applyFill="1" applyBorder="1" applyProtection="1">
      <protection locked="0"/>
    </xf>
    <xf numFmtId="0" fontId="2" fillId="28" borderId="11" xfId="10" applyFill="1" applyBorder="1" applyAlignment="1" applyProtection="1">
      <alignment horizontal="center"/>
      <protection locked="0"/>
    </xf>
    <xf numFmtId="0" fontId="9" fillId="0" borderId="0" xfId="10" applyFont="1" applyProtection="1">
      <protection hidden="1"/>
    </xf>
    <xf numFmtId="0" fontId="2" fillId="28" borderId="0" xfId="10" applyFill="1" applyBorder="1" applyAlignment="1" applyProtection="1">
      <alignment horizontal="right"/>
      <protection locked="0"/>
    </xf>
    <xf numFmtId="0" fontId="174" fillId="0" borderId="15" xfId="10" applyFont="1" applyBorder="1" applyAlignment="1" applyProtection="1">
      <alignment horizontal="center"/>
      <protection locked="0"/>
    </xf>
    <xf numFmtId="0" fontId="175" fillId="0" borderId="0" xfId="10" applyFont="1" applyBorder="1" applyProtection="1">
      <protection hidden="1"/>
    </xf>
    <xf numFmtId="49" fontId="176" fillId="0" borderId="0" xfId="10" applyNumberFormat="1" applyFont="1" applyBorder="1" applyProtection="1">
      <protection hidden="1"/>
    </xf>
    <xf numFmtId="0" fontId="176" fillId="0" borderId="0" xfId="10" applyFont="1" applyBorder="1" applyProtection="1">
      <protection hidden="1"/>
    </xf>
    <xf numFmtId="181" fontId="176" fillId="0" borderId="0" xfId="10" applyNumberFormat="1" applyFont="1" applyBorder="1" applyProtection="1">
      <protection hidden="1"/>
    </xf>
    <xf numFmtId="0" fontId="177" fillId="0" borderId="0" xfId="10" applyFont="1" applyBorder="1" applyAlignment="1" applyProtection="1">
      <alignment horizontal="right"/>
      <protection hidden="1"/>
    </xf>
    <xf numFmtId="0" fontId="178" fillId="0" borderId="0" xfId="10" applyFont="1" applyBorder="1" applyAlignment="1" applyProtection="1">
      <alignment horizontal="center"/>
      <protection hidden="1"/>
    </xf>
    <xf numFmtId="0" fontId="180" fillId="29" borderId="0" xfId="10" applyFont="1" applyFill="1" applyAlignment="1" applyProtection="1">
      <alignment vertical="center"/>
      <protection hidden="1"/>
    </xf>
    <xf numFmtId="0" fontId="2" fillId="29" borderId="0" xfId="10" applyFill="1" applyAlignment="1" applyProtection="1">
      <alignment vertical="center"/>
      <protection hidden="1"/>
    </xf>
    <xf numFmtId="0" fontId="2" fillId="0" borderId="137" xfId="10" applyBorder="1" applyAlignment="1" applyProtection="1">
      <alignment vertical="center"/>
      <protection hidden="1"/>
    </xf>
    <xf numFmtId="0" fontId="2" fillId="0" borderId="138" xfId="10" applyFont="1" applyBorder="1" applyAlignment="1" applyProtection="1">
      <alignment vertical="center"/>
      <protection hidden="1"/>
    </xf>
    <xf numFmtId="0" fontId="2" fillId="0" borderId="138" xfId="10" applyBorder="1" applyAlignment="1" applyProtection="1">
      <alignment vertical="center"/>
      <protection hidden="1"/>
    </xf>
    <xf numFmtId="0" fontId="2" fillId="0" borderId="139" xfId="10" applyBorder="1" applyAlignment="1" applyProtection="1">
      <alignment vertical="center"/>
      <protection hidden="1"/>
    </xf>
    <xf numFmtId="0" fontId="2" fillId="0" borderId="143" xfId="10" applyBorder="1" applyAlignment="1" applyProtection="1">
      <alignment vertical="center"/>
      <protection hidden="1"/>
    </xf>
    <xf numFmtId="0" fontId="2" fillId="0" borderId="144" xfId="10" applyFont="1" applyBorder="1" applyAlignment="1" applyProtection="1">
      <alignment vertical="center"/>
      <protection hidden="1"/>
    </xf>
    <xf numFmtId="0" fontId="2" fillId="0" borderId="144" xfId="10" applyBorder="1" applyAlignment="1" applyProtection="1">
      <alignment vertical="center"/>
      <protection hidden="1"/>
    </xf>
    <xf numFmtId="0" fontId="2" fillId="0" borderId="145" xfId="10" applyBorder="1" applyAlignment="1" applyProtection="1">
      <alignment vertical="center"/>
      <protection hidden="1"/>
    </xf>
    <xf numFmtId="14" fontId="183" fillId="0" borderId="0" xfId="10" applyNumberFormat="1" applyFont="1"/>
    <xf numFmtId="0" fontId="183" fillId="0" borderId="0" xfId="10" applyFont="1"/>
    <xf numFmtId="0" fontId="2" fillId="0" borderId="135" xfId="10" applyBorder="1" applyAlignment="1" applyProtection="1">
      <alignment vertical="center"/>
      <protection hidden="1"/>
    </xf>
    <xf numFmtId="0" fontId="2" fillId="0" borderId="149" xfId="10" applyFont="1" applyBorder="1" applyAlignment="1" applyProtection="1">
      <alignment vertical="center"/>
      <protection hidden="1"/>
    </xf>
    <xf numFmtId="0" fontId="2" fillId="0" borderId="136" xfId="10" applyBorder="1" applyAlignment="1" applyProtection="1">
      <alignment vertical="center"/>
      <protection hidden="1"/>
    </xf>
    <xf numFmtId="1" fontId="173" fillId="30" borderId="150" xfId="10" applyNumberFormat="1" applyFont="1" applyFill="1" applyBorder="1" applyAlignment="1" applyProtection="1">
      <alignment horizontal="center" vertical="center"/>
      <protection hidden="1"/>
    </xf>
    <xf numFmtId="0" fontId="2" fillId="0" borderId="151" xfId="10" applyBorder="1" applyAlignment="1" applyProtection="1">
      <alignment horizontal="center" vertical="center"/>
      <protection hidden="1"/>
    </xf>
    <xf numFmtId="1" fontId="182" fillId="0" borderId="152" xfId="10" applyNumberFormat="1" applyFont="1" applyBorder="1" applyAlignment="1" applyProtection="1">
      <alignment horizontal="center"/>
      <protection hidden="1"/>
    </xf>
    <xf numFmtId="0" fontId="2" fillId="0" borderId="149" xfId="10" applyBorder="1" applyAlignment="1" applyProtection="1">
      <alignment vertical="center"/>
      <protection hidden="1"/>
    </xf>
    <xf numFmtId="0" fontId="2" fillId="0" borderId="153" xfId="10" applyBorder="1" applyAlignment="1" applyProtection="1">
      <alignment vertical="center"/>
      <protection hidden="1"/>
    </xf>
    <xf numFmtId="0" fontId="2" fillId="0" borderId="149" xfId="10" applyFont="1" applyFill="1" applyBorder="1" applyAlignment="1" applyProtection="1">
      <alignment vertical="center"/>
      <protection hidden="1"/>
    </xf>
    <xf numFmtId="0" fontId="2" fillId="0" borderId="149" xfId="10" applyBorder="1" applyAlignment="1">
      <alignment vertical="center"/>
    </xf>
    <xf numFmtId="0" fontId="2" fillId="0" borderId="136" xfId="10" applyBorder="1" applyAlignment="1">
      <alignment vertical="center"/>
    </xf>
    <xf numFmtId="1" fontId="173" fillId="30" borderId="154" xfId="10" applyNumberFormat="1" applyFont="1" applyFill="1" applyBorder="1" applyAlignment="1" applyProtection="1">
      <alignment horizontal="center" vertical="center"/>
      <protection hidden="1"/>
    </xf>
    <xf numFmtId="0" fontId="2" fillId="0" borderId="0" xfId="10" quotePrefix="1"/>
    <xf numFmtId="0" fontId="180" fillId="29" borderId="132" xfId="10" applyFont="1" applyFill="1" applyBorder="1" applyAlignment="1" applyProtection="1">
      <alignment vertical="center"/>
      <protection hidden="1"/>
    </xf>
    <xf numFmtId="0" fontId="2" fillId="29" borderId="0" xfId="10" applyFill="1" applyBorder="1" applyAlignment="1" applyProtection="1">
      <alignment vertical="center"/>
      <protection hidden="1"/>
    </xf>
    <xf numFmtId="0" fontId="184" fillId="29" borderId="0" xfId="10" applyFont="1" applyFill="1" applyBorder="1" applyAlignment="1" applyProtection="1">
      <alignment vertical="center"/>
      <protection hidden="1"/>
    </xf>
    <xf numFmtId="0" fontId="2" fillId="29" borderId="133" xfId="10" applyFill="1" applyBorder="1" applyAlignment="1" applyProtection="1">
      <alignment horizontal="center" vertical="center"/>
      <protection hidden="1"/>
    </xf>
    <xf numFmtId="0" fontId="2" fillId="29" borderId="133" xfId="10" applyFill="1" applyBorder="1" applyAlignment="1" applyProtection="1">
      <alignment horizontal="center"/>
      <protection hidden="1"/>
    </xf>
    <xf numFmtId="0" fontId="2" fillId="29" borderId="125" xfId="10" applyFill="1" applyBorder="1" applyAlignment="1" applyProtection="1">
      <alignment horizontal="left"/>
      <protection hidden="1"/>
    </xf>
    <xf numFmtId="0" fontId="185" fillId="31" borderId="125" xfId="10" applyFont="1" applyFill="1" applyBorder="1" applyAlignment="1" applyProtection="1">
      <alignment horizontal="center" vertical="center"/>
      <protection hidden="1"/>
    </xf>
    <xf numFmtId="0" fontId="2" fillId="0" borderId="0" xfId="10" applyBorder="1" applyAlignment="1" applyProtection="1">
      <alignment horizontal="center" vertical="center"/>
      <protection hidden="1"/>
    </xf>
    <xf numFmtId="0" fontId="182" fillId="0" borderId="152" xfId="10" applyFont="1" applyBorder="1" applyAlignment="1" applyProtection="1">
      <alignment horizontal="center"/>
      <protection hidden="1"/>
    </xf>
    <xf numFmtId="0" fontId="180" fillId="29" borderId="126" xfId="10" applyFont="1" applyFill="1" applyBorder="1" applyAlignment="1" applyProtection="1">
      <alignment vertical="center"/>
      <protection hidden="1"/>
    </xf>
    <xf numFmtId="0" fontId="2" fillId="29" borderId="127" xfId="10" applyFill="1" applyBorder="1" applyAlignment="1" applyProtection="1">
      <alignment vertical="center"/>
      <protection hidden="1"/>
    </xf>
    <xf numFmtId="0" fontId="2" fillId="25" borderId="127" xfId="10" applyFill="1" applyBorder="1" applyAlignment="1" applyProtection="1">
      <alignment vertical="center"/>
      <protection hidden="1"/>
    </xf>
    <xf numFmtId="0" fontId="180" fillId="29" borderId="133" xfId="10" applyFont="1" applyFill="1" applyBorder="1" applyAlignment="1" applyProtection="1">
      <alignment horizontal="center" vertical="center"/>
      <protection hidden="1"/>
    </xf>
    <xf numFmtId="0" fontId="2" fillId="29" borderId="128" xfId="10" applyFill="1" applyBorder="1" applyAlignment="1" applyProtection="1">
      <alignment horizontal="left"/>
      <protection hidden="1"/>
    </xf>
    <xf numFmtId="0" fontId="2" fillId="0" borderId="149" xfId="10" applyBorder="1" applyAlignment="1" applyProtection="1">
      <alignment horizontal="center" vertical="center"/>
      <protection hidden="1"/>
    </xf>
    <xf numFmtId="1" fontId="178" fillId="31" borderId="125" xfId="10" applyNumberFormat="1" applyFont="1" applyFill="1" applyBorder="1" applyAlignment="1" applyProtection="1">
      <alignment horizontal="center" vertical="center"/>
      <protection hidden="1"/>
    </xf>
    <xf numFmtId="0" fontId="2" fillId="21" borderId="152" xfId="10" applyFill="1" applyBorder="1" applyAlignment="1" applyProtection="1">
      <alignment vertical="center"/>
      <protection hidden="1"/>
    </xf>
    <xf numFmtId="0" fontId="2" fillId="25" borderId="133" xfId="10" applyFill="1" applyBorder="1" applyAlignment="1" applyProtection="1">
      <alignment horizontal="center" vertical="center"/>
      <protection hidden="1"/>
    </xf>
    <xf numFmtId="0" fontId="2" fillId="25" borderId="133" xfId="10" applyFill="1" applyBorder="1" applyAlignment="1" applyProtection="1">
      <alignment horizontal="center"/>
      <protection hidden="1"/>
    </xf>
    <xf numFmtId="0" fontId="2" fillId="25" borderId="0" xfId="10" applyFill="1" applyBorder="1" applyAlignment="1" applyProtection="1">
      <alignment vertical="center"/>
      <protection hidden="1"/>
    </xf>
    <xf numFmtId="0" fontId="2" fillId="25" borderId="125" xfId="10" applyFill="1" applyBorder="1" applyAlignment="1" applyProtection="1">
      <alignment vertical="center"/>
      <protection hidden="1"/>
    </xf>
    <xf numFmtId="0" fontId="2" fillId="0" borderId="0" xfId="10" applyFont="1" applyFill="1" applyBorder="1"/>
    <xf numFmtId="0" fontId="180" fillId="0" borderId="135" xfId="10" applyFont="1" applyFill="1" applyBorder="1" applyAlignment="1" applyProtection="1">
      <alignment vertical="center"/>
      <protection hidden="1"/>
    </xf>
    <xf numFmtId="0" fontId="2" fillId="0" borderId="149" xfId="10" applyFill="1" applyBorder="1" applyAlignment="1" applyProtection="1">
      <alignment vertical="center"/>
      <protection hidden="1"/>
    </xf>
    <xf numFmtId="0" fontId="2" fillId="0" borderId="136" xfId="10" applyFill="1" applyBorder="1" applyAlignment="1" applyProtection="1">
      <alignment vertical="center"/>
      <protection hidden="1"/>
    </xf>
    <xf numFmtId="0" fontId="178" fillId="31" borderId="131" xfId="10" applyFont="1" applyFill="1" applyBorder="1" applyAlignment="1" applyProtection="1">
      <alignment horizontal="center" vertical="center"/>
      <protection hidden="1"/>
    </xf>
    <xf numFmtId="0" fontId="2" fillId="0" borderId="144" xfId="10" applyFont="1" applyBorder="1" applyAlignment="1" applyProtection="1">
      <alignment horizontal="center" vertical="center"/>
      <protection hidden="1"/>
    </xf>
    <xf numFmtId="0" fontId="2" fillId="0" borderId="0" xfId="10" applyFont="1" applyFill="1" applyBorder="1" applyAlignment="1" applyProtection="1">
      <alignment vertical="center"/>
      <protection hidden="1"/>
    </xf>
    <xf numFmtId="0" fontId="2" fillId="0" borderId="0" xfId="10" applyFont="1" applyFill="1" applyBorder="1" applyAlignment="1" applyProtection="1">
      <alignment horizontal="center" vertical="center"/>
      <protection hidden="1"/>
    </xf>
    <xf numFmtId="0" fontId="2" fillId="0" borderId="0" xfId="10" applyFont="1" applyFill="1" applyBorder="1" applyAlignment="1" applyProtection="1">
      <alignment horizontal="center"/>
      <protection hidden="1"/>
    </xf>
    <xf numFmtId="1" fontId="3" fillId="0" borderId="0" xfId="10" applyNumberFormat="1" applyFont="1" applyFill="1" applyBorder="1" applyAlignment="1" applyProtection="1">
      <alignment horizontal="center" vertical="center"/>
      <protection hidden="1"/>
    </xf>
    <xf numFmtId="1" fontId="3" fillId="0" borderId="0" xfId="10" applyNumberFormat="1" applyFont="1" applyFill="1" applyBorder="1" applyAlignment="1" applyProtection="1">
      <alignment vertical="center"/>
      <protection hidden="1"/>
    </xf>
    <xf numFmtId="1" fontId="3" fillId="0" borderId="0" xfId="10" applyNumberFormat="1" applyFont="1" applyFill="1" applyBorder="1" applyAlignment="1" applyProtection="1">
      <alignment horizontal="center"/>
      <protection hidden="1"/>
    </xf>
    <xf numFmtId="0" fontId="2" fillId="0" borderId="0" xfId="10" quotePrefix="1" applyFont="1" applyFill="1" applyBorder="1"/>
    <xf numFmtId="0" fontId="9" fillId="0" borderId="0" xfId="10" applyFont="1" applyFill="1" applyBorder="1"/>
    <xf numFmtId="0" fontId="180" fillId="29" borderId="155" xfId="10" applyFont="1" applyFill="1" applyBorder="1" applyAlignment="1" applyProtection="1">
      <alignment horizontal="center" vertical="center"/>
      <protection hidden="1"/>
    </xf>
    <xf numFmtId="0" fontId="2" fillId="29" borderId="127" xfId="10" applyFill="1" applyBorder="1" applyAlignment="1" applyProtection="1">
      <alignment horizontal="center"/>
      <protection hidden="1"/>
    </xf>
    <xf numFmtId="0" fontId="2" fillId="29" borderId="155" xfId="10" applyFill="1" applyBorder="1" applyAlignment="1" applyProtection="1">
      <alignment vertical="center"/>
      <protection hidden="1"/>
    </xf>
    <xf numFmtId="0" fontId="2" fillId="29" borderId="128" xfId="10" applyFill="1" applyBorder="1" applyAlignment="1" applyProtection="1">
      <alignment vertical="center"/>
      <protection hidden="1"/>
    </xf>
    <xf numFmtId="0" fontId="182" fillId="0" borderId="0" xfId="10" applyFont="1" applyBorder="1" applyAlignment="1" applyProtection="1">
      <alignment horizontal="center"/>
      <protection hidden="1"/>
    </xf>
    <xf numFmtId="0" fontId="186" fillId="0" borderId="138" xfId="10" applyFont="1" applyBorder="1" applyAlignment="1" applyProtection="1">
      <alignment vertical="center"/>
      <protection hidden="1"/>
    </xf>
    <xf numFmtId="0" fontId="186" fillId="0" borderId="149" xfId="10" applyFont="1" applyBorder="1" applyAlignment="1" applyProtection="1">
      <alignment vertical="center"/>
      <protection hidden="1"/>
    </xf>
    <xf numFmtId="0" fontId="186" fillId="0" borderId="136" xfId="10" applyFont="1" applyBorder="1" applyAlignment="1" applyProtection="1">
      <alignment vertical="center"/>
      <protection hidden="1"/>
    </xf>
    <xf numFmtId="1" fontId="178" fillId="31" borderId="156" xfId="10" applyNumberFormat="1" applyFont="1" applyFill="1" applyBorder="1" applyAlignment="1" applyProtection="1">
      <alignment horizontal="center" vertical="center"/>
      <protection hidden="1"/>
    </xf>
    <xf numFmtId="0" fontId="2" fillId="0" borderId="157" xfId="10" applyFont="1" applyBorder="1" applyAlignment="1" applyProtection="1">
      <alignment horizontal="center" vertical="center"/>
      <protection hidden="1"/>
    </xf>
    <xf numFmtId="0" fontId="2" fillId="25" borderId="0" xfId="10" applyFill="1" applyBorder="1" applyAlignment="1" applyProtection="1">
      <alignment horizontal="right" vertical="center"/>
      <protection hidden="1"/>
    </xf>
    <xf numFmtId="0" fontId="3" fillId="25" borderId="0" xfId="10" applyFont="1" applyFill="1" applyBorder="1" applyAlignment="1" applyProtection="1">
      <alignment horizontal="left" vertical="center"/>
      <protection hidden="1"/>
    </xf>
    <xf numFmtId="0" fontId="3" fillId="0" borderId="149" xfId="10" applyFont="1" applyBorder="1" applyAlignment="1" applyProtection="1">
      <alignment vertical="center"/>
      <protection hidden="1"/>
    </xf>
    <xf numFmtId="0" fontId="178" fillId="0" borderId="131" xfId="10" applyFont="1" applyFill="1" applyBorder="1" applyAlignment="1" applyProtection="1">
      <alignment horizontal="center" vertical="center"/>
      <protection hidden="1"/>
    </xf>
    <xf numFmtId="0" fontId="2" fillId="0" borderId="144" xfId="10" applyBorder="1" applyAlignment="1" applyProtection="1">
      <alignment horizontal="center" vertical="center"/>
      <protection hidden="1"/>
    </xf>
    <xf numFmtId="0" fontId="2" fillId="0" borderId="152" xfId="10" applyFill="1" applyBorder="1" applyAlignment="1" applyProtection="1">
      <alignment horizontal="center" vertical="center"/>
      <protection hidden="1"/>
    </xf>
    <xf numFmtId="0" fontId="2" fillId="0" borderId="0" xfId="10" applyBorder="1" applyAlignment="1" applyProtection="1">
      <alignment vertical="center"/>
      <protection hidden="1"/>
    </xf>
    <xf numFmtId="0" fontId="3" fillId="0" borderId="0" xfId="10" applyFont="1" applyBorder="1" applyAlignment="1" applyProtection="1">
      <alignment vertical="center"/>
      <protection hidden="1"/>
    </xf>
    <xf numFmtId="0" fontId="178" fillId="32" borderId="160" xfId="10" applyFont="1" applyFill="1" applyBorder="1" applyAlignment="1" applyProtection="1">
      <alignment horizontal="center" vertical="center"/>
      <protection hidden="1"/>
    </xf>
    <xf numFmtId="0" fontId="2" fillId="0" borderId="161" xfId="10" applyBorder="1" applyAlignment="1" applyProtection="1">
      <alignment horizontal="center"/>
      <protection hidden="1"/>
    </xf>
    <xf numFmtId="0" fontId="2" fillId="0" borderId="0" xfId="10" applyFill="1" applyBorder="1" applyAlignment="1" applyProtection="1">
      <alignment vertical="center"/>
      <protection hidden="1"/>
    </xf>
    <xf numFmtId="0" fontId="2" fillId="25" borderId="127" xfId="10" applyFill="1" applyBorder="1" applyAlignment="1" applyProtection="1">
      <alignment horizontal="right" vertical="center"/>
      <protection hidden="1"/>
    </xf>
    <xf numFmtId="0" fontId="3" fillId="25" borderId="127" xfId="10" applyFont="1" applyFill="1" applyBorder="1" applyAlignment="1" applyProtection="1">
      <alignment horizontal="left" vertical="center"/>
      <protection hidden="1"/>
    </xf>
    <xf numFmtId="0" fontId="2" fillId="25" borderId="128" xfId="10" applyFill="1" applyBorder="1" applyAlignment="1" applyProtection="1">
      <alignment vertical="center"/>
      <protection hidden="1"/>
    </xf>
    <xf numFmtId="0" fontId="2" fillId="0" borderId="135" xfId="10" applyFill="1" applyBorder="1" applyAlignment="1" applyProtection="1">
      <alignment vertical="center"/>
      <protection hidden="1"/>
    </xf>
    <xf numFmtId="0" fontId="2" fillId="0" borderId="149" xfId="10" applyFill="1" applyBorder="1" applyAlignment="1" applyProtection="1">
      <alignment horizontal="center" vertical="center"/>
      <protection hidden="1"/>
    </xf>
    <xf numFmtId="0" fontId="178" fillId="31" borderId="134" xfId="10" applyFont="1" applyFill="1" applyBorder="1" applyAlignment="1" applyProtection="1">
      <alignment horizontal="center" vertical="center"/>
      <protection hidden="1"/>
    </xf>
    <xf numFmtId="0" fontId="2" fillId="0" borderId="0" xfId="10" applyFont="1" applyBorder="1" applyAlignment="1" applyProtection="1">
      <alignment horizontal="center" vertical="center"/>
      <protection hidden="1"/>
    </xf>
    <xf numFmtId="0" fontId="2" fillId="0" borderId="135" xfId="10" applyFill="1" applyBorder="1" applyAlignment="1" applyProtection="1">
      <alignment horizontal="center" vertical="center"/>
      <protection hidden="1"/>
    </xf>
    <xf numFmtId="1" fontId="178" fillId="0" borderId="152" xfId="10" applyNumberFormat="1" applyFont="1" applyFill="1" applyBorder="1" applyAlignment="1" applyProtection="1">
      <alignment horizontal="center" vertical="center"/>
      <protection hidden="1"/>
    </xf>
    <xf numFmtId="0" fontId="180" fillId="29" borderId="129" xfId="10" applyFont="1" applyFill="1" applyBorder="1" applyAlignment="1" applyProtection="1">
      <alignment vertical="center"/>
      <protection hidden="1"/>
    </xf>
    <xf numFmtId="0" fontId="2" fillId="29" borderId="130" xfId="10" applyFill="1" applyBorder="1" applyAlignment="1" applyProtection="1">
      <alignment vertical="center"/>
      <protection hidden="1"/>
    </xf>
    <xf numFmtId="0" fontId="2" fillId="25" borderId="133" xfId="10" applyFill="1" applyBorder="1" applyAlignment="1" applyProtection="1">
      <alignment vertical="center"/>
      <protection hidden="1"/>
    </xf>
    <xf numFmtId="0" fontId="2" fillId="25" borderId="130" xfId="10" applyFill="1" applyBorder="1" applyAlignment="1" applyProtection="1">
      <alignment horizontal="right" vertical="center"/>
      <protection hidden="1"/>
    </xf>
    <xf numFmtId="0" fontId="3" fillId="25" borderId="130" xfId="10" applyFont="1" applyFill="1" applyBorder="1" applyAlignment="1" applyProtection="1">
      <alignment horizontal="left" vertical="center"/>
      <protection hidden="1"/>
    </xf>
    <xf numFmtId="0" fontId="2" fillId="25" borderId="131" xfId="10" applyFill="1" applyBorder="1" applyAlignment="1" applyProtection="1">
      <alignment vertical="center"/>
      <protection hidden="1"/>
    </xf>
    <xf numFmtId="0" fontId="20" fillId="0" borderId="164" xfId="22" applyFont="1" applyFill="1" applyBorder="1" applyAlignment="1">
      <alignment vertical="center"/>
    </xf>
    <xf numFmtId="0" fontId="2" fillId="0" borderId="149" xfId="10" applyBorder="1" applyAlignment="1"/>
    <xf numFmtId="0" fontId="2" fillId="0" borderId="136" xfId="10" applyBorder="1" applyAlignment="1"/>
    <xf numFmtId="0" fontId="2" fillId="0" borderId="158" xfId="10" applyBorder="1"/>
    <xf numFmtId="0" fontId="2" fillId="0" borderId="143" xfId="10" applyBorder="1" applyAlignment="1">
      <alignment vertical="center"/>
    </xf>
    <xf numFmtId="0" fontId="2" fillId="0" borderId="149" xfId="10" applyBorder="1"/>
    <xf numFmtId="0" fontId="2" fillId="0" borderId="144" xfId="10" applyBorder="1"/>
    <xf numFmtId="0" fontId="31" fillId="0" borderId="136" xfId="22" applyFont="1" applyBorder="1" applyAlignment="1">
      <alignment vertical="center"/>
    </xf>
    <xf numFmtId="0" fontId="31" fillId="0" borderId="125" xfId="22" applyFont="1" applyBorder="1" applyAlignment="1">
      <alignment vertical="center"/>
    </xf>
    <xf numFmtId="0" fontId="2" fillId="0" borderId="143" xfId="22" applyFont="1" applyFill="1" applyBorder="1" applyAlignment="1">
      <alignment horizontal="left" vertical="center"/>
    </xf>
    <xf numFmtId="0" fontId="2" fillId="0" borderId="144" xfId="22" applyFont="1" applyFill="1" applyBorder="1" applyAlignment="1">
      <alignment horizontal="left" vertical="center"/>
    </xf>
    <xf numFmtId="0" fontId="31" fillId="0" borderId="165" xfId="22" applyFont="1" applyBorder="1" applyAlignment="1">
      <alignment vertical="center"/>
    </xf>
    <xf numFmtId="0" fontId="31" fillId="0" borderId="130" xfId="22" applyFont="1" applyBorder="1" applyAlignment="1">
      <alignment vertical="center"/>
    </xf>
    <xf numFmtId="0" fontId="31" fillId="0" borderId="131" xfId="22" applyFont="1" applyBorder="1" applyAlignment="1">
      <alignment vertical="center"/>
    </xf>
    <xf numFmtId="0" fontId="2" fillId="0" borderId="158" xfId="22" applyFont="1" applyFill="1" applyBorder="1" applyAlignment="1">
      <alignment horizontal="left" vertical="center"/>
    </xf>
    <xf numFmtId="0" fontId="2" fillId="0" borderId="0" xfId="22" applyFont="1" applyFill="1" applyBorder="1" applyAlignment="1">
      <alignment horizontal="left" vertical="center"/>
    </xf>
    <xf numFmtId="0" fontId="31" fillId="0" borderId="166" xfId="22" applyFont="1" applyBorder="1" applyAlignment="1">
      <alignment vertical="center"/>
    </xf>
    <xf numFmtId="0" fontId="31" fillId="0" borderId="0" xfId="19" applyFont="1" applyBorder="1" applyAlignment="1" applyProtection="1">
      <alignment vertical="center"/>
    </xf>
    <xf numFmtId="0" fontId="2" fillId="0" borderId="0" xfId="10" applyAlignment="1" applyProtection="1">
      <alignment horizontal="center"/>
      <protection hidden="1"/>
    </xf>
    <xf numFmtId="0" fontId="180" fillId="0" borderId="0" xfId="10" applyFont="1" applyFill="1" applyBorder="1" applyProtection="1">
      <protection hidden="1"/>
    </xf>
    <xf numFmtId="0" fontId="2" fillId="0" borderId="0" xfId="10" applyFill="1" applyBorder="1" applyProtection="1">
      <protection hidden="1"/>
    </xf>
    <xf numFmtId="0" fontId="2" fillId="0" borderId="0" xfId="10" applyFill="1" applyBorder="1" applyAlignment="1" applyProtection="1">
      <alignment horizontal="center"/>
      <protection hidden="1"/>
    </xf>
    <xf numFmtId="0" fontId="3" fillId="0" borderId="0" xfId="10" applyFont="1" applyFill="1" applyBorder="1" applyProtection="1">
      <protection hidden="1"/>
    </xf>
    <xf numFmtId="0" fontId="178" fillId="0" borderId="0" xfId="10" applyFont="1" applyFill="1" applyBorder="1" applyAlignment="1" applyProtection="1">
      <alignment horizontal="center"/>
      <protection hidden="1"/>
    </xf>
    <xf numFmtId="0" fontId="2" fillId="21" borderId="0" xfId="10" applyFill="1" applyBorder="1" applyProtection="1">
      <protection hidden="1"/>
    </xf>
    <xf numFmtId="0" fontId="3" fillId="0" borderId="0" xfId="10" applyFont="1" applyBorder="1" applyProtection="1">
      <protection hidden="1"/>
    </xf>
    <xf numFmtId="0" fontId="0" fillId="0" borderId="108" xfId="0" applyBorder="1" applyAlignment="1">
      <alignment horizontal="center" vertical="center"/>
    </xf>
    <xf numFmtId="0" fontId="0" fillId="15" borderId="86" xfId="0" applyFill="1" applyBorder="1"/>
    <xf numFmtId="0" fontId="139" fillId="0" borderId="98" xfId="0" applyFont="1" applyBorder="1" applyAlignment="1">
      <alignment horizontal="center" vertical="center"/>
    </xf>
    <xf numFmtId="0" fontId="0" fillId="15" borderId="87" xfId="0" applyFill="1" applyBorder="1"/>
    <xf numFmtId="0" fontId="0" fillId="0" borderId="98" xfId="0" applyBorder="1"/>
    <xf numFmtId="0" fontId="0" fillId="0" borderId="87" xfId="0" quotePrefix="1" applyFill="1" applyBorder="1"/>
    <xf numFmtId="0" fontId="0" fillId="0" borderId="109" xfId="0" applyBorder="1"/>
    <xf numFmtId="0" fontId="0" fillId="0" borderId="88" xfId="0" applyBorder="1"/>
    <xf numFmtId="0" fontId="2" fillId="0" borderId="84" xfId="10" applyBorder="1"/>
    <xf numFmtId="0" fontId="139" fillId="16" borderId="15" xfId="0" applyFont="1" applyFill="1" applyBorder="1" applyAlignment="1">
      <alignment horizontal="center" vertical="center"/>
    </xf>
    <xf numFmtId="0" fontId="2" fillId="0" borderId="0" xfId="10"/>
    <xf numFmtId="0" fontId="2" fillId="0" borderId="0" xfId="10" applyBorder="1"/>
    <xf numFmtId="0" fontId="2" fillId="0" borderId="0" xfId="10" quotePrefix="1"/>
    <xf numFmtId="0" fontId="2" fillId="0" borderId="137" xfId="10" applyBorder="1" applyAlignment="1" applyProtection="1">
      <alignment vertical="center"/>
      <protection hidden="1"/>
    </xf>
    <xf numFmtId="0" fontId="2" fillId="0" borderId="143" xfId="10" applyBorder="1" applyAlignment="1" applyProtection="1">
      <alignment vertical="center"/>
      <protection hidden="1"/>
    </xf>
    <xf numFmtId="0" fontId="2" fillId="0" borderId="144" xfId="10" applyFont="1" applyBorder="1" applyAlignment="1" applyProtection="1">
      <alignment vertical="center"/>
      <protection hidden="1"/>
    </xf>
    <xf numFmtId="0" fontId="9" fillId="0" borderId="10" xfId="10" applyFont="1" applyBorder="1" applyAlignment="1" applyProtection="1">
      <alignment horizontal="right"/>
      <protection locked="0"/>
    </xf>
    <xf numFmtId="0" fontId="2" fillId="0" borderId="153" xfId="10" applyBorder="1" applyAlignment="1" applyProtection="1">
      <alignment vertical="center"/>
      <protection hidden="1"/>
    </xf>
    <xf numFmtId="1" fontId="173" fillId="30" borderId="150" xfId="10" applyNumberFormat="1" applyFont="1" applyFill="1" applyBorder="1" applyAlignment="1" applyProtection="1">
      <alignment horizontal="center" vertical="center"/>
      <protection hidden="1"/>
    </xf>
    <xf numFmtId="1" fontId="173" fillId="30" borderId="154" xfId="10" applyNumberFormat="1" applyFont="1" applyFill="1" applyBorder="1" applyAlignment="1" applyProtection="1">
      <alignment horizontal="center" vertical="center"/>
      <protection hidden="1"/>
    </xf>
    <xf numFmtId="1" fontId="181" fillId="30" borderId="146" xfId="10" applyNumberFormat="1" applyFont="1" applyFill="1" applyBorder="1" applyAlignment="1" applyProtection="1">
      <alignment horizontal="center" vertical="center"/>
      <protection hidden="1"/>
    </xf>
    <xf numFmtId="0" fontId="2" fillId="29" borderId="0" xfId="10" applyFill="1" applyBorder="1" applyAlignment="1" applyProtection="1">
      <alignment vertical="center"/>
      <protection hidden="1"/>
    </xf>
    <xf numFmtId="1" fontId="182" fillId="0" borderId="152" xfId="10" applyNumberFormat="1" applyFont="1" applyBorder="1" applyAlignment="1" applyProtection="1">
      <alignment horizontal="center"/>
      <protection hidden="1"/>
    </xf>
    <xf numFmtId="0" fontId="2" fillId="29" borderId="125" xfId="10" applyFill="1" applyBorder="1" applyAlignment="1" applyProtection="1">
      <alignment horizontal="left"/>
      <protection hidden="1"/>
    </xf>
    <xf numFmtId="0" fontId="2" fillId="0" borderId="0" xfId="10"/>
    <xf numFmtId="0" fontId="2" fillId="0" borderId="0" xfId="10" applyBorder="1"/>
    <xf numFmtId="0" fontId="9" fillId="0" borderId="0" xfId="10" applyFont="1"/>
    <xf numFmtId="0" fontId="2" fillId="0" borderId="0" xfId="10" applyBorder="1" applyProtection="1">
      <protection hidden="1"/>
    </xf>
    <xf numFmtId="0" fontId="2" fillId="0" borderId="0" xfId="10" applyProtection="1">
      <protection hidden="1"/>
    </xf>
    <xf numFmtId="0" fontId="0" fillId="0" borderId="88" xfId="0" quotePrefix="1" applyFill="1" applyBorder="1"/>
    <xf numFmtId="0" fontId="102" fillId="0" borderId="0" xfId="10" applyFont="1" applyAlignment="1">
      <alignment horizontal="left"/>
    </xf>
    <xf numFmtId="0" fontId="3" fillId="0" borderId="0" xfId="10" applyFont="1" applyFill="1" applyBorder="1" applyAlignment="1">
      <alignment vertical="center"/>
    </xf>
    <xf numFmtId="0" fontId="5" fillId="0" borderId="0" xfId="10" applyFont="1" applyBorder="1" applyAlignment="1"/>
    <xf numFmtId="0" fontId="3" fillId="0" borderId="0" xfId="10" applyFont="1" applyFill="1" applyBorder="1" applyAlignment="1">
      <alignment vertical="top"/>
    </xf>
    <xf numFmtId="0" fontId="9" fillId="0" borderId="0" xfId="10" applyFont="1" applyAlignment="1">
      <alignment vertical="center"/>
    </xf>
    <xf numFmtId="0" fontId="9" fillId="0" borderId="0" xfId="10" applyNumberFormat="1" applyFont="1" applyAlignment="1">
      <alignment horizontal="left" vertical="top"/>
    </xf>
    <xf numFmtId="0" fontId="8" fillId="0" borderId="0" xfId="10" applyFont="1" applyFill="1" applyBorder="1" applyAlignment="1">
      <alignment vertical="top"/>
    </xf>
    <xf numFmtId="0" fontId="2" fillId="15" borderId="0" xfId="10" applyFill="1"/>
    <xf numFmtId="0" fontId="10" fillId="0" borderId="0" xfId="10" applyFont="1" applyBorder="1" applyAlignment="1">
      <alignment vertical="center"/>
    </xf>
    <xf numFmtId="0" fontId="5" fillId="0" borderId="0" xfId="10" applyFont="1" applyBorder="1" applyAlignment="1">
      <alignment horizontal="left" vertical="center"/>
    </xf>
    <xf numFmtId="0" fontId="2" fillId="0" borderId="10" xfId="10" applyFill="1" applyBorder="1" applyAlignment="1">
      <alignment horizontal="left" vertical="center"/>
    </xf>
    <xf numFmtId="0" fontId="2" fillId="0" borderId="22" xfId="10" applyBorder="1" applyAlignment="1">
      <alignment vertical="center"/>
    </xf>
    <xf numFmtId="0" fontId="2" fillId="0" borderId="26" xfId="10" applyFill="1" applyBorder="1" applyAlignment="1">
      <alignment horizontal="center" vertical="center"/>
    </xf>
    <xf numFmtId="1" fontId="2" fillId="24" borderId="0" xfId="10" applyNumberFormat="1" applyFill="1"/>
    <xf numFmtId="0" fontId="5" fillId="0" borderId="0" xfId="10" applyFont="1" applyAlignment="1">
      <alignment vertical="center"/>
    </xf>
    <xf numFmtId="0" fontId="2" fillId="0" borderId="0" xfId="10" applyNumberFormat="1" applyBorder="1" applyAlignment="1">
      <alignment horizontal="right" vertical="center"/>
    </xf>
    <xf numFmtId="1" fontId="2" fillId="0" borderId="0" xfId="10" applyNumberFormat="1"/>
    <xf numFmtId="0" fontId="6" fillId="0" borderId="0" xfId="10" applyNumberFormat="1" applyFont="1" applyBorder="1" applyAlignment="1">
      <alignment horizontal="right" vertical="top"/>
    </xf>
    <xf numFmtId="0" fontId="5" fillId="0" borderId="0" xfId="10" applyFont="1" applyBorder="1" applyAlignment="1">
      <alignment vertical="center"/>
    </xf>
    <xf numFmtId="14" fontId="0" fillId="0" borderId="0" xfId="0" applyNumberFormat="1"/>
    <xf numFmtId="0" fontId="2" fillId="0" borderId="10" xfId="10" applyBorder="1"/>
    <xf numFmtId="0" fontId="2" fillId="0" borderId="169" xfId="10" applyBorder="1" applyAlignment="1" applyProtection="1">
      <alignment vertical="center"/>
      <protection hidden="1"/>
    </xf>
    <xf numFmtId="0" fontId="2" fillId="0" borderId="171" xfId="10" applyBorder="1" applyAlignment="1" applyProtection="1">
      <alignment vertical="center"/>
      <protection hidden="1"/>
    </xf>
    <xf numFmtId="0" fontId="2" fillId="0" borderId="11" xfId="10" applyBorder="1"/>
    <xf numFmtId="0" fontId="2" fillId="0" borderId="144" xfId="10" applyFont="1" applyFill="1" applyBorder="1" applyAlignment="1" applyProtection="1">
      <alignment vertical="center"/>
      <protection hidden="1"/>
    </xf>
    <xf numFmtId="0" fontId="2" fillId="0" borderId="145" xfId="10" applyBorder="1" applyAlignment="1">
      <alignment vertical="center"/>
    </xf>
    <xf numFmtId="0" fontId="2" fillId="0" borderId="10" xfId="10" applyBorder="1" applyAlignment="1" applyProtection="1">
      <alignment vertical="center"/>
      <protection hidden="1"/>
    </xf>
    <xf numFmtId="0" fontId="2" fillId="0" borderId="158" xfId="10" applyBorder="1" applyAlignment="1" applyProtection="1">
      <alignment vertical="center"/>
      <protection hidden="1"/>
    </xf>
    <xf numFmtId="0" fontId="2" fillId="0" borderId="0" xfId="10" applyFont="1" applyBorder="1" applyAlignment="1" applyProtection="1">
      <alignment vertical="center"/>
      <protection hidden="1"/>
    </xf>
    <xf numFmtId="0" fontId="2" fillId="0" borderId="159" xfId="10" applyBorder="1" applyAlignment="1" applyProtection="1">
      <alignment vertical="center"/>
      <protection hidden="1"/>
    </xf>
    <xf numFmtId="0" fontId="2" fillId="0" borderId="9" xfId="10" applyBorder="1" applyProtection="1">
      <protection hidden="1"/>
    </xf>
    <xf numFmtId="0" fontId="2" fillId="0" borderId="21" xfId="10" applyBorder="1" applyProtection="1">
      <protection hidden="1"/>
    </xf>
    <xf numFmtId="0" fontId="2" fillId="0" borderId="19" xfId="10" applyBorder="1" applyProtection="1">
      <protection hidden="1"/>
    </xf>
    <xf numFmtId="0" fontId="175" fillId="0" borderId="18" xfId="10" applyFont="1" applyBorder="1" applyProtection="1">
      <protection hidden="1"/>
    </xf>
    <xf numFmtId="49" fontId="176" fillId="0" borderId="10" xfId="10" applyNumberFormat="1" applyFont="1" applyBorder="1" applyProtection="1">
      <protection hidden="1"/>
    </xf>
    <xf numFmtId="0" fontId="176" fillId="0" borderId="22" xfId="10" applyFont="1" applyBorder="1" applyProtection="1">
      <protection hidden="1"/>
    </xf>
    <xf numFmtId="0" fontId="9" fillId="0" borderId="0" xfId="10" applyFont="1" applyAlignment="1" applyProtection="1">
      <alignment horizontal="right"/>
      <protection hidden="1"/>
    </xf>
    <xf numFmtId="0" fontId="2" fillId="0" borderId="8" xfId="10" applyBorder="1" applyAlignment="1" applyProtection="1">
      <alignment horizontal="right" vertical="top" wrapText="1"/>
      <protection hidden="1"/>
    </xf>
    <xf numFmtId="0" fontId="2" fillId="0" borderId="20" xfId="10" applyBorder="1" applyAlignment="1" applyProtection="1">
      <alignment horizontal="right"/>
      <protection hidden="1"/>
    </xf>
    <xf numFmtId="0" fontId="8" fillId="0" borderId="0" xfId="10" applyFont="1" applyAlignment="1">
      <alignment horizontal="center"/>
    </xf>
    <xf numFmtId="0" fontId="8" fillId="0" borderId="0" xfId="10" applyFont="1" applyAlignment="1">
      <alignment horizontal="center" vertical="center"/>
    </xf>
    <xf numFmtId="0" fontId="8" fillId="0" borderId="0" xfId="15" applyFont="1" applyBorder="1" applyAlignment="1">
      <alignment horizontal="center"/>
    </xf>
    <xf numFmtId="0" fontId="7" fillId="0" borderId="0" xfId="15" applyFont="1" applyBorder="1" applyAlignment="1">
      <alignment horizontal="left"/>
    </xf>
    <xf numFmtId="0" fontId="137" fillId="0" borderId="0" xfId="15" applyFont="1" applyBorder="1" applyAlignment="1">
      <alignment horizontal="center"/>
    </xf>
    <xf numFmtId="49" fontId="9" fillId="0" borderId="0" xfId="15" applyNumberFormat="1" applyFont="1" applyAlignment="1">
      <alignment horizontal="left"/>
    </xf>
    <xf numFmtId="0" fontId="9" fillId="0" borderId="0" xfId="15" applyFont="1" applyAlignment="1">
      <alignment horizontal="left"/>
    </xf>
    <xf numFmtId="0" fontId="5" fillId="0" borderId="0" xfId="15" applyFont="1" applyBorder="1" applyAlignment="1">
      <alignment horizontal="center" vertical="center"/>
    </xf>
    <xf numFmtId="0" fontId="4" fillId="0" borderId="0" xfId="15" applyFont="1" applyBorder="1" applyAlignment="1">
      <alignment horizontal="center"/>
    </xf>
    <xf numFmtId="0" fontId="2" fillId="0" borderId="0" xfId="15" applyFont="1" applyBorder="1" applyAlignment="1">
      <alignment horizontal="center"/>
    </xf>
    <xf numFmtId="0" fontId="5" fillId="0" borderId="0" xfId="15" applyFont="1" applyBorder="1" applyAlignment="1">
      <alignment horizontal="center"/>
    </xf>
    <xf numFmtId="0" fontId="11" fillId="0" borderId="0" xfId="15" applyFont="1" applyBorder="1" applyAlignment="1">
      <alignment horizontal="center"/>
    </xf>
    <xf numFmtId="0" fontId="8" fillId="0" borderId="0" xfId="15" applyFont="1" applyFill="1" applyBorder="1" applyAlignment="1">
      <alignment horizontal="center"/>
    </xf>
    <xf numFmtId="0" fontId="3" fillId="0" borderId="0" xfId="15" applyFont="1" applyFill="1" applyBorder="1" applyAlignment="1">
      <alignment horizontal="left"/>
    </xf>
    <xf numFmtId="0" fontId="4" fillId="0" borderId="0" xfId="15" applyFont="1" applyBorder="1" applyAlignment="1">
      <alignment horizontal="left"/>
    </xf>
    <xf numFmtId="0" fontId="132" fillId="0" borderId="0" xfId="15" applyFont="1" applyBorder="1" applyAlignment="1">
      <alignment horizontal="center"/>
    </xf>
    <xf numFmtId="0" fontId="132" fillId="0" borderId="19" xfId="15" applyFont="1" applyBorder="1" applyAlignment="1">
      <alignment horizontal="center"/>
    </xf>
    <xf numFmtId="0" fontId="9" fillId="0" borderId="8" xfId="15" applyFont="1" applyBorder="1" applyAlignment="1">
      <alignment horizontal="center"/>
    </xf>
    <xf numFmtId="0" fontId="9" fillId="0" borderId="0" xfId="15" applyFont="1" applyBorder="1" applyAlignment="1">
      <alignment horizontal="center"/>
    </xf>
    <xf numFmtId="1" fontId="6" fillId="0" borderId="8" xfId="15" applyNumberFormat="1" applyFont="1" applyBorder="1" applyAlignment="1">
      <alignment horizontal="center" vertical="center"/>
    </xf>
    <xf numFmtId="0" fontId="3" fillId="0" borderId="0" xfId="10" applyFont="1" applyFill="1" applyBorder="1" applyAlignment="1">
      <alignment horizontal="right" vertical="top"/>
    </xf>
    <xf numFmtId="0" fontId="4" fillId="0" borderId="0" xfId="10" applyFont="1" applyBorder="1" applyAlignment="1">
      <alignment horizontal="center"/>
    </xf>
    <xf numFmtId="0" fontId="2" fillId="0" borderId="0" xfId="10"/>
    <xf numFmtId="0" fontId="5" fillId="0" borderId="0" xfId="10" applyFont="1" applyBorder="1" applyAlignment="1">
      <alignment vertical="center"/>
    </xf>
    <xf numFmtId="0" fontId="5" fillId="0" borderId="0" xfId="10" applyFont="1" applyBorder="1" applyAlignment="1">
      <alignment horizontal="center"/>
    </xf>
    <xf numFmtId="49" fontId="2" fillId="0" borderId="0" xfId="10" applyNumberFormat="1" applyBorder="1" applyAlignment="1">
      <alignment horizontal="right" vertical="center"/>
    </xf>
    <xf numFmtId="0" fontId="2" fillId="0" borderId="8" xfId="10" applyFont="1" applyBorder="1" applyAlignment="1">
      <alignment horizontal="center" vertical="center"/>
    </xf>
    <xf numFmtId="0" fontId="2" fillId="0" borderId="19" xfId="10" applyFont="1" applyBorder="1" applyAlignment="1">
      <alignment horizontal="center" vertical="center"/>
    </xf>
    <xf numFmtId="0" fontId="5" fillId="0" borderId="18" xfId="10" applyFont="1" applyBorder="1" applyAlignment="1">
      <alignment horizontal="center" vertical="center"/>
    </xf>
    <xf numFmtId="0" fontId="5" fillId="0" borderId="22" xfId="10" applyFont="1" applyBorder="1" applyAlignment="1">
      <alignment horizontal="center" vertical="center"/>
    </xf>
    <xf numFmtId="0" fontId="102" fillId="0" borderId="0" xfId="10" applyFont="1" applyFill="1" applyBorder="1" applyAlignment="1">
      <alignment horizontal="left" vertical="center" wrapText="1"/>
    </xf>
    <xf numFmtId="0" fontId="4" fillId="0" borderId="9" xfId="10" applyFont="1" applyBorder="1" applyAlignment="1">
      <alignment horizontal="center"/>
    </xf>
    <xf numFmtId="0" fontId="102" fillId="0" borderId="0" xfId="10" applyFont="1" applyAlignment="1">
      <alignment horizontal="left" vertical="center"/>
    </xf>
    <xf numFmtId="0" fontId="5" fillId="0" borderId="0" xfId="10" applyFont="1" applyBorder="1" applyAlignment="1">
      <alignment horizontal="center" vertical="center"/>
    </xf>
    <xf numFmtId="0" fontId="7" fillId="0" borderId="0" xfId="10" applyFont="1" applyBorder="1" applyAlignment="1">
      <alignment horizontal="center" vertical="center"/>
    </xf>
    <xf numFmtId="0" fontId="188" fillId="0" borderId="52" xfId="0" applyFont="1" applyBorder="1" applyAlignment="1">
      <alignment horizontal="center" wrapText="1"/>
    </xf>
    <xf numFmtId="0" fontId="188" fillId="0" borderId="53" xfId="0" applyFont="1" applyBorder="1" applyAlignment="1">
      <alignment horizontal="center" wrapText="1"/>
    </xf>
    <xf numFmtId="0" fontId="188" fillId="0" borderId="54" xfId="0" applyFont="1" applyBorder="1" applyAlignment="1">
      <alignment horizontal="center" wrapText="1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2" xfId="0" applyBorder="1" applyAlignment="1">
      <alignment horizontal="center"/>
    </xf>
    <xf numFmtId="0" fontId="187" fillId="0" borderId="52" xfId="0" applyFont="1" applyBorder="1" applyAlignment="1">
      <alignment horizontal="center" wrapText="1"/>
    </xf>
    <xf numFmtId="0" fontId="187" fillId="0" borderId="53" xfId="0" applyFont="1" applyBorder="1" applyAlignment="1">
      <alignment horizontal="center" wrapText="1"/>
    </xf>
    <xf numFmtId="0" fontId="187" fillId="0" borderId="54" xfId="0" applyFont="1" applyBorder="1" applyAlignment="1">
      <alignment horizontal="center" wrapText="1"/>
    </xf>
    <xf numFmtId="175" fontId="58" fillId="0" borderId="4" xfId="10" applyNumberFormat="1" applyFont="1" applyFill="1" applyBorder="1" applyAlignment="1">
      <alignment horizontal="center" vertical="center" textRotation="90"/>
    </xf>
    <xf numFmtId="176" fontId="58" fillId="0" borderId="0" xfId="10" applyNumberFormat="1" applyFont="1" applyFill="1" applyBorder="1" applyAlignment="1">
      <alignment horizontal="center" vertical="center"/>
    </xf>
    <xf numFmtId="0" fontId="52" fillId="0" borderId="0" xfId="10" applyFont="1" applyFill="1" applyBorder="1" applyAlignment="1">
      <alignment horizontal="center" vertical="center"/>
    </xf>
    <xf numFmtId="0" fontId="61" fillId="0" borderId="0" xfId="10" applyFont="1" applyFill="1" applyBorder="1" applyAlignment="1">
      <alignment horizontal="left" vertical="center"/>
    </xf>
    <xf numFmtId="0" fontId="61" fillId="0" borderId="5" xfId="10" applyFont="1" applyFill="1" applyBorder="1" applyAlignment="1">
      <alignment horizontal="left" vertical="center"/>
    </xf>
    <xf numFmtId="0" fontId="129" fillId="0" borderId="0" xfId="10" applyFont="1" applyFill="1" applyBorder="1" applyAlignment="1">
      <alignment horizontal="left" vertical="center"/>
    </xf>
    <xf numFmtId="171" fontId="74" fillId="0" borderId="0" xfId="10" applyNumberFormat="1" applyFont="1" applyFill="1" applyBorder="1" applyAlignment="1">
      <alignment horizontal="center" vertical="center"/>
    </xf>
    <xf numFmtId="171" fontId="74" fillId="0" borderId="5" xfId="10" applyNumberFormat="1" applyFont="1" applyFill="1" applyBorder="1" applyAlignment="1">
      <alignment horizontal="center" vertical="center"/>
    </xf>
    <xf numFmtId="0" fontId="73" fillId="0" borderId="0" xfId="10" applyFont="1" applyFill="1" applyBorder="1" applyAlignment="1">
      <alignment horizontal="center" vertical="center"/>
    </xf>
    <xf numFmtId="0" fontId="105" fillId="0" borderId="20" xfId="10" applyFont="1" applyFill="1" applyBorder="1" applyAlignment="1">
      <alignment horizontal="center" vertical="center"/>
    </xf>
    <xf numFmtId="0" fontId="105" fillId="0" borderId="9" xfId="10" applyFont="1" applyFill="1" applyBorder="1" applyAlignment="1">
      <alignment horizontal="center" vertical="center"/>
    </xf>
    <xf numFmtId="0" fontId="105" fillId="0" borderId="24" xfId="10" applyFont="1" applyFill="1" applyBorder="1" applyAlignment="1">
      <alignment horizontal="center" vertical="center"/>
    </xf>
    <xf numFmtId="0" fontId="105" fillId="0" borderId="8" xfId="10" applyFont="1" applyFill="1" applyBorder="1" applyAlignment="1">
      <alignment horizontal="center" vertical="center"/>
    </xf>
    <xf numFmtId="0" fontId="105" fillId="0" borderId="0" xfId="10" applyFont="1" applyFill="1" applyBorder="1" applyAlignment="1">
      <alignment horizontal="center" vertical="center"/>
    </xf>
    <xf numFmtId="0" fontId="105" fillId="0" borderId="5" xfId="10" applyFont="1" applyFill="1" applyBorder="1" applyAlignment="1">
      <alignment horizontal="center" vertical="center"/>
    </xf>
    <xf numFmtId="0" fontId="105" fillId="0" borderId="18" xfId="10" applyFont="1" applyFill="1" applyBorder="1" applyAlignment="1">
      <alignment horizontal="center" vertical="center"/>
    </xf>
    <xf numFmtId="0" fontId="105" fillId="0" borderId="10" xfId="10" applyFont="1" applyFill="1" applyBorder="1" applyAlignment="1">
      <alignment horizontal="center" vertical="center"/>
    </xf>
    <xf numFmtId="0" fontId="105" fillId="0" borderId="17" xfId="10" applyFont="1" applyFill="1" applyBorder="1" applyAlignment="1">
      <alignment horizontal="center" vertical="center"/>
    </xf>
    <xf numFmtId="0" fontId="26" fillId="0" borderId="101" xfId="10" applyFont="1" applyFill="1" applyBorder="1" applyAlignment="1">
      <alignment horizontal="left" vertical="top"/>
    </xf>
    <xf numFmtId="0" fontId="58" fillId="0" borderId="10" xfId="10" applyFont="1" applyFill="1" applyBorder="1" applyAlignment="1">
      <alignment horizontal="center" vertical="center"/>
    </xf>
    <xf numFmtId="0" fontId="58" fillId="0" borderId="17" xfId="10" applyFont="1" applyFill="1" applyBorder="1" applyAlignment="1">
      <alignment horizontal="center" vertical="center"/>
    </xf>
    <xf numFmtId="0" fontId="130" fillId="0" borderId="38" xfId="10" applyFont="1" applyFill="1" applyBorder="1" applyAlignment="1">
      <alignment horizontal="center" vertical="center"/>
    </xf>
    <xf numFmtId="0" fontId="69" fillId="0" borderId="38" xfId="10" applyFont="1" applyFill="1" applyBorder="1" applyAlignment="1">
      <alignment horizontal="center" vertical="center"/>
    </xf>
    <xf numFmtId="0" fontId="52" fillId="0" borderId="4" xfId="10" applyFont="1" applyFill="1" applyBorder="1" applyAlignment="1">
      <alignment horizontal="center" vertical="center" textRotation="90"/>
    </xf>
    <xf numFmtId="0" fontId="61" fillId="0" borderId="0" xfId="10" applyFont="1" applyFill="1" applyBorder="1" applyAlignment="1">
      <alignment horizontal="center" vertical="center"/>
    </xf>
    <xf numFmtId="0" fontId="61" fillId="0" borderId="5" xfId="10" applyFont="1" applyFill="1" applyBorder="1" applyAlignment="1">
      <alignment horizontal="center" vertical="center"/>
    </xf>
    <xf numFmtId="0" fontId="59" fillId="0" borderId="44" xfId="10" applyFont="1" applyFill="1" applyBorder="1" applyAlignment="1">
      <alignment horizontal="center" vertical="center"/>
    </xf>
    <xf numFmtId="0" fontId="59" fillId="0" borderId="55" xfId="10" applyFont="1" applyFill="1" applyBorder="1" applyAlignment="1">
      <alignment horizontal="center" vertical="center"/>
    </xf>
    <xf numFmtId="0" fontId="59" fillId="0" borderId="0" xfId="10" applyFont="1" applyFill="1" applyBorder="1" applyAlignment="1">
      <alignment horizontal="center" vertical="center"/>
    </xf>
    <xf numFmtId="0" fontId="59" fillId="0" borderId="5" xfId="10" applyFont="1" applyFill="1" applyBorder="1" applyAlignment="1">
      <alignment horizontal="center" vertical="center"/>
    </xf>
    <xf numFmtId="0" fontId="58" fillId="0" borderId="0" xfId="10" applyFont="1" applyFill="1" applyBorder="1" applyAlignment="1">
      <alignment horizontal="center" vertical="center"/>
    </xf>
    <xf numFmtId="0" fontId="58" fillId="0" borderId="5" xfId="10" applyFont="1" applyFill="1" applyBorder="1" applyAlignment="1">
      <alignment horizontal="center" vertical="center"/>
    </xf>
    <xf numFmtId="0" fontId="58" fillId="0" borderId="13" xfId="10" applyFont="1" applyFill="1" applyBorder="1" applyAlignment="1">
      <alignment horizontal="center" vertical="center"/>
    </xf>
    <xf numFmtId="0" fontId="58" fillId="0" borderId="14" xfId="10" applyFont="1" applyFill="1" applyBorder="1" applyAlignment="1">
      <alignment horizontal="center" vertical="center"/>
    </xf>
    <xf numFmtId="0" fontId="59" fillId="0" borderId="4" xfId="10" applyFont="1" applyFill="1" applyBorder="1" applyAlignment="1">
      <alignment horizontal="center" vertical="center"/>
    </xf>
    <xf numFmtId="173" fontId="58" fillId="0" borderId="0" xfId="10" applyNumberFormat="1" applyFont="1" applyFill="1" applyBorder="1" applyAlignment="1">
      <alignment horizontal="center" vertical="center"/>
    </xf>
    <xf numFmtId="0" fontId="124" fillId="0" borderId="0" xfId="10" applyFont="1" applyFill="1" applyAlignment="1">
      <alignment horizontal="center" vertical="center"/>
    </xf>
    <xf numFmtId="0" fontId="66" fillId="0" borderId="0" xfId="10" applyFont="1" applyFill="1" applyBorder="1" applyAlignment="1">
      <alignment horizontal="left" vertical="center"/>
    </xf>
    <xf numFmtId="0" fontId="26" fillId="0" borderId="5" xfId="10" applyFont="1" applyFill="1" applyBorder="1" applyAlignment="1">
      <alignment horizontal="center" vertical="center"/>
    </xf>
    <xf numFmtId="0" fontId="37" fillId="0" borderId="0" xfId="10" applyFont="1" applyFill="1" applyBorder="1" applyAlignment="1">
      <alignment horizontal="center"/>
    </xf>
    <xf numFmtId="0" fontId="37" fillId="0" borderId="19" xfId="10" applyFont="1" applyFill="1" applyBorder="1" applyAlignment="1">
      <alignment horizontal="center"/>
    </xf>
    <xf numFmtId="0" fontId="59" fillId="0" borderId="6" xfId="10" applyFont="1" applyFill="1" applyBorder="1" applyAlignment="1">
      <alignment horizontal="center" vertical="center"/>
    </xf>
    <xf numFmtId="0" fontId="59" fillId="0" borderId="11" xfId="10" applyFont="1" applyFill="1" applyBorder="1" applyAlignment="1">
      <alignment horizontal="center" vertical="center"/>
    </xf>
    <xf numFmtId="0" fontId="59" fillId="0" borderId="3" xfId="10" applyFont="1" applyFill="1" applyBorder="1" applyAlignment="1">
      <alignment horizontal="center" vertical="center"/>
    </xf>
    <xf numFmtId="0" fontId="69" fillId="0" borderId="0" xfId="10" applyFont="1" applyFill="1" applyBorder="1" applyAlignment="1">
      <alignment horizontal="right" vertical="center"/>
    </xf>
    <xf numFmtId="0" fontId="118" fillId="0" borderId="0" xfId="10" applyFont="1" applyFill="1" applyAlignment="1">
      <alignment horizontal="center" vertical="center"/>
    </xf>
    <xf numFmtId="1" fontId="62" fillId="0" borderId="6" xfId="2" applyNumberFormat="1" applyFont="1" applyFill="1" applyBorder="1" applyAlignment="1" applyProtection="1">
      <alignment horizontal="center" vertical="center"/>
    </xf>
    <xf numFmtId="1" fontId="62" fillId="0" borderId="7" xfId="2" applyNumberFormat="1" applyFont="1" applyFill="1" applyBorder="1" applyAlignment="1" applyProtection="1">
      <alignment horizontal="center" vertical="center"/>
    </xf>
    <xf numFmtId="0" fontId="58" fillId="0" borderId="0" xfId="10" applyFont="1" applyFill="1" applyBorder="1" applyAlignment="1">
      <alignment horizontal="left" vertical="center"/>
    </xf>
    <xf numFmtId="0" fontId="60" fillId="0" borderId="4" xfId="10" applyFont="1" applyFill="1" applyBorder="1" applyAlignment="1">
      <alignment horizontal="center" vertical="center"/>
    </xf>
    <xf numFmtId="0" fontId="60" fillId="0" borderId="0" xfId="10" applyFont="1" applyFill="1" applyBorder="1" applyAlignment="1">
      <alignment horizontal="center" vertical="center"/>
    </xf>
    <xf numFmtId="0" fontId="58" fillId="0" borderId="101" xfId="10" applyFont="1" applyFill="1" applyBorder="1" applyAlignment="1">
      <alignment horizontal="center" vertical="center"/>
    </xf>
    <xf numFmtId="0" fontId="26" fillId="0" borderId="103" xfId="10" applyFont="1" applyFill="1" applyBorder="1" applyAlignment="1">
      <alignment horizontal="left" vertical="top"/>
    </xf>
    <xf numFmtId="1" fontId="58" fillId="0" borderId="0" xfId="10" applyNumberFormat="1" applyFont="1" applyFill="1" applyBorder="1" applyAlignment="1">
      <alignment horizontal="right" vertical="center"/>
    </xf>
    <xf numFmtId="0" fontId="37" fillId="0" borderId="8" xfId="10" applyFont="1" applyFill="1" applyBorder="1" applyAlignment="1">
      <alignment horizontal="center" vertical="center"/>
    </xf>
    <xf numFmtId="0" fontId="37" fillId="0" borderId="0" xfId="10" applyFont="1" applyFill="1" applyBorder="1" applyAlignment="1">
      <alignment horizontal="center" vertical="center"/>
    </xf>
    <xf numFmtId="0" fontId="37" fillId="0" borderId="5" xfId="10" applyFont="1" applyFill="1" applyBorder="1" applyAlignment="1">
      <alignment horizontal="center" vertical="center"/>
    </xf>
    <xf numFmtId="0" fontId="37" fillId="0" borderId="27" xfId="10" applyFont="1" applyFill="1" applyBorder="1" applyAlignment="1">
      <alignment horizontal="center" vertical="center"/>
    </xf>
    <xf numFmtId="0" fontId="37" fillId="0" borderId="13" xfId="10" applyFont="1" applyFill="1" applyBorder="1" applyAlignment="1">
      <alignment horizontal="center" vertical="center"/>
    </xf>
    <xf numFmtId="0" fontId="37" fillId="0" borderId="14" xfId="10" applyFont="1" applyFill="1" applyBorder="1" applyAlignment="1">
      <alignment horizontal="center" vertical="center"/>
    </xf>
    <xf numFmtId="0" fontId="58" fillId="0" borderId="102" xfId="10" applyFont="1" applyFill="1" applyBorder="1" applyAlignment="1">
      <alignment horizontal="center" vertical="center"/>
    </xf>
    <xf numFmtId="49" fontId="62" fillId="0" borderId="0" xfId="10" applyNumberFormat="1" applyFont="1" applyFill="1" applyBorder="1" applyAlignment="1" applyProtection="1">
      <alignment horizontal="center" vertical="center"/>
    </xf>
    <xf numFmtId="0" fontId="62" fillId="0" borderId="0" xfId="10" applyNumberFormat="1" applyFont="1" applyFill="1" applyBorder="1" applyAlignment="1" applyProtection="1">
      <alignment horizontal="center" vertical="center"/>
    </xf>
    <xf numFmtId="0" fontId="62" fillId="0" borderId="5" xfId="10" applyNumberFormat="1" applyFont="1" applyFill="1" applyBorder="1" applyAlignment="1" applyProtection="1">
      <alignment horizontal="center" vertical="center"/>
    </xf>
    <xf numFmtId="171" fontId="61" fillId="0" borderId="0" xfId="10" applyNumberFormat="1" applyFont="1" applyFill="1" applyBorder="1" applyAlignment="1">
      <alignment horizontal="center" vertical="center"/>
    </xf>
    <xf numFmtId="0" fontId="103" fillId="0" borderId="0" xfId="10" applyFont="1" applyFill="1" applyBorder="1" applyAlignment="1">
      <alignment horizontal="center" vertical="center"/>
    </xf>
    <xf numFmtId="0" fontId="52" fillId="0" borderId="0" xfId="10" applyFont="1" applyFill="1" applyBorder="1" applyAlignment="1">
      <alignment horizontal="left" wrapText="1"/>
    </xf>
    <xf numFmtId="0" fontId="59" fillId="0" borderId="8" xfId="10" applyFont="1" applyFill="1" applyBorder="1" applyAlignment="1">
      <alignment horizontal="center" vertical="center"/>
    </xf>
    <xf numFmtId="0" fontId="52" fillId="0" borderId="53" xfId="10" applyFont="1" applyFill="1" applyBorder="1" applyAlignment="1">
      <alignment horizontal="right" vertical="center"/>
    </xf>
    <xf numFmtId="170" fontId="53" fillId="0" borderId="53" xfId="10" applyNumberFormat="1" applyFont="1" applyFill="1" applyBorder="1" applyAlignment="1">
      <alignment horizontal="center" vertical="center"/>
    </xf>
    <xf numFmtId="0" fontId="0" fillId="0" borderId="53" xfId="0" applyBorder="1"/>
    <xf numFmtId="0" fontId="0" fillId="0" borderId="54" xfId="0" applyBorder="1"/>
    <xf numFmtId="14" fontId="53" fillId="0" borderId="50" xfId="10" applyNumberFormat="1" applyFont="1" applyFill="1" applyBorder="1" applyAlignment="1">
      <alignment horizontal="center" vertical="center"/>
    </xf>
    <xf numFmtId="14" fontId="53" fillId="0" borderId="34" xfId="10" applyNumberFormat="1" applyFont="1" applyFill="1" applyBorder="1" applyAlignment="1">
      <alignment horizontal="center" vertical="center"/>
    </xf>
    <xf numFmtId="14" fontId="53" fillId="0" borderId="110" xfId="10" applyNumberFormat="1" applyFont="1" applyFill="1" applyBorder="1" applyAlignment="1">
      <alignment horizontal="center" vertical="center"/>
    </xf>
    <xf numFmtId="0" fontId="52" fillId="0" borderId="31" xfId="10" applyFont="1" applyFill="1" applyBorder="1" applyAlignment="1">
      <alignment horizontal="center" vertical="center"/>
    </xf>
    <xf numFmtId="0" fontId="52" fillId="0" borderId="111" xfId="10" applyFont="1" applyFill="1" applyBorder="1" applyAlignment="1">
      <alignment horizontal="center" vertical="center"/>
    </xf>
    <xf numFmtId="0" fontId="52" fillId="0" borderId="32" xfId="10" applyFont="1" applyFill="1" applyBorder="1" applyAlignment="1">
      <alignment horizontal="center" vertical="center"/>
    </xf>
    <xf numFmtId="0" fontId="52" fillId="0" borderId="95" xfId="10" applyFont="1" applyFill="1" applyBorder="1" applyAlignment="1">
      <alignment horizontal="center" vertical="center"/>
    </xf>
    <xf numFmtId="0" fontId="53" fillId="0" borderId="112" xfId="10" applyFont="1" applyFill="1" applyBorder="1" applyAlignment="1">
      <alignment horizontal="center" vertical="center"/>
    </xf>
    <xf numFmtId="0" fontId="53" fillId="0" borderId="33" xfId="10" applyFont="1" applyFill="1" applyBorder="1" applyAlignment="1">
      <alignment horizontal="center" vertical="center"/>
    </xf>
    <xf numFmtId="49" fontId="53" fillId="0" borderId="33" xfId="10" applyNumberFormat="1" applyFont="1" applyFill="1" applyBorder="1" applyAlignment="1">
      <alignment horizontal="center" vertical="center"/>
    </xf>
    <xf numFmtId="0" fontId="53" fillId="0" borderId="50" xfId="10" applyFont="1" applyFill="1" applyBorder="1" applyAlignment="1">
      <alignment horizontal="center" vertical="center"/>
    </xf>
    <xf numFmtId="0" fontId="53" fillId="0" borderId="34" xfId="10" applyFont="1" applyFill="1" applyBorder="1" applyAlignment="1">
      <alignment horizontal="center" vertical="center"/>
    </xf>
    <xf numFmtId="0" fontId="53" fillId="0" borderId="110" xfId="10" applyFont="1" applyFill="1" applyBorder="1" applyAlignment="1">
      <alignment horizontal="center" vertical="center"/>
    </xf>
    <xf numFmtId="1" fontId="53" fillId="0" borderId="34" xfId="10" applyNumberFormat="1" applyFont="1" applyFill="1" applyBorder="1" applyAlignment="1">
      <alignment horizontal="center" vertical="center"/>
    </xf>
    <xf numFmtId="49" fontId="53" fillId="0" borderId="50" xfId="10" applyNumberFormat="1" applyFont="1" applyFill="1" applyBorder="1" applyAlignment="1">
      <alignment horizontal="center" vertical="center"/>
    </xf>
    <xf numFmtId="49" fontId="53" fillId="0" borderId="34" xfId="10" applyNumberFormat="1" applyFont="1" applyFill="1" applyBorder="1" applyAlignment="1">
      <alignment horizontal="center" vertical="center"/>
    </xf>
    <xf numFmtId="49" fontId="53" fillId="0" borderId="51" xfId="10" applyNumberFormat="1" applyFont="1" applyFill="1" applyBorder="1" applyAlignment="1">
      <alignment horizontal="center" vertical="center"/>
    </xf>
    <xf numFmtId="0" fontId="52" fillId="0" borderId="113" xfId="10" applyFont="1" applyFill="1" applyBorder="1" applyAlignment="1">
      <alignment horizontal="center" vertical="center"/>
    </xf>
    <xf numFmtId="0" fontId="52" fillId="0" borderId="114" xfId="10" applyFont="1" applyFill="1" applyBorder="1" applyAlignment="1">
      <alignment horizontal="center" vertical="center"/>
    </xf>
    <xf numFmtId="0" fontId="54" fillId="0" borderId="53" xfId="10" applyFont="1" applyFill="1" applyBorder="1" applyAlignment="1">
      <alignment horizontal="center" vertical="center"/>
    </xf>
    <xf numFmtId="0" fontId="54" fillId="0" borderId="35" xfId="10" applyFont="1" applyFill="1" applyBorder="1" applyAlignment="1">
      <alignment horizontal="center" vertical="center"/>
    </xf>
    <xf numFmtId="0" fontId="53" fillId="0" borderId="115" xfId="10" applyFont="1" applyFill="1" applyBorder="1" applyAlignment="1">
      <alignment horizontal="right" vertical="center"/>
    </xf>
    <xf numFmtId="0" fontId="53" fillId="0" borderId="53" xfId="10" applyFont="1" applyFill="1" applyBorder="1" applyAlignment="1">
      <alignment horizontal="right" vertical="center"/>
    </xf>
    <xf numFmtId="0" fontId="59" fillId="0" borderId="7" xfId="10" applyFont="1" applyFill="1" applyBorder="1" applyAlignment="1">
      <alignment horizontal="center" vertical="center"/>
    </xf>
    <xf numFmtId="177" fontId="77" fillId="0" borderId="13" xfId="10" applyNumberFormat="1" applyFont="1" applyBorder="1" applyAlignment="1">
      <alignment horizontal="center"/>
    </xf>
    <xf numFmtId="177" fontId="77" fillId="0" borderId="14" xfId="10" applyNumberFormat="1" applyFont="1" applyBorder="1" applyAlignment="1">
      <alignment horizontal="center"/>
    </xf>
    <xf numFmtId="0" fontId="120" fillId="0" borderId="0" xfId="10" applyNumberFormat="1" applyFont="1" applyBorder="1" applyAlignment="1">
      <alignment horizontal="center" vertical="center"/>
    </xf>
    <xf numFmtId="0" fontId="77" fillId="0" borderId="0" xfId="10" applyFont="1" applyBorder="1" applyAlignment="1">
      <alignment horizontal="center" wrapText="1"/>
    </xf>
    <xf numFmtId="0" fontId="121" fillId="0" borderId="0" xfId="10" applyFont="1" applyFill="1" applyBorder="1" applyAlignment="1">
      <alignment horizontal="center" vertical="center"/>
    </xf>
    <xf numFmtId="0" fontId="121" fillId="0" borderId="13" xfId="10" applyFont="1" applyFill="1" applyBorder="1" applyAlignment="1">
      <alignment horizontal="center" vertical="center"/>
    </xf>
    <xf numFmtId="0" fontId="77" fillId="0" borderId="20" xfId="10" applyFont="1" applyBorder="1" applyAlignment="1">
      <alignment horizontal="center" vertical="center" wrapText="1"/>
    </xf>
    <xf numFmtId="0" fontId="77" fillId="0" borderId="9" xfId="10" applyFont="1" applyBorder="1" applyAlignment="1">
      <alignment horizontal="center" vertical="center" wrapText="1"/>
    </xf>
    <xf numFmtId="0" fontId="77" fillId="0" borderId="24" xfId="10" applyFont="1" applyBorder="1" applyAlignment="1">
      <alignment horizontal="center" vertical="center" wrapText="1"/>
    </xf>
    <xf numFmtId="0" fontId="77" fillId="0" borderId="8" xfId="10" applyFont="1" applyBorder="1" applyAlignment="1">
      <alignment horizontal="center" vertical="center" wrapText="1"/>
    </xf>
    <xf numFmtId="0" fontId="77" fillId="0" borderId="0" xfId="10" applyFont="1" applyBorder="1" applyAlignment="1">
      <alignment horizontal="center" vertical="center" wrapText="1"/>
    </xf>
    <xf numFmtId="0" fontId="77" fillId="0" borderId="5" xfId="10" applyFont="1" applyBorder="1" applyAlignment="1">
      <alignment horizontal="center" vertical="center" wrapText="1"/>
    </xf>
    <xf numFmtId="0" fontId="77" fillId="0" borderId="18" xfId="10" applyFont="1" applyBorder="1" applyAlignment="1">
      <alignment horizontal="center" vertical="center" wrapText="1"/>
    </xf>
    <xf numFmtId="0" fontId="77" fillId="0" borderId="10" xfId="10" applyFont="1" applyBorder="1" applyAlignment="1">
      <alignment horizontal="center" vertical="center" wrapText="1"/>
    </xf>
    <xf numFmtId="0" fontId="77" fillId="0" borderId="17" xfId="10" applyFont="1" applyBorder="1" applyAlignment="1">
      <alignment horizontal="center" vertical="center" wrapText="1"/>
    </xf>
    <xf numFmtId="0" fontId="123" fillId="0" borderId="0" xfId="10" applyFont="1" applyBorder="1" applyAlignment="1">
      <alignment horizontal="center"/>
    </xf>
    <xf numFmtId="0" fontId="125" fillId="0" borderId="0" xfId="10" applyFont="1" applyFill="1" applyBorder="1" applyAlignment="1">
      <alignment horizontal="center" vertical="center"/>
    </xf>
    <xf numFmtId="177" fontId="77" fillId="0" borderId="29" xfId="10" applyNumberFormat="1" applyFont="1" applyBorder="1" applyAlignment="1">
      <alignment horizontal="center"/>
    </xf>
    <xf numFmtId="177" fontId="77" fillId="0" borderId="30" xfId="10" applyNumberFormat="1" applyFont="1" applyBorder="1" applyAlignment="1">
      <alignment horizontal="center"/>
    </xf>
    <xf numFmtId="0" fontId="77" fillId="0" borderId="4" xfId="10" applyFont="1" applyBorder="1" applyAlignment="1">
      <alignment horizontal="center" wrapText="1"/>
    </xf>
    <xf numFmtId="0" fontId="77" fillId="0" borderId="5" xfId="10" applyFont="1" applyBorder="1" applyAlignment="1">
      <alignment horizontal="center" wrapText="1"/>
    </xf>
    <xf numFmtId="0" fontId="109" fillId="0" borderId="6" xfId="10" applyNumberFormat="1" applyFont="1" applyBorder="1" applyAlignment="1">
      <alignment horizontal="center" vertical="center"/>
    </xf>
    <xf numFmtId="0" fontId="109" fillId="0" borderId="11" xfId="10" applyNumberFormat="1" applyFont="1" applyBorder="1" applyAlignment="1">
      <alignment horizontal="center" vertical="center"/>
    </xf>
    <xf numFmtId="0" fontId="109" fillId="0" borderId="7" xfId="10" applyNumberFormat="1" applyFont="1" applyBorder="1" applyAlignment="1">
      <alignment horizontal="center" vertical="center"/>
    </xf>
    <xf numFmtId="0" fontId="106" fillId="0" borderId="0" xfId="10" applyNumberFormat="1" applyFont="1" applyAlignment="1">
      <alignment horizontal="center"/>
    </xf>
    <xf numFmtId="0" fontId="107" fillId="0" borderId="29" xfId="10" applyNumberFormat="1" applyFont="1" applyBorder="1" applyAlignment="1">
      <alignment vertical="center"/>
    </xf>
    <xf numFmtId="0" fontId="110" fillId="0" borderId="29" xfId="10" applyNumberFormat="1" applyFont="1" applyBorder="1" applyAlignment="1">
      <alignment vertical="center"/>
    </xf>
    <xf numFmtId="0" fontId="79" fillId="0" borderId="4" xfId="10" applyNumberFormat="1" applyFont="1" applyBorder="1" applyAlignment="1">
      <alignment horizontal="center" textRotation="90"/>
    </xf>
    <xf numFmtId="0" fontId="105" fillId="0" borderId="20" xfId="10" applyNumberFormat="1" applyFont="1" applyFill="1" applyBorder="1" applyAlignment="1">
      <alignment horizontal="center" vertical="center" wrapText="1"/>
    </xf>
    <xf numFmtId="0" fontId="105" fillId="0" borderId="9" xfId="10" applyNumberFormat="1" applyFont="1" applyFill="1" applyBorder="1" applyAlignment="1">
      <alignment horizontal="center" vertical="center" wrapText="1"/>
    </xf>
    <xf numFmtId="0" fontId="105" fillId="0" borderId="21" xfId="10" applyNumberFormat="1" applyFont="1" applyFill="1" applyBorder="1" applyAlignment="1">
      <alignment horizontal="center" vertical="center" wrapText="1"/>
    </xf>
    <xf numFmtId="0" fontId="105" fillId="0" borderId="8" xfId="10" applyNumberFormat="1" applyFont="1" applyFill="1" applyBorder="1" applyAlignment="1">
      <alignment horizontal="center" vertical="center" wrapText="1"/>
    </xf>
    <xf numFmtId="0" fontId="105" fillId="0" borderId="0" xfId="10" applyNumberFormat="1" applyFont="1" applyFill="1" applyBorder="1" applyAlignment="1">
      <alignment horizontal="center" vertical="center" wrapText="1"/>
    </xf>
    <xf numFmtId="0" fontId="105" fillId="0" borderId="19" xfId="10" applyNumberFormat="1" applyFont="1" applyFill="1" applyBorder="1" applyAlignment="1">
      <alignment horizontal="center" vertical="center" wrapText="1"/>
    </xf>
    <xf numFmtId="0" fontId="105" fillId="0" borderId="18" xfId="10" applyNumberFormat="1" applyFont="1" applyFill="1" applyBorder="1" applyAlignment="1">
      <alignment horizontal="center" vertical="center" wrapText="1"/>
    </xf>
    <xf numFmtId="0" fontId="105" fillId="0" borderId="10" xfId="10" applyNumberFormat="1" applyFont="1" applyFill="1" applyBorder="1" applyAlignment="1">
      <alignment horizontal="center" vertical="center" wrapText="1"/>
    </xf>
    <xf numFmtId="0" fontId="105" fillId="0" borderId="22" xfId="10" applyNumberFormat="1" applyFont="1" applyFill="1" applyBorder="1" applyAlignment="1">
      <alignment horizontal="center" vertical="center" wrapText="1"/>
    </xf>
    <xf numFmtId="0" fontId="122" fillId="0" borderId="62" xfId="10" applyNumberFormat="1" applyFont="1" applyBorder="1" applyAlignment="1">
      <alignment horizontal="center" vertical="center"/>
    </xf>
    <xf numFmtId="0" fontId="122" fillId="0" borderId="44" xfId="10" applyNumberFormat="1" applyFont="1" applyBorder="1" applyAlignment="1">
      <alignment horizontal="center" vertical="center"/>
    </xf>
    <xf numFmtId="0" fontId="122" fillId="0" borderId="8" xfId="10" applyNumberFormat="1" applyFont="1" applyBorder="1" applyAlignment="1">
      <alignment horizontal="center" vertical="center"/>
    </xf>
    <xf numFmtId="0" fontId="122" fillId="0" borderId="0" xfId="10" applyNumberFormat="1" applyFont="1" applyBorder="1" applyAlignment="1">
      <alignment horizontal="center" vertical="center"/>
    </xf>
    <xf numFmtId="0" fontId="80" fillId="0" borderId="20" xfId="10" applyNumberFormat="1" applyFont="1" applyBorder="1" applyAlignment="1">
      <alignment horizontal="center"/>
    </xf>
    <xf numFmtId="0" fontId="80" fillId="0" borderId="9" xfId="10" applyNumberFormat="1" applyFont="1" applyBorder="1" applyAlignment="1">
      <alignment horizontal="center"/>
    </xf>
    <xf numFmtId="0" fontId="80" fillId="0" borderId="21" xfId="10" applyNumberFormat="1" applyFont="1" applyBorder="1" applyAlignment="1">
      <alignment horizontal="center"/>
    </xf>
    <xf numFmtId="0" fontId="26" fillId="0" borderId="116" xfId="10" applyFont="1" applyFill="1" applyBorder="1" applyAlignment="1">
      <alignment horizontal="left" vertical="top"/>
    </xf>
    <xf numFmtId="0" fontId="26" fillId="0" borderId="117" xfId="10" applyFont="1" applyFill="1" applyBorder="1" applyAlignment="1">
      <alignment horizontal="left" vertical="top"/>
    </xf>
    <xf numFmtId="0" fontId="58" fillId="0" borderId="11" xfId="10" applyFont="1" applyFill="1" applyBorder="1" applyAlignment="1">
      <alignment horizontal="center" vertical="center"/>
    </xf>
    <xf numFmtId="0" fontId="58" fillId="0" borderId="7" xfId="10" applyFont="1" applyFill="1" applyBorder="1" applyAlignment="1">
      <alignment horizontal="center" vertical="center"/>
    </xf>
    <xf numFmtId="0" fontId="60" fillId="0" borderId="0" xfId="10" applyNumberFormat="1" applyFont="1" applyFill="1" applyBorder="1" applyAlignment="1">
      <alignment horizontal="center" vertical="center"/>
    </xf>
    <xf numFmtId="0" fontId="60" fillId="0" borderId="19" xfId="10" applyNumberFormat="1" applyFont="1" applyFill="1" applyBorder="1" applyAlignment="1">
      <alignment horizontal="center" vertical="center"/>
    </xf>
    <xf numFmtId="0" fontId="124" fillId="0" borderId="0" xfId="10" applyFont="1" applyBorder="1" applyAlignment="1">
      <alignment horizontal="center"/>
    </xf>
    <xf numFmtId="0" fontId="52" fillId="0" borderId="4" xfId="10" applyFont="1" applyFill="1" applyBorder="1" applyAlignment="1">
      <alignment horizontal="center" vertical="center"/>
    </xf>
    <xf numFmtId="0" fontId="104" fillId="0" borderId="20" xfId="10" applyFont="1" applyFill="1" applyBorder="1" applyAlignment="1">
      <alignment horizontal="center" vertical="center"/>
    </xf>
    <xf numFmtId="0" fontId="104" fillId="0" borderId="9" xfId="10" applyFont="1" applyFill="1" applyBorder="1" applyAlignment="1">
      <alignment horizontal="center" vertical="center"/>
    </xf>
    <xf numFmtId="0" fontId="104" fillId="0" borderId="24" xfId="10" applyFont="1" applyFill="1" applyBorder="1" applyAlignment="1">
      <alignment horizontal="center" vertical="center"/>
    </xf>
    <xf numFmtId="0" fontId="104" fillId="0" borderId="8" xfId="10" applyFont="1" applyFill="1" applyBorder="1" applyAlignment="1">
      <alignment horizontal="center" vertical="center"/>
    </xf>
    <xf numFmtId="0" fontId="104" fillId="0" borderId="0" xfId="10" applyFont="1" applyFill="1" applyBorder="1" applyAlignment="1">
      <alignment horizontal="center" vertical="center"/>
    </xf>
    <xf numFmtId="0" fontId="104" fillId="0" borderId="5" xfId="10" applyFont="1" applyFill="1" applyBorder="1" applyAlignment="1">
      <alignment horizontal="center" vertical="center"/>
    </xf>
    <xf numFmtId="0" fontId="104" fillId="0" borderId="18" xfId="10" applyFont="1" applyFill="1" applyBorder="1" applyAlignment="1">
      <alignment horizontal="center" vertical="center"/>
    </xf>
    <xf numFmtId="0" fontId="104" fillId="0" borderId="10" xfId="10" applyFont="1" applyFill="1" applyBorder="1" applyAlignment="1">
      <alignment horizontal="center" vertical="center"/>
    </xf>
    <xf numFmtId="0" fontId="104" fillId="0" borderId="17" xfId="10" applyFont="1" applyFill="1" applyBorder="1" applyAlignment="1">
      <alignment horizontal="center" vertical="center"/>
    </xf>
    <xf numFmtId="0" fontId="26" fillId="0" borderId="118" xfId="10" applyFont="1" applyFill="1" applyBorder="1" applyAlignment="1">
      <alignment horizontal="left" vertical="top"/>
    </xf>
    <xf numFmtId="0" fontId="26" fillId="0" borderId="119" xfId="10" applyFont="1" applyFill="1" applyBorder="1" applyAlignment="1">
      <alignment horizontal="left" vertical="top"/>
    </xf>
    <xf numFmtId="0" fontId="60" fillId="0" borderId="9" xfId="10" applyFont="1" applyFill="1" applyBorder="1" applyAlignment="1">
      <alignment horizontal="center" vertical="center"/>
    </xf>
    <xf numFmtId="0" fontId="59" fillId="0" borderId="43" xfId="10" applyFont="1" applyFill="1" applyBorder="1" applyAlignment="1">
      <alignment horizontal="center" vertical="center"/>
    </xf>
    <xf numFmtId="0" fontId="26" fillId="0" borderId="103" xfId="10" applyFont="1" applyFill="1" applyBorder="1" applyAlignment="1">
      <alignment horizontal="center" vertical="center"/>
    </xf>
    <xf numFmtId="0" fontId="26" fillId="0" borderId="101" xfId="10" applyFont="1" applyFill="1" applyBorder="1" applyAlignment="1">
      <alignment horizontal="center" vertical="center"/>
    </xf>
    <xf numFmtId="0" fontId="68" fillId="0" borderId="4" xfId="10" applyFont="1" applyFill="1" applyBorder="1" applyAlignment="1">
      <alignment horizontal="center" vertical="center"/>
    </xf>
    <xf numFmtId="0" fontId="68" fillId="0" borderId="0" xfId="10" applyFont="1" applyFill="1" applyBorder="1" applyAlignment="1">
      <alignment horizontal="center" vertical="center"/>
    </xf>
    <xf numFmtId="0" fontId="68" fillId="0" borderId="5" xfId="10" applyFont="1" applyFill="1" applyBorder="1" applyAlignment="1">
      <alignment horizontal="center" vertical="center"/>
    </xf>
    <xf numFmtId="0" fontId="29" fillId="0" borderId="0" xfId="10" applyFont="1" applyFill="1" applyAlignment="1">
      <alignment horizontal="center" vertical="center"/>
    </xf>
    <xf numFmtId="0" fontId="69" fillId="15" borderId="0" xfId="10" applyFont="1" applyFill="1" applyBorder="1" applyAlignment="1">
      <alignment horizontal="right" vertical="center"/>
    </xf>
    <xf numFmtId="0" fontId="26" fillId="0" borderId="4" xfId="10" applyFont="1" applyFill="1" applyBorder="1" applyAlignment="1">
      <alignment horizontal="center" vertical="center"/>
    </xf>
    <xf numFmtId="0" fontId="26" fillId="0" borderId="0" xfId="10" applyFont="1" applyFill="1" applyBorder="1" applyAlignment="1">
      <alignment horizontal="center" vertical="center"/>
    </xf>
    <xf numFmtId="174" fontId="58" fillId="0" borderId="0" xfId="10" applyNumberFormat="1" applyFont="1" applyFill="1" applyBorder="1" applyAlignment="1">
      <alignment horizontal="center" vertical="center"/>
    </xf>
    <xf numFmtId="0" fontId="60" fillId="0" borderId="5" xfId="10" applyFont="1" applyFill="1" applyBorder="1" applyAlignment="1">
      <alignment horizontal="center" vertical="center"/>
    </xf>
    <xf numFmtId="0" fontId="59" fillId="0" borderId="67" xfId="10" applyFont="1" applyFill="1" applyBorder="1" applyAlignment="1">
      <alignment horizontal="center" vertical="center"/>
    </xf>
    <xf numFmtId="1" fontId="58" fillId="0" borderId="0" xfId="10" applyNumberFormat="1" applyFont="1" applyFill="1" applyBorder="1" applyAlignment="1" applyProtection="1">
      <alignment horizontal="center" vertical="center"/>
    </xf>
    <xf numFmtId="0" fontId="52" fillId="0" borderId="53" xfId="10" applyFont="1" applyFill="1" applyBorder="1" applyAlignment="1">
      <alignment horizontal="center" vertical="center"/>
    </xf>
    <xf numFmtId="170" fontId="53" fillId="0" borderId="54" xfId="10" applyNumberFormat="1" applyFont="1" applyFill="1" applyBorder="1" applyAlignment="1">
      <alignment horizontal="center" vertical="center"/>
    </xf>
    <xf numFmtId="1" fontId="53" fillId="0" borderId="112" xfId="10" applyNumberFormat="1" applyFont="1" applyFill="1" applyBorder="1" applyAlignment="1">
      <alignment horizontal="center" vertical="center"/>
    </xf>
    <xf numFmtId="14" fontId="53" fillId="0" borderId="33" xfId="10" applyNumberFormat="1" applyFont="1" applyFill="1" applyBorder="1" applyAlignment="1">
      <alignment horizontal="center" vertical="center"/>
    </xf>
    <xf numFmtId="0" fontId="53" fillId="0" borderId="33" xfId="10" applyNumberFormat="1" applyFont="1" applyFill="1" applyBorder="1" applyAlignment="1">
      <alignment horizontal="center" vertical="center"/>
    </xf>
    <xf numFmtId="0" fontId="136" fillId="0" borderId="20" xfId="16" applyFont="1" applyFill="1" applyBorder="1" applyAlignment="1">
      <alignment horizontal="center" vertical="center"/>
    </xf>
    <xf numFmtId="0" fontId="136" fillId="0" borderId="9" xfId="16" applyFont="1" applyFill="1" applyBorder="1" applyAlignment="1">
      <alignment horizontal="center" vertical="center"/>
    </xf>
    <xf numFmtId="0" fontId="136" fillId="0" borderId="8" xfId="16" applyFont="1" applyFill="1" applyBorder="1" applyAlignment="1">
      <alignment horizontal="center" vertical="center"/>
    </xf>
    <xf numFmtId="0" fontId="136" fillId="0" borderId="0" xfId="16" applyFont="1" applyFill="1" applyBorder="1" applyAlignment="1">
      <alignment horizontal="center" vertical="center"/>
    </xf>
    <xf numFmtId="0" fontId="136" fillId="0" borderId="18" xfId="16" applyFont="1" applyFill="1" applyBorder="1" applyAlignment="1">
      <alignment horizontal="center" vertical="center"/>
    </xf>
    <xf numFmtId="0" fontId="136" fillId="0" borderId="10" xfId="16" applyFont="1" applyFill="1" applyBorder="1" applyAlignment="1">
      <alignment horizontal="center" vertical="center"/>
    </xf>
    <xf numFmtId="0" fontId="26" fillId="0" borderId="0" xfId="16" applyFont="1" applyFill="1" applyBorder="1" applyAlignment="1">
      <alignment horizontal="left" vertical="top"/>
    </xf>
    <xf numFmtId="0" fontId="58" fillId="0" borderId="0" xfId="16" applyFont="1" applyFill="1" applyBorder="1" applyAlignment="1">
      <alignment horizontal="center" vertical="center"/>
    </xf>
    <xf numFmtId="0" fontId="58" fillId="0" borderId="5" xfId="16" applyFont="1" applyFill="1" applyBorder="1" applyAlignment="1">
      <alignment horizontal="center" vertical="center"/>
    </xf>
    <xf numFmtId="0" fontId="52" fillId="0" borderId="0" xfId="16" applyFont="1" applyFill="1" applyBorder="1" applyAlignment="1">
      <alignment horizontal="center" vertical="center"/>
    </xf>
    <xf numFmtId="0" fontId="61" fillId="0" borderId="0" xfId="16" applyFont="1" applyFill="1" applyBorder="1" applyAlignment="1">
      <alignment horizontal="left" vertical="center"/>
    </xf>
    <xf numFmtId="0" fontId="61" fillId="0" borderId="5" xfId="16" applyFont="1" applyFill="1" applyBorder="1" applyAlignment="1">
      <alignment horizontal="left" vertical="center"/>
    </xf>
    <xf numFmtId="0" fontId="129" fillId="0" borderId="0" xfId="16" applyFont="1" applyFill="1" applyBorder="1" applyAlignment="1">
      <alignment horizontal="right" vertical="center"/>
    </xf>
    <xf numFmtId="0" fontId="52" fillId="0" borderId="4" xfId="16" applyFont="1" applyFill="1" applyBorder="1" applyAlignment="1">
      <alignment horizontal="center" vertical="center" textRotation="90"/>
    </xf>
    <xf numFmtId="0" fontId="61" fillId="0" borderId="0" xfId="16" applyFont="1" applyFill="1" applyBorder="1" applyAlignment="1">
      <alignment horizontal="center" vertical="center"/>
    </xf>
    <xf numFmtId="0" fontId="61" fillId="0" borderId="5" xfId="16" applyFont="1" applyFill="1" applyBorder="1" applyAlignment="1">
      <alignment horizontal="center" vertical="center"/>
    </xf>
    <xf numFmtId="0" fontId="26" fillId="0" borderId="101" xfId="16" applyFont="1" applyFill="1" applyBorder="1" applyAlignment="1">
      <alignment horizontal="center" vertical="center"/>
    </xf>
    <xf numFmtId="0" fontId="58" fillId="0" borderId="101" xfId="16" applyFont="1" applyFill="1" applyBorder="1" applyAlignment="1">
      <alignment horizontal="center" vertical="center"/>
    </xf>
    <xf numFmtId="0" fontId="58" fillId="0" borderId="102" xfId="16" applyFont="1" applyFill="1" applyBorder="1" applyAlignment="1">
      <alignment horizontal="center" vertical="center"/>
    </xf>
    <xf numFmtId="175" fontId="58" fillId="0" borderId="4" xfId="16" applyNumberFormat="1" applyFont="1" applyFill="1" applyBorder="1" applyAlignment="1">
      <alignment horizontal="center" vertical="center" textRotation="90"/>
    </xf>
    <xf numFmtId="0" fontId="73" fillId="0" borderId="0" xfId="16" applyFont="1" applyFill="1" applyBorder="1" applyAlignment="1">
      <alignment horizontal="center" vertical="center"/>
    </xf>
    <xf numFmtId="171" fontId="74" fillId="0" borderId="0" xfId="16" applyNumberFormat="1" applyFont="1" applyFill="1" applyBorder="1" applyAlignment="1">
      <alignment horizontal="center" vertical="center"/>
    </xf>
    <xf numFmtId="171" fontId="74" fillId="0" borderId="5" xfId="16" applyNumberFormat="1" applyFont="1" applyFill="1" applyBorder="1" applyAlignment="1">
      <alignment horizontal="center" vertical="center"/>
    </xf>
    <xf numFmtId="176" fontId="58" fillId="0" borderId="0" xfId="16" applyNumberFormat="1" applyFont="1" applyFill="1" applyBorder="1" applyAlignment="1">
      <alignment horizontal="center" vertical="center"/>
    </xf>
    <xf numFmtId="174" fontId="58" fillId="0" borderId="0" xfId="16" applyNumberFormat="1" applyFont="1" applyFill="1" applyBorder="1" applyAlignment="1">
      <alignment horizontal="center" vertical="center"/>
    </xf>
    <xf numFmtId="0" fontId="60" fillId="0" borderId="4" xfId="16" applyFont="1" applyFill="1" applyBorder="1" applyAlignment="1">
      <alignment horizontal="center" vertical="center"/>
    </xf>
    <xf numFmtId="0" fontId="60" fillId="0" borderId="0" xfId="16" applyFont="1" applyFill="1" applyBorder="1" applyAlignment="1">
      <alignment horizontal="center" vertical="center"/>
    </xf>
    <xf numFmtId="0" fontId="60" fillId="0" borderId="5" xfId="16" applyFont="1" applyFill="1" applyBorder="1" applyAlignment="1">
      <alignment horizontal="center" vertical="center"/>
    </xf>
    <xf numFmtId="0" fontId="26" fillId="0" borderId="103" xfId="16" applyFont="1" applyFill="1" applyBorder="1" applyAlignment="1">
      <alignment horizontal="left" vertical="top"/>
    </xf>
    <xf numFmtId="0" fontId="26" fillId="0" borderId="101" xfId="16" applyFont="1" applyFill="1" applyBorder="1" applyAlignment="1">
      <alignment horizontal="left" vertical="top"/>
    </xf>
    <xf numFmtId="0" fontId="58" fillId="0" borderId="89" xfId="16" applyFont="1" applyFill="1" applyBorder="1" applyAlignment="1">
      <alignment horizontal="center" vertical="center"/>
    </xf>
    <xf numFmtId="0" fontId="66" fillId="0" borderId="0" xfId="16" applyFont="1" applyFill="1" applyBorder="1" applyAlignment="1">
      <alignment horizontal="left" vertical="center"/>
    </xf>
    <xf numFmtId="0" fontId="59" fillId="0" borderId="67" xfId="16" applyFont="1" applyFill="1" applyBorder="1" applyAlignment="1">
      <alignment horizontal="center" vertical="center"/>
    </xf>
    <xf numFmtId="0" fontId="59" fillId="0" borderId="11" xfId="16" applyFont="1" applyFill="1" applyBorder="1" applyAlignment="1">
      <alignment horizontal="center" vertical="center"/>
    </xf>
    <xf numFmtId="0" fontId="59" fillId="0" borderId="7" xfId="16" applyFont="1" applyFill="1" applyBorder="1" applyAlignment="1">
      <alignment horizontal="center" vertical="center"/>
    </xf>
    <xf numFmtId="0" fontId="59" fillId="0" borderId="6" xfId="16" applyFont="1" applyFill="1" applyBorder="1" applyAlignment="1">
      <alignment horizontal="center" vertical="center"/>
    </xf>
    <xf numFmtId="0" fontId="59" fillId="0" borderId="3" xfId="16" applyFont="1" applyFill="1" applyBorder="1" applyAlignment="1">
      <alignment horizontal="center" vertical="center"/>
    </xf>
    <xf numFmtId="1" fontId="62" fillId="7" borderId="6" xfId="5" applyNumberFormat="1" applyFont="1" applyFill="1" applyBorder="1" applyAlignment="1" applyProtection="1">
      <alignment horizontal="center" vertical="center"/>
    </xf>
    <xf numFmtId="1" fontId="62" fillId="7" borderId="7" xfId="5" applyNumberFormat="1" applyFont="1" applyFill="1" applyBorder="1" applyAlignment="1" applyProtection="1">
      <alignment horizontal="center" vertical="center"/>
    </xf>
    <xf numFmtId="1" fontId="58" fillId="0" borderId="0" xfId="16" applyNumberFormat="1" applyFont="1" applyFill="1" applyBorder="1" applyAlignment="1">
      <alignment horizontal="right" vertical="center"/>
    </xf>
    <xf numFmtId="0" fontId="68" fillId="0" borderId="4" xfId="16" applyFont="1" applyFill="1" applyBorder="1" applyAlignment="1">
      <alignment horizontal="center" vertical="center"/>
    </xf>
    <xf numFmtId="0" fontId="68" fillId="0" borderId="0" xfId="16" applyFont="1" applyFill="1" applyBorder="1" applyAlignment="1">
      <alignment horizontal="center" vertical="center"/>
    </xf>
    <xf numFmtId="0" fontId="68" fillId="0" borderId="5" xfId="16" applyFont="1" applyFill="1" applyBorder="1" applyAlignment="1">
      <alignment horizontal="center" vertical="center"/>
    </xf>
    <xf numFmtId="0" fontId="29" fillId="0" borderId="0" xfId="16" applyFont="1" applyFill="1" applyAlignment="1">
      <alignment horizontal="center" vertical="center"/>
    </xf>
    <xf numFmtId="0" fontId="69" fillId="0" borderId="0" xfId="16" applyFont="1" applyFill="1" applyBorder="1" applyAlignment="1">
      <alignment horizontal="right" vertical="center"/>
    </xf>
    <xf numFmtId="173" fontId="58" fillId="0" borderId="0" xfId="16" applyNumberFormat="1" applyFont="1" applyFill="1" applyBorder="1" applyAlignment="1">
      <alignment horizontal="center" vertical="center"/>
    </xf>
    <xf numFmtId="49" fontId="62" fillId="7" borderId="0" xfId="16" applyNumberFormat="1" applyFont="1" applyFill="1" applyBorder="1" applyAlignment="1" applyProtection="1">
      <alignment horizontal="center" vertical="center"/>
    </xf>
    <xf numFmtId="0" fontId="62" fillId="7" borderId="0" xfId="16" applyNumberFormat="1" applyFont="1" applyFill="1" applyBorder="1" applyAlignment="1" applyProtection="1">
      <alignment horizontal="center" vertical="center"/>
    </xf>
    <xf numFmtId="0" fontId="62" fillId="7" borderId="5" xfId="16" applyNumberFormat="1" applyFont="1" applyFill="1" applyBorder="1" applyAlignment="1" applyProtection="1">
      <alignment horizontal="center" vertical="center"/>
    </xf>
    <xf numFmtId="1" fontId="61" fillId="0" borderId="0" xfId="16" applyNumberFormat="1" applyFont="1" applyFill="1" applyBorder="1" applyAlignment="1">
      <alignment horizontal="center" vertical="center"/>
    </xf>
    <xf numFmtId="0" fontId="53" fillId="0" borderId="50" xfId="16" applyFont="1" applyFill="1" applyBorder="1" applyAlignment="1">
      <alignment horizontal="center" vertical="center"/>
    </xf>
    <xf numFmtId="0" fontId="53" fillId="0" borderId="34" xfId="16" applyFont="1" applyFill="1" applyBorder="1" applyAlignment="1">
      <alignment horizontal="center" vertical="center"/>
    </xf>
    <xf numFmtId="0" fontId="53" fillId="0" borderId="110" xfId="16" applyFont="1" applyFill="1" applyBorder="1" applyAlignment="1">
      <alignment horizontal="center" vertical="center"/>
    </xf>
    <xf numFmtId="49" fontId="53" fillId="0" borderId="50" xfId="16" applyNumberFormat="1" applyFont="1" applyFill="1" applyBorder="1" applyAlignment="1">
      <alignment horizontal="center" vertical="center"/>
    </xf>
    <xf numFmtId="49" fontId="53" fillId="0" borderId="34" xfId="16" applyNumberFormat="1" applyFont="1" applyFill="1" applyBorder="1" applyAlignment="1">
      <alignment horizontal="center" vertical="center"/>
    </xf>
    <xf numFmtId="49" fontId="53" fillId="0" borderId="51" xfId="16" applyNumberFormat="1" applyFont="1" applyFill="1" applyBorder="1" applyAlignment="1">
      <alignment horizontal="center" vertical="center"/>
    </xf>
    <xf numFmtId="0" fontId="54" fillId="0" borderId="53" xfId="16" applyFont="1" applyFill="1" applyBorder="1" applyAlignment="1">
      <alignment horizontal="center" vertical="center"/>
    </xf>
    <xf numFmtId="0" fontId="54" fillId="0" borderId="35" xfId="16" applyFont="1" applyFill="1" applyBorder="1" applyAlignment="1">
      <alignment horizontal="center" vertical="center"/>
    </xf>
    <xf numFmtId="0" fontId="53" fillId="0" borderId="115" xfId="16" applyFont="1" applyFill="1" applyBorder="1" applyAlignment="1">
      <alignment horizontal="right" vertical="center"/>
    </xf>
    <xf numFmtId="0" fontId="53" fillId="0" borderId="53" xfId="16" applyFont="1" applyFill="1" applyBorder="1" applyAlignment="1">
      <alignment horizontal="right" vertical="center"/>
    </xf>
    <xf numFmtId="0" fontId="52" fillId="0" borderId="53" xfId="16" applyFont="1" applyFill="1" applyBorder="1" applyAlignment="1">
      <alignment horizontal="center" vertical="center"/>
    </xf>
    <xf numFmtId="170" fontId="53" fillId="0" borderId="53" xfId="16" applyNumberFormat="1" applyFont="1" applyFill="1" applyBorder="1" applyAlignment="1">
      <alignment horizontal="center" vertical="center"/>
    </xf>
    <xf numFmtId="170" fontId="53" fillId="0" borderId="54" xfId="16" applyNumberFormat="1" applyFont="1" applyFill="1" applyBorder="1" applyAlignment="1">
      <alignment horizontal="center" vertical="center"/>
    </xf>
    <xf numFmtId="0" fontId="52" fillId="0" borderId="114" xfId="16" applyFont="1" applyFill="1" applyBorder="1" applyAlignment="1">
      <alignment horizontal="center" vertical="center"/>
    </xf>
    <xf numFmtId="0" fontId="52" fillId="0" borderId="31" xfId="16" applyFont="1" applyFill="1" applyBorder="1" applyAlignment="1">
      <alignment horizontal="center" vertical="center"/>
    </xf>
    <xf numFmtId="0" fontId="52" fillId="0" borderId="111" xfId="16" applyFont="1" applyFill="1" applyBorder="1" applyAlignment="1">
      <alignment horizontal="center" vertical="center"/>
    </xf>
    <xf numFmtId="0" fontId="52" fillId="0" borderId="32" xfId="16" applyFont="1" applyFill="1" applyBorder="1" applyAlignment="1">
      <alignment horizontal="center" vertical="center"/>
    </xf>
    <xf numFmtId="0" fontId="52" fillId="0" borderId="95" xfId="16" applyFont="1" applyFill="1" applyBorder="1" applyAlignment="1">
      <alignment horizontal="center" vertical="center"/>
    </xf>
    <xf numFmtId="0" fontId="53" fillId="0" borderId="112" xfId="16" applyFont="1" applyFill="1" applyBorder="1" applyAlignment="1">
      <alignment horizontal="center" vertical="center"/>
    </xf>
    <xf numFmtId="0" fontId="53" fillId="0" borderId="33" xfId="16" applyFont="1" applyFill="1" applyBorder="1" applyAlignment="1">
      <alignment horizontal="center" vertical="center"/>
    </xf>
    <xf numFmtId="14" fontId="53" fillId="0" borderId="33" xfId="16" applyNumberFormat="1" applyFont="1" applyFill="1" applyBorder="1" applyAlignment="1">
      <alignment horizontal="center" vertical="center"/>
    </xf>
    <xf numFmtId="49" fontId="53" fillId="0" borderId="33" xfId="16" applyNumberFormat="1" applyFont="1" applyFill="1" applyBorder="1" applyAlignment="1">
      <alignment horizontal="center" vertical="center"/>
    </xf>
    <xf numFmtId="0" fontId="53" fillId="0" borderId="33" xfId="16" applyNumberFormat="1" applyFont="1" applyFill="1" applyBorder="1" applyAlignment="1">
      <alignment horizontal="center" vertical="center"/>
    </xf>
    <xf numFmtId="0" fontId="52" fillId="0" borderId="113" xfId="16" applyFont="1" applyFill="1" applyBorder="1" applyAlignment="1">
      <alignment horizontal="center" vertical="center"/>
    </xf>
    <xf numFmtId="0" fontId="94" fillId="0" borderId="8" xfId="25" applyFont="1" applyBorder="1" applyAlignment="1">
      <alignment horizontal="center" vertical="center"/>
    </xf>
    <xf numFmtId="0" fontId="94" fillId="0" borderId="19" xfId="25" applyFont="1" applyBorder="1" applyAlignment="1">
      <alignment horizontal="center" vertical="center"/>
    </xf>
    <xf numFmtId="179" fontId="25" fillId="3" borderId="38" xfId="25" applyNumberFormat="1" applyFont="1" applyFill="1" applyBorder="1" applyAlignment="1">
      <alignment horizontal="center" vertical="center"/>
    </xf>
    <xf numFmtId="0" fontId="23" fillId="0" borderId="6" xfId="20" applyFont="1" applyBorder="1" applyAlignment="1" applyProtection="1">
      <alignment horizontal="center" vertical="center"/>
    </xf>
    <xf numFmtId="0" fontId="23" fillId="0" borderId="11" xfId="20" applyFont="1" applyBorder="1" applyAlignment="1" applyProtection="1">
      <alignment horizontal="center" vertical="center"/>
    </xf>
    <xf numFmtId="0" fontId="23" fillId="0" borderId="7" xfId="20" applyFont="1" applyBorder="1" applyAlignment="1" applyProtection="1">
      <alignment horizontal="center" vertical="center"/>
    </xf>
    <xf numFmtId="0" fontId="15" fillId="0" borderId="94" xfId="25" applyFont="1" applyBorder="1" applyAlignment="1">
      <alignment horizontal="center" vertical="center"/>
    </xf>
    <xf numFmtId="0" fontId="15" fillId="0" borderId="42" xfId="25" applyFont="1" applyBorder="1" applyAlignment="1">
      <alignment horizontal="center" vertical="center"/>
    </xf>
    <xf numFmtId="0" fontId="36" fillId="0" borderId="8" xfId="13" applyFont="1" applyFill="1" applyBorder="1" applyAlignment="1">
      <alignment horizontal="center" vertical="center"/>
    </xf>
    <xf numFmtId="0" fontId="36" fillId="0" borderId="0" xfId="13" applyFont="1" applyFill="1" applyBorder="1" applyAlignment="1">
      <alignment horizontal="center" vertical="center"/>
    </xf>
    <xf numFmtId="0" fontId="36" fillId="0" borderId="19" xfId="13" applyFont="1" applyFill="1" applyBorder="1" applyAlignment="1">
      <alignment horizontal="center" vertical="center"/>
    </xf>
    <xf numFmtId="49" fontId="31" fillId="0" borderId="90" xfId="25" applyNumberFormat="1" applyFont="1" applyBorder="1" applyAlignment="1">
      <alignment horizontal="center" vertical="center"/>
    </xf>
    <xf numFmtId="0" fontId="31" fillId="0" borderId="120" xfId="25" applyFont="1" applyBorder="1" applyAlignment="1">
      <alignment horizontal="center" vertical="center"/>
    </xf>
    <xf numFmtId="0" fontId="31" fillId="0" borderId="83" xfId="25" applyFont="1" applyBorder="1" applyAlignment="1">
      <alignment horizontal="center" vertical="center"/>
    </xf>
    <xf numFmtId="0" fontId="23" fillId="0" borderId="6" xfId="25" applyFont="1" applyBorder="1" applyAlignment="1">
      <alignment horizontal="center" vertical="center"/>
    </xf>
    <xf numFmtId="0" fontId="23" fillId="0" borderId="11" xfId="25" applyFont="1" applyBorder="1" applyAlignment="1">
      <alignment horizontal="center" vertical="center"/>
    </xf>
    <xf numFmtId="0" fontId="23" fillId="0" borderId="7" xfId="25" applyFont="1" applyBorder="1" applyAlignment="1">
      <alignment horizontal="center" vertical="center"/>
    </xf>
    <xf numFmtId="0" fontId="30" fillId="0" borderId="6" xfId="25" applyFont="1" applyBorder="1" applyAlignment="1">
      <alignment horizontal="center" vertical="center"/>
    </xf>
    <xf numFmtId="0" fontId="30" fillId="0" borderId="11" xfId="25" applyFont="1" applyBorder="1" applyAlignment="1">
      <alignment horizontal="center" vertical="center"/>
    </xf>
    <xf numFmtId="0" fontId="30" fillId="0" borderId="20" xfId="20" applyFont="1" applyBorder="1" applyAlignment="1" applyProtection="1">
      <alignment horizontal="center" vertical="center"/>
    </xf>
    <xf numFmtId="0" fontId="30" fillId="0" borderId="21" xfId="20" applyFont="1" applyBorder="1" applyAlignment="1" applyProtection="1">
      <alignment horizontal="center" vertical="center"/>
    </xf>
    <xf numFmtId="0" fontId="30" fillId="0" borderId="18" xfId="20" applyFont="1" applyBorder="1" applyAlignment="1" applyProtection="1">
      <alignment horizontal="center" vertical="center"/>
    </xf>
    <xf numFmtId="0" fontId="30" fillId="0" borderId="22" xfId="20" applyFont="1" applyBorder="1" applyAlignment="1" applyProtection="1">
      <alignment horizontal="center" vertical="center"/>
    </xf>
    <xf numFmtId="0" fontId="19" fillId="3" borderId="32" xfId="25" applyFont="1" applyFill="1" applyBorder="1" applyAlignment="1">
      <alignment horizontal="center" vertical="center"/>
    </xf>
    <xf numFmtId="0" fontId="19" fillId="3" borderId="114" xfId="25" applyFont="1" applyFill="1" applyBorder="1" applyAlignment="1">
      <alignment horizontal="center" vertical="center"/>
    </xf>
    <xf numFmtId="1" fontId="16" fillId="0" borderId="0" xfId="25" applyNumberFormat="1" applyFont="1" applyFill="1" applyBorder="1" applyAlignment="1">
      <alignment horizontal="right" vertical="center"/>
    </xf>
    <xf numFmtId="1" fontId="27" fillId="0" borderId="34" xfId="25" applyNumberFormat="1" applyFont="1" applyFill="1" applyBorder="1" applyAlignment="1">
      <alignment horizontal="center" vertical="center"/>
    </xf>
    <xf numFmtId="1" fontId="27" fillId="0" borderId="110" xfId="25" applyNumberFormat="1" applyFont="1" applyFill="1" applyBorder="1" applyAlignment="1">
      <alignment horizontal="center" vertical="center"/>
    </xf>
    <xf numFmtId="0" fontId="27" fillId="0" borderId="12" xfId="25" applyFont="1" applyFill="1" applyBorder="1" applyAlignment="1">
      <alignment horizontal="center" vertical="center"/>
    </xf>
    <xf numFmtId="0" fontId="27" fillId="0" borderId="13" xfId="25" applyFont="1" applyFill="1" applyBorder="1" applyAlignment="1">
      <alignment horizontal="center" vertical="center"/>
    </xf>
    <xf numFmtId="0" fontId="27" fillId="0" borderId="36" xfId="25" applyFont="1" applyFill="1" applyBorder="1" applyAlignment="1">
      <alignment horizontal="center" vertical="center"/>
    </xf>
    <xf numFmtId="49" fontId="27" fillId="0" borderId="13" xfId="25" applyNumberFormat="1" applyFont="1" applyFill="1" applyBorder="1" applyAlignment="1">
      <alignment horizontal="center" vertical="center"/>
    </xf>
    <xf numFmtId="0" fontId="27" fillId="0" borderId="13" xfId="25" applyNumberFormat="1" applyFont="1" applyFill="1" applyBorder="1" applyAlignment="1">
      <alignment horizontal="center" vertical="center"/>
    </xf>
    <xf numFmtId="0" fontId="27" fillId="0" borderId="36" xfId="25" applyNumberFormat="1" applyFont="1" applyFill="1" applyBorder="1" applyAlignment="1">
      <alignment horizontal="center" vertical="center"/>
    </xf>
    <xf numFmtId="179" fontId="25" fillId="3" borderId="32" xfId="25" applyNumberFormat="1" applyFont="1" applyFill="1" applyBorder="1" applyAlignment="1">
      <alignment horizontal="center" vertical="center"/>
    </xf>
    <xf numFmtId="0" fontId="15" fillId="3" borderId="111" xfId="25" applyFont="1" applyFill="1" applyBorder="1" applyAlignment="1">
      <alignment horizontal="left" vertical="center"/>
    </xf>
    <xf numFmtId="0" fontId="15" fillId="3" borderId="32" xfId="25" applyFont="1" applyFill="1" applyBorder="1" applyAlignment="1">
      <alignment horizontal="left" vertical="center"/>
    </xf>
    <xf numFmtId="0" fontId="29" fillId="0" borderId="44" xfId="13" applyFont="1" applyFill="1" applyBorder="1" applyAlignment="1">
      <alignment horizontal="center" vertical="center"/>
    </xf>
    <xf numFmtId="0" fontId="29" fillId="0" borderId="0" xfId="13" applyFont="1" applyFill="1" applyBorder="1" applyAlignment="1">
      <alignment horizontal="center" vertical="center"/>
    </xf>
    <xf numFmtId="0" fontId="27" fillId="0" borderId="27" xfId="25" applyFont="1" applyFill="1" applyBorder="1" applyAlignment="1">
      <alignment horizontal="center" vertical="center"/>
    </xf>
    <xf numFmtId="0" fontId="27" fillId="0" borderId="90" xfId="25" applyFont="1" applyFill="1" applyBorder="1" applyAlignment="1">
      <alignment horizontal="center" vertical="center"/>
    </xf>
    <xf numFmtId="0" fontId="27" fillId="0" borderId="97" xfId="25" applyFont="1" applyFill="1" applyBorder="1" applyAlignment="1">
      <alignment horizontal="center" vertical="center"/>
    </xf>
    <xf numFmtId="179" fontId="25" fillId="3" borderId="95" xfId="25" applyNumberFormat="1" applyFont="1" applyFill="1" applyBorder="1" applyAlignment="1">
      <alignment horizontal="center" vertical="center"/>
    </xf>
    <xf numFmtId="0" fontId="16" fillId="0" borderId="6" xfId="20" applyFont="1" applyBorder="1" applyAlignment="1" applyProtection="1">
      <alignment horizontal="center" vertical="center"/>
    </xf>
    <xf numFmtId="0" fontId="16" fillId="0" borderId="11" xfId="20" applyFont="1" applyBorder="1" applyAlignment="1" applyProtection="1">
      <alignment horizontal="center" vertical="center"/>
    </xf>
    <xf numFmtId="0" fontId="16" fillId="0" borderId="7" xfId="20" applyFont="1" applyBorder="1" applyAlignment="1" applyProtection="1">
      <alignment horizontal="center" vertical="center"/>
    </xf>
    <xf numFmtId="0" fontId="30" fillId="0" borderId="103" xfId="25" applyFont="1" applyBorder="1" applyAlignment="1">
      <alignment horizontal="center" vertical="center"/>
    </xf>
    <xf numFmtId="0" fontId="30" fillId="0" borderId="101" xfId="25" applyFont="1" applyBorder="1" applyAlignment="1">
      <alignment horizontal="center" vertical="center"/>
    </xf>
    <xf numFmtId="0" fontId="30" fillId="0" borderId="85" xfId="25" applyFont="1" applyBorder="1" applyAlignment="1">
      <alignment horizontal="center" vertical="center"/>
    </xf>
    <xf numFmtId="0" fontId="30" fillId="11" borderId="101" xfId="25" applyFont="1" applyFill="1" applyBorder="1" applyAlignment="1">
      <alignment horizontal="center" vertical="center"/>
    </xf>
    <xf numFmtId="0" fontId="30" fillId="11" borderId="85" xfId="25" applyFont="1" applyFill="1" applyBorder="1" applyAlignment="1">
      <alignment horizontal="center" vertical="center"/>
    </xf>
    <xf numFmtId="0" fontId="30" fillId="0" borderId="47" xfId="25" applyFont="1" applyBorder="1" applyAlignment="1">
      <alignment horizontal="right" vertical="center"/>
    </xf>
    <xf numFmtId="0" fontId="30" fillId="0" borderId="29" xfId="25" applyFont="1" applyBorder="1" applyAlignment="1">
      <alignment horizontal="right" vertical="center"/>
    </xf>
    <xf numFmtId="0" fontId="30" fillId="0" borderId="59" xfId="25" applyFont="1" applyBorder="1" applyAlignment="1">
      <alignment horizontal="right" vertical="center"/>
    </xf>
    <xf numFmtId="0" fontId="30" fillId="0" borderId="27" xfId="25" applyFont="1" applyBorder="1" applyAlignment="1">
      <alignment horizontal="right" vertical="center"/>
    </xf>
    <xf numFmtId="0" fontId="30" fillId="0" borderId="13" xfId="25" applyFont="1" applyBorder="1" applyAlignment="1">
      <alignment horizontal="right" vertical="center"/>
    </xf>
    <xf numFmtId="0" fontId="30" fillId="0" borderId="36" xfId="25" applyFont="1" applyBorder="1" applyAlignment="1">
      <alignment horizontal="right" vertical="center"/>
    </xf>
    <xf numFmtId="0" fontId="30" fillId="0" borderId="32" xfId="25" applyFont="1" applyBorder="1" applyAlignment="1">
      <alignment horizontal="center" vertical="center"/>
    </xf>
    <xf numFmtId="0" fontId="16" fillId="0" borderId="29" xfId="25" applyFont="1" applyBorder="1" applyAlignment="1">
      <alignment horizontal="center" vertical="center"/>
    </xf>
    <xf numFmtId="0" fontId="16" fillId="0" borderId="13" xfId="25" applyFont="1" applyBorder="1" applyAlignment="1">
      <alignment horizontal="center" vertical="center"/>
    </xf>
    <xf numFmtId="0" fontId="30" fillId="0" borderId="114" xfId="25" applyFont="1" applyBorder="1" applyAlignment="1">
      <alignment horizontal="center" vertical="center"/>
    </xf>
    <xf numFmtId="0" fontId="30" fillId="0" borderId="89" xfId="25" applyFont="1" applyBorder="1" applyAlignment="1">
      <alignment horizontal="center" vertical="center"/>
    </xf>
    <xf numFmtId="0" fontId="30" fillId="0" borderId="102" xfId="25" applyFont="1" applyBorder="1" applyAlignment="1">
      <alignment horizontal="center" vertical="center"/>
    </xf>
    <xf numFmtId="0" fontId="101" fillId="0" borderId="8" xfId="25" applyFont="1" applyBorder="1" applyAlignment="1">
      <alignment horizontal="center" vertical="center"/>
    </xf>
    <xf numFmtId="0" fontId="101" fillId="0" borderId="0" xfId="25" applyFont="1" applyBorder="1" applyAlignment="1">
      <alignment horizontal="center" vertical="center"/>
    </xf>
    <xf numFmtId="0" fontId="101" fillId="0" borderId="19" xfId="25" applyFont="1" applyBorder="1" applyAlignment="1">
      <alignment horizontal="center" vertical="center"/>
    </xf>
    <xf numFmtId="0" fontId="49" fillId="0" borderId="6" xfId="25" applyFont="1" applyBorder="1" applyAlignment="1">
      <alignment horizontal="center" vertical="center"/>
    </xf>
    <xf numFmtId="0" fontId="49" fillId="0" borderId="11" xfId="25" applyFont="1" applyBorder="1" applyAlignment="1">
      <alignment horizontal="center" vertical="center"/>
    </xf>
    <xf numFmtId="0" fontId="49" fillId="0" borderId="7" xfId="25" applyFont="1" applyBorder="1" applyAlignment="1">
      <alignment horizontal="center" vertical="center"/>
    </xf>
    <xf numFmtId="1" fontId="16" fillId="0" borderId="0" xfId="25" applyNumberFormat="1" applyFont="1" applyFill="1" applyBorder="1" applyAlignment="1">
      <alignment horizontal="center" vertical="center"/>
    </xf>
    <xf numFmtId="1" fontId="62" fillId="7" borderId="6" xfId="2" applyNumberFormat="1" applyFont="1" applyFill="1" applyBorder="1" applyAlignment="1" applyProtection="1">
      <alignment horizontal="center" vertical="center"/>
    </xf>
    <xf numFmtId="1" fontId="62" fillId="7" borderId="7" xfId="2" applyNumberFormat="1" applyFont="1" applyFill="1" applyBorder="1" applyAlignment="1" applyProtection="1">
      <alignment horizontal="center" vertical="center"/>
    </xf>
    <xf numFmtId="0" fontId="59" fillId="26" borderId="67" xfId="10" applyFont="1" applyFill="1" applyBorder="1" applyAlignment="1">
      <alignment horizontal="center" vertical="center"/>
    </xf>
    <xf numFmtId="0" fontId="59" fillId="26" borderId="11" xfId="10" applyFont="1" applyFill="1" applyBorder="1" applyAlignment="1">
      <alignment horizontal="center" vertical="center"/>
    </xf>
    <xf numFmtId="0" fontId="59" fillId="26" borderId="7" xfId="10" applyFont="1" applyFill="1" applyBorder="1" applyAlignment="1">
      <alignment horizontal="center" vertical="center"/>
    </xf>
    <xf numFmtId="0" fontId="59" fillId="26" borderId="3" xfId="10" applyFont="1" applyFill="1" applyBorder="1" applyAlignment="1">
      <alignment horizontal="center" vertical="center"/>
    </xf>
    <xf numFmtId="49" fontId="62" fillId="7" borderId="0" xfId="10" applyNumberFormat="1" applyFont="1" applyFill="1" applyBorder="1" applyAlignment="1" applyProtection="1">
      <alignment horizontal="center" vertical="center"/>
    </xf>
    <xf numFmtId="0" fontId="62" fillId="7" borderId="0" xfId="10" applyNumberFormat="1" applyFont="1" applyFill="1" applyBorder="1" applyAlignment="1" applyProtection="1">
      <alignment horizontal="center" vertical="center"/>
    </xf>
    <xf numFmtId="1" fontId="61" fillId="26" borderId="0" xfId="10" applyNumberFormat="1" applyFont="1" applyFill="1" applyBorder="1" applyAlignment="1">
      <alignment horizontal="center" vertical="center"/>
    </xf>
    <xf numFmtId="0" fontId="66" fillId="26" borderId="0" xfId="10" applyFont="1" applyFill="1" applyBorder="1" applyAlignment="1">
      <alignment horizontal="left" vertical="center"/>
    </xf>
    <xf numFmtId="0" fontId="59" fillId="26" borderId="6" xfId="10" applyFont="1" applyFill="1" applyBorder="1" applyAlignment="1">
      <alignment horizontal="center" vertical="center"/>
    </xf>
    <xf numFmtId="1" fontId="58" fillId="0" borderId="4" xfId="10" applyNumberFormat="1" applyFont="1" applyFill="1" applyBorder="1" applyAlignment="1">
      <alignment horizontal="right" vertical="center"/>
    </xf>
    <xf numFmtId="0" fontId="59" fillId="26" borderId="4" xfId="10" applyFont="1" applyFill="1" applyBorder="1" applyAlignment="1">
      <alignment horizontal="center" vertical="center"/>
    </xf>
    <xf numFmtId="0" fontId="59" fillId="26" borderId="0" xfId="10" applyFont="1" applyFill="1" applyBorder="1" applyAlignment="1">
      <alignment horizontal="center" vertical="center"/>
    </xf>
    <xf numFmtId="0" fontId="59" fillId="26" borderId="19" xfId="10" applyFont="1" applyFill="1" applyBorder="1" applyAlignment="1">
      <alignment horizontal="center" vertical="center"/>
    </xf>
    <xf numFmtId="0" fontId="70" fillId="0" borderId="4" xfId="10" applyFont="1" applyFill="1" applyBorder="1" applyAlignment="1">
      <alignment horizontal="center" vertical="center"/>
    </xf>
    <xf numFmtId="0" fontId="70" fillId="0" borderId="0" xfId="10" applyFont="1" applyFill="1" applyBorder="1" applyAlignment="1">
      <alignment horizontal="center" vertical="center"/>
    </xf>
    <xf numFmtId="0" fontId="69" fillId="26" borderId="0" xfId="10" applyFont="1" applyFill="1" applyBorder="1" applyAlignment="1">
      <alignment horizontal="right" vertical="center"/>
    </xf>
    <xf numFmtId="0" fontId="129" fillId="0" borderId="0" xfId="10" applyFont="1" applyFill="1" applyBorder="1" applyAlignment="1">
      <alignment horizontal="right" vertical="center"/>
    </xf>
    <xf numFmtId="0" fontId="50" fillId="0" borderId="0" xfId="10" applyFont="1" applyFill="1" applyBorder="1" applyAlignment="1">
      <alignment horizontal="center" vertical="center"/>
    </xf>
    <xf numFmtId="0" fontId="136" fillId="0" borderId="20" xfId="10" applyFont="1" applyFill="1" applyBorder="1" applyAlignment="1">
      <alignment horizontal="center" vertical="center"/>
    </xf>
    <xf numFmtId="0" fontId="136" fillId="0" borderId="9" xfId="10" applyFont="1" applyFill="1" applyBorder="1" applyAlignment="1">
      <alignment horizontal="center" vertical="center"/>
    </xf>
    <xf numFmtId="0" fontId="136" fillId="0" borderId="8" xfId="10" applyFont="1" applyFill="1" applyBorder="1" applyAlignment="1">
      <alignment horizontal="center" vertical="center"/>
    </xf>
    <xf numFmtId="0" fontId="136" fillId="0" borderId="0" xfId="10" applyFont="1" applyFill="1" applyBorder="1" applyAlignment="1">
      <alignment horizontal="center" vertical="center"/>
    </xf>
    <xf numFmtId="0" fontId="136" fillId="0" borderId="18" xfId="10" applyFont="1" applyFill="1" applyBorder="1" applyAlignment="1">
      <alignment horizontal="center" vertical="center"/>
    </xf>
    <xf numFmtId="0" fontId="136" fillId="0" borderId="10" xfId="10" applyFont="1" applyFill="1" applyBorder="1" applyAlignment="1">
      <alignment horizontal="center" vertical="center"/>
    </xf>
    <xf numFmtId="0" fontId="26" fillId="0" borderId="0" xfId="10" applyFont="1" applyFill="1" applyBorder="1" applyAlignment="1">
      <alignment horizontal="left" vertical="top"/>
    </xf>
    <xf numFmtId="0" fontId="167" fillId="0" borderId="9" xfId="10" applyFont="1" applyFill="1" applyBorder="1" applyAlignment="1">
      <alignment horizontal="center" vertical="center"/>
    </xf>
    <xf numFmtId="0" fontId="167" fillId="0" borderId="21" xfId="10" applyFont="1" applyFill="1" applyBorder="1" applyAlignment="1">
      <alignment horizontal="center" vertical="center"/>
    </xf>
    <xf numFmtId="0" fontId="167" fillId="0" borderId="10" xfId="10" applyFont="1" applyFill="1" applyBorder="1" applyAlignment="1">
      <alignment horizontal="center" vertical="center"/>
    </xf>
    <xf numFmtId="0" fontId="167" fillId="0" borderId="22" xfId="10" applyFont="1" applyFill="1" applyBorder="1" applyAlignment="1">
      <alignment horizontal="center" vertical="center"/>
    </xf>
    <xf numFmtId="0" fontId="167" fillId="0" borderId="4" xfId="10" applyFont="1" applyFill="1" applyBorder="1" applyAlignment="1">
      <alignment horizontal="right" vertical="center"/>
    </xf>
    <xf numFmtId="0" fontId="167" fillId="0" borderId="0" xfId="10" applyFont="1" applyFill="1" applyBorder="1" applyAlignment="1">
      <alignment horizontal="right" vertical="center"/>
    </xf>
    <xf numFmtId="0" fontId="60" fillId="0" borderId="12" xfId="10" applyFont="1" applyFill="1" applyBorder="1" applyAlignment="1">
      <alignment horizontal="center" vertical="center"/>
    </xf>
    <xf numFmtId="0" fontId="60" fillId="0" borderId="13" xfId="10" applyFont="1" applyFill="1" applyBorder="1" applyAlignment="1">
      <alignment horizontal="center" vertical="center"/>
    </xf>
    <xf numFmtId="0" fontId="60" fillId="0" borderId="14" xfId="10" applyFont="1" applyFill="1" applyBorder="1" applyAlignment="1">
      <alignment horizontal="center" vertical="center"/>
    </xf>
    <xf numFmtId="0" fontId="58" fillId="0" borderId="89" xfId="10" applyFont="1" applyFill="1" applyBorder="1" applyAlignment="1">
      <alignment horizontal="center" vertical="center"/>
    </xf>
    <xf numFmtId="0" fontId="62" fillId="7" borderId="5" xfId="10" applyNumberFormat="1" applyFont="1" applyFill="1" applyBorder="1" applyAlignment="1" applyProtection="1">
      <alignment horizontal="center" vertical="center"/>
    </xf>
    <xf numFmtId="0" fontId="70" fillId="0" borderId="5" xfId="10" applyFont="1" applyFill="1" applyBorder="1" applyAlignment="1">
      <alignment horizontal="center" vertical="center"/>
    </xf>
    <xf numFmtId="0" fontId="18" fillId="0" borderId="4" xfId="10" applyFont="1" applyFill="1" applyBorder="1" applyAlignment="1">
      <alignment horizontal="center" vertical="center"/>
    </xf>
    <xf numFmtId="0" fontId="18" fillId="0" borderId="0" xfId="10" applyFont="1" applyFill="1" applyBorder="1" applyAlignment="1">
      <alignment horizontal="center" vertical="center"/>
    </xf>
    <xf numFmtId="0" fontId="16" fillId="0" borderId="6" xfId="18" applyFont="1" applyBorder="1" applyAlignment="1" applyProtection="1">
      <alignment horizontal="center" vertical="center"/>
    </xf>
    <xf numFmtId="0" fontId="16" fillId="0" borderId="11" xfId="18" applyFont="1" applyBorder="1" applyAlignment="1" applyProtection="1">
      <alignment horizontal="center" vertical="center"/>
    </xf>
    <xf numFmtId="0" fontId="16" fillId="0" borderId="7" xfId="18" applyFont="1" applyBorder="1" applyAlignment="1" applyProtection="1">
      <alignment horizontal="center" vertical="center"/>
    </xf>
    <xf numFmtId="0" fontId="20" fillId="13" borderId="29" xfId="18" applyFont="1" applyFill="1" applyBorder="1" applyAlignment="1" applyProtection="1">
      <alignment horizontal="center" vertical="center"/>
    </xf>
    <xf numFmtId="1" fontId="20" fillId="0" borderId="11" xfId="18" applyNumberFormat="1" applyFont="1" applyBorder="1" applyAlignment="1" applyProtection="1">
      <alignment horizontal="center" vertical="center"/>
      <protection locked="0"/>
    </xf>
    <xf numFmtId="1" fontId="20" fillId="0" borderId="7" xfId="18" applyNumberFormat="1" applyFont="1" applyBorder="1" applyAlignment="1" applyProtection="1">
      <alignment horizontal="center" vertical="center"/>
      <protection locked="0"/>
    </xf>
    <xf numFmtId="0" fontId="22" fillId="0" borderId="25" xfId="18" applyFont="1" applyBorder="1" applyAlignment="1" applyProtection="1">
      <alignment horizontal="center" vertical="center"/>
    </xf>
    <xf numFmtId="0" fontId="22" fillId="0" borderId="26" xfId="18" applyFont="1" applyBorder="1" applyAlignment="1" applyProtection="1">
      <alignment horizontal="center" vertical="center"/>
    </xf>
    <xf numFmtId="49" fontId="20" fillId="0" borderId="11" xfId="18" applyNumberFormat="1" applyFont="1" applyBorder="1" applyAlignment="1" applyProtection="1">
      <alignment horizontal="center" vertical="center"/>
      <protection locked="0"/>
    </xf>
    <xf numFmtId="0" fontId="20" fillId="0" borderId="11" xfId="18" applyNumberFormat="1" applyFont="1" applyBorder="1" applyAlignment="1" applyProtection="1">
      <alignment horizontal="center" vertical="center"/>
      <protection locked="0"/>
    </xf>
    <xf numFmtId="0" fontId="20" fillId="0" borderId="7" xfId="18" applyNumberFormat="1" applyFont="1" applyBorder="1" applyAlignment="1" applyProtection="1">
      <alignment horizontal="center" vertical="center"/>
      <protection locked="0"/>
    </xf>
    <xf numFmtId="14" fontId="20" fillId="0" borderId="11" xfId="18" quotePrefix="1" applyNumberFormat="1" applyFont="1" applyBorder="1" applyAlignment="1" applyProtection="1">
      <alignment horizontal="center" vertical="center"/>
      <protection locked="0"/>
    </xf>
    <xf numFmtId="14" fontId="20" fillId="0" borderId="7" xfId="18" quotePrefix="1" applyNumberFormat="1" applyFont="1" applyBorder="1" applyAlignment="1" applyProtection="1">
      <alignment horizontal="center" vertical="center"/>
      <protection locked="0"/>
    </xf>
    <xf numFmtId="0" fontId="25" fillId="0" borderId="0" xfId="18" applyFont="1" applyBorder="1" applyAlignment="1" applyProtection="1">
      <alignment horizontal="center" vertical="center"/>
    </xf>
    <xf numFmtId="0" fontId="20" fillId="13" borderId="30" xfId="18" applyFont="1" applyFill="1" applyBorder="1" applyAlignment="1" applyProtection="1">
      <alignment horizontal="center" vertical="center"/>
    </xf>
    <xf numFmtId="0" fontId="29" fillId="0" borderId="0" xfId="11" applyFont="1" applyFill="1" applyAlignment="1" applyProtection="1">
      <alignment horizontal="center" vertical="center"/>
    </xf>
    <xf numFmtId="0" fontId="22" fillId="0" borderId="25" xfId="18" applyFont="1" applyBorder="1" applyAlignment="1" applyProtection="1">
      <alignment horizontal="center" vertical="center" wrapText="1"/>
    </xf>
    <xf numFmtId="0" fontId="22" fillId="0" borderId="26" xfId="18" applyFont="1" applyBorder="1" applyAlignment="1" applyProtection="1">
      <alignment horizontal="center" vertical="center" wrapText="1"/>
    </xf>
    <xf numFmtId="0" fontId="22" fillId="0" borderId="6" xfId="18" applyFont="1" applyBorder="1" applyAlignment="1" applyProtection="1">
      <alignment horizontal="center" vertical="center"/>
    </xf>
    <xf numFmtId="0" fontId="22" fillId="0" borderId="11" xfId="18" applyFont="1" applyBorder="1" applyAlignment="1" applyProtection="1">
      <alignment horizontal="center" vertical="center"/>
    </xf>
    <xf numFmtId="0" fontId="32" fillId="0" borderId="0" xfId="18" applyFont="1" applyBorder="1" applyAlignment="1" applyProtection="1">
      <alignment horizontal="center" vertical="center"/>
    </xf>
    <xf numFmtId="1" fontId="20" fillId="0" borderId="0" xfId="18" applyNumberFormat="1" applyFont="1" applyBorder="1" applyAlignment="1" applyProtection="1">
      <alignment horizontal="left" vertical="center"/>
    </xf>
    <xf numFmtId="0" fontId="31" fillId="0" borderId="0" xfId="18" applyFont="1" applyBorder="1" applyAlignment="1" applyProtection="1">
      <alignment horizontal="center" vertical="center"/>
    </xf>
    <xf numFmtId="0" fontId="33" fillId="0" borderId="6" xfId="18" applyFont="1" applyBorder="1" applyAlignment="1" applyProtection="1">
      <alignment horizontal="center" vertical="center"/>
    </xf>
    <xf numFmtId="0" fontId="34" fillId="0" borderId="11" xfId="11" applyFont="1" applyBorder="1" applyAlignment="1" applyProtection="1">
      <alignment vertical="center"/>
    </xf>
    <xf numFmtId="0" fontId="35" fillId="0" borderId="6" xfId="18" applyFont="1" applyBorder="1" applyAlignment="1" applyProtection="1">
      <alignment horizontal="center" vertical="center"/>
    </xf>
    <xf numFmtId="0" fontId="35" fillId="0" borderId="11" xfId="18" applyFont="1" applyBorder="1" applyAlignment="1" applyProtection="1">
      <alignment horizontal="center" vertical="center"/>
    </xf>
    <xf numFmtId="0" fontId="35" fillId="0" borderId="7" xfId="18" applyFont="1" applyBorder="1" applyAlignment="1" applyProtection="1">
      <alignment horizontal="center" vertical="center"/>
    </xf>
    <xf numFmtId="0" fontId="23" fillId="0" borderId="6" xfId="18" applyFont="1" applyBorder="1" applyAlignment="1" applyProtection="1">
      <alignment horizontal="center" vertical="center"/>
    </xf>
    <xf numFmtId="0" fontId="23" fillId="0" borderId="11" xfId="18" applyFont="1" applyBorder="1" applyAlignment="1" applyProtection="1">
      <alignment horizontal="center" vertical="center"/>
    </xf>
    <xf numFmtId="0" fontId="23" fillId="0" borderId="7" xfId="18" applyFont="1" applyBorder="1" applyAlignment="1" applyProtection="1">
      <alignment horizontal="center" vertical="center"/>
    </xf>
    <xf numFmtId="0" fontId="22" fillId="0" borderId="6" xfId="18" applyFont="1" applyBorder="1" applyAlignment="1" applyProtection="1">
      <alignment horizontal="right" vertical="center"/>
    </xf>
    <xf numFmtId="0" fontId="22" fillId="0" borderId="11" xfId="18" applyFont="1" applyBorder="1" applyAlignment="1" applyProtection="1">
      <alignment horizontal="right" vertical="center"/>
    </xf>
    <xf numFmtId="1" fontId="20" fillId="0" borderId="11" xfId="18" applyNumberFormat="1" applyFont="1" applyBorder="1" applyAlignment="1" applyProtection="1">
      <alignment horizontal="center" vertical="center"/>
    </xf>
    <xf numFmtId="1" fontId="20" fillId="0" borderId="7" xfId="18" applyNumberFormat="1" applyFont="1" applyBorder="1" applyAlignment="1" applyProtection="1">
      <alignment horizontal="center" vertical="center"/>
    </xf>
    <xf numFmtId="0" fontId="22" fillId="0" borderId="7" xfId="18" applyFont="1" applyBorder="1" applyAlignment="1" applyProtection="1">
      <alignment horizontal="center" vertical="center"/>
    </xf>
    <xf numFmtId="0" fontId="25" fillId="0" borderId="18" xfId="18" applyNumberFormat="1" applyFont="1" applyBorder="1" applyAlignment="1" applyProtection="1">
      <alignment horizontal="center" vertical="center"/>
    </xf>
    <xf numFmtId="0" fontId="25" fillId="0" borderId="10" xfId="18" applyNumberFormat="1" applyFont="1" applyBorder="1" applyAlignment="1" applyProtection="1">
      <alignment horizontal="center" vertical="center"/>
    </xf>
    <xf numFmtId="0" fontId="22" fillId="0" borderId="6" xfId="18" applyFont="1" applyFill="1" applyBorder="1" applyAlignment="1" applyProtection="1">
      <alignment horizontal="center" vertical="center"/>
    </xf>
    <xf numFmtId="0" fontId="22" fillId="0" borderId="11" xfId="18" applyFont="1" applyFill="1" applyBorder="1" applyAlignment="1" applyProtection="1">
      <alignment horizontal="center" vertical="center"/>
    </xf>
    <xf numFmtId="0" fontId="23" fillId="0" borderId="18" xfId="18" applyNumberFormat="1" applyFont="1" applyBorder="1" applyAlignment="1" applyProtection="1">
      <alignment horizontal="center" vertical="center"/>
    </xf>
    <xf numFmtId="0" fontId="23" fillId="0" borderId="10" xfId="18" applyNumberFormat="1" applyFont="1" applyBorder="1" applyAlignment="1" applyProtection="1">
      <alignment horizontal="center" vertical="center"/>
    </xf>
    <xf numFmtId="1" fontId="36" fillId="0" borderId="11" xfId="18" applyNumberFormat="1" applyFont="1" applyBorder="1" applyAlignment="1" applyProtection="1">
      <alignment horizontal="center" vertical="center"/>
    </xf>
    <xf numFmtId="1" fontId="36" fillId="0" borderId="7" xfId="18" applyNumberFormat="1" applyFont="1" applyBorder="1" applyAlignment="1" applyProtection="1">
      <alignment horizontal="center" vertical="center"/>
    </xf>
    <xf numFmtId="49" fontId="20" fillId="0" borderId="6" xfId="18" applyNumberFormat="1" applyFont="1" applyBorder="1" applyAlignment="1" applyProtection="1">
      <alignment horizontal="center" vertical="center"/>
      <protection locked="0"/>
    </xf>
    <xf numFmtId="0" fontId="22" fillId="0" borderId="7" xfId="18" applyFont="1" applyFill="1" applyBorder="1" applyAlignment="1" applyProtection="1">
      <alignment horizontal="center" vertical="center"/>
    </xf>
    <xf numFmtId="0" fontId="16" fillId="0" borderId="8" xfId="18" applyFont="1" applyBorder="1" applyAlignment="1" applyProtection="1">
      <alignment horizontal="center" vertical="center"/>
    </xf>
    <xf numFmtId="0" fontId="16" fillId="0" borderId="0" xfId="18" applyFont="1" applyBorder="1" applyAlignment="1" applyProtection="1">
      <alignment horizontal="center" vertical="center"/>
    </xf>
    <xf numFmtId="0" fontId="22" fillId="0" borderId="20" xfId="18" applyFont="1" applyBorder="1" applyAlignment="1" applyProtection="1">
      <alignment horizontal="center" vertical="center"/>
    </xf>
    <xf numFmtId="0" fontId="22" fillId="0" borderId="21" xfId="18" applyFont="1" applyBorder="1" applyAlignment="1" applyProtection="1">
      <alignment horizontal="center" vertical="center"/>
    </xf>
    <xf numFmtId="0" fontId="22" fillId="0" borderId="18" xfId="18" applyFont="1" applyBorder="1" applyAlignment="1" applyProtection="1">
      <alignment horizontal="center" vertical="center"/>
    </xf>
    <xf numFmtId="0" fontId="22" fillId="0" borderId="22" xfId="18" applyFont="1" applyBorder="1" applyAlignment="1" applyProtection="1">
      <alignment horizontal="center" vertical="center"/>
    </xf>
    <xf numFmtId="1" fontId="20" fillId="0" borderId="10" xfId="18" applyNumberFormat="1" applyFont="1" applyBorder="1" applyAlignment="1" applyProtection="1">
      <alignment horizontal="center" vertical="center"/>
      <protection locked="0"/>
    </xf>
    <xf numFmtId="1" fontId="20" fillId="0" borderId="22" xfId="18" applyNumberFormat="1" applyFont="1" applyBorder="1" applyAlignment="1" applyProtection="1">
      <alignment horizontal="center" vertical="center"/>
      <protection locked="0"/>
    </xf>
    <xf numFmtId="0" fontId="20" fillId="13" borderId="29" xfId="21" applyFont="1" applyFill="1" applyBorder="1" applyAlignment="1">
      <alignment horizontal="left" vertical="center"/>
    </xf>
    <xf numFmtId="0" fontId="20" fillId="13" borderId="30" xfId="21" applyFont="1" applyFill="1" applyBorder="1" applyAlignment="1">
      <alignment horizontal="left" vertical="center"/>
    </xf>
    <xf numFmtId="0" fontId="20" fillId="13" borderId="29" xfId="21" applyFont="1" applyFill="1" applyBorder="1" applyAlignment="1">
      <alignment horizontal="center" vertical="center"/>
    </xf>
    <xf numFmtId="0" fontId="20" fillId="13" borderId="30" xfId="21" applyFont="1" applyFill="1" applyBorder="1" applyAlignment="1">
      <alignment horizontal="center" vertical="center"/>
    </xf>
    <xf numFmtId="0" fontId="29" fillId="0" borderId="0" xfId="11" applyFont="1" applyFill="1" applyAlignment="1">
      <alignment horizontal="center" vertical="center"/>
    </xf>
    <xf numFmtId="14" fontId="20" fillId="0" borderId="11" xfId="18" applyNumberFormat="1" applyFont="1" applyBorder="1" applyAlignment="1" applyProtection="1">
      <alignment horizontal="center" vertical="center"/>
      <protection locked="0"/>
    </xf>
    <xf numFmtId="0" fontId="36" fillId="0" borderId="20" xfId="21" applyFont="1" applyBorder="1" applyAlignment="1">
      <alignment horizontal="center" vertical="center"/>
    </xf>
    <xf numFmtId="0" fontId="36" fillId="0" borderId="9" xfId="21" applyFont="1" applyBorder="1" applyAlignment="1">
      <alignment horizontal="center" vertical="center"/>
    </xf>
    <xf numFmtId="0" fontId="36" fillId="0" borderId="27" xfId="21" applyFont="1" applyBorder="1" applyAlignment="1">
      <alignment horizontal="center" vertical="center"/>
    </xf>
    <xf numFmtId="0" fontId="36" fillId="0" borderId="13" xfId="21" applyFont="1" applyBorder="1" applyAlignment="1">
      <alignment horizontal="center" vertical="center"/>
    </xf>
    <xf numFmtId="0" fontId="42" fillId="0" borderId="4" xfId="21" applyFont="1" applyBorder="1" applyAlignment="1">
      <alignment horizontal="center"/>
    </xf>
    <xf numFmtId="0" fontId="42" fillId="0" borderId="0" xfId="21" applyFont="1" applyBorder="1" applyAlignment="1">
      <alignment horizontal="center"/>
    </xf>
    <xf numFmtId="0" fontId="42" fillId="0" borderId="5" xfId="21" applyFont="1" applyBorder="1" applyAlignment="1">
      <alignment horizontal="center"/>
    </xf>
    <xf numFmtId="0" fontId="20" fillId="14" borderId="0" xfId="21" applyFont="1" applyFill="1" applyBorder="1" applyAlignment="1">
      <alignment horizontal="center"/>
    </xf>
    <xf numFmtId="0" fontId="31" fillId="0" borderId="20" xfId="21" applyFont="1" applyBorder="1" applyAlignment="1">
      <alignment horizontal="center"/>
    </xf>
    <xf numFmtId="0" fontId="31" fillId="0" borderId="21" xfId="21" applyFont="1" applyBorder="1" applyAlignment="1">
      <alignment horizontal="center"/>
    </xf>
    <xf numFmtId="0" fontId="35" fillId="0" borderId="23" xfId="21" applyFont="1" applyBorder="1" applyAlignment="1">
      <alignment horizontal="center" vertical="center"/>
    </xf>
    <xf numFmtId="0" fontId="35" fillId="0" borderId="9" xfId="21" applyFont="1" applyBorder="1" applyAlignment="1">
      <alignment horizontal="center" vertical="center"/>
    </xf>
    <xf numFmtId="0" fontId="35" fillId="0" borderId="20" xfId="21" applyFont="1" applyBorder="1" applyAlignment="1">
      <alignment horizontal="center" vertical="center"/>
    </xf>
    <xf numFmtId="0" fontId="35" fillId="0" borderId="21" xfId="21" applyFont="1" applyBorder="1" applyAlignment="1">
      <alignment horizontal="center" vertical="center"/>
    </xf>
    <xf numFmtId="0" fontId="20" fillId="13" borderId="101" xfId="21" applyFont="1" applyFill="1" applyBorder="1" applyAlignment="1">
      <alignment horizontal="left" vertical="center"/>
    </xf>
    <xf numFmtId="0" fontId="20" fillId="13" borderId="102" xfId="21" applyFont="1" applyFill="1" applyBorder="1" applyAlignment="1">
      <alignment horizontal="left" vertical="center"/>
    </xf>
    <xf numFmtId="0" fontId="35" fillId="0" borderId="67" xfId="21" applyFont="1" applyBorder="1" applyAlignment="1">
      <alignment horizontal="center" vertical="center"/>
    </xf>
    <xf numFmtId="0" fontId="35" fillId="0" borderId="11" xfId="21" applyFont="1" applyBorder="1" applyAlignment="1">
      <alignment horizontal="center" vertical="center"/>
    </xf>
    <xf numFmtId="0" fontId="35" fillId="0" borderId="7" xfId="21" applyFont="1" applyBorder="1" applyAlignment="1">
      <alignment horizontal="center" vertical="center"/>
    </xf>
    <xf numFmtId="0" fontId="35" fillId="0" borderId="6" xfId="21" applyFont="1" applyBorder="1" applyAlignment="1">
      <alignment horizontal="center" vertical="center"/>
    </xf>
    <xf numFmtId="0" fontId="35" fillId="0" borderId="3" xfId="21" applyFont="1" applyBorder="1" applyAlignment="1">
      <alignment horizontal="center" vertical="center"/>
    </xf>
    <xf numFmtId="1" fontId="20" fillId="0" borderId="0" xfId="18" applyNumberFormat="1" applyFont="1" applyBorder="1" applyAlignment="1" applyProtection="1">
      <alignment horizontal="right" vertical="center"/>
    </xf>
    <xf numFmtId="0" fontId="49" fillId="0" borderId="20" xfId="21" applyFont="1" applyBorder="1" applyAlignment="1">
      <alignment horizontal="center" vertical="center"/>
    </xf>
    <xf numFmtId="0" fontId="49" fillId="0" borderId="9" xfId="21" applyFont="1" applyBorder="1" applyAlignment="1">
      <alignment horizontal="center" vertical="center"/>
    </xf>
    <xf numFmtId="0" fontId="49" fillId="0" borderId="24" xfId="21" applyFont="1" applyBorder="1" applyAlignment="1">
      <alignment horizontal="center" vertical="center"/>
    </xf>
    <xf numFmtId="0" fontId="49" fillId="0" borderId="18" xfId="21" applyFont="1" applyBorder="1" applyAlignment="1">
      <alignment horizontal="center" vertical="center"/>
    </xf>
    <xf numFmtId="0" fontId="49" fillId="0" borderId="10" xfId="21" applyFont="1" applyBorder="1" applyAlignment="1">
      <alignment horizontal="center" vertical="center"/>
    </xf>
    <xf numFmtId="0" fontId="49" fillId="0" borderId="17" xfId="21" applyFont="1" applyBorder="1" applyAlignment="1">
      <alignment horizontal="center" vertical="center"/>
    </xf>
    <xf numFmtId="0" fontId="31" fillId="0" borderId="4" xfId="21" applyFont="1" applyBorder="1" applyAlignment="1">
      <alignment horizontal="center" vertical="center"/>
    </xf>
    <xf numFmtId="0" fontId="31" fillId="0" borderId="0" xfId="21" applyFont="1" applyBorder="1" applyAlignment="1">
      <alignment horizontal="center" vertical="center"/>
    </xf>
    <xf numFmtId="0" fontId="31" fillId="0" borderId="12" xfId="21" applyFont="1" applyBorder="1" applyAlignment="1">
      <alignment horizontal="center" vertical="center"/>
    </xf>
    <xf numFmtId="0" fontId="31" fillId="0" borderId="13" xfId="21" applyFont="1" applyBorder="1" applyAlignment="1">
      <alignment horizontal="center" vertical="center"/>
    </xf>
    <xf numFmtId="0" fontId="31" fillId="0" borderId="8" xfId="21" applyFont="1" applyBorder="1" applyAlignment="1">
      <alignment horizontal="center" vertical="center"/>
    </xf>
    <xf numFmtId="0" fontId="31" fillId="0" borderId="19" xfId="21" applyFont="1" applyBorder="1" applyAlignment="1">
      <alignment horizontal="center" vertical="center"/>
    </xf>
    <xf numFmtId="0" fontId="31" fillId="0" borderId="27" xfId="21" applyFont="1" applyBorder="1" applyAlignment="1">
      <alignment horizontal="center" vertical="center"/>
    </xf>
    <xf numFmtId="0" fontId="31" fillId="0" borderId="36" xfId="21" applyFont="1" applyBorder="1" applyAlignment="1">
      <alignment horizontal="center" vertical="center"/>
    </xf>
    <xf numFmtId="0" fontId="36" fillId="0" borderId="24" xfId="21" applyFont="1" applyBorder="1" applyAlignment="1">
      <alignment horizontal="center" vertical="center"/>
    </xf>
    <xf numFmtId="0" fontId="36" fillId="0" borderId="14" xfId="21" applyFont="1" applyBorder="1" applyAlignment="1">
      <alignment horizontal="center" vertical="center"/>
    </xf>
    <xf numFmtId="1" fontId="20" fillId="0" borderId="0" xfId="18" applyNumberFormat="1" applyFont="1" applyBorder="1" applyAlignment="1" applyProtection="1">
      <alignment horizontal="center" vertical="center"/>
    </xf>
    <xf numFmtId="0" fontId="22" fillId="0" borderId="9" xfId="18" applyFont="1" applyBorder="1" applyAlignment="1" applyProtection="1">
      <alignment horizontal="center" vertical="center"/>
    </xf>
    <xf numFmtId="0" fontId="22" fillId="0" borderId="8" xfId="18" applyFont="1" applyBorder="1" applyAlignment="1" applyProtection="1">
      <alignment horizontal="center" vertical="center"/>
    </xf>
    <xf numFmtId="0" fontId="22" fillId="0" borderId="0" xfId="18" applyFont="1" applyBorder="1" applyAlignment="1" applyProtection="1">
      <alignment horizontal="center" vertical="center"/>
    </xf>
    <xf numFmtId="0" fontId="22" fillId="0" borderId="19" xfId="18" applyFont="1" applyBorder="1" applyAlignment="1" applyProtection="1">
      <alignment horizontal="center" vertical="center"/>
    </xf>
    <xf numFmtId="0" fontId="22" fillId="0" borderId="10" xfId="18" applyFont="1" applyBorder="1" applyAlignment="1" applyProtection="1">
      <alignment horizontal="center" vertical="center"/>
    </xf>
    <xf numFmtId="0" fontId="29" fillId="0" borderId="0" xfId="11" applyFont="1" applyFill="1" applyBorder="1" applyAlignment="1">
      <alignment horizontal="center" vertical="center"/>
    </xf>
    <xf numFmtId="0" fontId="22" fillId="0" borderId="6" xfId="18" applyFont="1" applyBorder="1" applyAlignment="1" applyProtection="1">
      <alignment horizontal="left" vertical="center"/>
    </xf>
    <xf numFmtId="0" fontId="22" fillId="0" borderId="11" xfId="18" applyFont="1" applyBorder="1" applyAlignment="1" applyProtection="1">
      <alignment horizontal="left" vertical="center"/>
    </xf>
    <xf numFmtId="0" fontId="31" fillId="0" borderId="20" xfId="21" applyFont="1" applyBorder="1" applyAlignment="1">
      <alignment horizontal="center" vertical="center"/>
    </xf>
    <xf numFmtId="0" fontId="31" fillId="0" borderId="21" xfId="21" applyFont="1" applyBorder="1" applyAlignment="1">
      <alignment horizontal="center" vertical="center"/>
    </xf>
    <xf numFmtId="0" fontId="30" fillId="0" borderId="6" xfId="18" applyFont="1" applyBorder="1" applyAlignment="1" applyProtection="1">
      <alignment horizontal="left" vertical="center"/>
    </xf>
    <xf numFmtId="0" fontId="48" fillId="0" borderId="11" xfId="11" applyFont="1" applyBorder="1" applyAlignment="1">
      <alignment horizontal="left" vertical="center"/>
    </xf>
    <xf numFmtId="0" fontId="16" fillId="0" borderId="8" xfId="19" applyFont="1" applyBorder="1" applyAlignment="1" applyProtection="1">
      <alignment horizontal="center" vertical="center"/>
    </xf>
    <xf numFmtId="0" fontId="16" fillId="0" borderId="0" xfId="19" applyFont="1" applyBorder="1" applyAlignment="1" applyProtection="1">
      <alignment horizontal="center" vertical="center"/>
    </xf>
    <xf numFmtId="0" fontId="20" fillId="13" borderId="29" xfId="19" applyFont="1" applyFill="1" applyBorder="1" applyAlignment="1" applyProtection="1">
      <alignment horizontal="center" vertical="center"/>
    </xf>
    <xf numFmtId="1" fontId="20" fillId="0" borderId="11" xfId="19" applyNumberFormat="1" applyFont="1" applyBorder="1" applyAlignment="1" applyProtection="1">
      <alignment horizontal="center" vertical="center"/>
      <protection locked="0"/>
    </xf>
    <xf numFmtId="0" fontId="22" fillId="0" borderId="20" xfId="19" applyFont="1" applyBorder="1" applyAlignment="1" applyProtection="1">
      <alignment horizontal="center" vertical="center"/>
    </xf>
    <xf numFmtId="0" fontId="22" fillId="0" borderId="21" xfId="19" applyFont="1" applyBorder="1" applyAlignment="1" applyProtection="1">
      <alignment horizontal="center" vertical="center"/>
    </xf>
    <xf numFmtId="0" fontId="22" fillId="0" borderId="18" xfId="19" applyFont="1" applyBorder="1" applyAlignment="1" applyProtection="1">
      <alignment horizontal="center" vertical="center"/>
    </xf>
    <xf numFmtId="0" fontId="22" fillId="0" borderId="22" xfId="19" applyFont="1" applyBorder="1" applyAlignment="1" applyProtection="1">
      <alignment horizontal="center" vertical="center"/>
    </xf>
    <xf numFmtId="0" fontId="22" fillId="0" borderId="11" xfId="19" applyFont="1" applyBorder="1" applyAlignment="1" applyProtection="1">
      <alignment horizontal="center" vertical="center"/>
    </xf>
    <xf numFmtId="0" fontId="22" fillId="0" borderId="7" xfId="19" applyFont="1" applyBorder="1" applyAlignment="1" applyProtection="1">
      <alignment horizontal="center" vertical="center"/>
    </xf>
    <xf numFmtId="1" fontId="20" fillId="0" borderId="10" xfId="19" applyNumberFormat="1" applyFont="1" applyBorder="1" applyAlignment="1" applyProtection="1">
      <alignment horizontal="center" vertical="center"/>
      <protection locked="0"/>
    </xf>
    <xf numFmtId="1" fontId="20" fillId="0" borderId="22" xfId="19" applyNumberFormat="1" applyFont="1" applyBorder="1" applyAlignment="1" applyProtection="1">
      <alignment horizontal="center" vertical="center"/>
      <protection locked="0"/>
    </xf>
    <xf numFmtId="1" fontId="20" fillId="0" borderId="0" xfId="19" applyNumberFormat="1" applyFont="1" applyBorder="1" applyAlignment="1" applyProtection="1">
      <alignment horizontal="right" vertical="center"/>
    </xf>
    <xf numFmtId="0" fontId="22" fillId="0" borderId="6" xfId="19" applyFont="1" applyBorder="1" applyAlignment="1" applyProtection="1">
      <alignment horizontal="center" vertical="center"/>
    </xf>
    <xf numFmtId="49" fontId="20" fillId="0" borderId="6" xfId="19" applyNumberFormat="1" applyFont="1" applyBorder="1" applyAlignment="1" applyProtection="1">
      <alignment horizontal="center" vertical="center"/>
      <protection locked="0"/>
    </xf>
    <xf numFmtId="0" fontId="20" fillId="0" borderId="11" xfId="19" applyNumberFormat="1" applyFont="1" applyBorder="1" applyAlignment="1" applyProtection="1">
      <alignment horizontal="center" vertical="center"/>
      <protection locked="0"/>
    </xf>
    <xf numFmtId="0" fontId="20" fillId="0" borderId="7" xfId="19" applyNumberFormat="1" applyFont="1" applyBorder="1" applyAlignment="1" applyProtection="1">
      <alignment horizontal="center" vertical="center"/>
      <protection locked="0"/>
    </xf>
    <xf numFmtId="49" fontId="20" fillId="0" borderId="11" xfId="19" applyNumberFormat="1" applyFont="1" applyBorder="1" applyAlignment="1" applyProtection="1">
      <alignment horizontal="center" vertical="center"/>
      <protection locked="0"/>
    </xf>
    <xf numFmtId="0" fontId="22" fillId="0" borderId="6" xfId="19" applyFont="1" applyFill="1" applyBorder="1" applyAlignment="1" applyProtection="1">
      <alignment horizontal="center" vertical="center"/>
    </xf>
    <xf numFmtId="0" fontId="22" fillId="0" borderId="7" xfId="19" applyFont="1" applyFill="1" applyBorder="1" applyAlignment="1" applyProtection="1">
      <alignment horizontal="center" vertical="center"/>
    </xf>
    <xf numFmtId="0" fontId="20" fillId="13" borderId="29" xfId="22" applyFont="1" applyFill="1" applyBorder="1" applyAlignment="1">
      <alignment horizontal="left" vertical="center"/>
    </xf>
    <xf numFmtId="0" fontId="20" fillId="13" borderId="30" xfId="22" applyFont="1" applyFill="1" applyBorder="1" applyAlignment="1">
      <alignment horizontal="left" vertical="center"/>
    </xf>
    <xf numFmtId="0" fontId="20" fillId="13" borderId="29" xfId="22" applyFont="1" applyFill="1" applyBorder="1" applyAlignment="1">
      <alignment horizontal="center" vertical="center"/>
    </xf>
    <xf numFmtId="0" fontId="20" fillId="13" borderId="30" xfId="22" applyFont="1" applyFill="1" applyBorder="1" applyAlignment="1">
      <alignment horizontal="center" vertical="center"/>
    </xf>
    <xf numFmtId="0" fontId="29" fillId="0" borderId="0" xfId="12" applyFont="1" applyFill="1" applyBorder="1" applyAlignment="1">
      <alignment horizontal="center" vertical="center"/>
    </xf>
    <xf numFmtId="1" fontId="20" fillId="0" borderId="0" xfId="19" applyNumberFormat="1" applyFont="1" applyBorder="1" applyAlignment="1" applyProtection="1">
      <alignment horizontal="left" vertical="center"/>
    </xf>
    <xf numFmtId="1" fontId="20" fillId="0" borderId="0" xfId="19" applyNumberFormat="1" applyFont="1" applyBorder="1" applyAlignment="1" applyProtection="1">
      <alignment horizontal="center" vertical="center"/>
    </xf>
    <xf numFmtId="1" fontId="20" fillId="0" borderId="11" xfId="19" applyNumberFormat="1" applyFont="1" applyBorder="1" applyAlignment="1" applyProtection="1">
      <alignment horizontal="center" vertical="center"/>
    </xf>
    <xf numFmtId="1" fontId="20" fillId="0" borderId="7" xfId="19" applyNumberFormat="1" applyFont="1" applyBorder="1" applyAlignment="1" applyProtection="1">
      <alignment horizontal="center" vertical="center"/>
    </xf>
    <xf numFmtId="0" fontId="22" fillId="0" borderId="9" xfId="19" applyFont="1" applyBorder="1" applyAlignment="1" applyProtection="1">
      <alignment horizontal="center" vertical="center"/>
    </xf>
    <xf numFmtId="0" fontId="22" fillId="0" borderId="8" xfId="19" applyFont="1" applyBorder="1" applyAlignment="1" applyProtection="1">
      <alignment horizontal="center" vertical="center"/>
    </xf>
    <xf numFmtId="0" fontId="22" fillId="0" borderId="0" xfId="19" applyFont="1" applyBorder="1" applyAlignment="1" applyProtection="1">
      <alignment horizontal="center" vertical="center"/>
    </xf>
    <xf numFmtId="0" fontId="22" fillId="0" borderId="19" xfId="19" applyFont="1" applyBorder="1" applyAlignment="1" applyProtection="1">
      <alignment horizontal="center" vertical="center"/>
    </xf>
    <xf numFmtId="0" fontId="22" fillId="0" borderId="10" xfId="19" applyFont="1" applyBorder="1" applyAlignment="1" applyProtection="1">
      <alignment horizontal="center" vertical="center"/>
    </xf>
    <xf numFmtId="0" fontId="2" fillId="0" borderId="11" xfId="12" applyBorder="1" applyAlignment="1">
      <alignment vertical="center"/>
    </xf>
    <xf numFmtId="0" fontId="35" fillId="0" borderId="11" xfId="19" applyFont="1" applyBorder="1" applyAlignment="1" applyProtection="1">
      <alignment horizontal="center" vertical="center"/>
    </xf>
    <xf numFmtId="0" fontId="35" fillId="0" borderId="7" xfId="19" applyFont="1" applyBorder="1" applyAlignment="1" applyProtection="1">
      <alignment horizontal="center" vertical="center"/>
    </xf>
    <xf numFmtId="0" fontId="42" fillId="0" borderId="4" xfId="22" applyFont="1" applyBorder="1" applyAlignment="1">
      <alignment horizontal="center"/>
    </xf>
    <xf numFmtId="0" fontId="42" fillId="0" borderId="0" xfId="22" applyFont="1" applyBorder="1" applyAlignment="1">
      <alignment horizontal="center"/>
    </xf>
    <xf numFmtId="0" fontId="42" fillId="0" borderId="5" xfId="22" applyFont="1" applyBorder="1" applyAlignment="1">
      <alignment horizontal="center"/>
    </xf>
    <xf numFmtId="0" fontId="23" fillId="0" borderId="6" xfId="19" applyFont="1" applyBorder="1" applyAlignment="1" applyProtection="1">
      <alignment horizontal="center" vertical="center"/>
    </xf>
    <xf numFmtId="0" fontId="23" fillId="0" borderId="11" xfId="19" applyFont="1" applyBorder="1" applyAlignment="1" applyProtection="1">
      <alignment horizontal="center" vertical="center"/>
    </xf>
    <xf numFmtId="0" fontId="23" fillId="0" borderId="7" xfId="19" applyFont="1" applyBorder="1" applyAlignment="1" applyProtection="1">
      <alignment horizontal="center" vertical="center"/>
    </xf>
    <xf numFmtId="0" fontId="27" fillId="0" borderId="11" xfId="12" applyFont="1" applyBorder="1" applyAlignment="1">
      <alignment horizontal="center"/>
    </xf>
    <xf numFmtId="0" fontId="27" fillId="0" borderId="7" xfId="12" applyFont="1" applyBorder="1" applyAlignment="1">
      <alignment horizontal="center"/>
    </xf>
    <xf numFmtId="0" fontId="20" fillId="14" borderId="0" xfId="22" applyFont="1" applyFill="1" applyBorder="1" applyAlignment="1">
      <alignment horizontal="center"/>
    </xf>
    <xf numFmtId="1" fontId="36" fillId="0" borderId="11" xfId="19" applyNumberFormat="1" applyFont="1" applyBorder="1" applyAlignment="1" applyProtection="1">
      <alignment horizontal="center" vertical="center"/>
    </xf>
    <xf numFmtId="1" fontId="36" fillId="0" borderId="7" xfId="19" applyNumberFormat="1" applyFont="1" applyBorder="1" applyAlignment="1" applyProtection="1">
      <alignment horizontal="center" vertical="center"/>
    </xf>
    <xf numFmtId="0" fontId="35" fillId="0" borderId="20" xfId="22" applyFont="1" applyBorder="1" applyAlignment="1">
      <alignment horizontal="center" vertical="center"/>
    </xf>
    <xf numFmtId="0" fontId="35" fillId="0" borderId="21" xfId="22" applyFont="1" applyBorder="1" applyAlignment="1">
      <alignment horizontal="center" vertical="center"/>
    </xf>
    <xf numFmtId="0" fontId="20" fillId="13" borderId="101" xfId="22" applyFont="1" applyFill="1" applyBorder="1" applyAlignment="1">
      <alignment horizontal="left" vertical="center"/>
    </xf>
    <xf numFmtId="0" fontId="20" fillId="13" borderId="102" xfId="22" applyFont="1" applyFill="1" applyBorder="1" applyAlignment="1">
      <alignment horizontal="left" vertical="center"/>
    </xf>
    <xf numFmtId="0" fontId="31" fillId="0" borderId="20" xfId="22" applyFont="1" applyBorder="1" applyAlignment="1">
      <alignment horizontal="center" vertical="center"/>
    </xf>
    <xf numFmtId="0" fontId="31" fillId="0" borderId="9" xfId="22" applyFont="1" applyBorder="1" applyAlignment="1">
      <alignment horizontal="center" vertical="center"/>
    </xf>
    <xf numFmtId="0" fontId="31" fillId="0" borderId="24" xfId="22" applyFont="1" applyBorder="1" applyAlignment="1">
      <alignment horizontal="center" vertical="center"/>
    </xf>
    <xf numFmtId="0" fontId="31" fillId="0" borderId="18" xfId="22" applyFont="1" applyBorder="1" applyAlignment="1">
      <alignment horizontal="center" vertical="center"/>
    </xf>
    <xf numFmtId="0" fontId="31" fillId="0" borderId="10" xfId="22" applyFont="1" applyBorder="1" applyAlignment="1">
      <alignment horizontal="center" vertical="center"/>
    </xf>
    <xf numFmtId="0" fontId="31" fillId="0" borderId="17" xfId="22" applyFont="1" applyBorder="1" applyAlignment="1">
      <alignment horizontal="center" vertical="center"/>
    </xf>
    <xf numFmtId="0" fontId="35" fillId="0" borderId="67" xfId="22" applyFont="1" applyBorder="1" applyAlignment="1">
      <alignment horizontal="center" vertical="center"/>
    </xf>
    <xf numFmtId="0" fontId="35" fillId="0" borderId="11" xfId="22" applyFont="1" applyBorder="1" applyAlignment="1">
      <alignment horizontal="center" vertical="center"/>
    </xf>
    <xf numFmtId="0" fontId="35" fillId="0" borderId="7" xfId="22" applyFont="1" applyBorder="1" applyAlignment="1">
      <alignment horizontal="center" vertical="center"/>
    </xf>
    <xf numFmtId="0" fontId="35" fillId="0" borderId="6" xfId="22" applyFont="1" applyBorder="1" applyAlignment="1">
      <alignment horizontal="center" vertical="center"/>
    </xf>
    <xf numFmtId="0" fontId="35" fillId="0" borderId="3" xfId="22" applyFont="1" applyBorder="1" applyAlignment="1">
      <alignment horizontal="center" vertical="center"/>
    </xf>
    <xf numFmtId="0" fontId="35" fillId="0" borderId="23" xfId="22" applyFont="1" applyBorder="1" applyAlignment="1">
      <alignment horizontal="center" vertical="center"/>
    </xf>
    <xf numFmtId="0" fontId="35" fillId="0" borderId="9" xfId="22" applyFont="1" applyBorder="1" applyAlignment="1">
      <alignment horizontal="center" vertical="center"/>
    </xf>
    <xf numFmtId="0" fontId="31" fillId="0" borderId="4" xfId="22" applyFont="1" applyBorder="1" applyAlignment="1">
      <alignment horizontal="center" vertical="center"/>
    </xf>
    <xf numFmtId="0" fontId="31" fillId="0" borderId="0" xfId="22" applyFont="1" applyBorder="1" applyAlignment="1">
      <alignment horizontal="center" vertical="center"/>
    </xf>
    <xf numFmtId="0" fontId="31" fillId="0" borderId="12" xfId="22" applyFont="1" applyBorder="1" applyAlignment="1">
      <alignment horizontal="center" vertical="center"/>
    </xf>
    <xf numFmtId="0" fontId="31" fillId="0" borderId="13" xfId="22" applyFont="1" applyBorder="1" applyAlignment="1">
      <alignment horizontal="center" vertical="center"/>
    </xf>
    <xf numFmtId="0" fontId="31" fillId="0" borderId="8" xfId="22" applyFont="1" applyBorder="1" applyAlignment="1">
      <alignment horizontal="center" vertical="center"/>
    </xf>
    <xf numFmtId="0" fontId="31" fillId="0" borderId="19" xfId="22" applyFont="1" applyBorder="1" applyAlignment="1">
      <alignment horizontal="center" vertical="center"/>
    </xf>
    <xf numFmtId="0" fontId="31" fillId="0" borderId="27" xfId="22" applyFont="1" applyBorder="1" applyAlignment="1">
      <alignment horizontal="center" vertical="center"/>
    </xf>
    <xf numFmtId="0" fontId="31" fillId="0" borderId="36" xfId="22" applyFont="1" applyBorder="1" applyAlignment="1">
      <alignment horizontal="center" vertical="center"/>
    </xf>
    <xf numFmtId="0" fontId="127" fillId="0" borderId="11" xfId="12" applyFont="1" applyBorder="1" applyAlignment="1">
      <alignment horizontal="center"/>
    </xf>
    <xf numFmtId="0" fontId="127" fillId="0" borderId="7" xfId="12" applyFont="1" applyBorder="1" applyAlignment="1">
      <alignment horizontal="center"/>
    </xf>
    <xf numFmtId="0" fontId="36" fillId="0" borderId="20" xfId="22" applyFont="1" applyBorder="1" applyAlignment="1">
      <alignment horizontal="center" vertical="center"/>
    </xf>
    <xf numFmtId="0" fontId="36" fillId="0" borderId="9" xfId="22" applyFont="1" applyBorder="1" applyAlignment="1">
      <alignment horizontal="center" vertical="center"/>
    </xf>
    <xf numFmtId="0" fontId="36" fillId="0" borderId="27" xfId="22" applyFont="1" applyBorder="1" applyAlignment="1">
      <alignment horizontal="center" vertical="center"/>
    </xf>
    <xf numFmtId="0" fontId="36" fillId="0" borderId="13" xfId="22" applyFont="1" applyBorder="1" applyAlignment="1">
      <alignment horizontal="center" vertical="center"/>
    </xf>
    <xf numFmtId="0" fontId="49" fillId="0" borderId="20" xfId="22" applyFont="1" applyBorder="1" applyAlignment="1">
      <alignment horizontal="center" vertical="center"/>
    </xf>
    <xf numFmtId="0" fontId="49" fillId="0" borderId="9" xfId="22" applyFont="1" applyBorder="1" applyAlignment="1">
      <alignment horizontal="center" vertical="center"/>
    </xf>
    <xf numFmtId="0" fontId="49" fillId="0" borderId="24" xfId="22" applyFont="1" applyBorder="1" applyAlignment="1">
      <alignment horizontal="center" vertical="center"/>
    </xf>
    <xf numFmtId="0" fontId="49" fillId="0" borderId="18" xfId="22" applyFont="1" applyBorder="1" applyAlignment="1">
      <alignment horizontal="center" vertical="center"/>
    </xf>
    <xf numFmtId="0" fontId="49" fillId="0" borderId="10" xfId="22" applyFont="1" applyBorder="1" applyAlignment="1">
      <alignment horizontal="center" vertical="center"/>
    </xf>
    <xf numFmtId="0" fontId="49" fillId="0" borderId="17" xfId="22" applyFont="1" applyBorder="1" applyAlignment="1">
      <alignment horizontal="center" vertical="center"/>
    </xf>
    <xf numFmtId="2" fontId="20" fillId="0" borderId="6" xfId="19" applyNumberFormat="1" applyFont="1" applyBorder="1" applyAlignment="1" applyProtection="1">
      <alignment horizontal="center" vertical="center"/>
      <protection locked="0"/>
    </xf>
    <xf numFmtId="2" fontId="20" fillId="0" borderId="11" xfId="19" applyNumberFormat="1" applyFont="1" applyBorder="1" applyAlignment="1" applyProtection="1">
      <alignment horizontal="center" vertical="center"/>
      <protection locked="0"/>
    </xf>
    <xf numFmtId="2" fontId="20" fillId="0" borderId="7" xfId="19" applyNumberFormat="1" applyFont="1" applyBorder="1" applyAlignment="1" applyProtection="1">
      <alignment horizontal="center" vertical="center"/>
      <protection locked="0"/>
    </xf>
    <xf numFmtId="14" fontId="20" fillId="0" borderId="11" xfId="19" applyNumberFormat="1" applyFont="1" applyBorder="1" applyAlignment="1" applyProtection="1">
      <alignment horizontal="center" vertical="center"/>
      <protection locked="0"/>
    </xf>
    <xf numFmtId="1" fontId="161" fillId="0" borderId="11" xfId="19" applyNumberFormat="1" applyFont="1" applyBorder="1" applyAlignment="1" applyProtection="1">
      <alignment horizontal="center" vertical="center"/>
    </xf>
    <xf numFmtId="1" fontId="161" fillId="0" borderId="7" xfId="19" applyNumberFormat="1" applyFont="1" applyBorder="1" applyAlignment="1" applyProtection="1">
      <alignment horizontal="center" vertical="center"/>
    </xf>
    <xf numFmtId="0" fontId="160" fillId="0" borderId="6" xfId="19" applyFont="1" applyBorder="1" applyAlignment="1" applyProtection="1">
      <alignment horizontal="center" vertical="center"/>
    </xf>
    <xf numFmtId="0" fontId="160" fillId="0" borderId="11" xfId="19" applyFont="1" applyBorder="1" applyAlignment="1" applyProtection="1">
      <alignment horizontal="center" vertical="center"/>
    </xf>
    <xf numFmtId="0" fontId="160" fillId="0" borderId="7" xfId="19" applyFont="1" applyBorder="1" applyAlignment="1" applyProtection="1">
      <alignment horizontal="center" vertical="center"/>
    </xf>
    <xf numFmtId="1" fontId="46" fillId="0" borderId="0" xfId="9" applyNumberFormat="1" applyFont="1" applyBorder="1" applyAlignment="1">
      <alignment horizontal="left"/>
    </xf>
    <xf numFmtId="49" fontId="20" fillId="0" borderId="11" xfId="19" applyNumberFormat="1" applyFont="1" applyBorder="1" applyAlignment="1" applyProtection="1">
      <alignment horizontal="left" vertical="center"/>
      <protection locked="0"/>
    </xf>
    <xf numFmtId="0" fontId="20" fillId="0" borderId="11" xfId="19" applyNumberFormat="1" applyFont="1" applyBorder="1" applyAlignment="1" applyProtection="1">
      <alignment horizontal="left" vertical="center"/>
      <protection locked="0"/>
    </xf>
    <xf numFmtId="0" fontId="169" fillId="0" borderId="0" xfId="10" applyFont="1" applyAlignment="1" applyProtection="1">
      <alignment horizontal="right" vertical="center"/>
      <protection hidden="1"/>
    </xf>
    <xf numFmtId="0" fontId="169" fillId="0" borderId="125" xfId="10" applyFont="1" applyBorder="1" applyAlignment="1" applyProtection="1">
      <alignment horizontal="right" vertical="center"/>
      <protection hidden="1"/>
    </xf>
    <xf numFmtId="49" fontId="100" fillId="0" borderId="126" xfId="10" applyNumberFormat="1" applyFont="1" applyBorder="1" applyAlignment="1" applyProtection="1">
      <alignment horizontal="center" vertical="center"/>
      <protection locked="0"/>
    </xf>
    <xf numFmtId="0" fontId="100" fillId="0" borderId="127" xfId="10" applyFont="1" applyBorder="1" applyAlignment="1" applyProtection="1">
      <alignment horizontal="center" vertical="center"/>
      <protection locked="0"/>
    </xf>
    <xf numFmtId="0" fontId="100" fillId="0" borderId="128" xfId="10" applyFont="1" applyBorder="1" applyAlignment="1" applyProtection="1">
      <alignment horizontal="center" vertical="center"/>
      <protection locked="0"/>
    </xf>
    <xf numFmtId="0" fontId="100" fillId="0" borderId="129" xfId="10" applyFont="1" applyBorder="1" applyAlignment="1" applyProtection="1">
      <alignment horizontal="center" vertical="center"/>
      <protection locked="0"/>
    </xf>
    <xf numFmtId="0" fontId="100" fillId="0" borderId="130" xfId="10" applyFont="1" applyBorder="1" applyAlignment="1" applyProtection="1">
      <alignment horizontal="center" vertical="center"/>
      <protection locked="0"/>
    </xf>
    <xf numFmtId="0" fontId="100" fillId="0" borderId="131" xfId="10" applyFont="1" applyBorder="1" applyAlignment="1" applyProtection="1">
      <alignment horizontal="center" vertical="center"/>
      <protection locked="0"/>
    </xf>
    <xf numFmtId="0" fontId="2" fillId="0" borderId="0" xfId="10" applyAlignment="1">
      <alignment horizontal="center" textRotation="180"/>
    </xf>
    <xf numFmtId="49" fontId="90" fillId="0" borderId="126" xfId="10" applyNumberFormat="1" applyFont="1" applyBorder="1" applyAlignment="1" applyProtection="1">
      <alignment horizontal="center" vertical="center"/>
      <protection locked="0"/>
    </xf>
    <xf numFmtId="0" fontId="90" fillId="0" borderId="128" xfId="10" applyFont="1" applyBorder="1" applyAlignment="1" applyProtection="1">
      <alignment horizontal="center" vertical="center"/>
      <protection locked="0"/>
    </xf>
    <xf numFmtId="0" fontId="90" fillId="0" borderId="129" xfId="10" applyFont="1" applyBorder="1" applyAlignment="1" applyProtection="1">
      <alignment horizontal="center" vertical="center"/>
      <protection locked="0"/>
    </xf>
    <xf numFmtId="0" fontId="90" fillId="0" borderId="131" xfId="10" applyFont="1" applyBorder="1" applyAlignment="1" applyProtection="1">
      <alignment horizontal="center" vertical="center"/>
      <protection locked="0"/>
    </xf>
    <xf numFmtId="0" fontId="171" fillId="16" borderId="126" xfId="10" applyFont="1" applyFill="1" applyBorder="1" applyAlignment="1" applyProtection="1">
      <alignment horizontal="center" vertical="center"/>
      <protection hidden="1"/>
    </xf>
    <xf numFmtId="0" fontId="171" fillId="16" borderId="127" xfId="10" applyFont="1" applyFill="1" applyBorder="1" applyAlignment="1" applyProtection="1">
      <alignment horizontal="center" vertical="center"/>
      <protection hidden="1"/>
    </xf>
    <xf numFmtId="0" fontId="171" fillId="16" borderId="132" xfId="10" applyFont="1" applyFill="1" applyBorder="1" applyAlignment="1" applyProtection="1">
      <alignment horizontal="center" vertical="center"/>
      <protection hidden="1"/>
    </xf>
    <xf numFmtId="0" fontId="171" fillId="16" borderId="0" xfId="10" applyFont="1" applyFill="1" applyBorder="1" applyAlignment="1" applyProtection="1">
      <alignment horizontal="center" vertical="center"/>
      <protection hidden="1"/>
    </xf>
    <xf numFmtId="0" fontId="171" fillId="16" borderId="129" xfId="10" applyFont="1" applyFill="1" applyBorder="1" applyAlignment="1" applyProtection="1">
      <alignment horizontal="center" vertical="center"/>
      <protection hidden="1"/>
    </xf>
    <xf numFmtId="0" fontId="171" fillId="16" borderId="130" xfId="10" applyFont="1" applyFill="1" applyBorder="1" applyAlignment="1" applyProtection="1">
      <alignment horizontal="center" vertical="center"/>
      <protection hidden="1"/>
    </xf>
    <xf numFmtId="0" fontId="100" fillId="0" borderId="135" xfId="10" applyFont="1" applyBorder="1" applyAlignment="1" applyProtection="1">
      <alignment horizontal="center" vertical="center"/>
      <protection hidden="1"/>
    </xf>
    <xf numFmtId="0" fontId="100" fillId="0" borderId="136" xfId="10" applyFont="1" applyBorder="1" applyAlignment="1" applyProtection="1">
      <alignment horizontal="center" vertical="center"/>
      <protection hidden="1"/>
    </xf>
    <xf numFmtId="0" fontId="179" fillId="0" borderId="6" xfId="10" applyFont="1" applyBorder="1" applyAlignment="1" applyProtection="1">
      <alignment horizontal="center" vertical="center"/>
      <protection hidden="1"/>
    </xf>
    <xf numFmtId="0" fontId="179" fillId="0" borderId="11" xfId="10" applyFont="1" applyBorder="1" applyAlignment="1" applyProtection="1">
      <alignment horizontal="center" vertical="center"/>
      <protection hidden="1"/>
    </xf>
    <xf numFmtId="0" fontId="179" fillId="0" borderId="7" xfId="10" applyFont="1" applyBorder="1" applyAlignment="1" applyProtection="1">
      <alignment horizontal="center" vertical="center"/>
      <protection hidden="1"/>
    </xf>
    <xf numFmtId="1" fontId="181" fillId="30" borderId="140" xfId="10" applyNumberFormat="1" applyFont="1" applyFill="1" applyBorder="1" applyAlignment="1" applyProtection="1">
      <alignment horizontal="center" vertical="center"/>
      <protection hidden="1"/>
    </xf>
    <xf numFmtId="1" fontId="181" fillId="30" borderId="146" xfId="10" applyNumberFormat="1" applyFont="1" applyFill="1" applyBorder="1" applyAlignment="1" applyProtection="1">
      <alignment horizontal="center" vertical="center"/>
      <protection hidden="1"/>
    </xf>
    <xf numFmtId="0" fontId="2" fillId="0" borderId="141" xfId="10" applyBorder="1" applyAlignment="1" applyProtection="1">
      <alignment horizontal="center" vertical="center"/>
      <protection hidden="1"/>
    </xf>
    <xf numFmtId="0" fontId="2" fillId="0" borderId="147" xfId="10" applyBorder="1" applyAlignment="1" applyProtection="1">
      <alignment horizontal="center" vertical="center"/>
      <protection hidden="1"/>
    </xf>
    <xf numFmtId="0" fontId="2" fillId="0" borderId="137" xfId="10" applyFont="1" applyFill="1" applyBorder="1" applyAlignment="1" applyProtection="1">
      <alignment horizontal="center" vertical="center"/>
      <protection hidden="1"/>
    </xf>
    <xf numFmtId="0" fontId="2" fillId="0" borderId="139" xfId="10" applyFont="1" applyFill="1" applyBorder="1" applyAlignment="1" applyProtection="1">
      <alignment horizontal="center" vertical="center"/>
      <protection hidden="1"/>
    </xf>
    <xf numFmtId="0" fontId="2" fillId="0" borderId="143" xfId="10" applyFont="1" applyFill="1" applyBorder="1" applyAlignment="1" applyProtection="1">
      <alignment horizontal="center" vertical="center"/>
      <protection hidden="1"/>
    </xf>
    <xf numFmtId="0" fontId="2" fillId="0" borderId="145" xfId="10" applyFont="1" applyFill="1" applyBorder="1" applyAlignment="1" applyProtection="1">
      <alignment horizontal="center" vertical="center"/>
      <protection hidden="1"/>
    </xf>
    <xf numFmtId="1" fontId="182" fillId="0" borderId="142" xfId="10" applyNumberFormat="1" applyFont="1" applyFill="1" applyBorder="1" applyAlignment="1" applyProtection="1">
      <alignment horizontal="center"/>
      <protection hidden="1"/>
    </xf>
    <xf numFmtId="1" fontId="182" fillId="0" borderId="148" xfId="10" applyNumberFormat="1" applyFont="1" applyFill="1" applyBorder="1" applyAlignment="1" applyProtection="1">
      <alignment horizontal="center"/>
      <protection hidden="1"/>
    </xf>
    <xf numFmtId="0" fontId="2" fillId="21" borderId="158" xfId="10" applyFont="1" applyFill="1" applyBorder="1" applyAlignment="1" applyProtection="1">
      <alignment horizontal="center" vertical="center"/>
      <protection hidden="1"/>
    </xf>
    <xf numFmtId="0" fontId="2" fillId="21" borderId="159" xfId="10" applyFill="1" applyBorder="1" applyAlignment="1" applyProtection="1">
      <alignment horizontal="center" vertical="center"/>
      <protection hidden="1"/>
    </xf>
    <xf numFmtId="0" fontId="2" fillId="0" borderId="137" xfId="10" applyFont="1" applyBorder="1" applyAlignment="1" applyProtection="1">
      <alignment horizontal="center" vertical="center"/>
      <protection hidden="1"/>
    </xf>
    <xf numFmtId="0" fontId="2" fillId="0" borderId="139" xfId="10" applyFont="1" applyBorder="1" applyAlignment="1" applyProtection="1">
      <alignment horizontal="center" vertical="center"/>
      <protection hidden="1"/>
    </xf>
    <xf numFmtId="0" fontId="2" fillId="0" borderId="143" xfId="10" applyFont="1" applyBorder="1" applyAlignment="1" applyProtection="1">
      <alignment horizontal="center" vertical="center"/>
      <protection hidden="1"/>
    </xf>
    <xf numFmtId="0" fontId="2" fillId="0" borderId="145" xfId="10" applyFont="1" applyBorder="1" applyAlignment="1" applyProtection="1">
      <alignment horizontal="center" vertical="center"/>
      <protection hidden="1"/>
    </xf>
    <xf numFmtId="1" fontId="182" fillId="0" borderId="142" xfId="10" applyNumberFormat="1" applyFont="1" applyBorder="1" applyAlignment="1" applyProtection="1">
      <alignment horizontal="center"/>
      <protection hidden="1"/>
    </xf>
    <xf numFmtId="1" fontId="182" fillId="0" borderId="148" xfId="10" applyNumberFormat="1" applyFont="1" applyBorder="1" applyAlignment="1" applyProtection="1">
      <alignment horizontal="center"/>
      <protection hidden="1"/>
    </xf>
    <xf numFmtId="0" fontId="2" fillId="0" borderId="135" xfId="10" applyFont="1" applyBorder="1" applyAlignment="1" applyProtection="1">
      <alignment horizontal="center" vertical="center"/>
      <protection hidden="1"/>
    </xf>
    <xf numFmtId="0" fontId="2" fillId="0" borderId="136" xfId="10" applyBorder="1" applyAlignment="1" applyProtection="1">
      <alignment horizontal="center" vertical="center"/>
      <protection hidden="1"/>
    </xf>
    <xf numFmtId="0" fontId="182" fillId="0" borderId="0" xfId="22" applyFont="1" applyFill="1" applyBorder="1" applyAlignment="1">
      <alignment horizontal="center" vertical="center"/>
    </xf>
    <xf numFmtId="0" fontId="182" fillId="0" borderId="159" xfId="22" applyFont="1" applyFill="1" applyBorder="1" applyAlignment="1">
      <alignment horizontal="center" vertical="center"/>
    </xf>
    <xf numFmtId="0" fontId="182" fillId="0" borderId="144" xfId="22" applyFont="1" applyFill="1" applyBorder="1" applyAlignment="1">
      <alignment horizontal="center" vertical="center"/>
    </xf>
    <xf numFmtId="0" fontId="182" fillId="0" borderId="145" xfId="22" applyFont="1" applyFill="1" applyBorder="1" applyAlignment="1">
      <alignment horizontal="center" vertical="center"/>
    </xf>
    <xf numFmtId="0" fontId="35" fillId="0" borderId="0" xfId="22" applyFont="1" applyBorder="1" applyAlignment="1">
      <alignment horizontal="center" vertical="center"/>
    </xf>
    <xf numFmtId="0" fontId="31" fillId="0" borderId="127" xfId="22" applyFont="1" applyBorder="1" applyAlignment="1">
      <alignment horizontal="center" vertical="center"/>
    </xf>
    <xf numFmtId="49" fontId="100" fillId="0" borderId="135" xfId="10" applyNumberFormat="1" applyFont="1" applyBorder="1" applyAlignment="1" applyProtection="1">
      <alignment horizontal="center" vertical="center"/>
      <protection hidden="1"/>
    </xf>
    <xf numFmtId="0" fontId="7" fillId="0" borderId="126" xfId="10" applyFont="1" applyBorder="1" applyAlignment="1" applyProtection="1">
      <alignment horizontal="center" vertical="center"/>
      <protection hidden="1"/>
    </xf>
    <xf numFmtId="0" fontId="7" fillId="0" borderId="128" xfId="10" applyFont="1" applyBorder="1" applyAlignment="1" applyProtection="1">
      <alignment horizontal="center" vertical="center"/>
      <protection hidden="1"/>
    </xf>
    <xf numFmtId="0" fontId="7" fillId="0" borderId="129" xfId="10" applyFont="1" applyBorder="1" applyAlignment="1" applyProtection="1">
      <alignment horizontal="center" vertical="center"/>
      <protection hidden="1"/>
    </xf>
    <xf numFmtId="0" fontId="7" fillId="0" borderId="131" xfId="10" applyFont="1" applyBorder="1" applyAlignment="1" applyProtection="1">
      <alignment horizontal="center" vertical="center"/>
      <protection hidden="1"/>
    </xf>
    <xf numFmtId="0" fontId="34" fillId="0" borderId="135" xfId="10" applyFont="1" applyFill="1" applyBorder="1" applyAlignment="1" applyProtection="1">
      <alignment horizontal="center" vertical="center"/>
      <protection hidden="1"/>
    </xf>
    <xf numFmtId="0" fontId="34" fillId="0" borderId="136" xfId="10" applyFont="1" applyFill="1" applyBorder="1" applyAlignment="1" applyProtection="1">
      <alignment horizontal="center" vertical="center"/>
      <protection hidden="1"/>
    </xf>
    <xf numFmtId="0" fontId="2" fillId="0" borderId="135" xfId="10" applyFont="1" applyBorder="1" applyAlignment="1">
      <alignment horizontal="center" vertical="center"/>
    </xf>
    <xf numFmtId="0" fontId="2" fillId="0" borderId="149" xfId="10" applyBorder="1" applyAlignment="1">
      <alignment horizontal="center" vertical="center"/>
    </xf>
    <xf numFmtId="0" fontId="99" fillId="0" borderId="162" xfId="22" applyFont="1" applyFill="1" applyBorder="1" applyAlignment="1">
      <alignment horizontal="center" vertical="center"/>
    </xf>
    <xf numFmtId="0" fontId="99" fillId="0" borderId="155" xfId="22" applyFont="1" applyFill="1" applyBorder="1" applyAlignment="1">
      <alignment horizontal="center" vertical="center"/>
    </xf>
    <xf numFmtId="0" fontId="99" fillId="0" borderId="163" xfId="22" applyFont="1" applyFill="1" applyBorder="1" applyAlignment="1">
      <alignment horizontal="center" vertical="center"/>
    </xf>
    <xf numFmtId="0" fontId="99" fillId="0" borderId="135" xfId="10" applyFont="1" applyBorder="1" applyAlignment="1">
      <alignment horizontal="center" vertical="center"/>
    </xf>
    <xf numFmtId="0" fontId="99" fillId="0" borderId="149" xfId="10" applyFont="1" applyBorder="1" applyAlignment="1">
      <alignment horizontal="center" vertical="center"/>
    </xf>
    <xf numFmtId="0" fontId="99" fillId="0" borderId="136" xfId="10" applyFont="1" applyBorder="1" applyAlignment="1">
      <alignment horizontal="center" vertical="center"/>
    </xf>
    <xf numFmtId="0" fontId="2" fillId="0" borderId="136" xfId="10" applyFont="1" applyBorder="1" applyAlignment="1" applyProtection="1">
      <alignment horizontal="center" vertical="center"/>
      <protection hidden="1"/>
    </xf>
    <xf numFmtId="0" fontId="2" fillId="21" borderId="135" xfId="10" applyFont="1" applyFill="1" applyBorder="1" applyAlignment="1" applyProtection="1">
      <alignment horizontal="center" vertical="center"/>
      <protection hidden="1"/>
    </xf>
    <xf numFmtId="0" fontId="2" fillId="21" borderId="136" xfId="10" applyFont="1" applyFill="1" applyBorder="1" applyAlignment="1" applyProtection="1">
      <alignment horizontal="center" vertical="center"/>
      <protection hidden="1"/>
    </xf>
    <xf numFmtId="0" fontId="3" fillId="0" borderId="135" xfId="10" applyFont="1" applyBorder="1" applyAlignment="1" applyProtection="1">
      <alignment horizontal="center" vertical="center"/>
      <protection hidden="1"/>
    </xf>
    <xf numFmtId="0" fontId="3" fillId="0" borderId="136" xfId="10" applyFont="1" applyBorder="1" applyAlignment="1" applyProtection="1">
      <alignment horizontal="center" vertical="center"/>
      <protection hidden="1"/>
    </xf>
    <xf numFmtId="0" fontId="2" fillId="0" borderId="167" xfId="10" applyBorder="1" applyAlignment="1" applyProtection="1">
      <alignment horizontal="center" vertical="center"/>
      <protection hidden="1"/>
    </xf>
    <xf numFmtId="0" fontId="2" fillId="0" borderId="168" xfId="10" applyBorder="1" applyAlignment="1" applyProtection="1">
      <alignment horizontal="center" vertical="center"/>
      <protection hidden="1"/>
    </xf>
    <xf numFmtId="0" fontId="2" fillId="0" borderId="138" xfId="10" applyFont="1" applyBorder="1" applyAlignment="1" applyProtection="1">
      <alignment horizontal="center" vertical="center"/>
      <protection hidden="1"/>
    </xf>
    <xf numFmtId="0" fontId="2" fillId="0" borderId="10" xfId="10" applyFont="1" applyBorder="1" applyAlignment="1" applyProtection="1">
      <alignment horizontal="center" vertical="center"/>
      <protection hidden="1"/>
    </xf>
    <xf numFmtId="0" fontId="2" fillId="0" borderId="170" xfId="10" applyFont="1" applyBorder="1" applyAlignment="1" applyProtection="1">
      <alignment horizontal="center" vertical="center"/>
      <protection hidden="1"/>
    </xf>
    <xf numFmtId="0" fontId="2" fillId="0" borderId="11" xfId="10" applyFont="1" applyBorder="1" applyAlignment="1" applyProtection="1">
      <alignment horizontal="center" vertical="center" wrapText="1"/>
      <protection hidden="1"/>
    </xf>
    <xf numFmtId="0" fontId="2" fillId="0" borderId="172" xfId="10" applyFont="1" applyBorder="1" applyAlignment="1" applyProtection="1">
      <alignment horizontal="center" vertical="center" wrapText="1"/>
      <protection hidden="1"/>
    </xf>
    <xf numFmtId="0" fontId="2" fillId="0" borderId="11" xfId="10" applyFont="1" applyBorder="1" applyAlignment="1" applyProtection="1">
      <alignment horizontal="center" vertical="center"/>
      <protection hidden="1"/>
    </xf>
    <xf numFmtId="0" fontId="2" fillId="0" borderId="172" xfId="10" applyFont="1" applyBorder="1" applyAlignment="1" applyProtection="1">
      <alignment horizontal="center" vertical="center"/>
      <protection hidden="1"/>
    </xf>
    <xf numFmtId="0" fontId="2" fillId="0" borderId="10" xfId="10" applyFont="1" applyBorder="1" applyAlignment="1" applyProtection="1">
      <alignment horizontal="center" vertical="center" wrapText="1"/>
      <protection hidden="1"/>
    </xf>
    <xf numFmtId="0" fontId="2" fillId="0" borderId="170" xfId="10" applyFont="1" applyBorder="1" applyAlignment="1" applyProtection="1">
      <alignment horizontal="center" vertical="center" wrapText="1"/>
      <protection hidden="1"/>
    </xf>
    <xf numFmtId="0" fontId="2" fillId="0" borderId="10" xfId="10" applyBorder="1" applyAlignment="1" applyProtection="1">
      <alignment horizontal="center" vertical="center" wrapText="1"/>
      <protection hidden="1"/>
    </xf>
    <xf numFmtId="0" fontId="2" fillId="0" borderId="170" xfId="10" applyBorder="1" applyAlignment="1" applyProtection="1">
      <alignment horizontal="center" vertical="center" wrapText="1"/>
      <protection hidden="1"/>
    </xf>
    <xf numFmtId="0" fontId="31" fillId="0" borderId="9" xfId="21" applyFont="1" applyBorder="1" applyAlignment="1">
      <alignment horizontal="center" vertical="center"/>
    </xf>
    <xf numFmtId="0" fontId="31" fillId="0" borderId="24" xfId="21" applyFont="1" applyBorder="1" applyAlignment="1">
      <alignment horizontal="center" vertical="center"/>
    </xf>
    <xf numFmtId="0" fontId="31" fillId="0" borderId="18" xfId="21" applyFont="1" applyBorder="1" applyAlignment="1">
      <alignment horizontal="center" vertical="center"/>
    </xf>
    <xf numFmtId="0" fontId="31" fillId="0" borderId="10" xfId="21" applyFont="1" applyBorder="1" applyAlignment="1">
      <alignment horizontal="center" vertical="center"/>
    </xf>
    <xf numFmtId="0" fontId="31" fillId="0" borderId="17" xfId="21" applyFont="1" applyBorder="1" applyAlignment="1">
      <alignment horizontal="center" vertical="center"/>
    </xf>
    <xf numFmtId="1" fontId="46" fillId="0" borderId="0" xfId="8" applyNumberFormat="1" applyFont="1" applyBorder="1" applyAlignment="1">
      <alignment horizontal="left"/>
    </xf>
    <xf numFmtId="0" fontId="17" fillId="0" borderId="11" xfId="11" applyBorder="1" applyAlignment="1">
      <alignment vertical="center"/>
    </xf>
    <xf numFmtId="0" fontId="23" fillId="0" borderId="0" xfId="19" applyFont="1" applyBorder="1" applyAlignment="1" applyProtection="1">
      <alignment horizontal="center" vertical="center"/>
    </xf>
    <xf numFmtId="1" fontId="161" fillId="0" borderId="0" xfId="19" applyNumberFormat="1" applyFont="1" applyBorder="1" applyAlignment="1" applyProtection="1">
      <alignment horizontal="center" vertical="center"/>
    </xf>
    <xf numFmtId="0" fontId="160" fillId="0" borderId="0" xfId="19" applyFont="1" applyBorder="1" applyAlignment="1" applyProtection="1">
      <alignment horizontal="center" vertical="center"/>
    </xf>
    <xf numFmtId="14" fontId="20" fillId="0" borderId="11" xfId="19" applyNumberFormat="1" applyFont="1" applyBorder="1" applyAlignment="1" applyProtection="1">
      <alignment horizontal="left" vertical="center"/>
      <protection locked="0"/>
    </xf>
  </cellXfs>
  <cellStyles count="26">
    <cellStyle name="Euro" xfId="1"/>
    <cellStyle name="Migliaia 2" xfId="2"/>
    <cellStyle name="Migliaia 3" xfId="3"/>
    <cellStyle name="Migliaia 3 2" xfId="4"/>
    <cellStyle name="Migliaia 4" xfId="5"/>
    <cellStyle name="Migliaia_Foglio lav Mini PLISSE-MOD-02-11-05" xfId="6"/>
    <cellStyle name="Migliaia_foglioLavGIOCONDA21-10" xfId="7"/>
    <cellStyle name="Migliaia_NUOVO fogl. lav-GIOCONDAMODFRIZ-24-10" xfId="8"/>
    <cellStyle name="Migliaia_NUOVO fogl. lav-GIOCONDAMODFRIZ-24-10 2" xfId="9"/>
    <cellStyle name="Normale" xfId="0" builtinId="0"/>
    <cellStyle name="Normale 2" xfId="10"/>
    <cellStyle name="Normale 3" xfId="11"/>
    <cellStyle name="Normale 3 2" xfId="12"/>
    <cellStyle name="Normale 4" xfId="13"/>
    <cellStyle name="Normale 4 2" xfId="14"/>
    <cellStyle name="Normale 5" xfId="15"/>
    <cellStyle name="Normale 6" xfId="16"/>
    <cellStyle name="Normale_Foglio lav Mini PLISSE-MOD-02-11-05" xfId="17"/>
    <cellStyle name="Normale_foglioLavGIOCONDA21-10" xfId="18"/>
    <cellStyle name="Normale_foglioLavGIOCONDA21-10 2" xfId="19"/>
    <cellStyle name="Normale_foglioLavGIOCONDA21-10 3" xfId="20"/>
    <cellStyle name="Normale_NUOVO fogl. lav-GIOCONDAMODFRIZ-24-10" xfId="21"/>
    <cellStyle name="Normale_NUOVO fogl. lav-GIOCONDAMODFRIZ-24-10 2" xfId="22"/>
    <cellStyle name="Normale_NUOVO fogl. lav-GIOCONDAMODFRIZ-24-10 3" xfId="23"/>
    <cellStyle name="標準_MVP20200" xfId="24"/>
    <cellStyle name="標準_SPND00" xfId="25"/>
  </cellStyles>
  <dxfs count="32">
    <dxf>
      <font>
        <condense val="0"/>
        <extend val="0"/>
        <color indexed="9"/>
      </font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55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condense val="0"/>
        <extend val="0"/>
        <color indexed="9"/>
      </font>
      <fill>
        <patternFill>
          <bgColor indexed="55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condense val="0"/>
        <extend val="0"/>
        <color indexed="9"/>
      </font>
      <fill>
        <patternFill>
          <bgColor indexed="55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condense val="0"/>
        <extend val="0"/>
        <color indexed="9"/>
      </font>
      <fill>
        <patternFill>
          <bgColor indexed="55"/>
        </patternFill>
      </fill>
    </dxf>
    <dxf>
      <fill>
        <patternFill>
          <bgColor theme="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5"/>
        </patternFill>
      </fill>
    </dxf>
    <dxf>
      <font>
        <b/>
        <i val="0"/>
        <color theme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3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L$15" lockText="1"/>
</file>

<file path=xl/ctrlProps/ctrlProp2.xml><?xml version="1.0" encoding="utf-8"?>
<formControlPr xmlns="http://schemas.microsoft.com/office/spreadsheetml/2009/9/main" objectType="Radio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1.png"/><Relationship Id="rId2" Type="http://schemas.openxmlformats.org/officeDocument/2006/relationships/image" Target="../media/image60.png"/><Relationship Id="rId1" Type="http://schemas.openxmlformats.org/officeDocument/2006/relationships/image" Target="../media/image59.png"/><Relationship Id="rId6" Type="http://schemas.openxmlformats.org/officeDocument/2006/relationships/image" Target="../media/image64.png"/><Relationship Id="rId5" Type="http://schemas.openxmlformats.org/officeDocument/2006/relationships/image" Target="../media/image63.png"/><Relationship Id="rId4" Type="http://schemas.openxmlformats.org/officeDocument/2006/relationships/image" Target="../media/image6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5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6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7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8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9.w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0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0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6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0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0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0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6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0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2.png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png"/><Relationship Id="rId3" Type="http://schemas.openxmlformats.org/officeDocument/2006/relationships/image" Target="../media/image75.png"/><Relationship Id="rId7" Type="http://schemas.openxmlformats.org/officeDocument/2006/relationships/image" Target="../media/image79.png"/><Relationship Id="rId2" Type="http://schemas.openxmlformats.org/officeDocument/2006/relationships/image" Target="../media/image74.png"/><Relationship Id="rId1" Type="http://schemas.openxmlformats.org/officeDocument/2006/relationships/image" Target="../media/image73.png"/><Relationship Id="rId6" Type="http://schemas.openxmlformats.org/officeDocument/2006/relationships/image" Target="../media/image78.png"/><Relationship Id="rId11" Type="http://schemas.openxmlformats.org/officeDocument/2006/relationships/image" Target="../media/image83.png"/><Relationship Id="rId5" Type="http://schemas.openxmlformats.org/officeDocument/2006/relationships/image" Target="../media/image77.png"/><Relationship Id="rId10" Type="http://schemas.openxmlformats.org/officeDocument/2006/relationships/image" Target="../media/image82.png"/><Relationship Id="rId4" Type="http://schemas.openxmlformats.org/officeDocument/2006/relationships/image" Target="../media/image76.png"/><Relationship Id="rId9" Type="http://schemas.openxmlformats.org/officeDocument/2006/relationships/image" Target="../media/image8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0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0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6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0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2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28.emf"/><Relationship Id="rId18" Type="http://schemas.openxmlformats.org/officeDocument/2006/relationships/image" Target="../media/image23.emf"/><Relationship Id="rId3" Type="http://schemas.openxmlformats.org/officeDocument/2006/relationships/image" Target="../media/image38.emf"/><Relationship Id="rId7" Type="http://schemas.openxmlformats.org/officeDocument/2006/relationships/image" Target="../media/image34.emf"/><Relationship Id="rId12" Type="http://schemas.openxmlformats.org/officeDocument/2006/relationships/image" Target="../media/image29.emf"/><Relationship Id="rId17" Type="http://schemas.openxmlformats.org/officeDocument/2006/relationships/image" Target="../media/image24.emf"/><Relationship Id="rId2" Type="http://schemas.openxmlformats.org/officeDocument/2006/relationships/image" Target="../media/image39.emf"/><Relationship Id="rId16" Type="http://schemas.openxmlformats.org/officeDocument/2006/relationships/image" Target="../media/image25.emf"/><Relationship Id="rId20" Type="http://schemas.openxmlformats.org/officeDocument/2006/relationships/image" Target="../media/image21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11" Type="http://schemas.openxmlformats.org/officeDocument/2006/relationships/image" Target="../media/image30.emf"/><Relationship Id="rId5" Type="http://schemas.openxmlformats.org/officeDocument/2006/relationships/image" Target="../media/image36.emf"/><Relationship Id="rId15" Type="http://schemas.openxmlformats.org/officeDocument/2006/relationships/image" Target="../media/image26.emf"/><Relationship Id="rId10" Type="http://schemas.openxmlformats.org/officeDocument/2006/relationships/image" Target="../media/image31.emf"/><Relationship Id="rId19" Type="http://schemas.openxmlformats.org/officeDocument/2006/relationships/image" Target="../media/image22.emf"/><Relationship Id="rId4" Type="http://schemas.openxmlformats.org/officeDocument/2006/relationships/image" Target="../media/image37.emf"/><Relationship Id="rId9" Type="http://schemas.openxmlformats.org/officeDocument/2006/relationships/image" Target="../media/image32.emf"/><Relationship Id="rId14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image" Target="../media/image53.emf"/><Relationship Id="rId18" Type="http://schemas.openxmlformats.org/officeDocument/2006/relationships/image" Target="../media/image58.emf"/><Relationship Id="rId3" Type="http://schemas.openxmlformats.org/officeDocument/2006/relationships/image" Target="../media/image43.emf"/><Relationship Id="rId7" Type="http://schemas.openxmlformats.org/officeDocument/2006/relationships/image" Target="../media/image47.emf"/><Relationship Id="rId12" Type="http://schemas.openxmlformats.org/officeDocument/2006/relationships/image" Target="../media/image52.emf"/><Relationship Id="rId17" Type="http://schemas.openxmlformats.org/officeDocument/2006/relationships/image" Target="../media/image57.emf"/><Relationship Id="rId2" Type="http://schemas.openxmlformats.org/officeDocument/2006/relationships/image" Target="../media/image42.emf"/><Relationship Id="rId16" Type="http://schemas.openxmlformats.org/officeDocument/2006/relationships/image" Target="../media/image56.emf"/><Relationship Id="rId1" Type="http://schemas.openxmlformats.org/officeDocument/2006/relationships/image" Target="../media/image41.emf"/><Relationship Id="rId6" Type="http://schemas.openxmlformats.org/officeDocument/2006/relationships/image" Target="../media/image46.emf"/><Relationship Id="rId11" Type="http://schemas.openxmlformats.org/officeDocument/2006/relationships/image" Target="../media/image51.emf"/><Relationship Id="rId5" Type="http://schemas.openxmlformats.org/officeDocument/2006/relationships/image" Target="../media/image45.emf"/><Relationship Id="rId15" Type="http://schemas.openxmlformats.org/officeDocument/2006/relationships/image" Target="../media/image55.emf"/><Relationship Id="rId10" Type="http://schemas.openxmlformats.org/officeDocument/2006/relationships/image" Target="../media/image50.emf"/><Relationship Id="rId4" Type="http://schemas.openxmlformats.org/officeDocument/2006/relationships/image" Target="../media/image44.emf"/><Relationship Id="rId9" Type="http://schemas.openxmlformats.org/officeDocument/2006/relationships/image" Target="../media/image49.emf"/><Relationship Id="rId14" Type="http://schemas.openxmlformats.org/officeDocument/2006/relationships/image" Target="../media/image5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31</xdr:row>
      <xdr:rowOff>76200</xdr:rowOff>
    </xdr:from>
    <xdr:to>
      <xdr:col>11</xdr:col>
      <xdr:colOff>57150</xdr:colOff>
      <xdr:row>50</xdr:row>
      <xdr:rowOff>104775</xdr:rowOff>
    </xdr:to>
    <xdr:grpSp>
      <xdr:nvGrpSpPr>
        <xdr:cNvPr id="3745411" name="Gruppo 7">
          <a:extLst>
            <a:ext uri="{FF2B5EF4-FFF2-40B4-BE49-F238E27FC236}">
              <a16:creationId xmlns="" xmlns:a16="http://schemas.microsoft.com/office/drawing/2014/main" id="{00000000-0008-0000-0200-000083263900}"/>
            </a:ext>
          </a:extLst>
        </xdr:cNvPr>
        <xdr:cNvGrpSpPr>
          <a:grpSpLocks/>
        </xdr:cNvGrpSpPr>
      </xdr:nvGrpSpPr>
      <xdr:grpSpPr bwMode="auto">
        <a:xfrm>
          <a:off x="1169377" y="4589585"/>
          <a:ext cx="2324100" cy="3091228"/>
          <a:chOff x="11265353" y="798739"/>
          <a:chExt cx="3103789" cy="4110718"/>
        </a:xfrm>
      </xdr:grpSpPr>
      <xdr:sp macro="" textlink="">
        <xdr:nvSpPr>
          <xdr:cNvPr id="3" name="Rettangolo 2">
            <a:extLst>
              <a:ext uri="{FF2B5EF4-FFF2-40B4-BE49-F238E27FC236}">
                <a16:creationId xmlns=""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1265353" y="798739"/>
            <a:ext cx="3078758" cy="4110718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it-IT"/>
          </a:p>
        </xdr:txBody>
      </xdr:sp>
      <xdr:cxnSp macro="">
        <xdr:nvCxnSpPr>
          <xdr:cNvPr id="5" name="Connettore 1 4">
            <a:extLst>
              <a:ext uri="{FF2B5EF4-FFF2-40B4-BE49-F238E27FC236}">
                <a16:creationId xmlns=""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11277868" y="1643580"/>
            <a:ext cx="307875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" name="Connettore 1 5">
            <a:extLst>
              <a:ext uri="{FF2B5EF4-FFF2-40B4-BE49-F238E27FC236}">
                <a16:creationId xmlns="" xmlns:a16="http://schemas.microsoft.com/office/drawing/2014/main" id="{00000000-0008-0000-0200-000006000000}"/>
              </a:ext>
            </a:extLst>
          </xdr:cNvPr>
          <xdr:cNvCxnSpPr/>
        </xdr:nvCxnSpPr>
        <xdr:spPr>
          <a:xfrm>
            <a:off x="11290384" y="2538859"/>
            <a:ext cx="3078758" cy="1261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" name="Connettore 1 6">
            <a:extLst>
              <a:ext uri="{FF2B5EF4-FFF2-40B4-BE49-F238E27FC236}">
                <a16:creationId xmlns=""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277868" y="3446748"/>
            <a:ext cx="307875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152400</xdr:rowOff>
        </xdr:from>
        <xdr:to>
          <xdr:col>2</xdr:col>
          <xdr:colOff>419100</xdr:colOff>
          <xdr:row>31</xdr:row>
          <xdr:rowOff>47625</xdr:rowOff>
        </xdr:to>
        <xdr:sp macro="" textlink="">
          <xdr:nvSpPr>
            <xdr:cNvPr id="2481406" name="TextBox1" hidden="1">
              <a:extLst>
                <a:ext uri="{63B3BB69-23CF-44E3-9099-C40C66FF867C}">
                  <a14:compatExt spid="_x0000_s248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34</xdr:row>
          <xdr:rowOff>9525</xdr:rowOff>
        </xdr:from>
        <xdr:to>
          <xdr:col>2</xdr:col>
          <xdr:colOff>409575</xdr:colOff>
          <xdr:row>35</xdr:row>
          <xdr:rowOff>66675</xdr:rowOff>
        </xdr:to>
        <xdr:sp macro="" textlink="">
          <xdr:nvSpPr>
            <xdr:cNvPr id="2481407" name="TextBox2" hidden="1">
              <a:extLst>
                <a:ext uri="{63B3BB69-23CF-44E3-9099-C40C66FF867C}">
                  <a14:compatExt spid="_x0000_s248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38100</xdr:rowOff>
        </xdr:from>
        <xdr:to>
          <xdr:col>2</xdr:col>
          <xdr:colOff>428625</xdr:colOff>
          <xdr:row>39</xdr:row>
          <xdr:rowOff>95250</xdr:rowOff>
        </xdr:to>
        <xdr:sp macro="" textlink="">
          <xdr:nvSpPr>
            <xdr:cNvPr id="2481408" name="TextBox3" hidden="1">
              <a:extLst>
                <a:ext uri="{63B3BB69-23CF-44E3-9099-C40C66FF867C}">
                  <a14:compatExt spid="_x0000_s2481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42</xdr:row>
          <xdr:rowOff>76200</xdr:rowOff>
        </xdr:from>
        <xdr:to>
          <xdr:col>2</xdr:col>
          <xdr:colOff>438150</xdr:colOff>
          <xdr:row>43</xdr:row>
          <xdr:rowOff>133350</xdr:rowOff>
        </xdr:to>
        <xdr:sp macro="" textlink="">
          <xdr:nvSpPr>
            <xdr:cNvPr id="2481409" name="TextBox4" hidden="1">
              <a:extLst>
                <a:ext uri="{63B3BB69-23CF-44E3-9099-C40C66FF867C}">
                  <a14:compatExt spid="_x0000_s248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0</xdr:rowOff>
        </xdr:from>
        <xdr:to>
          <xdr:col>2</xdr:col>
          <xdr:colOff>428625</xdr:colOff>
          <xdr:row>54</xdr:row>
          <xdr:rowOff>57150</xdr:rowOff>
        </xdr:to>
        <xdr:sp macro="" textlink="">
          <xdr:nvSpPr>
            <xdr:cNvPr id="2481410" name="TextBox5" hidden="1">
              <a:extLst>
                <a:ext uri="{63B3BB69-23CF-44E3-9099-C40C66FF867C}">
                  <a14:compatExt spid="_x0000_s248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53</xdr:row>
          <xdr:rowOff>9525</xdr:rowOff>
        </xdr:from>
        <xdr:to>
          <xdr:col>12</xdr:col>
          <xdr:colOff>161925</xdr:colOff>
          <xdr:row>54</xdr:row>
          <xdr:rowOff>66675</xdr:rowOff>
        </xdr:to>
        <xdr:sp macro="" textlink="">
          <xdr:nvSpPr>
            <xdr:cNvPr id="2481411" name="TextBox6" hidden="1">
              <a:extLst>
                <a:ext uri="{63B3BB69-23CF-44E3-9099-C40C66FF867C}">
                  <a14:compatExt spid="_x0000_s248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28</xdr:row>
          <xdr:rowOff>0</xdr:rowOff>
        </xdr:from>
        <xdr:to>
          <xdr:col>11</xdr:col>
          <xdr:colOff>57150</xdr:colOff>
          <xdr:row>29</xdr:row>
          <xdr:rowOff>95250</xdr:rowOff>
        </xdr:to>
        <xdr:sp macro="" textlink="">
          <xdr:nvSpPr>
            <xdr:cNvPr id="2481412" name="CommandButton1" hidden="1">
              <a:extLst>
                <a:ext uri="{63B3BB69-23CF-44E3-9099-C40C66FF867C}">
                  <a14:compatExt spid="_x0000_s248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38100</xdr:rowOff>
        </xdr:from>
        <xdr:to>
          <xdr:col>1</xdr:col>
          <xdr:colOff>219075</xdr:colOff>
          <xdr:row>29</xdr:row>
          <xdr:rowOff>104775</xdr:rowOff>
        </xdr:to>
        <xdr:sp macro="" textlink="">
          <xdr:nvSpPr>
            <xdr:cNvPr id="2481450" name="CommandButton2" hidden="1">
              <a:extLst>
                <a:ext uri="{63B3BB69-23CF-44E3-9099-C40C66FF867C}">
                  <a14:compatExt spid="_x0000_s248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28</xdr:row>
          <xdr:rowOff>38100</xdr:rowOff>
        </xdr:from>
        <xdr:to>
          <xdr:col>2</xdr:col>
          <xdr:colOff>400050</xdr:colOff>
          <xdr:row>29</xdr:row>
          <xdr:rowOff>104775</xdr:rowOff>
        </xdr:to>
        <xdr:sp macro="" textlink="">
          <xdr:nvSpPr>
            <xdr:cNvPr id="2481458" name="CommandButton3" hidden="1">
              <a:extLst>
                <a:ext uri="{63B3BB69-23CF-44E3-9099-C40C66FF867C}">
                  <a14:compatExt spid="_x0000_s248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57150</xdr:rowOff>
        </xdr:from>
        <xdr:to>
          <xdr:col>1</xdr:col>
          <xdr:colOff>209550</xdr:colOff>
          <xdr:row>33</xdr:row>
          <xdr:rowOff>123825</xdr:rowOff>
        </xdr:to>
        <xdr:sp macro="" textlink="">
          <xdr:nvSpPr>
            <xdr:cNvPr id="2481459" name="CommandButton4" hidden="1">
              <a:extLst>
                <a:ext uri="{63B3BB69-23CF-44E3-9099-C40C66FF867C}">
                  <a14:compatExt spid="_x0000_s248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76200</xdr:rowOff>
        </xdr:from>
        <xdr:to>
          <xdr:col>1</xdr:col>
          <xdr:colOff>209550</xdr:colOff>
          <xdr:row>37</xdr:row>
          <xdr:rowOff>142875</xdr:rowOff>
        </xdr:to>
        <xdr:sp macro="" textlink="">
          <xdr:nvSpPr>
            <xdr:cNvPr id="2481461" name="CommandButton5" hidden="1">
              <a:extLst>
                <a:ext uri="{63B3BB69-23CF-44E3-9099-C40C66FF867C}">
                  <a14:compatExt spid="_x0000_s248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40</xdr:row>
          <xdr:rowOff>114300</xdr:rowOff>
        </xdr:from>
        <xdr:to>
          <xdr:col>1</xdr:col>
          <xdr:colOff>200025</xdr:colOff>
          <xdr:row>42</xdr:row>
          <xdr:rowOff>19050</xdr:rowOff>
        </xdr:to>
        <xdr:sp macro="" textlink="">
          <xdr:nvSpPr>
            <xdr:cNvPr id="2481462" name="CommandButton6" hidden="1">
              <a:extLst>
                <a:ext uri="{63B3BB69-23CF-44E3-9099-C40C66FF867C}">
                  <a14:compatExt spid="_x0000_s248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51</xdr:row>
          <xdr:rowOff>38100</xdr:rowOff>
        </xdr:from>
        <xdr:to>
          <xdr:col>1</xdr:col>
          <xdr:colOff>247650</xdr:colOff>
          <xdr:row>52</xdr:row>
          <xdr:rowOff>104775</xdr:rowOff>
        </xdr:to>
        <xdr:sp macro="" textlink="">
          <xdr:nvSpPr>
            <xdr:cNvPr id="2481463" name="CommandButton7" hidden="1">
              <a:extLst>
                <a:ext uri="{63B3BB69-23CF-44E3-9099-C40C66FF867C}">
                  <a14:compatExt spid="_x0000_s248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32</xdr:row>
          <xdr:rowOff>57150</xdr:rowOff>
        </xdr:from>
        <xdr:to>
          <xdr:col>2</xdr:col>
          <xdr:colOff>381000</xdr:colOff>
          <xdr:row>33</xdr:row>
          <xdr:rowOff>123825</xdr:rowOff>
        </xdr:to>
        <xdr:sp macro="" textlink="">
          <xdr:nvSpPr>
            <xdr:cNvPr id="2481464" name="CommandButton8" hidden="1">
              <a:extLst>
                <a:ext uri="{63B3BB69-23CF-44E3-9099-C40C66FF867C}">
                  <a14:compatExt spid="_x0000_s248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36</xdr:row>
          <xdr:rowOff>66675</xdr:rowOff>
        </xdr:from>
        <xdr:to>
          <xdr:col>2</xdr:col>
          <xdr:colOff>409575</xdr:colOff>
          <xdr:row>37</xdr:row>
          <xdr:rowOff>133350</xdr:rowOff>
        </xdr:to>
        <xdr:sp macro="" textlink="">
          <xdr:nvSpPr>
            <xdr:cNvPr id="2481465" name="CommandButton9" hidden="1">
              <a:extLst>
                <a:ext uri="{63B3BB69-23CF-44E3-9099-C40C66FF867C}">
                  <a14:compatExt spid="_x0000_s248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40</xdr:row>
          <xdr:rowOff>123825</xdr:rowOff>
        </xdr:from>
        <xdr:to>
          <xdr:col>2</xdr:col>
          <xdr:colOff>419100</xdr:colOff>
          <xdr:row>42</xdr:row>
          <xdr:rowOff>28575</xdr:rowOff>
        </xdr:to>
        <xdr:sp macro="" textlink="">
          <xdr:nvSpPr>
            <xdr:cNvPr id="2481466" name="CommandButton10" hidden="1">
              <a:extLst>
                <a:ext uri="{63B3BB69-23CF-44E3-9099-C40C66FF867C}">
                  <a14:compatExt spid="_x0000_s248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51</xdr:row>
          <xdr:rowOff>38100</xdr:rowOff>
        </xdr:from>
        <xdr:to>
          <xdr:col>2</xdr:col>
          <xdr:colOff>409575</xdr:colOff>
          <xdr:row>52</xdr:row>
          <xdr:rowOff>104775</xdr:rowOff>
        </xdr:to>
        <xdr:sp macro="" textlink="">
          <xdr:nvSpPr>
            <xdr:cNvPr id="2481467" name="CommandButton11" hidden="1">
              <a:extLst>
                <a:ext uri="{63B3BB69-23CF-44E3-9099-C40C66FF867C}">
                  <a14:compatExt spid="_x0000_s248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51</xdr:row>
          <xdr:rowOff>57150</xdr:rowOff>
        </xdr:from>
        <xdr:to>
          <xdr:col>10</xdr:col>
          <xdr:colOff>190500</xdr:colOff>
          <xdr:row>52</xdr:row>
          <xdr:rowOff>123825</xdr:rowOff>
        </xdr:to>
        <xdr:sp macro="" textlink="">
          <xdr:nvSpPr>
            <xdr:cNvPr id="2481468" name="CommandButton12" hidden="1">
              <a:extLst>
                <a:ext uri="{63B3BB69-23CF-44E3-9099-C40C66FF867C}">
                  <a14:compatExt spid="_x0000_s248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266700</xdr:colOff>
          <xdr:row>51</xdr:row>
          <xdr:rowOff>57150</xdr:rowOff>
        </xdr:from>
        <xdr:to>
          <xdr:col>12</xdr:col>
          <xdr:colOff>152400</xdr:colOff>
          <xdr:row>52</xdr:row>
          <xdr:rowOff>123825</xdr:rowOff>
        </xdr:to>
        <xdr:sp macro="" textlink="">
          <xdr:nvSpPr>
            <xdr:cNvPr id="2481469" name="CommandButton13" hidden="1">
              <a:extLst>
                <a:ext uri="{63B3BB69-23CF-44E3-9099-C40C66FF867C}">
                  <a14:compatExt spid="_x0000_s248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29</xdr:row>
          <xdr:rowOff>123825</xdr:rowOff>
        </xdr:from>
        <xdr:to>
          <xdr:col>11</xdr:col>
          <xdr:colOff>66675</xdr:colOff>
          <xdr:row>31</xdr:row>
          <xdr:rowOff>57150</xdr:rowOff>
        </xdr:to>
        <xdr:sp macro="" textlink="">
          <xdr:nvSpPr>
            <xdr:cNvPr id="2481470" name="CommandButton14" hidden="1">
              <a:extLst>
                <a:ext uri="{63B3BB69-23CF-44E3-9099-C40C66FF867C}">
                  <a14:compatExt spid="_x0000_s248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32</xdr:row>
      <xdr:rowOff>76200</xdr:rowOff>
    </xdr:from>
    <xdr:to>
      <xdr:col>10</xdr:col>
      <xdr:colOff>123825</xdr:colOff>
      <xdr:row>51</xdr:row>
      <xdr:rowOff>104775</xdr:rowOff>
    </xdr:to>
    <xdr:grpSp>
      <xdr:nvGrpSpPr>
        <xdr:cNvPr id="2" name="Gruppo 7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pSpPr>
          <a:grpSpLocks/>
        </xdr:cNvGrpSpPr>
      </xdr:nvGrpSpPr>
      <xdr:grpSpPr bwMode="auto">
        <a:xfrm>
          <a:off x="834537" y="4816719"/>
          <a:ext cx="2395903" cy="3091229"/>
          <a:chOff x="11265353" y="798739"/>
          <a:chExt cx="3103789" cy="4110718"/>
        </a:xfrm>
      </xdr:grpSpPr>
      <xdr:sp macro="" textlink="">
        <xdr:nvSpPr>
          <xdr:cNvPr id="3" name="Rettangolo 2">
            <a:extLst>
              <a:ext uri="{FF2B5EF4-FFF2-40B4-BE49-F238E27FC236}">
                <a16:creationId xmlns=""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1265353" y="798739"/>
            <a:ext cx="3079635" cy="4110718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it-IT"/>
          </a:p>
        </xdr:txBody>
      </xdr:sp>
      <xdr:cxnSp macro="">
        <xdr:nvCxnSpPr>
          <xdr:cNvPr id="4" name="Connettore 1 3">
            <a:extLst>
              <a:ext uri="{FF2B5EF4-FFF2-40B4-BE49-F238E27FC236}">
                <a16:creationId xmlns="" xmlns:a16="http://schemas.microsoft.com/office/drawing/2014/main" id="{00000000-0008-0000-0300-000004000000}"/>
              </a:ext>
            </a:extLst>
          </xdr:cNvPr>
          <xdr:cNvCxnSpPr/>
        </xdr:nvCxnSpPr>
        <xdr:spPr>
          <a:xfrm>
            <a:off x="11277430" y="1643580"/>
            <a:ext cx="307963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" name="Connettore 1 4">
            <a:extLst>
              <a:ext uri="{FF2B5EF4-FFF2-40B4-BE49-F238E27FC236}">
                <a16:creationId xmlns=""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11289507" y="2538859"/>
            <a:ext cx="3079635" cy="1261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" name="Connettore 1 5">
            <a:extLst>
              <a:ext uri="{FF2B5EF4-FFF2-40B4-BE49-F238E27FC236}">
                <a16:creationId xmlns="" xmlns:a16="http://schemas.microsoft.com/office/drawing/2014/main" id="{00000000-0008-0000-0300-000006000000}"/>
              </a:ext>
            </a:extLst>
          </xdr:cNvPr>
          <xdr:cNvCxnSpPr/>
        </xdr:nvCxnSpPr>
        <xdr:spPr>
          <a:xfrm>
            <a:off x="11277430" y="3446748"/>
            <a:ext cx="307963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95250</xdr:rowOff>
        </xdr:from>
        <xdr:to>
          <xdr:col>3</xdr:col>
          <xdr:colOff>0</xdr:colOff>
          <xdr:row>32</xdr:row>
          <xdr:rowOff>152400</xdr:rowOff>
        </xdr:to>
        <xdr:sp macro="" textlink="">
          <xdr:nvSpPr>
            <xdr:cNvPr id="2523137" name="TextBox1" hidden="1">
              <a:extLst>
                <a:ext uri="{63B3BB69-23CF-44E3-9099-C40C66FF867C}">
                  <a14:compatExt spid="_x0000_s252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114300</xdr:rowOff>
        </xdr:from>
        <xdr:to>
          <xdr:col>2</xdr:col>
          <xdr:colOff>438150</xdr:colOff>
          <xdr:row>37</xdr:row>
          <xdr:rowOff>9525</xdr:rowOff>
        </xdr:to>
        <xdr:sp macro="" textlink="">
          <xdr:nvSpPr>
            <xdr:cNvPr id="2523138" name="TextBox2" hidden="1">
              <a:extLst>
                <a:ext uri="{63B3BB69-23CF-44E3-9099-C40C66FF867C}">
                  <a14:compatExt spid="_x0000_s2523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142875</xdr:rowOff>
        </xdr:from>
        <xdr:to>
          <xdr:col>3</xdr:col>
          <xdr:colOff>0</xdr:colOff>
          <xdr:row>41</xdr:row>
          <xdr:rowOff>38100</xdr:rowOff>
        </xdr:to>
        <xdr:sp macro="" textlink="">
          <xdr:nvSpPr>
            <xdr:cNvPr id="2523139" name="TextBox3" hidden="1">
              <a:extLst>
                <a:ext uri="{63B3BB69-23CF-44E3-9099-C40C66FF867C}">
                  <a14:compatExt spid="_x0000_s2523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19050</xdr:rowOff>
        </xdr:from>
        <xdr:to>
          <xdr:col>3</xdr:col>
          <xdr:colOff>0</xdr:colOff>
          <xdr:row>45</xdr:row>
          <xdr:rowOff>76200</xdr:rowOff>
        </xdr:to>
        <xdr:sp macro="" textlink="">
          <xdr:nvSpPr>
            <xdr:cNvPr id="2523140" name="TextBox4" hidden="1">
              <a:extLst>
                <a:ext uri="{63B3BB69-23CF-44E3-9099-C40C66FF867C}">
                  <a14:compatExt spid="_x0000_s2523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104775</xdr:rowOff>
        </xdr:from>
        <xdr:to>
          <xdr:col>3</xdr:col>
          <xdr:colOff>0</xdr:colOff>
          <xdr:row>56</xdr:row>
          <xdr:rowOff>0</xdr:rowOff>
        </xdr:to>
        <xdr:sp macro="" textlink="">
          <xdr:nvSpPr>
            <xdr:cNvPr id="2523141" name="TextBox5" hidden="1">
              <a:extLst>
                <a:ext uri="{63B3BB69-23CF-44E3-9099-C40C66FF867C}">
                  <a14:compatExt spid="_x0000_s2523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54</xdr:row>
          <xdr:rowOff>114300</xdr:rowOff>
        </xdr:from>
        <xdr:to>
          <xdr:col>12</xdr:col>
          <xdr:colOff>19050</xdr:colOff>
          <xdr:row>56</xdr:row>
          <xdr:rowOff>9525</xdr:rowOff>
        </xdr:to>
        <xdr:sp macro="" textlink="">
          <xdr:nvSpPr>
            <xdr:cNvPr id="2523142" name="TextBox6" hidden="1">
              <a:extLst>
                <a:ext uri="{63B3BB69-23CF-44E3-9099-C40C66FF867C}">
                  <a14:compatExt spid="_x0000_s2523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27</xdr:row>
          <xdr:rowOff>123825</xdr:rowOff>
        </xdr:from>
        <xdr:to>
          <xdr:col>11</xdr:col>
          <xdr:colOff>104775</xdr:colOff>
          <xdr:row>29</xdr:row>
          <xdr:rowOff>57150</xdr:rowOff>
        </xdr:to>
        <xdr:sp macro="" textlink="">
          <xdr:nvSpPr>
            <xdr:cNvPr id="2523143" name="CommandButton1" hidden="1">
              <a:extLst>
                <a:ext uri="{63B3BB69-23CF-44E3-9099-C40C66FF867C}">
                  <a14:compatExt spid="_x0000_s2523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142875</xdr:rowOff>
        </xdr:from>
        <xdr:to>
          <xdr:col>1</xdr:col>
          <xdr:colOff>209550</xdr:colOff>
          <xdr:row>31</xdr:row>
          <xdr:rowOff>47625</xdr:rowOff>
        </xdr:to>
        <xdr:sp macro="" textlink="">
          <xdr:nvSpPr>
            <xdr:cNvPr id="2523144" name="CommandButton2" hidden="1">
              <a:extLst>
                <a:ext uri="{63B3BB69-23CF-44E3-9099-C40C66FF867C}">
                  <a14:compatExt spid="_x0000_s2523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29</xdr:row>
          <xdr:rowOff>142875</xdr:rowOff>
        </xdr:from>
        <xdr:to>
          <xdr:col>2</xdr:col>
          <xdr:colOff>371475</xdr:colOff>
          <xdr:row>31</xdr:row>
          <xdr:rowOff>47625</xdr:rowOff>
        </xdr:to>
        <xdr:sp macro="" textlink="">
          <xdr:nvSpPr>
            <xdr:cNvPr id="2523145" name="CommandButton3" hidden="1">
              <a:extLst>
                <a:ext uri="{63B3BB69-23CF-44E3-9099-C40C66FF867C}">
                  <a14:compatExt spid="_x0000_s2523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1</xdr:col>
          <xdr:colOff>209550</xdr:colOff>
          <xdr:row>35</xdr:row>
          <xdr:rowOff>66675</xdr:rowOff>
        </xdr:to>
        <xdr:sp macro="" textlink="">
          <xdr:nvSpPr>
            <xdr:cNvPr id="2523146" name="CommandButton4" hidden="1">
              <a:extLst>
                <a:ext uri="{63B3BB69-23CF-44E3-9099-C40C66FF867C}">
                  <a14:compatExt spid="_x0000_s2523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19050</xdr:rowOff>
        </xdr:from>
        <xdr:to>
          <xdr:col>1</xdr:col>
          <xdr:colOff>209550</xdr:colOff>
          <xdr:row>39</xdr:row>
          <xdr:rowOff>85725</xdr:rowOff>
        </xdr:to>
        <xdr:sp macro="" textlink="">
          <xdr:nvSpPr>
            <xdr:cNvPr id="2523147" name="CommandButton5" hidden="1">
              <a:extLst>
                <a:ext uri="{63B3BB69-23CF-44E3-9099-C40C66FF867C}">
                  <a14:compatExt spid="_x0000_s252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57150</xdr:rowOff>
        </xdr:from>
        <xdr:to>
          <xdr:col>1</xdr:col>
          <xdr:colOff>200025</xdr:colOff>
          <xdr:row>43</xdr:row>
          <xdr:rowOff>123825</xdr:rowOff>
        </xdr:to>
        <xdr:sp macro="" textlink="">
          <xdr:nvSpPr>
            <xdr:cNvPr id="2523148" name="CommandButton6" hidden="1">
              <a:extLst>
                <a:ext uri="{63B3BB69-23CF-44E3-9099-C40C66FF867C}">
                  <a14:compatExt spid="_x0000_s2523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142875</xdr:rowOff>
        </xdr:from>
        <xdr:to>
          <xdr:col>1</xdr:col>
          <xdr:colOff>219075</xdr:colOff>
          <xdr:row>54</xdr:row>
          <xdr:rowOff>47625</xdr:rowOff>
        </xdr:to>
        <xdr:sp macro="" textlink="">
          <xdr:nvSpPr>
            <xdr:cNvPr id="2523149" name="CommandButton7" hidden="1">
              <a:extLst>
                <a:ext uri="{63B3BB69-23CF-44E3-9099-C40C66FF867C}">
                  <a14:compatExt spid="_x0000_s2523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34</xdr:row>
          <xdr:rowOff>0</xdr:rowOff>
        </xdr:from>
        <xdr:to>
          <xdr:col>2</xdr:col>
          <xdr:colOff>352425</xdr:colOff>
          <xdr:row>35</xdr:row>
          <xdr:rowOff>66675</xdr:rowOff>
        </xdr:to>
        <xdr:sp macro="" textlink="">
          <xdr:nvSpPr>
            <xdr:cNvPr id="2523150" name="CommandButton8" hidden="1">
              <a:extLst>
                <a:ext uri="{63B3BB69-23CF-44E3-9099-C40C66FF867C}">
                  <a14:compatExt spid="_x0000_s2523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38</xdr:row>
          <xdr:rowOff>9525</xdr:rowOff>
        </xdr:from>
        <xdr:to>
          <xdr:col>2</xdr:col>
          <xdr:colOff>381000</xdr:colOff>
          <xdr:row>39</xdr:row>
          <xdr:rowOff>76200</xdr:rowOff>
        </xdr:to>
        <xdr:sp macro="" textlink="">
          <xdr:nvSpPr>
            <xdr:cNvPr id="2523151" name="CommandButton9" hidden="1">
              <a:extLst>
                <a:ext uri="{63B3BB69-23CF-44E3-9099-C40C66FF867C}">
                  <a14:compatExt spid="_x0000_s2523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42</xdr:row>
          <xdr:rowOff>66675</xdr:rowOff>
        </xdr:from>
        <xdr:to>
          <xdr:col>2</xdr:col>
          <xdr:colOff>390525</xdr:colOff>
          <xdr:row>43</xdr:row>
          <xdr:rowOff>133350</xdr:rowOff>
        </xdr:to>
        <xdr:sp macro="" textlink="">
          <xdr:nvSpPr>
            <xdr:cNvPr id="2523152" name="CommandButton10" hidden="1">
              <a:extLst>
                <a:ext uri="{63B3BB69-23CF-44E3-9099-C40C66FF867C}">
                  <a14:compatExt spid="_x0000_s2523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52</xdr:row>
          <xdr:rowOff>142875</xdr:rowOff>
        </xdr:from>
        <xdr:to>
          <xdr:col>2</xdr:col>
          <xdr:colOff>381000</xdr:colOff>
          <xdr:row>54</xdr:row>
          <xdr:rowOff>47625</xdr:rowOff>
        </xdr:to>
        <xdr:sp macro="" textlink="">
          <xdr:nvSpPr>
            <xdr:cNvPr id="2523153" name="CommandButton11" hidden="1">
              <a:extLst>
                <a:ext uri="{63B3BB69-23CF-44E3-9099-C40C66FF867C}">
                  <a14:compatExt spid="_x0000_s252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53</xdr:row>
          <xdr:rowOff>0</xdr:rowOff>
        </xdr:from>
        <xdr:to>
          <xdr:col>11</xdr:col>
          <xdr:colOff>57150</xdr:colOff>
          <xdr:row>54</xdr:row>
          <xdr:rowOff>66675</xdr:rowOff>
        </xdr:to>
        <xdr:sp macro="" textlink="">
          <xdr:nvSpPr>
            <xdr:cNvPr id="2523154" name="CommandButton12" hidden="1">
              <a:extLst>
                <a:ext uri="{63B3BB69-23CF-44E3-9099-C40C66FF867C}">
                  <a14:compatExt spid="_x0000_s2523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333375</xdr:colOff>
          <xdr:row>53</xdr:row>
          <xdr:rowOff>0</xdr:rowOff>
        </xdr:from>
        <xdr:to>
          <xdr:col>12</xdr:col>
          <xdr:colOff>9525</xdr:colOff>
          <xdr:row>54</xdr:row>
          <xdr:rowOff>66675</xdr:rowOff>
        </xdr:to>
        <xdr:sp macro="" textlink="">
          <xdr:nvSpPr>
            <xdr:cNvPr id="2523155" name="CommandButton13" hidden="1">
              <a:extLst>
                <a:ext uri="{63B3BB69-23CF-44E3-9099-C40C66FF867C}">
                  <a14:compatExt spid="_x0000_s252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29</xdr:row>
          <xdr:rowOff>114300</xdr:rowOff>
        </xdr:from>
        <xdr:to>
          <xdr:col>11</xdr:col>
          <xdr:colOff>104775</xdr:colOff>
          <xdr:row>31</xdr:row>
          <xdr:rowOff>47625</xdr:rowOff>
        </xdr:to>
        <xdr:sp macro="" textlink="">
          <xdr:nvSpPr>
            <xdr:cNvPr id="2523156" name="CommandButton14" hidden="1">
              <a:extLst>
                <a:ext uri="{63B3BB69-23CF-44E3-9099-C40C66FF867C}">
                  <a14:compatExt spid="_x0000_s2523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1200150</xdr:colOff>
      <xdr:row>1</xdr:row>
      <xdr:rowOff>28575</xdr:rowOff>
    </xdr:from>
    <xdr:to>
      <xdr:col>1</xdr:col>
      <xdr:colOff>1781175</xdr:colOff>
      <xdr:row>1</xdr:row>
      <xdr:rowOff>304800</xdr:rowOff>
    </xdr:to>
    <xdr:pic>
      <xdr:nvPicPr>
        <xdr:cNvPr id="3771110" name="Picture 5">
          <a:extLst>
            <a:ext uri="{FF2B5EF4-FFF2-40B4-BE49-F238E27FC236}">
              <a16:creationId xmlns="" xmlns:a16="http://schemas.microsoft.com/office/drawing/2014/main" id="{00000000-0008-0000-0400-0000E68A3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14475" y="238125"/>
          <a:ext cx="581025" cy="2762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19050</xdr:colOff>
      <xdr:row>1</xdr:row>
      <xdr:rowOff>28575</xdr:rowOff>
    </xdr:from>
    <xdr:to>
      <xdr:col>2</xdr:col>
      <xdr:colOff>600075</xdr:colOff>
      <xdr:row>1</xdr:row>
      <xdr:rowOff>304800</xdr:rowOff>
    </xdr:to>
    <xdr:pic>
      <xdr:nvPicPr>
        <xdr:cNvPr id="3771111" name="Picture 2">
          <a:extLst>
            <a:ext uri="{FF2B5EF4-FFF2-40B4-BE49-F238E27FC236}">
              <a16:creationId xmlns="" xmlns:a16="http://schemas.microsoft.com/office/drawing/2014/main" id="{00000000-0008-0000-0400-0000E78A39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152650" y="238125"/>
          <a:ext cx="581025" cy="2762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28575</xdr:rowOff>
    </xdr:from>
    <xdr:to>
      <xdr:col>2</xdr:col>
      <xdr:colOff>1219200</xdr:colOff>
      <xdr:row>1</xdr:row>
      <xdr:rowOff>304800</xdr:rowOff>
    </xdr:to>
    <xdr:pic>
      <xdr:nvPicPr>
        <xdr:cNvPr id="3771112" name="Immagine 3" descr="United-Kingdom_flag.gif">
          <a:extLst>
            <a:ext uri="{FF2B5EF4-FFF2-40B4-BE49-F238E27FC236}">
              <a16:creationId xmlns="" xmlns:a16="http://schemas.microsoft.com/office/drawing/2014/main" id="{00000000-0008-0000-0400-0000E88A39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771775" y="238125"/>
          <a:ext cx="581025" cy="276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1238250</xdr:colOff>
      <xdr:row>1</xdr:row>
      <xdr:rowOff>28575</xdr:rowOff>
    </xdr:from>
    <xdr:to>
      <xdr:col>2</xdr:col>
      <xdr:colOff>1819275</xdr:colOff>
      <xdr:row>1</xdr:row>
      <xdr:rowOff>304800</xdr:rowOff>
    </xdr:to>
    <xdr:pic>
      <xdr:nvPicPr>
        <xdr:cNvPr id="3771113" name="Immagine 4" descr="France_flag.gif">
          <a:extLst>
            <a:ext uri="{FF2B5EF4-FFF2-40B4-BE49-F238E27FC236}">
              <a16:creationId xmlns="" xmlns:a16="http://schemas.microsoft.com/office/drawing/2014/main" id="{00000000-0008-0000-0400-0000E98A39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371850" y="238125"/>
          <a:ext cx="581025" cy="276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1847850</xdr:colOff>
      <xdr:row>1</xdr:row>
      <xdr:rowOff>28575</xdr:rowOff>
    </xdr:from>
    <xdr:to>
      <xdr:col>2</xdr:col>
      <xdr:colOff>2428875</xdr:colOff>
      <xdr:row>1</xdr:row>
      <xdr:rowOff>304800</xdr:rowOff>
    </xdr:to>
    <xdr:pic>
      <xdr:nvPicPr>
        <xdr:cNvPr id="3771114" name="Immagine 5" descr="Greece_flags.gif">
          <a:extLst>
            <a:ext uri="{FF2B5EF4-FFF2-40B4-BE49-F238E27FC236}">
              <a16:creationId xmlns="" xmlns:a16="http://schemas.microsoft.com/office/drawing/2014/main" id="{00000000-0008-0000-0400-0000EA8A39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981450" y="238125"/>
          <a:ext cx="581025" cy="276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2457450</xdr:colOff>
      <xdr:row>1</xdr:row>
      <xdr:rowOff>19050</xdr:rowOff>
    </xdr:from>
    <xdr:to>
      <xdr:col>2</xdr:col>
      <xdr:colOff>3038475</xdr:colOff>
      <xdr:row>1</xdr:row>
      <xdr:rowOff>295275</xdr:rowOff>
    </xdr:to>
    <xdr:pic>
      <xdr:nvPicPr>
        <xdr:cNvPr id="3771115" name="Immagine 6" descr="Spain_flags.gif">
          <a:extLst>
            <a:ext uri="{FF2B5EF4-FFF2-40B4-BE49-F238E27FC236}">
              <a16:creationId xmlns="" xmlns:a16="http://schemas.microsoft.com/office/drawing/2014/main" id="{00000000-0008-0000-0400-0000EB8A39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4591050" y="228600"/>
          <a:ext cx="581025" cy="276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5</xdr:row>
          <xdr:rowOff>9525</xdr:rowOff>
        </xdr:from>
        <xdr:to>
          <xdr:col>4</xdr:col>
          <xdr:colOff>1504950</xdr:colOff>
          <xdr:row>5</xdr:row>
          <xdr:rowOff>314325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1609725</xdr:colOff>
          <xdr:row>8</xdr:row>
          <xdr:rowOff>28575</xdr:rowOff>
        </xdr:from>
        <xdr:to>
          <xdr:col>4</xdr:col>
          <xdr:colOff>3314700</xdr:colOff>
          <xdr:row>8</xdr:row>
          <xdr:rowOff>333375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1562100</xdr:colOff>
          <xdr:row>5</xdr:row>
          <xdr:rowOff>0</xdr:rowOff>
        </xdr:from>
        <xdr:to>
          <xdr:col>4</xdr:col>
          <xdr:colOff>3305175</xdr:colOff>
          <xdr:row>5</xdr:row>
          <xdr:rowOff>304800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20</xdr:row>
          <xdr:rowOff>247650</xdr:rowOff>
        </xdr:from>
        <xdr:to>
          <xdr:col>9</xdr:col>
          <xdr:colOff>0</xdr:colOff>
          <xdr:row>21</xdr:row>
          <xdr:rowOff>190500</xdr:rowOff>
        </xdr:to>
        <xdr:sp macro="" textlink="">
          <xdr:nvSpPr>
            <xdr:cNvPr id="1043" name="Option 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20</xdr:row>
          <xdr:rowOff>190500</xdr:rowOff>
        </xdr:from>
        <xdr:to>
          <xdr:col>9</xdr:col>
          <xdr:colOff>0</xdr:colOff>
          <xdr:row>21</xdr:row>
          <xdr:rowOff>219075</xdr:rowOff>
        </xdr:to>
        <xdr:sp macro="" textlink="">
          <xdr:nvSpPr>
            <xdr:cNvPr id="1044" name="Option 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GRIGIA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200025</xdr:rowOff>
        </xdr:from>
        <xdr:to>
          <xdr:col>9</xdr:col>
          <xdr:colOff>0</xdr:colOff>
          <xdr:row>1</xdr:row>
          <xdr:rowOff>514350</xdr:rowOff>
        </xdr:to>
        <xdr:sp macro="" textlink="">
          <xdr:nvSpPr>
            <xdr:cNvPr id="1063" name="CommandButton4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</xdr:row>
          <xdr:rowOff>57150</xdr:rowOff>
        </xdr:from>
        <xdr:to>
          <xdr:col>2</xdr:col>
          <xdr:colOff>2933700</xdr:colOff>
          <xdr:row>2</xdr:row>
          <xdr:rowOff>295275</xdr:rowOff>
        </xdr:to>
        <xdr:sp macro="" textlink="">
          <xdr:nvSpPr>
            <xdr:cNvPr id="1076" name="ComboBox1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</xdr:row>
          <xdr:rowOff>28575</xdr:rowOff>
        </xdr:from>
        <xdr:to>
          <xdr:col>4</xdr:col>
          <xdr:colOff>1533525</xdr:colOff>
          <xdr:row>2</xdr:row>
          <xdr:rowOff>323850</xdr:rowOff>
        </xdr:to>
        <xdr:sp macro="" textlink="">
          <xdr:nvSpPr>
            <xdr:cNvPr id="1078" name="CommandButton5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9</xdr:row>
          <xdr:rowOff>38100</xdr:rowOff>
        </xdr:from>
        <xdr:to>
          <xdr:col>4</xdr:col>
          <xdr:colOff>1533525</xdr:colOff>
          <xdr:row>9</xdr:row>
          <xdr:rowOff>333375</xdr:rowOff>
        </xdr:to>
        <xdr:sp macro="" textlink="">
          <xdr:nvSpPr>
            <xdr:cNvPr id="1210" name="CommandButton6" hidden="1">
              <a:extLst>
                <a:ext uri="{63B3BB69-23CF-44E3-9099-C40C66FF867C}">
                  <a14:compatExt spid="_x0000_s1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9</xdr:row>
          <xdr:rowOff>47625</xdr:rowOff>
        </xdr:from>
        <xdr:to>
          <xdr:col>2</xdr:col>
          <xdr:colOff>2924175</xdr:colOff>
          <xdr:row>9</xdr:row>
          <xdr:rowOff>285750</xdr:rowOff>
        </xdr:to>
        <xdr:sp macro="" textlink="">
          <xdr:nvSpPr>
            <xdr:cNvPr id="1211" name="ComboBox2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1257300</xdr:colOff>
          <xdr:row>1</xdr:row>
          <xdr:rowOff>314325</xdr:rowOff>
        </xdr:from>
        <xdr:to>
          <xdr:col>1</xdr:col>
          <xdr:colOff>1685925</xdr:colOff>
          <xdr:row>1</xdr:row>
          <xdr:rowOff>581025</xdr:rowOff>
        </xdr:to>
        <xdr:sp macro="" textlink="">
          <xdr:nvSpPr>
            <xdr:cNvPr id="1569" name="OptionButton1" hidden="1">
              <a:extLst>
                <a:ext uri="{63B3BB69-23CF-44E3-9099-C40C66FF867C}">
                  <a14:compatExt spid="_x0000_s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1</xdr:row>
          <xdr:rowOff>314325</xdr:rowOff>
        </xdr:from>
        <xdr:to>
          <xdr:col>2</xdr:col>
          <xdr:colOff>628650</xdr:colOff>
          <xdr:row>1</xdr:row>
          <xdr:rowOff>581025</xdr:rowOff>
        </xdr:to>
        <xdr:sp macro="" textlink="">
          <xdr:nvSpPr>
            <xdr:cNvPr id="1570" name="OptionButton2" hidden="1">
              <a:extLst>
                <a:ext uri="{63B3BB69-23CF-44E3-9099-C40C66FF867C}">
                  <a14:compatExt spid="_x0000_s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657225</xdr:colOff>
          <xdr:row>1</xdr:row>
          <xdr:rowOff>323850</xdr:rowOff>
        </xdr:from>
        <xdr:to>
          <xdr:col>2</xdr:col>
          <xdr:colOff>1190625</xdr:colOff>
          <xdr:row>1</xdr:row>
          <xdr:rowOff>590550</xdr:rowOff>
        </xdr:to>
        <xdr:sp macro="" textlink="">
          <xdr:nvSpPr>
            <xdr:cNvPr id="1571" name="OptionButton3" hidden="1">
              <a:extLst>
                <a:ext uri="{63B3BB69-23CF-44E3-9099-C40C66FF867C}">
                  <a14:compatExt spid="_x0000_s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1276350</xdr:colOff>
          <xdr:row>1</xdr:row>
          <xdr:rowOff>323850</xdr:rowOff>
        </xdr:from>
        <xdr:to>
          <xdr:col>2</xdr:col>
          <xdr:colOff>1781175</xdr:colOff>
          <xdr:row>1</xdr:row>
          <xdr:rowOff>590550</xdr:rowOff>
        </xdr:to>
        <xdr:sp macro="" textlink="">
          <xdr:nvSpPr>
            <xdr:cNvPr id="1581" name="OptionButton4" hidden="1">
              <a:extLst>
                <a:ext uri="{63B3BB69-23CF-44E3-9099-C40C66FF867C}">
                  <a14:compatExt spid="_x0000_s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1</xdr:row>
          <xdr:rowOff>323850</xdr:rowOff>
        </xdr:from>
        <xdr:to>
          <xdr:col>2</xdr:col>
          <xdr:colOff>2400300</xdr:colOff>
          <xdr:row>1</xdr:row>
          <xdr:rowOff>590550</xdr:rowOff>
        </xdr:to>
        <xdr:sp macro="" textlink="">
          <xdr:nvSpPr>
            <xdr:cNvPr id="1582" name="OptionButton5" hidden="1">
              <a:extLst>
                <a:ext uri="{63B3BB69-23CF-44E3-9099-C40C66FF867C}">
                  <a14:compatExt spid="_x0000_s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2486025</xdr:colOff>
          <xdr:row>1</xdr:row>
          <xdr:rowOff>323850</xdr:rowOff>
        </xdr:from>
        <xdr:to>
          <xdr:col>2</xdr:col>
          <xdr:colOff>2990850</xdr:colOff>
          <xdr:row>1</xdr:row>
          <xdr:rowOff>590550</xdr:rowOff>
        </xdr:to>
        <xdr:sp macro="" textlink="">
          <xdr:nvSpPr>
            <xdr:cNvPr id="1583" name="OptionButton6" hidden="1">
              <a:extLst>
                <a:ext uri="{63B3BB69-23CF-44E3-9099-C40C66FF867C}">
                  <a14:compatExt spid="_x0000_s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</xdr:row>
          <xdr:rowOff>28575</xdr:rowOff>
        </xdr:from>
        <xdr:to>
          <xdr:col>4</xdr:col>
          <xdr:colOff>1552575</xdr:colOff>
          <xdr:row>8</xdr:row>
          <xdr:rowOff>333375</xdr:rowOff>
        </xdr:to>
        <xdr:sp macro="" textlink="">
          <xdr:nvSpPr>
            <xdr:cNvPr id="1696" name="CommandButton7" hidden="1">
              <a:extLst>
                <a:ext uri="{63B3BB69-23CF-44E3-9099-C40C66FF867C}">
                  <a14:compatExt spid="_x0000_s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11</xdr:row>
          <xdr:rowOff>38100</xdr:rowOff>
        </xdr:from>
        <xdr:to>
          <xdr:col>2</xdr:col>
          <xdr:colOff>1333500</xdr:colOff>
          <xdr:row>11</xdr:row>
          <xdr:rowOff>304800</xdr:rowOff>
        </xdr:to>
        <xdr:sp macro="" textlink="">
          <xdr:nvSpPr>
            <xdr:cNvPr id="2110083" name="OptionButton7" hidden="1">
              <a:extLst>
                <a:ext uri="{63B3BB69-23CF-44E3-9099-C40C66FF867C}">
                  <a14:compatExt spid="_x0000_s2110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1828800</xdr:colOff>
          <xdr:row>11</xdr:row>
          <xdr:rowOff>38100</xdr:rowOff>
        </xdr:from>
        <xdr:to>
          <xdr:col>2</xdr:col>
          <xdr:colOff>2609850</xdr:colOff>
          <xdr:row>11</xdr:row>
          <xdr:rowOff>304800</xdr:rowOff>
        </xdr:to>
        <xdr:sp macro="" textlink="">
          <xdr:nvSpPr>
            <xdr:cNvPr id="2110084" name="OptionButton8" hidden="1">
              <a:extLst>
                <a:ext uri="{63B3BB69-23CF-44E3-9099-C40C66FF867C}">
                  <a14:compatExt spid="_x0000_s2110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209550</xdr:rowOff>
        </xdr:from>
        <xdr:to>
          <xdr:col>4</xdr:col>
          <xdr:colOff>1457325</xdr:colOff>
          <xdr:row>1</xdr:row>
          <xdr:rowOff>514350</xdr:rowOff>
        </xdr:to>
        <xdr:sp macro="" textlink="">
          <xdr:nvSpPr>
            <xdr:cNvPr id="2110085" name="CommandButton9" hidden="1">
              <a:extLst>
                <a:ext uri="{63B3BB69-23CF-44E3-9099-C40C66FF867C}">
                  <a14:compatExt spid="_x0000_s2110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48</xdr:row>
      <xdr:rowOff>0</xdr:rowOff>
    </xdr:from>
    <xdr:to>
      <xdr:col>2</xdr:col>
      <xdr:colOff>352425</xdr:colOff>
      <xdr:row>55</xdr:row>
      <xdr:rowOff>0</xdr:rowOff>
    </xdr:to>
    <xdr:sp macro="" textlink="">
      <xdr:nvSpPr>
        <xdr:cNvPr id="4388079" name="Line 1">
          <a:extLst>
            <a:ext uri="{FF2B5EF4-FFF2-40B4-BE49-F238E27FC236}">
              <a16:creationId xmlns="" xmlns:a16="http://schemas.microsoft.com/office/drawing/2014/main" id="{00000000-0008-0000-0600-0000EFF44200}"/>
            </a:ext>
          </a:extLst>
        </xdr:cNvPr>
        <xdr:cNvSpPr>
          <a:spLocks noChangeShapeType="1"/>
        </xdr:cNvSpPr>
      </xdr:nvSpPr>
      <xdr:spPr bwMode="auto">
        <a:xfrm>
          <a:off x="2466975" y="18430875"/>
          <a:ext cx="0" cy="2066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200025</xdr:colOff>
      <xdr:row>32</xdr:row>
      <xdr:rowOff>171450</xdr:rowOff>
    </xdr:from>
    <xdr:to>
      <xdr:col>8</xdr:col>
      <xdr:colOff>352425</xdr:colOff>
      <xdr:row>50</xdr:row>
      <xdr:rowOff>95250</xdr:rowOff>
    </xdr:to>
    <xdr:grpSp>
      <xdr:nvGrpSpPr>
        <xdr:cNvPr id="4388080" name="Gruppo 300">
          <a:extLst>
            <a:ext uri="{FF2B5EF4-FFF2-40B4-BE49-F238E27FC236}">
              <a16:creationId xmlns="" xmlns:a16="http://schemas.microsoft.com/office/drawing/2014/main" id="{00000000-0008-0000-0600-0000F0F44200}"/>
            </a:ext>
          </a:extLst>
        </xdr:cNvPr>
        <xdr:cNvGrpSpPr>
          <a:grpSpLocks/>
        </xdr:cNvGrpSpPr>
      </xdr:nvGrpSpPr>
      <xdr:grpSpPr bwMode="auto">
        <a:xfrm>
          <a:off x="7177088" y="12815888"/>
          <a:ext cx="152400" cy="5948362"/>
          <a:chOff x="7226880" y="13246677"/>
          <a:chExt cx="157593" cy="5985164"/>
        </a:xfrm>
      </xdr:grpSpPr>
      <xdr:grpSp>
        <xdr:nvGrpSpPr>
          <xdr:cNvPr id="4388367" name="Group 3">
            <a:extLst>
              <a:ext uri="{FF2B5EF4-FFF2-40B4-BE49-F238E27FC236}">
                <a16:creationId xmlns="" xmlns:a16="http://schemas.microsoft.com/office/drawing/2014/main" id="{00000000-0008-0000-0600-00000FF64200}"/>
              </a:ext>
            </a:extLst>
          </xdr:cNvPr>
          <xdr:cNvGrpSpPr>
            <a:grpSpLocks/>
          </xdr:cNvGrpSpPr>
        </xdr:nvGrpSpPr>
        <xdr:grpSpPr bwMode="auto">
          <a:xfrm>
            <a:off x="7256320" y="13246677"/>
            <a:ext cx="95250" cy="5985164"/>
            <a:chOff x="621" y="908"/>
            <a:chExt cx="19" cy="457"/>
          </a:xfrm>
        </xdr:grpSpPr>
        <xdr:sp macro="" textlink="">
          <xdr:nvSpPr>
            <xdr:cNvPr id="4388370" name="Freeform 4">
              <a:extLst>
                <a:ext uri="{FF2B5EF4-FFF2-40B4-BE49-F238E27FC236}">
                  <a16:creationId xmlns="" xmlns:a16="http://schemas.microsoft.com/office/drawing/2014/main" id="{00000000-0008-0000-0600-000012F64200}"/>
                </a:ext>
              </a:extLst>
            </xdr:cNvPr>
            <xdr:cNvSpPr>
              <a:spLocks/>
            </xdr:cNvSpPr>
          </xdr:nvSpPr>
          <xdr:spPr bwMode="auto">
            <a:xfrm>
              <a:off x="621" y="908"/>
              <a:ext cx="18" cy="28"/>
            </a:xfrm>
            <a:custGeom>
              <a:avLst/>
              <a:gdLst>
                <a:gd name="T0" fmla="*/ 0 w 20"/>
                <a:gd name="T1" fmla="*/ 5 h 31"/>
                <a:gd name="T2" fmla="*/ 2 w 20"/>
                <a:gd name="T3" fmla="*/ 5 h 31"/>
                <a:gd name="T4" fmla="*/ 5 w 20"/>
                <a:gd name="T5" fmla="*/ 1 h 31"/>
                <a:gd name="T6" fmla="*/ 5 w 20"/>
                <a:gd name="T7" fmla="*/ 5 h 31"/>
                <a:gd name="T8" fmla="*/ 5 w 20"/>
                <a:gd name="T9" fmla="*/ 5 h 31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20"/>
                <a:gd name="T16" fmla="*/ 0 h 31"/>
                <a:gd name="T17" fmla="*/ 20 w 20"/>
                <a:gd name="T18" fmla="*/ 31 h 31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20" h="31">
                  <a:moveTo>
                    <a:pt x="0" y="31"/>
                  </a:moveTo>
                  <a:cubicBezTo>
                    <a:pt x="0" y="21"/>
                    <a:pt x="0" y="12"/>
                    <a:pt x="2" y="7"/>
                  </a:cubicBezTo>
                  <a:cubicBezTo>
                    <a:pt x="4" y="2"/>
                    <a:pt x="9" y="0"/>
                    <a:pt x="12" y="1"/>
                  </a:cubicBezTo>
                  <a:cubicBezTo>
                    <a:pt x="15" y="2"/>
                    <a:pt x="18" y="7"/>
                    <a:pt x="19" y="12"/>
                  </a:cubicBezTo>
                  <a:cubicBezTo>
                    <a:pt x="20" y="17"/>
                    <a:pt x="19" y="26"/>
                    <a:pt x="19" y="29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88371" name="Freeform 5">
              <a:extLst>
                <a:ext uri="{FF2B5EF4-FFF2-40B4-BE49-F238E27FC236}">
                  <a16:creationId xmlns="" xmlns:a16="http://schemas.microsoft.com/office/drawing/2014/main" id="{00000000-0008-0000-0600-000013F64200}"/>
                </a:ext>
              </a:extLst>
            </xdr:cNvPr>
            <xdr:cNvSpPr>
              <a:spLocks/>
            </xdr:cNvSpPr>
          </xdr:nvSpPr>
          <xdr:spPr bwMode="auto">
            <a:xfrm rot="10800000">
              <a:off x="621" y="1337"/>
              <a:ext cx="18" cy="28"/>
            </a:xfrm>
            <a:custGeom>
              <a:avLst/>
              <a:gdLst>
                <a:gd name="T0" fmla="*/ 0 w 20"/>
                <a:gd name="T1" fmla="*/ 5 h 31"/>
                <a:gd name="T2" fmla="*/ 2 w 20"/>
                <a:gd name="T3" fmla="*/ 5 h 31"/>
                <a:gd name="T4" fmla="*/ 5 w 20"/>
                <a:gd name="T5" fmla="*/ 1 h 31"/>
                <a:gd name="T6" fmla="*/ 5 w 20"/>
                <a:gd name="T7" fmla="*/ 5 h 31"/>
                <a:gd name="T8" fmla="*/ 5 w 20"/>
                <a:gd name="T9" fmla="*/ 5 h 31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20"/>
                <a:gd name="T16" fmla="*/ 0 h 31"/>
                <a:gd name="T17" fmla="*/ 20 w 20"/>
                <a:gd name="T18" fmla="*/ 31 h 31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20" h="31">
                  <a:moveTo>
                    <a:pt x="0" y="31"/>
                  </a:moveTo>
                  <a:cubicBezTo>
                    <a:pt x="0" y="21"/>
                    <a:pt x="0" y="12"/>
                    <a:pt x="2" y="7"/>
                  </a:cubicBezTo>
                  <a:cubicBezTo>
                    <a:pt x="4" y="2"/>
                    <a:pt x="9" y="0"/>
                    <a:pt x="12" y="1"/>
                  </a:cubicBezTo>
                  <a:cubicBezTo>
                    <a:pt x="15" y="2"/>
                    <a:pt x="18" y="7"/>
                    <a:pt x="19" y="12"/>
                  </a:cubicBezTo>
                  <a:cubicBezTo>
                    <a:pt x="20" y="17"/>
                    <a:pt x="19" y="26"/>
                    <a:pt x="19" y="29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88372" name="Line 6">
              <a:extLst>
                <a:ext uri="{FF2B5EF4-FFF2-40B4-BE49-F238E27FC236}">
                  <a16:creationId xmlns="" xmlns:a16="http://schemas.microsoft.com/office/drawing/2014/main" id="{00000000-0008-0000-0600-000014F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22" y="934"/>
              <a:ext cx="0" cy="16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88373" name="Line 7">
              <a:extLst>
                <a:ext uri="{FF2B5EF4-FFF2-40B4-BE49-F238E27FC236}">
                  <a16:creationId xmlns="" xmlns:a16="http://schemas.microsoft.com/office/drawing/2014/main" id="{00000000-0008-0000-0600-000015F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40" y="930"/>
              <a:ext cx="0" cy="16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88374" name="Line 8">
              <a:extLst>
                <a:ext uri="{FF2B5EF4-FFF2-40B4-BE49-F238E27FC236}">
                  <a16:creationId xmlns="" xmlns:a16="http://schemas.microsoft.com/office/drawing/2014/main" id="{00000000-0008-0000-0600-000016F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22" y="1184"/>
              <a:ext cx="0" cy="16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88375" name="Line 9">
              <a:extLst>
                <a:ext uri="{FF2B5EF4-FFF2-40B4-BE49-F238E27FC236}">
                  <a16:creationId xmlns="" xmlns:a16="http://schemas.microsoft.com/office/drawing/2014/main" id="{00000000-0008-0000-0600-000017F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39" y="1182"/>
              <a:ext cx="0" cy="16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88376" name="Line 10">
              <a:extLst>
                <a:ext uri="{FF2B5EF4-FFF2-40B4-BE49-F238E27FC236}">
                  <a16:creationId xmlns="" xmlns:a16="http://schemas.microsoft.com/office/drawing/2014/main" id="{00000000-0008-0000-0600-000018F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21" y="1097"/>
              <a:ext cx="18" cy="87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88368" name="Line 11">
            <a:extLst>
              <a:ext uri="{FF2B5EF4-FFF2-40B4-BE49-F238E27FC236}">
                <a16:creationId xmlns="" xmlns:a16="http://schemas.microsoft.com/office/drawing/2014/main" id="{00000000-0008-0000-0600-000010F6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226880" y="16545791"/>
            <a:ext cx="66675" cy="48664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8369" name="Line 12">
            <a:extLst>
              <a:ext uri="{FF2B5EF4-FFF2-40B4-BE49-F238E27FC236}">
                <a16:creationId xmlns="" xmlns:a16="http://schemas.microsoft.com/office/drawing/2014/main" id="{00000000-0008-0000-0600-000011F6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7336848" y="15724909"/>
            <a:ext cx="47625" cy="60440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9</xdr:col>
      <xdr:colOff>266700</xdr:colOff>
      <xdr:row>37</xdr:row>
      <xdr:rowOff>38100</xdr:rowOff>
    </xdr:from>
    <xdr:to>
      <xdr:col>10</xdr:col>
      <xdr:colOff>352425</xdr:colOff>
      <xdr:row>38</xdr:row>
      <xdr:rowOff>161925</xdr:rowOff>
    </xdr:to>
    <xdr:sp macro="" textlink="">
      <xdr:nvSpPr>
        <xdr:cNvPr id="4388081" name="Text Box 13">
          <a:extLst>
            <a:ext uri="{FF2B5EF4-FFF2-40B4-BE49-F238E27FC236}">
              <a16:creationId xmlns="" xmlns:a16="http://schemas.microsoft.com/office/drawing/2014/main" id="{00000000-0008-0000-0600-0000F1F44200}"/>
            </a:ext>
          </a:extLst>
        </xdr:cNvPr>
        <xdr:cNvSpPr txBox="1">
          <a:spLocks noChangeArrowheads="1"/>
        </xdr:cNvSpPr>
      </xdr:nvSpPr>
      <xdr:spPr bwMode="auto">
        <a:xfrm>
          <a:off x="7905750" y="14678025"/>
          <a:ext cx="952500" cy="628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15</xdr:col>
      <xdr:colOff>409575</xdr:colOff>
      <xdr:row>32</xdr:row>
      <xdr:rowOff>28575</xdr:rowOff>
    </xdr:from>
    <xdr:to>
      <xdr:col>15</xdr:col>
      <xdr:colOff>571500</xdr:colOff>
      <xdr:row>33</xdr:row>
      <xdr:rowOff>57150</xdr:rowOff>
    </xdr:to>
    <xdr:sp macro="" textlink="">
      <xdr:nvSpPr>
        <xdr:cNvPr id="4388082" name="Freeform 17">
          <a:extLst>
            <a:ext uri="{FF2B5EF4-FFF2-40B4-BE49-F238E27FC236}">
              <a16:creationId xmlns="" xmlns:a16="http://schemas.microsoft.com/office/drawing/2014/main" id="{00000000-0008-0000-0600-0000F2F44200}"/>
            </a:ext>
          </a:extLst>
        </xdr:cNvPr>
        <xdr:cNvSpPr>
          <a:spLocks/>
        </xdr:cNvSpPr>
      </xdr:nvSpPr>
      <xdr:spPr bwMode="auto">
        <a:xfrm>
          <a:off x="13525500" y="12915900"/>
          <a:ext cx="161925" cy="419100"/>
        </a:xfrm>
        <a:custGeom>
          <a:avLst/>
          <a:gdLst>
            <a:gd name="T0" fmla="*/ 0 w 20"/>
            <a:gd name="T1" fmla="*/ 2147483647 h 31"/>
            <a:gd name="T2" fmla="*/ 2147483647 w 20"/>
            <a:gd name="T3" fmla="*/ 2147483647 h 31"/>
            <a:gd name="T4" fmla="*/ 2147483647 w 20"/>
            <a:gd name="T5" fmla="*/ 2147483647 h 31"/>
            <a:gd name="T6" fmla="*/ 2147483647 w 20"/>
            <a:gd name="T7" fmla="*/ 2147483647 h 31"/>
            <a:gd name="T8" fmla="*/ 2147483647 w 20"/>
            <a:gd name="T9" fmla="*/ 2147483647 h 3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1"/>
            <a:gd name="T17" fmla="*/ 20 w 20"/>
            <a:gd name="T18" fmla="*/ 31 h 3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1">
              <a:moveTo>
                <a:pt x="0" y="31"/>
              </a:moveTo>
              <a:cubicBezTo>
                <a:pt x="0" y="21"/>
                <a:pt x="0" y="12"/>
                <a:pt x="2" y="7"/>
              </a:cubicBezTo>
              <a:cubicBezTo>
                <a:pt x="4" y="2"/>
                <a:pt x="9" y="0"/>
                <a:pt x="12" y="1"/>
              </a:cubicBezTo>
              <a:cubicBezTo>
                <a:pt x="15" y="2"/>
                <a:pt x="18" y="7"/>
                <a:pt x="19" y="12"/>
              </a:cubicBezTo>
              <a:cubicBezTo>
                <a:pt x="20" y="17"/>
                <a:pt x="19" y="26"/>
                <a:pt x="19" y="29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409575</xdr:colOff>
      <xdr:row>48</xdr:row>
      <xdr:rowOff>152400</xdr:rowOff>
    </xdr:from>
    <xdr:to>
      <xdr:col>15</xdr:col>
      <xdr:colOff>571500</xdr:colOff>
      <xdr:row>49</xdr:row>
      <xdr:rowOff>180975</xdr:rowOff>
    </xdr:to>
    <xdr:sp macro="" textlink="">
      <xdr:nvSpPr>
        <xdr:cNvPr id="4388083" name="Freeform 18">
          <a:extLst>
            <a:ext uri="{FF2B5EF4-FFF2-40B4-BE49-F238E27FC236}">
              <a16:creationId xmlns="" xmlns:a16="http://schemas.microsoft.com/office/drawing/2014/main" id="{00000000-0008-0000-0600-0000F3F44200}"/>
            </a:ext>
          </a:extLst>
        </xdr:cNvPr>
        <xdr:cNvSpPr>
          <a:spLocks/>
        </xdr:cNvSpPr>
      </xdr:nvSpPr>
      <xdr:spPr bwMode="auto">
        <a:xfrm rot="10800000">
          <a:off x="13525500" y="18583275"/>
          <a:ext cx="161925" cy="266700"/>
        </a:xfrm>
        <a:custGeom>
          <a:avLst/>
          <a:gdLst>
            <a:gd name="T0" fmla="*/ 0 w 20"/>
            <a:gd name="T1" fmla="*/ 2147483647 h 31"/>
            <a:gd name="T2" fmla="*/ 2147483647 w 20"/>
            <a:gd name="T3" fmla="*/ 2147483647 h 31"/>
            <a:gd name="T4" fmla="*/ 2147483647 w 20"/>
            <a:gd name="T5" fmla="*/ 2147483647 h 31"/>
            <a:gd name="T6" fmla="*/ 2147483647 w 20"/>
            <a:gd name="T7" fmla="*/ 2147483647 h 31"/>
            <a:gd name="T8" fmla="*/ 2147483647 w 20"/>
            <a:gd name="T9" fmla="*/ 2147483647 h 3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1"/>
            <a:gd name="T17" fmla="*/ 20 w 20"/>
            <a:gd name="T18" fmla="*/ 31 h 3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1">
              <a:moveTo>
                <a:pt x="0" y="31"/>
              </a:moveTo>
              <a:cubicBezTo>
                <a:pt x="0" y="21"/>
                <a:pt x="0" y="12"/>
                <a:pt x="2" y="7"/>
              </a:cubicBezTo>
              <a:cubicBezTo>
                <a:pt x="4" y="2"/>
                <a:pt x="9" y="0"/>
                <a:pt x="12" y="1"/>
              </a:cubicBezTo>
              <a:cubicBezTo>
                <a:pt x="15" y="2"/>
                <a:pt x="18" y="7"/>
                <a:pt x="19" y="12"/>
              </a:cubicBezTo>
              <a:cubicBezTo>
                <a:pt x="20" y="17"/>
                <a:pt x="19" y="26"/>
                <a:pt x="19" y="29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409575</xdr:colOff>
      <xdr:row>33</xdr:row>
      <xdr:rowOff>28575</xdr:rowOff>
    </xdr:from>
    <xdr:to>
      <xdr:col>15</xdr:col>
      <xdr:colOff>409575</xdr:colOff>
      <xdr:row>39</xdr:row>
      <xdr:rowOff>85725</xdr:rowOff>
    </xdr:to>
    <xdr:sp macro="" textlink="">
      <xdr:nvSpPr>
        <xdr:cNvPr id="4388084" name="Line 19">
          <a:extLst>
            <a:ext uri="{FF2B5EF4-FFF2-40B4-BE49-F238E27FC236}">
              <a16:creationId xmlns="" xmlns:a16="http://schemas.microsoft.com/office/drawing/2014/main" id="{00000000-0008-0000-0600-0000F4F44200}"/>
            </a:ext>
          </a:extLst>
        </xdr:cNvPr>
        <xdr:cNvSpPr>
          <a:spLocks noChangeShapeType="1"/>
        </xdr:cNvSpPr>
      </xdr:nvSpPr>
      <xdr:spPr bwMode="auto">
        <a:xfrm>
          <a:off x="13525500" y="13306425"/>
          <a:ext cx="0" cy="2428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581025</xdr:colOff>
      <xdr:row>33</xdr:row>
      <xdr:rowOff>38100</xdr:rowOff>
    </xdr:from>
    <xdr:to>
      <xdr:col>15</xdr:col>
      <xdr:colOff>581025</xdr:colOff>
      <xdr:row>39</xdr:row>
      <xdr:rowOff>95250</xdr:rowOff>
    </xdr:to>
    <xdr:sp macro="" textlink="">
      <xdr:nvSpPr>
        <xdr:cNvPr id="4388085" name="Line 20">
          <a:extLst>
            <a:ext uri="{FF2B5EF4-FFF2-40B4-BE49-F238E27FC236}">
              <a16:creationId xmlns="" xmlns:a16="http://schemas.microsoft.com/office/drawing/2014/main" id="{00000000-0008-0000-0600-0000F5F44200}"/>
            </a:ext>
          </a:extLst>
        </xdr:cNvPr>
        <xdr:cNvSpPr>
          <a:spLocks noChangeShapeType="1"/>
        </xdr:cNvSpPr>
      </xdr:nvSpPr>
      <xdr:spPr bwMode="auto">
        <a:xfrm>
          <a:off x="13696950" y="13315950"/>
          <a:ext cx="0" cy="2428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419100</xdr:colOff>
      <xdr:row>42</xdr:row>
      <xdr:rowOff>161925</xdr:rowOff>
    </xdr:from>
    <xdr:to>
      <xdr:col>15</xdr:col>
      <xdr:colOff>419100</xdr:colOff>
      <xdr:row>48</xdr:row>
      <xdr:rowOff>219075</xdr:rowOff>
    </xdr:to>
    <xdr:sp macro="" textlink="">
      <xdr:nvSpPr>
        <xdr:cNvPr id="4388086" name="Line 21">
          <a:extLst>
            <a:ext uri="{FF2B5EF4-FFF2-40B4-BE49-F238E27FC236}">
              <a16:creationId xmlns="" xmlns:a16="http://schemas.microsoft.com/office/drawing/2014/main" id="{00000000-0008-0000-0600-0000F6F44200}"/>
            </a:ext>
          </a:extLst>
        </xdr:cNvPr>
        <xdr:cNvSpPr>
          <a:spLocks noChangeShapeType="1"/>
        </xdr:cNvSpPr>
      </xdr:nvSpPr>
      <xdr:spPr bwMode="auto">
        <a:xfrm>
          <a:off x="13535025" y="16697325"/>
          <a:ext cx="0" cy="1952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571500</xdr:colOff>
      <xdr:row>42</xdr:row>
      <xdr:rowOff>142875</xdr:rowOff>
    </xdr:from>
    <xdr:to>
      <xdr:col>15</xdr:col>
      <xdr:colOff>571500</xdr:colOff>
      <xdr:row>48</xdr:row>
      <xdr:rowOff>200025</xdr:rowOff>
    </xdr:to>
    <xdr:sp macro="" textlink="">
      <xdr:nvSpPr>
        <xdr:cNvPr id="4388087" name="Line 22">
          <a:extLst>
            <a:ext uri="{FF2B5EF4-FFF2-40B4-BE49-F238E27FC236}">
              <a16:creationId xmlns="" xmlns:a16="http://schemas.microsoft.com/office/drawing/2014/main" id="{00000000-0008-0000-0600-0000F7F44200}"/>
            </a:ext>
          </a:extLst>
        </xdr:cNvPr>
        <xdr:cNvSpPr>
          <a:spLocks noChangeShapeType="1"/>
        </xdr:cNvSpPr>
      </xdr:nvSpPr>
      <xdr:spPr bwMode="auto">
        <a:xfrm>
          <a:off x="13687425" y="16678275"/>
          <a:ext cx="0" cy="1952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409575</xdr:colOff>
      <xdr:row>39</xdr:row>
      <xdr:rowOff>85725</xdr:rowOff>
    </xdr:from>
    <xdr:to>
      <xdr:col>15</xdr:col>
      <xdr:colOff>571500</xdr:colOff>
      <xdr:row>42</xdr:row>
      <xdr:rowOff>161925</xdr:rowOff>
    </xdr:to>
    <xdr:sp macro="" textlink="">
      <xdr:nvSpPr>
        <xdr:cNvPr id="4388088" name="Line 23">
          <a:extLst>
            <a:ext uri="{FF2B5EF4-FFF2-40B4-BE49-F238E27FC236}">
              <a16:creationId xmlns="" xmlns:a16="http://schemas.microsoft.com/office/drawing/2014/main" id="{00000000-0008-0000-0600-0000F8F44200}"/>
            </a:ext>
          </a:extLst>
        </xdr:cNvPr>
        <xdr:cNvSpPr>
          <a:spLocks noChangeShapeType="1"/>
        </xdr:cNvSpPr>
      </xdr:nvSpPr>
      <xdr:spPr bwMode="auto">
        <a:xfrm>
          <a:off x="13525500" y="15735300"/>
          <a:ext cx="161925" cy="962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495300</xdr:colOff>
      <xdr:row>39</xdr:row>
      <xdr:rowOff>66675</xdr:rowOff>
    </xdr:from>
    <xdr:to>
      <xdr:col>15</xdr:col>
      <xdr:colOff>571500</xdr:colOff>
      <xdr:row>40</xdr:row>
      <xdr:rowOff>180975</xdr:rowOff>
    </xdr:to>
    <xdr:sp macro="" textlink="">
      <xdr:nvSpPr>
        <xdr:cNvPr id="4388089" name="Line 24">
          <a:extLst>
            <a:ext uri="{FF2B5EF4-FFF2-40B4-BE49-F238E27FC236}">
              <a16:creationId xmlns="" xmlns:a16="http://schemas.microsoft.com/office/drawing/2014/main" id="{00000000-0008-0000-0600-0000F9F44200}"/>
            </a:ext>
          </a:extLst>
        </xdr:cNvPr>
        <xdr:cNvSpPr>
          <a:spLocks noChangeShapeType="1"/>
        </xdr:cNvSpPr>
      </xdr:nvSpPr>
      <xdr:spPr bwMode="auto">
        <a:xfrm flipH="1">
          <a:off x="13611225" y="15716250"/>
          <a:ext cx="762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419100</xdr:colOff>
      <xdr:row>41</xdr:row>
      <xdr:rowOff>28575</xdr:rowOff>
    </xdr:from>
    <xdr:to>
      <xdr:col>15</xdr:col>
      <xdr:colOff>466725</xdr:colOff>
      <xdr:row>42</xdr:row>
      <xdr:rowOff>161925</xdr:rowOff>
    </xdr:to>
    <xdr:sp macro="" textlink="">
      <xdr:nvSpPr>
        <xdr:cNvPr id="4388090" name="Line 25">
          <a:extLst>
            <a:ext uri="{FF2B5EF4-FFF2-40B4-BE49-F238E27FC236}">
              <a16:creationId xmlns="" xmlns:a16="http://schemas.microsoft.com/office/drawing/2014/main" id="{00000000-0008-0000-0600-0000FAF44200}"/>
            </a:ext>
          </a:extLst>
        </xdr:cNvPr>
        <xdr:cNvSpPr>
          <a:spLocks noChangeShapeType="1"/>
        </xdr:cNvSpPr>
      </xdr:nvSpPr>
      <xdr:spPr bwMode="auto">
        <a:xfrm flipV="1">
          <a:off x="13535025" y="16287750"/>
          <a:ext cx="47625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257175</xdr:colOff>
      <xdr:row>33</xdr:row>
      <xdr:rowOff>161925</xdr:rowOff>
    </xdr:from>
    <xdr:to>
      <xdr:col>13</xdr:col>
      <xdr:colOff>57150</xdr:colOff>
      <xdr:row>51</xdr:row>
      <xdr:rowOff>85725</xdr:rowOff>
    </xdr:to>
    <xdr:grpSp>
      <xdr:nvGrpSpPr>
        <xdr:cNvPr id="4388091" name="Group 28">
          <a:extLst>
            <a:ext uri="{FF2B5EF4-FFF2-40B4-BE49-F238E27FC236}">
              <a16:creationId xmlns="" xmlns:a16="http://schemas.microsoft.com/office/drawing/2014/main" id="{00000000-0008-0000-0600-0000FBF44200}"/>
            </a:ext>
          </a:extLst>
        </xdr:cNvPr>
        <xdr:cNvGrpSpPr>
          <a:grpSpLocks/>
        </xdr:cNvGrpSpPr>
      </xdr:nvGrpSpPr>
      <xdr:grpSpPr bwMode="auto">
        <a:xfrm>
          <a:off x="8710613" y="13187363"/>
          <a:ext cx="2514600" cy="6067425"/>
          <a:chOff x="788" y="869"/>
          <a:chExt cx="204" cy="442"/>
        </a:xfrm>
      </xdr:grpSpPr>
      <xdr:grpSp>
        <xdr:nvGrpSpPr>
          <xdr:cNvPr id="4388304" name="Group 29">
            <a:extLst>
              <a:ext uri="{FF2B5EF4-FFF2-40B4-BE49-F238E27FC236}">
                <a16:creationId xmlns="" xmlns:a16="http://schemas.microsoft.com/office/drawing/2014/main" id="{00000000-0008-0000-0600-0000D0F54200}"/>
              </a:ext>
            </a:extLst>
          </xdr:cNvPr>
          <xdr:cNvGrpSpPr>
            <a:grpSpLocks/>
          </xdr:cNvGrpSpPr>
        </xdr:nvGrpSpPr>
        <xdr:grpSpPr bwMode="auto">
          <a:xfrm>
            <a:off x="838" y="915"/>
            <a:ext cx="99" cy="351"/>
            <a:chOff x="421" y="99"/>
            <a:chExt cx="99" cy="351"/>
          </a:xfrm>
        </xdr:grpSpPr>
        <xdr:sp macro="" textlink="">
          <xdr:nvSpPr>
            <xdr:cNvPr id="4388361" name="Line 30">
              <a:extLst>
                <a:ext uri="{FF2B5EF4-FFF2-40B4-BE49-F238E27FC236}">
                  <a16:creationId xmlns="" xmlns:a16="http://schemas.microsoft.com/office/drawing/2014/main" id="{00000000-0008-0000-0600-000009F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40" y="450"/>
              <a:ext cx="6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88362" name="Line 31">
              <a:extLst>
                <a:ext uri="{FF2B5EF4-FFF2-40B4-BE49-F238E27FC236}">
                  <a16:creationId xmlns="" xmlns:a16="http://schemas.microsoft.com/office/drawing/2014/main" id="{00000000-0008-0000-0600-00000AF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33" y="383"/>
              <a:ext cx="86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88363" name="Line 32">
              <a:extLst>
                <a:ext uri="{FF2B5EF4-FFF2-40B4-BE49-F238E27FC236}">
                  <a16:creationId xmlns="" xmlns:a16="http://schemas.microsoft.com/office/drawing/2014/main" id="{00000000-0008-0000-0600-00000BF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28" y="309"/>
              <a:ext cx="92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88364" name="Line 33">
              <a:extLst>
                <a:ext uri="{FF2B5EF4-FFF2-40B4-BE49-F238E27FC236}">
                  <a16:creationId xmlns="" xmlns:a16="http://schemas.microsoft.com/office/drawing/2014/main" id="{00000000-0008-0000-0600-00000CF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21" y="242"/>
              <a:ext cx="96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88365" name="Line 34">
              <a:extLst>
                <a:ext uri="{FF2B5EF4-FFF2-40B4-BE49-F238E27FC236}">
                  <a16:creationId xmlns="" xmlns:a16="http://schemas.microsoft.com/office/drawing/2014/main" id="{00000000-0008-0000-0600-00000DF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28" y="169"/>
              <a:ext cx="88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88366" name="Line 35">
              <a:extLst>
                <a:ext uri="{FF2B5EF4-FFF2-40B4-BE49-F238E27FC236}">
                  <a16:creationId xmlns="" xmlns:a16="http://schemas.microsoft.com/office/drawing/2014/main" id="{00000000-0008-0000-0600-00000EF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37" y="99"/>
              <a:ext cx="68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388305" name="Group 36">
            <a:extLst>
              <a:ext uri="{FF2B5EF4-FFF2-40B4-BE49-F238E27FC236}">
                <a16:creationId xmlns="" xmlns:a16="http://schemas.microsoft.com/office/drawing/2014/main" id="{00000000-0008-0000-0600-0000D1F54200}"/>
              </a:ext>
            </a:extLst>
          </xdr:cNvPr>
          <xdr:cNvGrpSpPr>
            <a:grpSpLocks/>
          </xdr:cNvGrpSpPr>
        </xdr:nvGrpSpPr>
        <xdr:grpSpPr bwMode="auto">
          <a:xfrm>
            <a:off x="788" y="1125"/>
            <a:ext cx="68" cy="184"/>
            <a:chOff x="371" y="309"/>
            <a:chExt cx="68" cy="184"/>
          </a:xfrm>
        </xdr:grpSpPr>
        <xdr:grpSp>
          <xdr:nvGrpSpPr>
            <xdr:cNvPr id="4388348" name="Group 37">
              <a:extLst>
                <a:ext uri="{FF2B5EF4-FFF2-40B4-BE49-F238E27FC236}">
                  <a16:creationId xmlns="" xmlns:a16="http://schemas.microsoft.com/office/drawing/2014/main" id="{00000000-0008-0000-0600-0000FCF54200}"/>
                </a:ext>
              </a:extLst>
            </xdr:cNvPr>
            <xdr:cNvGrpSpPr>
              <a:grpSpLocks/>
            </xdr:cNvGrpSpPr>
          </xdr:nvGrpSpPr>
          <xdr:grpSpPr bwMode="auto">
            <a:xfrm rot="10800000">
              <a:off x="371" y="461"/>
              <a:ext cx="51" cy="32"/>
              <a:chOff x="557" y="246"/>
              <a:chExt cx="51" cy="32"/>
            </a:xfrm>
          </xdr:grpSpPr>
          <xdr:sp macro="" textlink="">
            <xdr:nvSpPr>
              <xdr:cNvPr id="4388358" name="Arc 38">
                <a:extLst>
                  <a:ext uri="{FF2B5EF4-FFF2-40B4-BE49-F238E27FC236}">
                    <a16:creationId xmlns="" xmlns:a16="http://schemas.microsoft.com/office/drawing/2014/main" id="{00000000-0008-0000-0600-000006F6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569" y="258"/>
                <a:ext cx="27" cy="18"/>
              </a:xfrm>
              <a:custGeom>
                <a:avLst/>
                <a:gdLst>
                  <a:gd name="T0" fmla="*/ 0 w 42977"/>
                  <a:gd name="T1" fmla="*/ 0 h 21600"/>
                  <a:gd name="T2" fmla="*/ 0 w 42977"/>
                  <a:gd name="T3" fmla="*/ 0 h 21600"/>
                  <a:gd name="T4" fmla="*/ 0 w 42977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7"/>
                  <a:gd name="T10" fmla="*/ 0 h 21600"/>
                  <a:gd name="T11" fmla="*/ 42977 w 42977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7" h="21600" fill="none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</a:path>
                  <a:path w="42977" h="21600" stroke="0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  <a:lnTo>
                      <a:pt x="21377" y="21600"/>
                    </a:lnTo>
                    <a:lnTo>
                      <a:pt x="-1" y="18506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59" name="Arc 39">
                <a:extLst>
                  <a:ext uri="{FF2B5EF4-FFF2-40B4-BE49-F238E27FC236}">
                    <a16:creationId xmlns="" xmlns:a16="http://schemas.microsoft.com/office/drawing/2014/main" id="{00000000-0008-0000-0600-000007F6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563" y="251"/>
                <a:ext cx="39" cy="25"/>
              </a:xfrm>
              <a:custGeom>
                <a:avLst/>
                <a:gdLst>
                  <a:gd name="T0" fmla="*/ 0 w 43076"/>
                  <a:gd name="T1" fmla="*/ 0 h 21600"/>
                  <a:gd name="T2" fmla="*/ 0 w 43076"/>
                  <a:gd name="T3" fmla="*/ 0 h 21600"/>
                  <a:gd name="T4" fmla="*/ 0 w 43076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3076"/>
                  <a:gd name="T10" fmla="*/ 0 h 21600"/>
                  <a:gd name="T11" fmla="*/ 43076 w 43076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3076" h="21600" fill="none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</a:path>
                  <a:path w="43076" h="21600" stroke="0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  <a:lnTo>
                      <a:pt x="21476" y="21600"/>
                    </a:lnTo>
                    <a:lnTo>
                      <a:pt x="0" y="1928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60" name="Arc 40">
                <a:extLst>
                  <a:ext uri="{FF2B5EF4-FFF2-40B4-BE49-F238E27FC236}">
                    <a16:creationId xmlns="" xmlns:a16="http://schemas.microsoft.com/office/drawing/2014/main" id="{00000000-0008-0000-0600-000008F6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557" y="246"/>
                <a:ext cx="51" cy="32"/>
              </a:xfrm>
              <a:custGeom>
                <a:avLst/>
                <a:gdLst>
                  <a:gd name="T0" fmla="*/ 0 w 42973"/>
                  <a:gd name="T1" fmla="*/ 0 h 21600"/>
                  <a:gd name="T2" fmla="*/ 0 w 42973"/>
                  <a:gd name="T3" fmla="*/ 0 h 21600"/>
                  <a:gd name="T4" fmla="*/ 0 w 42973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3"/>
                  <a:gd name="T10" fmla="*/ 0 h 21600"/>
                  <a:gd name="T11" fmla="*/ 42973 w 42973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3" h="21600" fill="none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</a:path>
                  <a:path w="42973" h="21600" stroke="0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  <a:lnTo>
                      <a:pt x="21392" y="21600"/>
                    </a:lnTo>
                    <a:lnTo>
                      <a:pt x="0" y="1860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388349" name="Group 41">
              <a:extLst>
                <a:ext uri="{FF2B5EF4-FFF2-40B4-BE49-F238E27FC236}">
                  <a16:creationId xmlns="" xmlns:a16="http://schemas.microsoft.com/office/drawing/2014/main" id="{00000000-0008-0000-0600-0000FDF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71" y="309"/>
              <a:ext cx="68" cy="157"/>
              <a:chOff x="371" y="309"/>
              <a:chExt cx="68" cy="157"/>
            </a:xfrm>
          </xdr:grpSpPr>
          <xdr:sp macro="" textlink="">
            <xdr:nvSpPr>
              <xdr:cNvPr id="4388350" name="Line 42">
                <a:extLst>
                  <a:ext uri="{FF2B5EF4-FFF2-40B4-BE49-F238E27FC236}">
                    <a16:creationId xmlns="" xmlns:a16="http://schemas.microsoft.com/office/drawing/2014/main" id="{00000000-0008-0000-0600-0000FEF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416" y="398"/>
                <a:ext cx="0" cy="64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51" name="Line 43">
                <a:extLst>
                  <a:ext uri="{FF2B5EF4-FFF2-40B4-BE49-F238E27FC236}">
                    <a16:creationId xmlns="" xmlns:a16="http://schemas.microsoft.com/office/drawing/2014/main" id="{00000000-0008-0000-0600-0000FFF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409" y="323"/>
                <a:ext cx="0" cy="13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52" name="Line 44">
                <a:extLst>
                  <a:ext uri="{FF2B5EF4-FFF2-40B4-BE49-F238E27FC236}">
                    <a16:creationId xmlns="" xmlns:a16="http://schemas.microsoft.com/office/drawing/2014/main" id="{00000000-0008-0000-0600-000000F6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381" y="375"/>
                <a:ext cx="0" cy="8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53" name="Line 45">
                <a:extLst>
                  <a:ext uri="{FF2B5EF4-FFF2-40B4-BE49-F238E27FC236}">
                    <a16:creationId xmlns="" xmlns:a16="http://schemas.microsoft.com/office/drawing/2014/main" id="{00000000-0008-0000-0600-000001F6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376" y="403"/>
                <a:ext cx="0" cy="62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54" name="Line 46">
                <a:extLst>
                  <a:ext uri="{FF2B5EF4-FFF2-40B4-BE49-F238E27FC236}">
                    <a16:creationId xmlns="" xmlns:a16="http://schemas.microsoft.com/office/drawing/2014/main" id="{00000000-0008-0000-0600-000002F6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371" y="423"/>
                <a:ext cx="0" cy="4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55" name="Arc 47">
                <a:extLst>
                  <a:ext uri="{FF2B5EF4-FFF2-40B4-BE49-F238E27FC236}">
                    <a16:creationId xmlns="" xmlns:a16="http://schemas.microsoft.com/office/drawing/2014/main" id="{00000000-0008-0000-0600-000003F6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411" y="309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56" name="Arc 48">
                <a:extLst>
                  <a:ext uri="{FF2B5EF4-FFF2-40B4-BE49-F238E27FC236}">
                    <a16:creationId xmlns="" xmlns:a16="http://schemas.microsoft.com/office/drawing/2014/main" id="{00000000-0008-0000-0600-000004F6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417" y="383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57" name="Arc 49">
                <a:extLst>
                  <a:ext uri="{FF2B5EF4-FFF2-40B4-BE49-F238E27FC236}">
                    <a16:creationId xmlns="" xmlns:a16="http://schemas.microsoft.com/office/drawing/2014/main" id="{00000000-0008-0000-0600-000005F6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424" y="450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grpSp>
        <xdr:nvGrpSpPr>
          <xdr:cNvPr id="4388306" name="Group 50">
            <a:extLst>
              <a:ext uri="{FF2B5EF4-FFF2-40B4-BE49-F238E27FC236}">
                <a16:creationId xmlns="" xmlns:a16="http://schemas.microsoft.com/office/drawing/2014/main" id="{00000000-0008-0000-0600-0000D2F54200}"/>
              </a:ext>
            </a:extLst>
          </xdr:cNvPr>
          <xdr:cNvGrpSpPr>
            <a:grpSpLocks/>
          </xdr:cNvGrpSpPr>
        </xdr:nvGrpSpPr>
        <xdr:grpSpPr bwMode="auto">
          <a:xfrm>
            <a:off x="789" y="869"/>
            <a:ext cx="67" cy="190"/>
            <a:chOff x="372" y="53"/>
            <a:chExt cx="67" cy="190"/>
          </a:xfrm>
        </xdr:grpSpPr>
        <xdr:grpSp>
          <xdr:nvGrpSpPr>
            <xdr:cNvPr id="4388335" name="Group 51">
              <a:extLst>
                <a:ext uri="{FF2B5EF4-FFF2-40B4-BE49-F238E27FC236}">
                  <a16:creationId xmlns="" xmlns:a16="http://schemas.microsoft.com/office/drawing/2014/main" id="{00000000-0008-0000-0600-0000EFF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72" y="53"/>
              <a:ext cx="51" cy="32"/>
              <a:chOff x="557" y="246"/>
              <a:chExt cx="51" cy="32"/>
            </a:xfrm>
          </xdr:grpSpPr>
          <xdr:sp macro="" textlink="">
            <xdr:nvSpPr>
              <xdr:cNvPr id="4388345" name="Arc 52">
                <a:extLst>
                  <a:ext uri="{FF2B5EF4-FFF2-40B4-BE49-F238E27FC236}">
                    <a16:creationId xmlns="" xmlns:a16="http://schemas.microsoft.com/office/drawing/2014/main" id="{00000000-0008-0000-0600-0000F9F5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569" y="258"/>
                <a:ext cx="27" cy="18"/>
              </a:xfrm>
              <a:custGeom>
                <a:avLst/>
                <a:gdLst>
                  <a:gd name="T0" fmla="*/ 0 w 42977"/>
                  <a:gd name="T1" fmla="*/ 0 h 21600"/>
                  <a:gd name="T2" fmla="*/ 0 w 42977"/>
                  <a:gd name="T3" fmla="*/ 0 h 21600"/>
                  <a:gd name="T4" fmla="*/ 0 w 42977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7"/>
                  <a:gd name="T10" fmla="*/ 0 h 21600"/>
                  <a:gd name="T11" fmla="*/ 42977 w 42977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7" h="21600" fill="none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</a:path>
                  <a:path w="42977" h="21600" stroke="0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  <a:lnTo>
                      <a:pt x="21377" y="21600"/>
                    </a:lnTo>
                    <a:lnTo>
                      <a:pt x="-1" y="18506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46" name="Arc 53">
                <a:extLst>
                  <a:ext uri="{FF2B5EF4-FFF2-40B4-BE49-F238E27FC236}">
                    <a16:creationId xmlns="" xmlns:a16="http://schemas.microsoft.com/office/drawing/2014/main" id="{00000000-0008-0000-0600-0000FAF5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563" y="251"/>
                <a:ext cx="39" cy="25"/>
              </a:xfrm>
              <a:custGeom>
                <a:avLst/>
                <a:gdLst>
                  <a:gd name="T0" fmla="*/ 0 w 43076"/>
                  <a:gd name="T1" fmla="*/ 0 h 21600"/>
                  <a:gd name="T2" fmla="*/ 0 w 43076"/>
                  <a:gd name="T3" fmla="*/ 0 h 21600"/>
                  <a:gd name="T4" fmla="*/ 0 w 43076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3076"/>
                  <a:gd name="T10" fmla="*/ 0 h 21600"/>
                  <a:gd name="T11" fmla="*/ 43076 w 43076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3076" h="21600" fill="none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</a:path>
                  <a:path w="43076" h="21600" stroke="0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  <a:lnTo>
                      <a:pt x="21476" y="21600"/>
                    </a:lnTo>
                    <a:lnTo>
                      <a:pt x="0" y="1928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47" name="Arc 54">
                <a:extLst>
                  <a:ext uri="{FF2B5EF4-FFF2-40B4-BE49-F238E27FC236}">
                    <a16:creationId xmlns="" xmlns:a16="http://schemas.microsoft.com/office/drawing/2014/main" id="{00000000-0008-0000-0600-0000FBF5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557" y="246"/>
                <a:ext cx="51" cy="32"/>
              </a:xfrm>
              <a:custGeom>
                <a:avLst/>
                <a:gdLst>
                  <a:gd name="T0" fmla="*/ 0 w 42973"/>
                  <a:gd name="T1" fmla="*/ 0 h 21600"/>
                  <a:gd name="T2" fmla="*/ 0 w 42973"/>
                  <a:gd name="T3" fmla="*/ 0 h 21600"/>
                  <a:gd name="T4" fmla="*/ 0 w 42973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3"/>
                  <a:gd name="T10" fmla="*/ 0 h 21600"/>
                  <a:gd name="T11" fmla="*/ 42973 w 42973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3" h="21600" fill="none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</a:path>
                  <a:path w="42973" h="21600" stroke="0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  <a:lnTo>
                      <a:pt x="21392" y="21600"/>
                    </a:lnTo>
                    <a:lnTo>
                      <a:pt x="0" y="1860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388336" name="Group 55">
              <a:extLst>
                <a:ext uri="{FF2B5EF4-FFF2-40B4-BE49-F238E27FC236}">
                  <a16:creationId xmlns="" xmlns:a16="http://schemas.microsoft.com/office/drawing/2014/main" id="{00000000-0008-0000-0600-0000F0F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72" y="81"/>
              <a:ext cx="67" cy="162"/>
              <a:chOff x="372" y="81"/>
              <a:chExt cx="67" cy="162"/>
            </a:xfrm>
          </xdr:grpSpPr>
          <xdr:sp macro="" textlink="">
            <xdr:nvSpPr>
              <xdr:cNvPr id="4388337" name="Line 56">
                <a:extLst>
                  <a:ext uri="{FF2B5EF4-FFF2-40B4-BE49-F238E27FC236}">
                    <a16:creationId xmlns="" xmlns:a16="http://schemas.microsoft.com/office/drawing/2014/main" id="{00000000-0008-0000-0600-0000F1F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72" y="84"/>
                <a:ext cx="0" cy="4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38" name="Line 57">
                <a:extLst>
                  <a:ext uri="{FF2B5EF4-FFF2-40B4-BE49-F238E27FC236}">
                    <a16:creationId xmlns="" xmlns:a16="http://schemas.microsoft.com/office/drawing/2014/main" id="{00000000-0008-0000-0600-0000F2F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77" y="83"/>
                <a:ext cx="0" cy="6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39" name="Line 58">
                <a:extLst>
                  <a:ext uri="{FF2B5EF4-FFF2-40B4-BE49-F238E27FC236}">
                    <a16:creationId xmlns="" xmlns:a16="http://schemas.microsoft.com/office/drawing/2014/main" id="{00000000-0008-0000-0600-0000F3F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84" y="83"/>
                <a:ext cx="0" cy="92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40" name="Line 59">
                <a:extLst>
                  <a:ext uri="{FF2B5EF4-FFF2-40B4-BE49-F238E27FC236}">
                    <a16:creationId xmlns="" xmlns:a16="http://schemas.microsoft.com/office/drawing/2014/main" id="{00000000-0008-0000-0600-0000F4F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11" y="81"/>
                <a:ext cx="0" cy="14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41" name="Line 60">
                <a:extLst>
                  <a:ext uri="{FF2B5EF4-FFF2-40B4-BE49-F238E27FC236}">
                    <a16:creationId xmlns="" xmlns:a16="http://schemas.microsoft.com/office/drawing/2014/main" id="{00000000-0008-0000-0600-0000F5F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17" y="82"/>
                <a:ext cx="0" cy="8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42" name="Arc 61">
                <a:extLst>
                  <a:ext uri="{FF2B5EF4-FFF2-40B4-BE49-F238E27FC236}">
                    <a16:creationId xmlns="" xmlns:a16="http://schemas.microsoft.com/office/drawing/2014/main" id="{00000000-0008-0000-0600-0000F6F54200}"/>
                  </a:ext>
                </a:extLst>
              </xdr:cNvPr>
              <xdr:cNvSpPr>
                <a:spLocks/>
              </xdr:cNvSpPr>
            </xdr:nvSpPr>
            <xdr:spPr bwMode="auto">
              <a:xfrm rot="15712194" flipH="1">
                <a:off x="412" y="228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43" name="Arc 62">
                <a:extLst>
                  <a:ext uri="{FF2B5EF4-FFF2-40B4-BE49-F238E27FC236}">
                    <a16:creationId xmlns="" xmlns:a16="http://schemas.microsoft.com/office/drawing/2014/main" id="{00000000-0008-0000-0600-0000F7F54200}"/>
                  </a:ext>
                </a:extLst>
              </xdr:cNvPr>
              <xdr:cNvSpPr>
                <a:spLocks/>
              </xdr:cNvSpPr>
            </xdr:nvSpPr>
            <xdr:spPr bwMode="auto">
              <a:xfrm rot="16200000" flipH="1">
                <a:off x="417" y="155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44" name="Arc 63">
                <a:extLst>
                  <a:ext uri="{FF2B5EF4-FFF2-40B4-BE49-F238E27FC236}">
                    <a16:creationId xmlns="" xmlns:a16="http://schemas.microsoft.com/office/drawing/2014/main" id="{00000000-0008-0000-0600-0000F8F54200}"/>
                  </a:ext>
                </a:extLst>
              </xdr:cNvPr>
              <xdr:cNvSpPr>
                <a:spLocks/>
              </xdr:cNvSpPr>
            </xdr:nvSpPr>
            <xdr:spPr bwMode="auto">
              <a:xfrm rot="16200000" flipH="1">
                <a:off x="424" y="84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grpSp>
        <xdr:nvGrpSpPr>
          <xdr:cNvPr id="4388307" name="Group 64">
            <a:extLst>
              <a:ext uri="{FF2B5EF4-FFF2-40B4-BE49-F238E27FC236}">
                <a16:creationId xmlns="" xmlns:a16="http://schemas.microsoft.com/office/drawing/2014/main" id="{00000000-0008-0000-0600-0000D3F54200}"/>
              </a:ext>
            </a:extLst>
          </xdr:cNvPr>
          <xdr:cNvGrpSpPr>
            <a:grpSpLocks/>
          </xdr:cNvGrpSpPr>
        </xdr:nvGrpSpPr>
        <xdr:grpSpPr bwMode="auto">
          <a:xfrm>
            <a:off x="922" y="869"/>
            <a:ext cx="67" cy="190"/>
            <a:chOff x="505" y="53"/>
            <a:chExt cx="67" cy="190"/>
          </a:xfrm>
        </xdr:grpSpPr>
        <xdr:grpSp>
          <xdr:nvGrpSpPr>
            <xdr:cNvPr id="4388322" name="Group 65">
              <a:extLst>
                <a:ext uri="{FF2B5EF4-FFF2-40B4-BE49-F238E27FC236}">
                  <a16:creationId xmlns="" xmlns:a16="http://schemas.microsoft.com/office/drawing/2014/main" id="{00000000-0008-0000-0600-0000E2F54200}"/>
                </a:ext>
              </a:extLst>
            </xdr:cNvPr>
            <xdr:cNvGrpSpPr>
              <a:grpSpLocks noChangeAspect="1"/>
            </xdr:cNvGrpSpPr>
          </xdr:nvGrpSpPr>
          <xdr:grpSpPr bwMode="auto">
            <a:xfrm flipH="1">
              <a:off x="521" y="53"/>
              <a:ext cx="51" cy="32"/>
              <a:chOff x="557" y="246"/>
              <a:chExt cx="51" cy="32"/>
            </a:xfrm>
          </xdr:grpSpPr>
          <xdr:sp macro="" textlink="">
            <xdr:nvSpPr>
              <xdr:cNvPr id="4388332" name="Arc 66">
                <a:extLst>
                  <a:ext uri="{FF2B5EF4-FFF2-40B4-BE49-F238E27FC236}">
                    <a16:creationId xmlns="" xmlns:a16="http://schemas.microsoft.com/office/drawing/2014/main" id="{00000000-0008-0000-0600-0000ECF5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flipH="1">
                <a:off x="569" y="258"/>
                <a:ext cx="27" cy="18"/>
              </a:xfrm>
              <a:custGeom>
                <a:avLst/>
                <a:gdLst>
                  <a:gd name="T0" fmla="*/ 0 w 42977"/>
                  <a:gd name="T1" fmla="*/ 0 h 21600"/>
                  <a:gd name="T2" fmla="*/ 0 w 42977"/>
                  <a:gd name="T3" fmla="*/ 0 h 21600"/>
                  <a:gd name="T4" fmla="*/ 0 w 42977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7"/>
                  <a:gd name="T10" fmla="*/ 0 h 21600"/>
                  <a:gd name="T11" fmla="*/ 42977 w 42977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7" h="21600" fill="none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</a:path>
                  <a:path w="42977" h="21600" stroke="0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  <a:lnTo>
                      <a:pt x="21377" y="21600"/>
                    </a:lnTo>
                    <a:lnTo>
                      <a:pt x="-1" y="18506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33" name="Arc 67">
                <a:extLst>
                  <a:ext uri="{FF2B5EF4-FFF2-40B4-BE49-F238E27FC236}">
                    <a16:creationId xmlns="" xmlns:a16="http://schemas.microsoft.com/office/drawing/2014/main" id="{00000000-0008-0000-0600-0000EDF5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flipH="1">
                <a:off x="563" y="251"/>
                <a:ext cx="39" cy="25"/>
              </a:xfrm>
              <a:custGeom>
                <a:avLst/>
                <a:gdLst>
                  <a:gd name="T0" fmla="*/ 0 w 43076"/>
                  <a:gd name="T1" fmla="*/ 0 h 21600"/>
                  <a:gd name="T2" fmla="*/ 0 w 43076"/>
                  <a:gd name="T3" fmla="*/ 0 h 21600"/>
                  <a:gd name="T4" fmla="*/ 0 w 43076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3076"/>
                  <a:gd name="T10" fmla="*/ 0 h 21600"/>
                  <a:gd name="T11" fmla="*/ 43076 w 43076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3076" h="21600" fill="none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</a:path>
                  <a:path w="43076" h="21600" stroke="0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  <a:lnTo>
                      <a:pt x="21476" y="21600"/>
                    </a:lnTo>
                    <a:lnTo>
                      <a:pt x="0" y="1928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34" name="Arc 68">
                <a:extLst>
                  <a:ext uri="{FF2B5EF4-FFF2-40B4-BE49-F238E27FC236}">
                    <a16:creationId xmlns="" xmlns:a16="http://schemas.microsoft.com/office/drawing/2014/main" id="{00000000-0008-0000-0600-0000EEF5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flipH="1">
                <a:off x="557" y="246"/>
                <a:ext cx="51" cy="32"/>
              </a:xfrm>
              <a:custGeom>
                <a:avLst/>
                <a:gdLst>
                  <a:gd name="T0" fmla="*/ 0 w 42973"/>
                  <a:gd name="T1" fmla="*/ 0 h 21600"/>
                  <a:gd name="T2" fmla="*/ 0 w 42973"/>
                  <a:gd name="T3" fmla="*/ 0 h 21600"/>
                  <a:gd name="T4" fmla="*/ 0 w 42973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3"/>
                  <a:gd name="T10" fmla="*/ 0 h 21600"/>
                  <a:gd name="T11" fmla="*/ 42973 w 42973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3" h="21600" fill="none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</a:path>
                  <a:path w="42973" h="21600" stroke="0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  <a:lnTo>
                      <a:pt x="21392" y="21600"/>
                    </a:lnTo>
                    <a:lnTo>
                      <a:pt x="0" y="1860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388323" name="Group 69">
              <a:extLst>
                <a:ext uri="{FF2B5EF4-FFF2-40B4-BE49-F238E27FC236}">
                  <a16:creationId xmlns="" xmlns:a16="http://schemas.microsoft.com/office/drawing/2014/main" id="{00000000-0008-0000-0600-0000E3F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05" y="81"/>
              <a:ext cx="67" cy="162"/>
              <a:chOff x="505" y="81"/>
              <a:chExt cx="67" cy="162"/>
            </a:xfrm>
          </xdr:grpSpPr>
          <xdr:sp macro="" textlink="">
            <xdr:nvSpPr>
              <xdr:cNvPr id="4388324" name="Line 70">
                <a:extLst>
                  <a:ext uri="{FF2B5EF4-FFF2-40B4-BE49-F238E27FC236}">
                    <a16:creationId xmlns="" xmlns:a16="http://schemas.microsoft.com/office/drawing/2014/main" id="{00000000-0008-0000-0600-0000E4F5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>
                <a:off x="572" y="84"/>
                <a:ext cx="0" cy="4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25" name="Line 71">
                <a:extLst>
                  <a:ext uri="{FF2B5EF4-FFF2-40B4-BE49-F238E27FC236}">
                    <a16:creationId xmlns="" xmlns:a16="http://schemas.microsoft.com/office/drawing/2014/main" id="{00000000-0008-0000-0600-0000E5F5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>
                <a:off x="567" y="83"/>
                <a:ext cx="0" cy="38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26" name="Line 72">
                <a:extLst>
                  <a:ext uri="{FF2B5EF4-FFF2-40B4-BE49-F238E27FC236}">
                    <a16:creationId xmlns="" xmlns:a16="http://schemas.microsoft.com/office/drawing/2014/main" id="{00000000-0008-0000-0600-0000E6F5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>
                <a:off x="560" y="83"/>
                <a:ext cx="0" cy="38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27" name="Line 73">
                <a:extLst>
                  <a:ext uri="{FF2B5EF4-FFF2-40B4-BE49-F238E27FC236}">
                    <a16:creationId xmlns="" xmlns:a16="http://schemas.microsoft.com/office/drawing/2014/main" id="{00000000-0008-0000-0600-0000E7F5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>
                <a:off x="533" y="81"/>
                <a:ext cx="0" cy="14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28" name="Line 74">
                <a:extLst>
                  <a:ext uri="{FF2B5EF4-FFF2-40B4-BE49-F238E27FC236}">
                    <a16:creationId xmlns="" xmlns:a16="http://schemas.microsoft.com/office/drawing/2014/main" id="{00000000-0008-0000-0600-0000E8F5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>
                <a:off x="527" y="82"/>
                <a:ext cx="0" cy="8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29" name="Arc 75">
                <a:extLst>
                  <a:ext uri="{FF2B5EF4-FFF2-40B4-BE49-F238E27FC236}">
                    <a16:creationId xmlns="" xmlns:a16="http://schemas.microsoft.com/office/drawing/2014/main" id="{00000000-0008-0000-0600-0000E9F5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rot="5887806">
                <a:off x="517" y="228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30" name="Arc 76">
                <a:extLst>
                  <a:ext uri="{FF2B5EF4-FFF2-40B4-BE49-F238E27FC236}">
                    <a16:creationId xmlns="" xmlns:a16="http://schemas.microsoft.com/office/drawing/2014/main" id="{00000000-0008-0000-0600-0000EAF5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rot="5400000">
                <a:off x="512" y="155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31" name="Arc 77">
                <a:extLst>
                  <a:ext uri="{FF2B5EF4-FFF2-40B4-BE49-F238E27FC236}">
                    <a16:creationId xmlns="" xmlns:a16="http://schemas.microsoft.com/office/drawing/2014/main" id="{00000000-0008-0000-0600-0000EBF5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rot="5400000">
                <a:off x="505" y="84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grpSp>
        <xdr:nvGrpSpPr>
          <xdr:cNvPr id="4388308" name="Group 78">
            <a:extLst>
              <a:ext uri="{FF2B5EF4-FFF2-40B4-BE49-F238E27FC236}">
                <a16:creationId xmlns="" xmlns:a16="http://schemas.microsoft.com/office/drawing/2014/main" id="{00000000-0008-0000-0600-0000D4F54200}"/>
              </a:ext>
            </a:extLst>
          </xdr:cNvPr>
          <xdr:cNvGrpSpPr>
            <a:grpSpLocks/>
          </xdr:cNvGrpSpPr>
        </xdr:nvGrpSpPr>
        <xdr:grpSpPr bwMode="auto">
          <a:xfrm>
            <a:off x="924" y="1127"/>
            <a:ext cx="68" cy="184"/>
            <a:chOff x="507" y="311"/>
            <a:chExt cx="68" cy="184"/>
          </a:xfrm>
        </xdr:grpSpPr>
        <xdr:grpSp>
          <xdr:nvGrpSpPr>
            <xdr:cNvPr id="4388309" name="Group 79">
              <a:extLst>
                <a:ext uri="{FF2B5EF4-FFF2-40B4-BE49-F238E27FC236}">
                  <a16:creationId xmlns="" xmlns:a16="http://schemas.microsoft.com/office/drawing/2014/main" id="{00000000-0008-0000-0600-0000D5F54200}"/>
                </a:ext>
              </a:extLst>
            </xdr:cNvPr>
            <xdr:cNvGrpSpPr>
              <a:grpSpLocks noChangeAspect="1"/>
            </xdr:cNvGrpSpPr>
          </xdr:nvGrpSpPr>
          <xdr:grpSpPr bwMode="auto">
            <a:xfrm rot="10800000" flipH="1">
              <a:off x="524" y="463"/>
              <a:ext cx="51" cy="32"/>
              <a:chOff x="557" y="246"/>
              <a:chExt cx="51" cy="32"/>
            </a:xfrm>
          </xdr:grpSpPr>
          <xdr:sp macro="" textlink="">
            <xdr:nvSpPr>
              <xdr:cNvPr id="4388319" name="Arc 80">
                <a:extLst>
                  <a:ext uri="{FF2B5EF4-FFF2-40B4-BE49-F238E27FC236}">
                    <a16:creationId xmlns="" xmlns:a16="http://schemas.microsoft.com/office/drawing/2014/main" id="{00000000-0008-0000-0600-0000DFF5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flipH="1">
                <a:off x="569" y="258"/>
                <a:ext cx="27" cy="18"/>
              </a:xfrm>
              <a:custGeom>
                <a:avLst/>
                <a:gdLst>
                  <a:gd name="T0" fmla="*/ 0 w 42977"/>
                  <a:gd name="T1" fmla="*/ 0 h 21600"/>
                  <a:gd name="T2" fmla="*/ 0 w 42977"/>
                  <a:gd name="T3" fmla="*/ 0 h 21600"/>
                  <a:gd name="T4" fmla="*/ 0 w 42977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7"/>
                  <a:gd name="T10" fmla="*/ 0 h 21600"/>
                  <a:gd name="T11" fmla="*/ 42977 w 42977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7" h="21600" fill="none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</a:path>
                  <a:path w="42977" h="21600" stroke="0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  <a:lnTo>
                      <a:pt x="21377" y="21600"/>
                    </a:lnTo>
                    <a:lnTo>
                      <a:pt x="-1" y="18506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20" name="Arc 81">
                <a:extLst>
                  <a:ext uri="{FF2B5EF4-FFF2-40B4-BE49-F238E27FC236}">
                    <a16:creationId xmlns="" xmlns:a16="http://schemas.microsoft.com/office/drawing/2014/main" id="{00000000-0008-0000-0600-0000E0F5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flipH="1">
                <a:off x="563" y="251"/>
                <a:ext cx="39" cy="25"/>
              </a:xfrm>
              <a:custGeom>
                <a:avLst/>
                <a:gdLst>
                  <a:gd name="T0" fmla="*/ 0 w 43076"/>
                  <a:gd name="T1" fmla="*/ 0 h 21600"/>
                  <a:gd name="T2" fmla="*/ 0 w 43076"/>
                  <a:gd name="T3" fmla="*/ 0 h 21600"/>
                  <a:gd name="T4" fmla="*/ 0 w 43076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3076"/>
                  <a:gd name="T10" fmla="*/ 0 h 21600"/>
                  <a:gd name="T11" fmla="*/ 43076 w 43076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3076" h="21600" fill="none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</a:path>
                  <a:path w="43076" h="21600" stroke="0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  <a:lnTo>
                      <a:pt x="21476" y="21600"/>
                    </a:lnTo>
                    <a:lnTo>
                      <a:pt x="0" y="1928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21" name="Arc 82">
                <a:extLst>
                  <a:ext uri="{FF2B5EF4-FFF2-40B4-BE49-F238E27FC236}">
                    <a16:creationId xmlns="" xmlns:a16="http://schemas.microsoft.com/office/drawing/2014/main" id="{00000000-0008-0000-0600-0000E1F5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flipH="1">
                <a:off x="557" y="246"/>
                <a:ext cx="51" cy="32"/>
              </a:xfrm>
              <a:custGeom>
                <a:avLst/>
                <a:gdLst>
                  <a:gd name="T0" fmla="*/ 0 w 42973"/>
                  <a:gd name="T1" fmla="*/ 0 h 21600"/>
                  <a:gd name="T2" fmla="*/ 0 w 42973"/>
                  <a:gd name="T3" fmla="*/ 0 h 21600"/>
                  <a:gd name="T4" fmla="*/ 0 w 42973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3"/>
                  <a:gd name="T10" fmla="*/ 0 h 21600"/>
                  <a:gd name="T11" fmla="*/ 42973 w 42973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3" h="21600" fill="none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</a:path>
                  <a:path w="42973" h="21600" stroke="0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  <a:lnTo>
                      <a:pt x="21392" y="21600"/>
                    </a:lnTo>
                    <a:lnTo>
                      <a:pt x="0" y="1860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388310" name="Group 83">
              <a:extLst>
                <a:ext uri="{FF2B5EF4-FFF2-40B4-BE49-F238E27FC236}">
                  <a16:creationId xmlns="" xmlns:a16="http://schemas.microsoft.com/office/drawing/2014/main" id="{00000000-0008-0000-0600-0000D6F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07" y="311"/>
              <a:ext cx="68" cy="157"/>
              <a:chOff x="507" y="311"/>
              <a:chExt cx="68" cy="157"/>
            </a:xfrm>
          </xdr:grpSpPr>
          <xdr:sp macro="" textlink="">
            <xdr:nvSpPr>
              <xdr:cNvPr id="4388311" name="Line 84">
                <a:extLst>
                  <a:ext uri="{FF2B5EF4-FFF2-40B4-BE49-F238E27FC236}">
                    <a16:creationId xmlns="" xmlns:a16="http://schemas.microsoft.com/office/drawing/2014/main" id="{00000000-0008-0000-0600-0000D7F5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 flipV="1">
                <a:off x="528" y="395"/>
                <a:ext cx="0" cy="68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12" name="Line 85">
                <a:extLst>
                  <a:ext uri="{FF2B5EF4-FFF2-40B4-BE49-F238E27FC236}">
                    <a16:creationId xmlns="" xmlns:a16="http://schemas.microsoft.com/office/drawing/2014/main" id="{00000000-0008-0000-0600-0000D8F5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 flipV="1">
                <a:off x="535" y="325"/>
                <a:ext cx="0" cy="13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13" name="Line 86">
                <a:extLst>
                  <a:ext uri="{FF2B5EF4-FFF2-40B4-BE49-F238E27FC236}">
                    <a16:creationId xmlns="" xmlns:a16="http://schemas.microsoft.com/office/drawing/2014/main" id="{00000000-0008-0000-0600-0000D9F5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 flipV="1">
                <a:off x="563" y="428"/>
                <a:ext cx="0" cy="38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14" name="Line 87">
                <a:extLst>
                  <a:ext uri="{FF2B5EF4-FFF2-40B4-BE49-F238E27FC236}">
                    <a16:creationId xmlns="" xmlns:a16="http://schemas.microsoft.com/office/drawing/2014/main" id="{00000000-0008-0000-0600-0000DAF5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 flipV="1">
                <a:off x="568" y="428"/>
                <a:ext cx="0" cy="3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15" name="Line 88">
                <a:extLst>
                  <a:ext uri="{FF2B5EF4-FFF2-40B4-BE49-F238E27FC236}">
                    <a16:creationId xmlns="" xmlns:a16="http://schemas.microsoft.com/office/drawing/2014/main" id="{00000000-0008-0000-0600-0000DBF5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 flipV="1">
                <a:off x="575" y="429"/>
                <a:ext cx="0" cy="3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16" name="Arc 89">
                <a:extLst>
                  <a:ext uri="{FF2B5EF4-FFF2-40B4-BE49-F238E27FC236}">
                    <a16:creationId xmlns="" xmlns:a16="http://schemas.microsoft.com/office/drawing/2014/main" id="{00000000-0008-0000-0600-0000DCF5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>
                <a:off x="520" y="311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17" name="Arc 90">
                <a:extLst>
                  <a:ext uri="{FF2B5EF4-FFF2-40B4-BE49-F238E27FC236}">
                    <a16:creationId xmlns="" xmlns:a16="http://schemas.microsoft.com/office/drawing/2014/main" id="{00000000-0008-0000-0600-0000DDF5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>
                <a:off x="513" y="383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318" name="Arc 91">
                <a:extLst>
                  <a:ext uri="{FF2B5EF4-FFF2-40B4-BE49-F238E27FC236}">
                    <a16:creationId xmlns="" xmlns:a16="http://schemas.microsoft.com/office/drawing/2014/main" id="{00000000-0008-0000-0600-0000DEF5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>
                <a:off x="507" y="450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</xdr:grpSp>
    <xdr:clientData/>
  </xdr:twoCellAnchor>
  <xdr:twoCellAnchor>
    <xdr:from>
      <xdr:col>11</xdr:col>
      <xdr:colOff>19050</xdr:colOff>
      <xdr:row>42</xdr:row>
      <xdr:rowOff>76200</xdr:rowOff>
    </xdr:from>
    <xdr:to>
      <xdr:col>12</xdr:col>
      <xdr:colOff>342900</xdr:colOff>
      <xdr:row>42</xdr:row>
      <xdr:rowOff>76200</xdr:rowOff>
    </xdr:to>
    <xdr:sp macro="" textlink="">
      <xdr:nvSpPr>
        <xdr:cNvPr id="4388092" name="Line 92">
          <a:extLst>
            <a:ext uri="{FF2B5EF4-FFF2-40B4-BE49-F238E27FC236}">
              <a16:creationId xmlns="" xmlns:a16="http://schemas.microsoft.com/office/drawing/2014/main" id="{00000000-0008-0000-0600-0000FCF44200}"/>
            </a:ext>
          </a:extLst>
        </xdr:cNvPr>
        <xdr:cNvSpPr>
          <a:spLocks noChangeShapeType="1"/>
        </xdr:cNvSpPr>
      </xdr:nvSpPr>
      <xdr:spPr bwMode="auto">
        <a:xfrm>
          <a:off x="9420225" y="1661160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438150</xdr:colOff>
      <xdr:row>35</xdr:row>
      <xdr:rowOff>123825</xdr:rowOff>
    </xdr:from>
    <xdr:to>
      <xdr:col>10</xdr:col>
      <xdr:colOff>552450</xdr:colOff>
      <xdr:row>36</xdr:row>
      <xdr:rowOff>47625</xdr:rowOff>
    </xdr:to>
    <xdr:sp macro="" textlink="">
      <xdr:nvSpPr>
        <xdr:cNvPr id="4388093" name="Arc 93">
          <a:extLst>
            <a:ext uri="{FF2B5EF4-FFF2-40B4-BE49-F238E27FC236}">
              <a16:creationId xmlns="" xmlns:a16="http://schemas.microsoft.com/office/drawing/2014/main" id="{00000000-0008-0000-0600-0000FDF44200}"/>
            </a:ext>
          </a:extLst>
        </xdr:cNvPr>
        <xdr:cNvSpPr>
          <a:spLocks/>
        </xdr:cNvSpPr>
      </xdr:nvSpPr>
      <xdr:spPr bwMode="auto">
        <a:xfrm flipH="1">
          <a:off x="8943975" y="13982700"/>
          <a:ext cx="114300" cy="266700"/>
        </a:xfrm>
        <a:custGeom>
          <a:avLst/>
          <a:gdLst>
            <a:gd name="T0" fmla="*/ 0 w 41584"/>
            <a:gd name="T1" fmla="*/ 2147483647 h 21600"/>
            <a:gd name="T2" fmla="*/ 2147483647 w 41584"/>
            <a:gd name="T3" fmla="*/ 2147483647 h 21600"/>
            <a:gd name="T4" fmla="*/ 2147483647 w 41584"/>
            <a:gd name="T5" fmla="*/ 2147483647 h 21600"/>
            <a:gd name="T6" fmla="*/ 0 60000 65536"/>
            <a:gd name="T7" fmla="*/ 0 60000 65536"/>
            <a:gd name="T8" fmla="*/ 0 60000 65536"/>
            <a:gd name="T9" fmla="*/ 0 w 41584"/>
            <a:gd name="T10" fmla="*/ 0 h 21600"/>
            <a:gd name="T11" fmla="*/ 41584 w 41584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1584" h="21600" fill="none" extrusionOk="0">
              <a:moveTo>
                <a:pt x="-1" y="18506"/>
              </a:moveTo>
              <a:cubicBezTo>
                <a:pt x="1536" y="7883"/>
                <a:pt x="10642" y="-1"/>
                <a:pt x="21377" y="0"/>
              </a:cubicBezTo>
              <a:cubicBezTo>
                <a:pt x="30362" y="0"/>
                <a:pt x="38409" y="5562"/>
                <a:pt x="41583" y="13968"/>
              </a:cubicBezTo>
            </a:path>
            <a:path w="41584" h="21600" stroke="0" extrusionOk="0">
              <a:moveTo>
                <a:pt x="-1" y="18506"/>
              </a:moveTo>
              <a:cubicBezTo>
                <a:pt x="1536" y="7883"/>
                <a:pt x="10642" y="-1"/>
                <a:pt x="21377" y="0"/>
              </a:cubicBezTo>
              <a:cubicBezTo>
                <a:pt x="30362" y="0"/>
                <a:pt x="38409" y="5562"/>
                <a:pt x="41583" y="13968"/>
              </a:cubicBezTo>
              <a:lnTo>
                <a:pt x="21377" y="21600"/>
              </a:lnTo>
              <a:lnTo>
                <a:pt x="-1" y="18506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447675</xdr:colOff>
      <xdr:row>35</xdr:row>
      <xdr:rowOff>266700</xdr:rowOff>
    </xdr:from>
    <xdr:to>
      <xdr:col>10</xdr:col>
      <xdr:colOff>457200</xdr:colOff>
      <xdr:row>39</xdr:row>
      <xdr:rowOff>219075</xdr:rowOff>
    </xdr:to>
    <xdr:sp macro="" textlink="">
      <xdr:nvSpPr>
        <xdr:cNvPr id="4388094" name="Line 94">
          <a:extLst>
            <a:ext uri="{FF2B5EF4-FFF2-40B4-BE49-F238E27FC236}">
              <a16:creationId xmlns="" xmlns:a16="http://schemas.microsoft.com/office/drawing/2014/main" id="{00000000-0008-0000-0600-0000FEF44200}"/>
            </a:ext>
          </a:extLst>
        </xdr:cNvPr>
        <xdr:cNvSpPr>
          <a:spLocks noChangeShapeType="1"/>
        </xdr:cNvSpPr>
      </xdr:nvSpPr>
      <xdr:spPr bwMode="auto">
        <a:xfrm>
          <a:off x="8953500" y="14125575"/>
          <a:ext cx="9525" cy="1743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533400</xdr:colOff>
      <xdr:row>36</xdr:row>
      <xdr:rowOff>38100</xdr:rowOff>
    </xdr:from>
    <xdr:to>
      <xdr:col>10</xdr:col>
      <xdr:colOff>552450</xdr:colOff>
      <xdr:row>41</xdr:row>
      <xdr:rowOff>238125</xdr:rowOff>
    </xdr:to>
    <xdr:sp macro="" textlink="">
      <xdr:nvSpPr>
        <xdr:cNvPr id="4388095" name="Line 95">
          <a:extLst>
            <a:ext uri="{FF2B5EF4-FFF2-40B4-BE49-F238E27FC236}">
              <a16:creationId xmlns="" xmlns:a16="http://schemas.microsoft.com/office/drawing/2014/main" id="{00000000-0008-0000-0600-0000FFF44200}"/>
            </a:ext>
          </a:extLst>
        </xdr:cNvPr>
        <xdr:cNvSpPr>
          <a:spLocks noChangeShapeType="1"/>
        </xdr:cNvSpPr>
      </xdr:nvSpPr>
      <xdr:spPr bwMode="auto">
        <a:xfrm flipH="1">
          <a:off x="9039225" y="14239875"/>
          <a:ext cx="19050" cy="2257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542925</xdr:colOff>
      <xdr:row>41</xdr:row>
      <xdr:rowOff>190500</xdr:rowOff>
    </xdr:from>
    <xdr:to>
      <xdr:col>11</xdr:col>
      <xdr:colOff>38100</xdr:colOff>
      <xdr:row>42</xdr:row>
      <xdr:rowOff>85725</xdr:rowOff>
    </xdr:to>
    <xdr:sp macro="" textlink="">
      <xdr:nvSpPr>
        <xdr:cNvPr id="4388096" name="Arc 96">
          <a:extLst>
            <a:ext uri="{FF2B5EF4-FFF2-40B4-BE49-F238E27FC236}">
              <a16:creationId xmlns="" xmlns:a16="http://schemas.microsoft.com/office/drawing/2014/main" id="{00000000-0008-0000-0600-000000F54200}"/>
            </a:ext>
          </a:extLst>
        </xdr:cNvPr>
        <xdr:cNvSpPr>
          <a:spLocks/>
        </xdr:cNvSpPr>
      </xdr:nvSpPr>
      <xdr:spPr bwMode="auto">
        <a:xfrm rot="15712194" flipH="1">
          <a:off x="9158288" y="16340137"/>
          <a:ext cx="171450" cy="390525"/>
        </a:xfrm>
        <a:custGeom>
          <a:avLst/>
          <a:gdLst>
            <a:gd name="T0" fmla="*/ 2147483647 w 21335"/>
            <a:gd name="T1" fmla="*/ 0 h 20984"/>
            <a:gd name="T2" fmla="*/ 2147483647 w 21335"/>
            <a:gd name="T3" fmla="*/ 2147483647 h 20984"/>
            <a:gd name="T4" fmla="*/ 0 w 21335"/>
            <a:gd name="T5" fmla="*/ 2147483647 h 20984"/>
            <a:gd name="T6" fmla="*/ 0 60000 65536"/>
            <a:gd name="T7" fmla="*/ 0 60000 65536"/>
            <a:gd name="T8" fmla="*/ 0 60000 65536"/>
            <a:gd name="T9" fmla="*/ 0 w 21335"/>
            <a:gd name="T10" fmla="*/ 0 h 20984"/>
            <a:gd name="T11" fmla="*/ 21335 w 21335"/>
            <a:gd name="T12" fmla="*/ 20984 h 209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335" h="20984" fill="none" extrusionOk="0">
              <a:moveTo>
                <a:pt x="5121" y="0"/>
              </a:moveTo>
              <a:cubicBezTo>
                <a:pt x="13583" y="2065"/>
                <a:pt x="19976" y="9010"/>
                <a:pt x="21335" y="17612"/>
              </a:cubicBezTo>
            </a:path>
            <a:path w="21335" h="20984" stroke="0" extrusionOk="0">
              <a:moveTo>
                <a:pt x="5121" y="0"/>
              </a:moveTo>
              <a:cubicBezTo>
                <a:pt x="13583" y="2065"/>
                <a:pt x="19976" y="9010"/>
                <a:pt x="21335" y="17612"/>
              </a:cubicBezTo>
              <a:lnTo>
                <a:pt x="0" y="20984"/>
              </a:lnTo>
              <a:lnTo>
                <a:pt x="5121" y="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476250</xdr:colOff>
      <xdr:row>35</xdr:row>
      <xdr:rowOff>9525</xdr:rowOff>
    </xdr:from>
    <xdr:to>
      <xdr:col>12</xdr:col>
      <xdr:colOff>609600</xdr:colOff>
      <xdr:row>36</xdr:row>
      <xdr:rowOff>95250</xdr:rowOff>
    </xdr:to>
    <xdr:sp macro="" textlink="">
      <xdr:nvSpPr>
        <xdr:cNvPr id="4388097" name="Arc 97">
          <a:extLst>
            <a:ext uri="{FF2B5EF4-FFF2-40B4-BE49-F238E27FC236}">
              <a16:creationId xmlns="" xmlns:a16="http://schemas.microsoft.com/office/drawing/2014/main" id="{00000000-0008-0000-0600-000001F54200}"/>
            </a:ext>
          </a:extLst>
        </xdr:cNvPr>
        <xdr:cNvSpPr>
          <a:spLocks noChangeAspect="1"/>
        </xdr:cNvSpPr>
      </xdr:nvSpPr>
      <xdr:spPr bwMode="auto">
        <a:xfrm>
          <a:off x="10772775" y="13868400"/>
          <a:ext cx="133350" cy="428625"/>
        </a:xfrm>
        <a:custGeom>
          <a:avLst/>
          <a:gdLst>
            <a:gd name="T0" fmla="*/ 0 w 41135"/>
            <a:gd name="T1" fmla="*/ 2147483647 h 21600"/>
            <a:gd name="T2" fmla="*/ 2147483647 w 41135"/>
            <a:gd name="T3" fmla="*/ 2147483647 h 21600"/>
            <a:gd name="T4" fmla="*/ 2147483647 w 41135"/>
            <a:gd name="T5" fmla="*/ 2147483647 h 21600"/>
            <a:gd name="T6" fmla="*/ 0 60000 65536"/>
            <a:gd name="T7" fmla="*/ 0 60000 65536"/>
            <a:gd name="T8" fmla="*/ 0 60000 65536"/>
            <a:gd name="T9" fmla="*/ 0 w 41135"/>
            <a:gd name="T10" fmla="*/ 0 h 21600"/>
            <a:gd name="T11" fmla="*/ 41135 w 41135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1135" h="21600" fill="none" extrusionOk="0">
              <a:moveTo>
                <a:pt x="-1" y="18506"/>
              </a:moveTo>
              <a:cubicBezTo>
                <a:pt x="1536" y="7883"/>
                <a:pt x="10642" y="-1"/>
                <a:pt x="21377" y="0"/>
              </a:cubicBezTo>
              <a:cubicBezTo>
                <a:pt x="29930" y="0"/>
                <a:pt x="37678" y="5047"/>
                <a:pt x="41135" y="12871"/>
              </a:cubicBezTo>
            </a:path>
            <a:path w="41135" h="21600" stroke="0" extrusionOk="0">
              <a:moveTo>
                <a:pt x="-1" y="18506"/>
              </a:moveTo>
              <a:cubicBezTo>
                <a:pt x="1536" y="7883"/>
                <a:pt x="10642" y="-1"/>
                <a:pt x="21377" y="0"/>
              </a:cubicBezTo>
              <a:cubicBezTo>
                <a:pt x="29930" y="0"/>
                <a:pt x="37678" y="5047"/>
                <a:pt x="41135" y="12871"/>
              </a:cubicBezTo>
              <a:lnTo>
                <a:pt x="21377" y="21600"/>
              </a:lnTo>
              <a:lnTo>
                <a:pt x="-1" y="18506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609600</xdr:colOff>
      <xdr:row>35</xdr:row>
      <xdr:rowOff>219075</xdr:rowOff>
    </xdr:from>
    <xdr:to>
      <xdr:col>12</xdr:col>
      <xdr:colOff>609600</xdr:colOff>
      <xdr:row>37</xdr:row>
      <xdr:rowOff>0</xdr:rowOff>
    </xdr:to>
    <xdr:sp macro="" textlink="">
      <xdr:nvSpPr>
        <xdr:cNvPr id="4388098" name="Line 98">
          <a:extLst>
            <a:ext uri="{FF2B5EF4-FFF2-40B4-BE49-F238E27FC236}">
              <a16:creationId xmlns="" xmlns:a16="http://schemas.microsoft.com/office/drawing/2014/main" id="{00000000-0008-0000-0600-000002F54200}"/>
            </a:ext>
          </a:extLst>
        </xdr:cNvPr>
        <xdr:cNvSpPr>
          <a:spLocks noChangeAspect="1" noChangeShapeType="1"/>
        </xdr:cNvSpPr>
      </xdr:nvSpPr>
      <xdr:spPr bwMode="auto">
        <a:xfrm flipH="1">
          <a:off x="10906125" y="14077950"/>
          <a:ext cx="0" cy="561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476250</xdr:colOff>
      <xdr:row>36</xdr:row>
      <xdr:rowOff>57150</xdr:rowOff>
    </xdr:from>
    <xdr:to>
      <xdr:col>12</xdr:col>
      <xdr:colOff>476250</xdr:colOff>
      <xdr:row>41</xdr:row>
      <xdr:rowOff>257175</xdr:rowOff>
    </xdr:to>
    <xdr:sp macro="" textlink="">
      <xdr:nvSpPr>
        <xdr:cNvPr id="4388099" name="Line 99">
          <a:extLst>
            <a:ext uri="{FF2B5EF4-FFF2-40B4-BE49-F238E27FC236}">
              <a16:creationId xmlns="" xmlns:a16="http://schemas.microsoft.com/office/drawing/2014/main" id="{00000000-0008-0000-0600-000003F54200}"/>
            </a:ext>
          </a:extLst>
        </xdr:cNvPr>
        <xdr:cNvSpPr>
          <a:spLocks noChangeAspect="1" noChangeShapeType="1"/>
        </xdr:cNvSpPr>
      </xdr:nvSpPr>
      <xdr:spPr bwMode="auto">
        <a:xfrm flipH="1">
          <a:off x="10772775" y="14258925"/>
          <a:ext cx="0" cy="2257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266700</xdr:colOff>
      <xdr:row>41</xdr:row>
      <xdr:rowOff>133350</xdr:rowOff>
    </xdr:from>
    <xdr:to>
      <xdr:col>12</xdr:col>
      <xdr:colOff>476250</xdr:colOff>
      <xdr:row>42</xdr:row>
      <xdr:rowOff>95250</xdr:rowOff>
    </xdr:to>
    <xdr:sp macro="" textlink="">
      <xdr:nvSpPr>
        <xdr:cNvPr id="4388100" name="Arc 100">
          <a:extLst>
            <a:ext uri="{FF2B5EF4-FFF2-40B4-BE49-F238E27FC236}">
              <a16:creationId xmlns="" xmlns:a16="http://schemas.microsoft.com/office/drawing/2014/main" id="{00000000-0008-0000-0600-000004F54200}"/>
            </a:ext>
          </a:extLst>
        </xdr:cNvPr>
        <xdr:cNvSpPr>
          <a:spLocks noChangeAspect="1"/>
        </xdr:cNvSpPr>
      </xdr:nvSpPr>
      <xdr:spPr bwMode="auto">
        <a:xfrm rot="5887806">
          <a:off x="10548937" y="16406813"/>
          <a:ext cx="238125" cy="209550"/>
        </a:xfrm>
        <a:custGeom>
          <a:avLst/>
          <a:gdLst>
            <a:gd name="T0" fmla="*/ 2147483647 w 21600"/>
            <a:gd name="T1" fmla="*/ 0 h 18971"/>
            <a:gd name="T2" fmla="*/ 2147483647 w 21600"/>
            <a:gd name="T3" fmla="*/ 2147483647 h 18971"/>
            <a:gd name="T4" fmla="*/ 0 w 21600"/>
            <a:gd name="T5" fmla="*/ 2147483647 h 18971"/>
            <a:gd name="T6" fmla="*/ 0 60000 65536"/>
            <a:gd name="T7" fmla="*/ 0 60000 65536"/>
            <a:gd name="T8" fmla="*/ 0 60000 65536"/>
            <a:gd name="T9" fmla="*/ 0 w 21600"/>
            <a:gd name="T10" fmla="*/ 0 h 18971"/>
            <a:gd name="T11" fmla="*/ 21600 w 21600"/>
            <a:gd name="T12" fmla="*/ 18971 h 18971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18971" fill="none" extrusionOk="0">
              <a:moveTo>
                <a:pt x="10327" y="-1"/>
              </a:moveTo>
              <a:cubicBezTo>
                <a:pt x="17275" y="3782"/>
                <a:pt x="21600" y="11060"/>
                <a:pt x="21600" y="18971"/>
              </a:cubicBezTo>
            </a:path>
            <a:path w="21600" h="18971" stroke="0" extrusionOk="0">
              <a:moveTo>
                <a:pt x="10327" y="-1"/>
              </a:moveTo>
              <a:cubicBezTo>
                <a:pt x="17275" y="3782"/>
                <a:pt x="21600" y="11060"/>
                <a:pt x="21600" y="18971"/>
              </a:cubicBezTo>
              <a:lnTo>
                <a:pt x="0" y="18971"/>
              </a:lnTo>
              <a:lnTo>
                <a:pt x="10327" y="-1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57150</xdr:colOff>
      <xdr:row>10</xdr:row>
      <xdr:rowOff>114300</xdr:rowOff>
    </xdr:from>
    <xdr:to>
      <xdr:col>30</xdr:col>
      <xdr:colOff>19050</xdr:colOff>
      <xdr:row>11</xdr:row>
      <xdr:rowOff>76200</xdr:rowOff>
    </xdr:to>
    <xdr:sp macro="" textlink="">
      <xdr:nvSpPr>
        <xdr:cNvPr id="4388101" name="Rectangle 101">
          <a:extLst>
            <a:ext uri="{FF2B5EF4-FFF2-40B4-BE49-F238E27FC236}">
              <a16:creationId xmlns="" xmlns:a16="http://schemas.microsoft.com/office/drawing/2014/main" id="{00000000-0008-0000-0600-000005F54200}"/>
            </a:ext>
          </a:extLst>
        </xdr:cNvPr>
        <xdr:cNvSpPr>
          <a:spLocks noChangeArrowheads="1"/>
        </xdr:cNvSpPr>
      </xdr:nvSpPr>
      <xdr:spPr bwMode="auto">
        <a:xfrm>
          <a:off x="21745575" y="4343400"/>
          <a:ext cx="624840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25</xdr:col>
      <xdr:colOff>38100</xdr:colOff>
      <xdr:row>8</xdr:row>
      <xdr:rowOff>381000</xdr:rowOff>
    </xdr:from>
    <xdr:to>
      <xdr:col>30</xdr:col>
      <xdr:colOff>0</xdr:colOff>
      <xdr:row>9</xdr:row>
      <xdr:rowOff>152400</xdr:rowOff>
    </xdr:to>
    <xdr:grpSp>
      <xdr:nvGrpSpPr>
        <xdr:cNvPr id="4388102" name="Group 102">
          <a:extLst>
            <a:ext uri="{FF2B5EF4-FFF2-40B4-BE49-F238E27FC236}">
              <a16:creationId xmlns="" xmlns:a16="http://schemas.microsoft.com/office/drawing/2014/main" id="{00000000-0008-0000-0600-000006F54200}"/>
            </a:ext>
          </a:extLst>
        </xdr:cNvPr>
        <xdr:cNvGrpSpPr>
          <a:grpSpLocks/>
        </xdr:cNvGrpSpPr>
      </xdr:nvGrpSpPr>
      <xdr:grpSpPr bwMode="auto">
        <a:xfrm>
          <a:off x="21707475" y="3786188"/>
          <a:ext cx="6224588" cy="152400"/>
          <a:chOff x="2020" y="383"/>
          <a:chExt cx="656" cy="22"/>
        </a:xfrm>
      </xdr:grpSpPr>
      <xdr:sp macro="" textlink="">
        <xdr:nvSpPr>
          <xdr:cNvPr id="4388301" name="Line 103">
            <a:extLst>
              <a:ext uri="{FF2B5EF4-FFF2-40B4-BE49-F238E27FC236}">
                <a16:creationId xmlns="" xmlns:a16="http://schemas.microsoft.com/office/drawing/2014/main" id="{00000000-0008-0000-0600-0000CDF5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8302" name="Line 104">
            <a:extLst>
              <a:ext uri="{FF2B5EF4-FFF2-40B4-BE49-F238E27FC236}">
                <a16:creationId xmlns="" xmlns:a16="http://schemas.microsoft.com/office/drawing/2014/main" id="{00000000-0008-0000-0600-0000CEF542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4388303" name="Line 105">
            <a:extLst>
              <a:ext uri="{FF2B5EF4-FFF2-40B4-BE49-F238E27FC236}">
                <a16:creationId xmlns="" xmlns:a16="http://schemas.microsoft.com/office/drawing/2014/main" id="{00000000-0008-0000-0600-0000CFF542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17</xdr:col>
      <xdr:colOff>600075</xdr:colOff>
      <xdr:row>8</xdr:row>
      <xdr:rowOff>381000</xdr:rowOff>
    </xdr:from>
    <xdr:to>
      <xdr:col>23</xdr:col>
      <xdr:colOff>476250</xdr:colOff>
      <xdr:row>9</xdr:row>
      <xdr:rowOff>123825</xdr:rowOff>
    </xdr:to>
    <xdr:grpSp>
      <xdr:nvGrpSpPr>
        <xdr:cNvPr id="4388103" name="Group 110">
          <a:extLst>
            <a:ext uri="{FF2B5EF4-FFF2-40B4-BE49-F238E27FC236}">
              <a16:creationId xmlns="" xmlns:a16="http://schemas.microsoft.com/office/drawing/2014/main" id="{00000000-0008-0000-0600-000007F54200}"/>
            </a:ext>
          </a:extLst>
        </xdr:cNvPr>
        <xdr:cNvGrpSpPr>
          <a:grpSpLocks/>
        </xdr:cNvGrpSpPr>
      </xdr:nvGrpSpPr>
      <xdr:grpSpPr bwMode="auto">
        <a:xfrm>
          <a:off x="15316200" y="3786188"/>
          <a:ext cx="5448300" cy="123825"/>
          <a:chOff x="2020" y="383"/>
          <a:chExt cx="656" cy="22"/>
        </a:xfrm>
      </xdr:grpSpPr>
      <xdr:sp macro="" textlink="">
        <xdr:nvSpPr>
          <xdr:cNvPr id="4388298" name="Line 111">
            <a:extLst>
              <a:ext uri="{FF2B5EF4-FFF2-40B4-BE49-F238E27FC236}">
                <a16:creationId xmlns="" xmlns:a16="http://schemas.microsoft.com/office/drawing/2014/main" id="{00000000-0008-0000-0600-0000CAF5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8299" name="Line 112">
            <a:extLst>
              <a:ext uri="{FF2B5EF4-FFF2-40B4-BE49-F238E27FC236}">
                <a16:creationId xmlns="" xmlns:a16="http://schemas.microsoft.com/office/drawing/2014/main" id="{00000000-0008-0000-0600-0000CBF542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4388300" name="Line 113">
            <a:extLst>
              <a:ext uri="{FF2B5EF4-FFF2-40B4-BE49-F238E27FC236}">
                <a16:creationId xmlns="" xmlns:a16="http://schemas.microsoft.com/office/drawing/2014/main" id="{00000000-0008-0000-0600-0000CCF542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17</xdr:col>
      <xdr:colOff>600075</xdr:colOff>
      <xdr:row>10</xdr:row>
      <xdr:rowOff>114300</xdr:rowOff>
    </xdr:from>
    <xdr:to>
      <xdr:col>23</xdr:col>
      <xdr:colOff>476250</xdr:colOff>
      <xdr:row>11</xdr:row>
      <xdr:rowOff>76200</xdr:rowOff>
    </xdr:to>
    <xdr:sp macro="" textlink="">
      <xdr:nvSpPr>
        <xdr:cNvPr id="4388104" name="Rectangle 114">
          <a:extLst>
            <a:ext uri="{FF2B5EF4-FFF2-40B4-BE49-F238E27FC236}">
              <a16:creationId xmlns="" xmlns:a16="http://schemas.microsoft.com/office/drawing/2014/main" id="{00000000-0008-0000-0600-000008F54200}"/>
            </a:ext>
          </a:extLst>
        </xdr:cNvPr>
        <xdr:cNvSpPr>
          <a:spLocks noChangeArrowheads="1"/>
        </xdr:cNvSpPr>
      </xdr:nvSpPr>
      <xdr:spPr bwMode="auto">
        <a:xfrm>
          <a:off x="15354300" y="4343400"/>
          <a:ext cx="542925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600075</xdr:colOff>
      <xdr:row>22</xdr:row>
      <xdr:rowOff>28575</xdr:rowOff>
    </xdr:from>
    <xdr:to>
      <xdr:col>23</xdr:col>
      <xdr:colOff>476250</xdr:colOff>
      <xdr:row>22</xdr:row>
      <xdr:rowOff>209550</xdr:rowOff>
    </xdr:to>
    <xdr:grpSp>
      <xdr:nvGrpSpPr>
        <xdr:cNvPr id="4388105" name="Group 115">
          <a:extLst>
            <a:ext uri="{FF2B5EF4-FFF2-40B4-BE49-F238E27FC236}">
              <a16:creationId xmlns="" xmlns:a16="http://schemas.microsoft.com/office/drawing/2014/main" id="{00000000-0008-0000-0600-000009F54200}"/>
            </a:ext>
          </a:extLst>
        </xdr:cNvPr>
        <xdr:cNvGrpSpPr>
          <a:grpSpLocks/>
        </xdr:cNvGrpSpPr>
      </xdr:nvGrpSpPr>
      <xdr:grpSpPr bwMode="auto">
        <a:xfrm>
          <a:off x="15316200" y="8767763"/>
          <a:ext cx="5448300" cy="180975"/>
          <a:chOff x="2020" y="383"/>
          <a:chExt cx="656" cy="22"/>
        </a:xfrm>
      </xdr:grpSpPr>
      <xdr:sp macro="" textlink="">
        <xdr:nvSpPr>
          <xdr:cNvPr id="4388295" name="Line 116">
            <a:extLst>
              <a:ext uri="{FF2B5EF4-FFF2-40B4-BE49-F238E27FC236}">
                <a16:creationId xmlns="" xmlns:a16="http://schemas.microsoft.com/office/drawing/2014/main" id="{00000000-0008-0000-0600-0000C7F5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8296" name="Line 117">
            <a:extLst>
              <a:ext uri="{FF2B5EF4-FFF2-40B4-BE49-F238E27FC236}">
                <a16:creationId xmlns="" xmlns:a16="http://schemas.microsoft.com/office/drawing/2014/main" id="{00000000-0008-0000-0600-0000C8F542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4388297" name="Line 118">
            <a:extLst>
              <a:ext uri="{FF2B5EF4-FFF2-40B4-BE49-F238E27FC236}">
                <a16:creationId xmlns="" xmlns:a16="http://schemas.microsoft.com/office/drawing/2014/main" id="{00000000-0008-0000-0600-0000C9F542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17</xdr:col>
      <xdr:colOff>600075</xdr:colOff>
      <xdr:row>23</xdr:row>
      <xdr:rowOff>238125</xdr:rowOff>
    </xdr:from>
    <xdr:to>
      <xdr:col>23</xdr:col>
      <xdr:colOff>476250</xdr:colOff>
      <xdr:row>24</xdr:row>
      <xdr:rowOff>200025</xdr:rowOff>
    </xdr:to>
    <xdr:sp macro="" textlink="">
      <xdr:nvSpPr>
        <xdr:cNvPr id="4388106" name="Rectangle 119">
          <a:extLst>
            <a:ext uri="{FF2B5EF4-FFF2-40B4-BE49-F238E27FC236}">
              <a16:creationId xmlns="" xmlns:a16="http://schemas.microsoft.com/office/drawing/2014/main" id="{00000000-0008-0000-0600-00000AF54200}"/>
            </a:ext>
          </a:extLst>
        </xdr:cNvPr>
        <xdr:cNvSpPr>
          <a:spLocks noChangeArrowheads="1"/>
        </xdr:cNvSpPr>
      </xdr:nvSpPr>
      <xdr:spPr bwMode="auto">
        <a:xfrm>
          <a:off x="15354300" y="9544050"/>
          <a:ext cx="542925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25</xdr:col>
      <xdr:colOff>0</xdr:colOff>
      <xdr:row>23</xdr:row>
      <xdr:rowOff>190500</xdr:rowOff>
    </xdr:from>
    <xdr:to>
      <xdr:col>30</xdr:col>
      <xdr:colOff>47625</xdr:colOff>
      <xdr:row>24</xdr:row>
      <xdr:rowOff>171450</xdr:rowOff>
    </xdr:to>
    <xdr:sp macro="" textlink="">
      <xdr:nvSpPr>
        <xdr:cNvPr id="4388107" name="Rectangle 120">
          <a:extLst>
            <a:ext uri="{FF2B5EF4-FFF2-40B4-BE49-F238E27FC236}">
              <a16:creationId xmlns="" xmlns:a16="http://schemas.microsoft.com/office/drawing/2014/main" id="{00000000-0008-0000-0600-00000BF54200}"/>
            </a:ext>
          </a:extLst>
        </xdr:cNvPr>
        <xdr:cNvSpPr>
          <a:spLocks noChangeArrowheads="1"/>
        </xdr:cNvSpPr>
      </xdr:nvSpPr>
      <xdr:spPr bwMode="auto">
        <a:xfrm>
          <a:off x="21688425" y="9496425"/>
          <a:ext cx="6334125" cy="3714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25</xdr:col>
      <xdr:colOff>38100</xdr:colOff>
      <xdr:row>22</xdr:row>
      <xdr:rowOff>76200</xdr:rowOff>
    </xdr:from>
    <xdr:to>
      <xdr:col>30</xdr:col>
      <xdr:colOff>0</xdr:colOff>
      <xdr:row>23</xdr:row>
      <xdr:rowOff>47625</xdr:rowOff>
    </xdr:to>
    <xdr:grpSp>
      <xdr:nvGrpSpPr>
        <xdr:cNvPr id="4388108" name="Group 121">
          <a:extLst>
            <a:ext uri="{FF2B5EF4-FFF2-40B4-BE49-F238E27FC236}">
              <a16:creationId xmlns="" xmlns:a16="http://schemas.microsoft.com/office/drawing/2014/main" id="{00000000-0008-0000-0600-00000CF54200}"/>
            </a:ext>
          </a:extLst>
        </xdr:cNvPr>
        <xdr:cNvGrpSpPr>
          <a:grpSpLocks/>
        </xdr:cNvGrpSpPr>
      </xdr:nvGrpSpPr>
      <xdr:grpSpPr bwMode="auto">
        <a:xfrm>
          <a:off x="21707475" y="8815388"/>
          <a:ext cx="6224588" cy="352425"/>
          <a:chOff x="2020" y="383"/>
          <a:chExt cx="656" cy="22"/>
        </a:xfrm>
      </xdr:grpSpPr>
      <xdr:sp macro="" textlink="">
        <xdr:nvSpPr>
          <xdr:cNvPr id="4388292" name="Line 122">
            <a:extLst>
              <a:ext uri="{FF2B5EF4-FFF2-40B4-BE49-F238E27FC236}">
                <a16:creationId xmlns="" xmlns:a16="http://schemas.microsoft.com/office/drawing/2014/main" id="{00000000-0008-0000-0600-0000C4F5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8293" name="Line 123">
            <a:extLst>
              <a:ext uri="{FF2B5EF4-FFF2-40B4-BE49-F238E27FC236}">
                <a16:creationId xmlns="" xmlns:a16="http://schemas.microsoft.com/office/drawing/2014/main" id="{00000000-0008-0000-0600-0000C5F542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4388294" name="Line 124">
            <a:extLst>
              <a:ext uri="{FF2B5EF4-FFF2-40B4-BE49-F238E27FC236}">
                <a16:creationId xmlns="" xmlns:a16="http://schemas.microsoft.com/office/drawing/2014/main" id="{00000000-0008-0000-0600-0000C6F542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323850</xdr:colOff>
      <xdr:row>9</xdr:row>
      <xdr:rowOff>161925</xdr:rowOff>
    </xdr:from>
    <xdr:to>
      <xdr:col>8</xdr:col>
      <xdr:colOff>323850</xdr:colOff>
      <xdr:row>11</xdr:row>
      <xdr:rowOff>190500</xdr:rowOff>
    </xdr:to>
    <xdr:sp macro="" textlink="">
      <xdr:nvSpPr>
        <xdr:cNvPr id="4388109" name="Line 126">
          <a:extLst>
            <a:ext uri="{FF2B5EF4-FFF2-40B4-BE49-F238E27FC236}">
              <a16:creationId xmlns="" xmlns:a16="http://schemas.microsoft.com/office/drawing/2014/main" id="{00000000-0008-0000-0600-00000DF54200}"/>
            </a:ext>
          </a:extLst>
        </xdr:cNvPr>
        <xdr:cNvSpPr>
          <a:spLocks noChangeShapeType="1"/>
        </xdr:cNvSpPr>
      </xdr:nvSpPr>
      <xdr:spPr bwMode="auto">
        <a:xfrm flipV="1">
          <a:off x="7353300" y="4000500"/>
          <a:ext cx="0" cy="809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38100</xdr:colOff>
      <xdr:row>9</xdr:row>
      <xdr:rowOff>161925</xdr:rowOff>
    </xdr:from>
    <xdr:to>
      <xdr:col>16</xdr:col>
      <xdr:colOff>38100</xdr:colOff>
      <xdr:row>11</xdr:row>
      <xdr:rowOff>190500</xdr:rowOff>
    </xdr:to>
    <xdr:sp macro="" textlink="">
      <xdr:nvSpPr>
        <xdr:cNvPr id="4388110" name="Line 127">
          <a:extLst>
            <a:ext uri="{FF2B5EF4-FFF2-40B4-BE49-F238E27FC236}">
              <a16:creationId xmlns="" xmlns:a16="http://schemas.microsoft.com/office/drawing/2014/main" id="{00000000-0008-0000-0600-00000EF54200}"/>
            </a:ext>
          </a:extLst>
        </xdr:cNvPr>
        <xdr:cNvSpPr>
          <a:spLocks noChangeShapeType="1"/>
        </xdr:cNvSpPr>
      </xdr:nvSpPr>
      <xdr:spPr bwMode="auto">
        <a:xfrm flipV="1">
          <a:off x="13973175" y="4000500"/>
          <a:ext cx="0" cy="809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323850</xdr:colOff>
      <xdr:row>13</xdr:row>
      <xdr:rowOff>28575</xdr:rowOff>
    </xdr:from>
    <xdr:to>
      <xdr:col>8</xdr:col>
      <xdr:colOff>323850</xdr:colOff>
      <xdr:row>22</xdr:row>
      <xdr:rowOff>142875</xdr:rowOff>
    </xdr:to>
    <xdr:sp macro="" textlink="">
      <xdr:nvSpPr>
        <xdr:cNvPr id="4388111" name="Line 128">
          <a:extLst>
            <a:ext uri="{FF2B5EF4-FFF2-40B4-BE49-F238E27FC236}">
              <a16:creationId xmlns="" xmlns:a16="http://schemas.microsoft.com/office/drawing/2014/main" id="{00000000-0008-0000-0600-00000FF54200}"/>
            </a:ext>
          </a:extLst>
        </xdr:cNvPr>
        <xdr:cNvSpPr>
          <a:spLocks noChangeShapeType="1"/>
        </xdr:cNvSpPr>
      </xdr:nvSpPr>
      <xdr:spPr bwMode="auto">
        <a:xfrm>
          <a:off x="7353300" y="5429250"/>
          <a:ext cx="0" cy="3629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371475</xdr:colOff>
      <xdr:row>14</xdr:row>
      <xdr:rowOff>352425</xdr:rowOff>
    </xdr:from>
    <xdr:to>
      <xdr:col>9</xdr:col>
      <xdr:colOff>304800</xdr:colOff>
      <xdr:row>14</xdr:row>
      <xdr:rowOff>352425</xdr:rowOff>
    </xdr:to>
    <xdr:sp macro="" textlink="">
      <xdr:nvSpPr>
        <xdr:cNvPr id="4388112" name="Line 129">
          <a:extLst>
            <a:ext uri="{FF2B5EF4-FFF2-40B4-BE49-F238E27FC236}">
              <a16:creationId xmlns="" xmlns:a16="http://schemas.microsoft.com/office/drawing/2014/main" id="{00000000-0008-0000-0600-000010F54200}"/>
            </a:ext>
          </a:extLst>
        </xdr:cNvPr>
        <xdr:cNvSpPr>
          <a:spLocks noChangeShapeType="1"/>
        </xdr:cNvSpPr>
      </xdr:nvSpPr>
      <xdr:spPr bwMode="auto">
        <a:xfrm flipV="1">
          <a:off x="7400925" y="6143625"/>
          <a:ext cx="542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323850</xdr:colOff>
      <xdr:row>15</xdr:row>
      <xdr:rowOff>342900</xdr:rowOff>
    </xdr:from>
    <xdr:to>
      <xdr:col>10</xdr:col>
      <xdr:colOff>257175</xdr:colOff>
      <xdr:row>15</xdr:row>
      <xdr:rowOff>342900</xdr:rowOff>
    </xdr:to>
    <xdr:sp macro="" textlink="">
      <xdr:nvSpPr>
        <xdr:cNvPr id="4388113" name="Line 130">
          <a:extLst>
            <a:ext uri="{FF2B5EF4-FFF2-40B4-BE49-F238E27FC236}">
              <a16:creationId xmlns="" xmlns:a16="http://schemas.microsoft.com/office/drawing/2014/main" id="{00000000-0008-0000-0600-000011F54200}"/>
            </a:ext>
          </a:extLst>
        </xdr:cNvPr>
        <xdr:cNvSpPr>
          <a:spLocks noChangeShapeType="1"/>
        </xdr:cNvSpPr>
      </xdr:nvSpPr>
      <xdr:spPr bwMode="auto">
        <a:xfrm>
          <a:off x="7353300" y="6524625"/>
          <a:ext cx="1409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323850</xdr:colOff>
      <xdr:row>16</xdr:row>
      <xdr:rowOff>352425</xdr:rowOff>
    </xdr:from>
    <xdr:to>
      <xdr:col>10</xdr:col>
      <xdr:colOff>885825</xdr:colOff>
      <xdr:row>16</xdr:row>
      <xdr:rowOff>352425</xdr:rowOff>
    </xdr:to>
    <xdr:sp macro="" textlink="">
      <xdr:nvSpPr>
        <xdr:cNvPr id="4388114" name="Line 131">
          <a:extLst>
            <a:ext uri="{FF2B5EF4-FFF2-40B4-BE49-F238E27FC236}">
              <a16:creationId xmlns="" xmlns:a16="http://schemas.microsoft.com/office/drawing/2014/main" id="{00000000-0008-0000-0600-000012F54200}"/>
            </a:ext>
          </a:extLst>
        </xdr:cNvPr>
        <xdr:cNvSpPr>
          <a:spLocks noChangeShapeType="1"/>
        </xdr:cNvSpPr>
      </xdr:nvSpPr>
      <xdr:spPr bwMode="auto">
        <a:xfrm>
          <a:off x="7353300" y="6924675"/>
          <a:ext cx="2038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323850</xdr:colOff>
      <xdr:row>17</xdr:row>
      <xdr:rowOff>352425</xdr:rowOff>
    </xdr:from>
    <xdr:to>
      <xdr:col>11</xdr:col>
      <xdr:colOff>790575</xdr:colOff>
      <xdr:row>17</xdr:row>
      <xdr:rowOff>352425</xdr:rowOff>
    </xdr:to>
    <xdr:sp macro="" textlink="">
      <xdr:nvSpPr>
        <xdr:cNvPr id="4388115" name="Line 132">
          <a:extLst>
            <a:ext uri="{FF2B5EF4-FFF2-40B4-BE49-F238E27FC236}">
              <a16:creationId xmlns="" xmlns:a16="http://schemas.microsoft.com/office/drawing/2014/main" id="{00000000-0008-0000-0600-000013F54200}"/>
            </a:ext>
          </a:extLst>
        </xdr:cNvPr>
        <xdr:cNvSpPr>
          <a:spLocks noChangeShapeType="1"/>
        </xdr:cNvSpPr>
      </xdr:nvSpPr>
      <xdr:spPr bwMode="auto">
        <a:xfrm flipH="1">
          <a:off x="7353300" y="7315200"/>
          <a:ext cx="2838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323850</xdr:colOff>
      <xdr:row>18</xdr:row>
      <xdr:rowOff>342900</xdr:rowOff>
    </xdr:from>
    <xdr:to>
      <xdr:col>12</xdr:col>
      <xdr:colOff>876300</xdr:colOff>
      <xdr:row>18</xdr:row>
      <xdr:rowOff>342900</xdr:rowOff>
    </xdr:to>
    <xdr:sp macro="" textlink="">
      <xdr:nvSpPr>
        <xdr:cNvPr id="4388116" name="Line 133">
          <a:extLst>
            <a:ext uri="{FF2B5EF4-FFF2-40B4-BE49-F238E27FC236}">
              <a16:creationId xmlns="" xmlns:a16="http://schemas.microsoft.com/office/drawing/2014/main" id="{00000000-0008-0000-0600-000014F54200}"/>
            </a:ext>
          </a:extLst>
        </xdr:cNvPr>
        <xdr:cNvSpPr>
          <a:spLocks noChangeShapeType="1"/>
        </xdr:cNvSpPr>
      </xdr:nvSpPr>
      <xdr:spPr bwMode="auto">
        <a:xfrm>
          <a:off x="7353300" y="7696200"/>
          <a:ext cx="381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276225</xdr:colOff>
      <xdr:row>12</xdr:row>
      <xdr:rowOff>38100</xdr:rowOff>
    </xdr:from>
    <xdr:to>
      <xdr:col>9</xdr:col>
      <xdr:colOff>371475</xdr:colOff>
      <xdr:row>15</xdr:row>
      <xdr:rowOff>47625</xdr:rowOff>
    </xdr:to>
    <xdr:grpSp>
      <xdr:nvGrpSpPr>
        <xdr:cNvPr id="4388117" name="Group 134">
          <a:extLst>
            <a:ext uri="{FF2B5EF4-FFF2-40B4-BE49-F238E27FC236}">
              <a16:creationId xmlns="" xmlns:a16="http://schemas.microsoft.com/office/drawing/2014/main" id="{00000000-0008-0000-0600-000015F54200}"/>
            </a:ext>
          </a:extLst>
        </xdr:cNvPr>
        <xdr:cNvGrpSpPr>
          <a:grpSpLocks/>
        </xdr:cNvGrpSpPr>
      </xdr:nvGrpSpPr>
      <xdr:grpSpPr bwMode="auto">
        <a:xfrm>
          <a:off x="7872413" y="4967288"/>
          <a:ext cx="95250" cy="1152525"/>
          <a:chOff x="554" y="439"/>
          <a:chExt cx="10" cy="76"/>
        </a:xfrm>
      </xdr:grpSpPr>
      <xdr:sp macro="" textlink="">
        <xdr:nvSpPr>
          <xdr:cNvPr id="4388290" name="Line 135">
            <a:extLst>
              <a:ext uri="{FF2B5EF4-FFF2-40B4-BE49-F238E27FC236}">
                <a16:creationId xmlns="" xmlns:a16="http://schemas.microsoft.com/office/drawing/2014/main" id="{00000000-0008-0000-0600-0000C2F54200}"/>
              </a:ext>
            </a:extLst>
          </xdr:cNvPr>
          <xdr:cNvSpPr>
            <a:spLocks noChangeShapeType="1"/>
          </xdr:cNvSpPr>
        </xdr:nvSpPr>
        <xdr:spPr bwMode="auto">
          <a:xfrm>
            <a:off x="558" y="439"/>
            <a:ext cx="0" cy="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8291" name="Line 136">
            <a:extLst>
              <a:ext uri="{FF2B5EF4-FFF2-40B4-BE49-F238E27FC236}">
                <a16:creationId xmlns="" xmlns:a16="http://schemas.microsoft.com/office/drawing/2014/main" id="{00000000-0008-0000-0600-0000C3F54200}"/>
              </a:ext>
            </a:extLst>
          </xdr:cNvPr>
          <xdr:cNvSpPr>
            <a:spLocks noChangeShapeType="1"/>
          </xdr:cNvSpPr>
        </xdr:nvSpPr>
        <xdr:spPr bwMode="auto">
          <a:xfrm>
            <a:off x="554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10</xdr:col>
      <xdr:colOff>57150</xdr:colOff>
      <xdr:row>12</xdr:row>
      <xdr:rowOff>66675</xdr:rowOff>
    </xdr:from>
    <xdr:to>
      <xdr:col>10</xdr:col>
      <xdr:colOff>161925</xdr:colOff>
      <xdr:row>16</xdr:row>
      <xdr:rowOff>47625</xdr:rowOff>
    </xdr:to>
    <xdr:grpSp>
      <xdr:nvGrpSpPr>
        <xdr:cNvPr id="4388118" name="Group 137">
          <a:extLst>
            <a:ext uri="{FF2B5EF4-FFF2-40B4-BE49-F238E27FC236}">
              <a16:creationId xmlns="" xmlns:a16="http://schemas.microsoft.com/office/drawing/2014/main" id="{00000000-0008-0000-0600-000016F54200}"/>
            </a:ext>
          </a:extLst>
        </xdr:cNvPr>
        <xdr:cNvGrpSpPr>
          <a:grpSpLocks/>
        </xdr:cNvGrpSpPr>
      </xdr:nvGrpSpPr>
      <xdr:grpSpPr bwMode="auto">
        <a:xfrm>
          <a:off x="8510588" y="4995863"/>
          <a:ext cx="104775" cy="1504950"/>
          <a:chOff x="680" y="439"/>
          <a:chExt cx="10" cy="98"/>
        </a:xfrm>
      </xdr:grpSpPr>
      <xdr:sp macro="" textlink="">
        <xdr:nvSpPr>
          <xdr:cNvPr id="4388288" name="Line 138">
            <a:extLst>
              <a:ext uri="{FF2B5EF4-FFF2-40B4-BE49-F238E27FC236}">
                <a16:creationId xmlns="" xmlns:a16="http://schemas.microsoft.com/office/drawing/2014/main" id="{00000000-0008-0000-0600-0000C0F54200}"/>
              </a:ext>
            </a:extLst>
          </xdr:cNvPr>
          <xdr:cNvSpPr>
            <a:spLocks noChangeShapeType="1"/>
          </xdr:cNvSpPr>
        </xdr:nvSpPr>
        <xdr:spPr bwMode="auto">
          <a:xfrm>
            <a:off x="685" y="439"/>
            <a:ext cx="0" cy="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8289" name="Line 139">
            <a:extLst>
              <a:ext uri="{FF2B5EF4-FFF2-40B4-BE49-F238E27FC236}">
                <a16:creationId xmlns="" xmlns:a16="http://schemas.microsoft.com/office/drawing/2014/main" id="{00000000-0008-0000-0600-0000C1F54200}"/>
              </a:ext>
            </a:extLst>
          </xdr:cNvPr>
          <xdr:cNvSpPr>
            <a:spLocks noChangeShapeType="1"/>
          </xdr:cNvSpPr>
        </xdr:nvSpPr>
        <xdr:spPr bwMode="auto">
          <a:xfrm>
            <a:off x="680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10</xdr:col>
      <xdr:colOff>752475</xdr:colOff>
      <xdr:row>12</xdr:row>
      <xdr:rowOff>28575</xdr:rowOff>
    </xdr:from>
    <xdr:to>
      <xdr:col>10</xdr:col>
      <xdr:colOff>847725</xdr:colOff>
      <xdr:row>16</xdr:row>
      <xdr:rowOff>371475</xdr:rowOff>
    </xdr:to>
    <xdr:grpSp>
      <xdr:nvGrpSpPr>
        <xdr:cNvPr id="4388119" name="Group 140">
          <a:extLst>
            <a:ext uri="{FF2B5EF4-FFF2-40B4-BE49-F238E27FC236}">
              <a16:creationId xmlns="" xmlns:a16="http://schemas.microsoft.com/office/drawing/2014/main" id="{00000000-0008-0000-0600-000017F54200}"/>
            </a:ext>
          </a:extLst>
        </xdr:cNvPr>
        <xdr:cNvGrpSpPr>
          <a:grpSpLocks/>
        </xdr:cNvGrpSpPr>
      </xdr:nvGrpSpPr>
      <xdr:grpSpPr bwMode="auto">
        <a:xfrm>
          <a:off x="9205913" y="4957763"/>
          <a:ext cx="95250" cy="1866900"/>
          <a:chOff x="759" y="438"/>
          <a:chExt cx="10" cy="121"/>
        </a:xfrm>
      </xdr:grpSpPr>
      <xdr:sp macro="" textlink="">
        <xdr:nvSpPr>
          <xdr:cNvPr id="4388286" name="Line 141">
            <a:extLst>
              <a:ext uri="{FF2B5EF4-FFF2-40B4-BE49-F238E27FC236}">
                <a16:creationId xmlns="" xmlns:a16="http://schemas.microsoft.com/office/drawing/2014/main" id="{00000000-0008-0000-0600-0000BEF54200}"/>
              </a:ext>
            </a:extLst>
          </xdr:cNvPr>
          <xdr:cNvSpPr>
            <a:spLocks noChangeShapeType="1"/>
          </xdr:cNvSpPr>
        </xdr:nvSpPr>
        <xdr:spPr bwMode="auto">
          <a:xfrm>
            <a:off x="763" y="438"/>
            <a:ext cx="0" cy="12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8287" name="Line 142">
            <a:extLst>
              <a:ext uri="{FF2B5EF4-FFF2-40B4-BE49-F238E27FC236}">
                <a16:creationId xmlns="" xmlns:a16="http://schemas.microsoft.com/office/drawing/2014/main" id="{00000000-0008-0000-0600-0000BFF542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11</xdr:col>
      <xdr:colOff>714375</xdr:colOff>
      <xdr:row>12</xdr:row>
      <xdr:rowOff>28575</xdr:rowOff>
    </xdr:from>
    <xdr:to>
      <xdr:col>11</xdr:col>
      <xdr:colOff>819150</xdr:colOff>
      <xdr:row>18</xdr:row>
      <xdr:rowOff>0</xdr:rowOff>
    </xdr:to>
    <xdr:grpSp>
      <xdr:nvGrpSpPr>
        <xdr:cNvPr id="4388120" name="Group 143">
          <a:extLst>
            <a:ext uri="{FF2B5EF4-FFF2-40B4-BE49-F238E27FC236}">
              <a16:creationId xmlns="" xmlns:a16="http://schemas.microsoft.com/office/drawing/2014/main" id="{00000000-0008-0000-0600-000018F54200}"/>
            </a:ext>
          </a:extLst>
        </xdr:cNvPr>
        <xdr:cNvGrpSpPr>
          <a:grpSpLocks/>
        </xdr:cNvGrpSpPr>
      </xdr:nvGrpSpPr>
      <xdr:grpSpPr bwMode="auto">
        <a:xfrm>
          <a:off x="10072688" y="4957763"/>
          <a:ext cx="104775" cy="2257425"/>
          <a:chOff x="842" y="438"/>
          <a:chExt cx="10" cy="147"/>
        </a:xfrm>
      </xdr:grpSpPr>
      <xdr:sp macro="" textlink="">
        <xdr:nvSpPr>
          <xdr:cNvPr id="4388284" name="Line 144">
            <a:extLst>
              <a:ext uri="{FF2B5EF4-FFF2-40B4-BE49-F238E27FC236}">
                <a16:creationId xmlns="" xmlns:a16="http://schemas.microsoft.com/office/drawing/2014/main" id="{00000000-0008-0000-0600-0000BCF542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8285" name="Line 145">
            <a:extLst>
              <a:ext uri="{FF2B5EF4-FFF2-40B4-BE49-F238E27FC236}">
                <a16:creationId xmlns="" xmlns:a16="http://schemas.microsoft.com/office/drawing/2014/main" id="{00000000-0008-0000-0600-0000BDF542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762000</xdr:colOff>
      <xdr:row>12</xdr:row>
      <xdr:rowOff>28575</xdr:rowOff>
    </xdr:from>
    <xdr:to>
      <xdr:col>12</xdr:col>
      <xdr:colOff>876300</xdr:colOff>
      <xdr:row>18</xdr:row>
      <xdr:rowOff>371475</xdr:rowOff>
    </xdr:to>
    <xdr:grpSp>
      <xdr:nvGrpSpPr>
        <xdr:cNvPr id="4388121" name="Group 146">
          <a:extLst>
            <a:ext uri="{FF2B5EF4-FFF2-40B4-BE49-F238E27FC236}">
              <a16:creationId xmlns="" xmlns:a16="http://schemas.microsoft.com/office/drawing/2014/main" id="{00000000-0008-0000-0600-000019F54200}"/>
            </a:ext>
          </a:extLst>
        </xdr:cNvPr>
        <xdr:cNvGrpSpPr>
          <a:grpSpLocks/>
        </xdr:cNvGrpSpPr>
      </xdr:nvGrpSpPr>
      <xdr:grpSpPr bwMode="auto">
        <a:xfrm>
          <a:off x="11025188" y="4957763"/>
          <a:ext cx="114300" cy="2628900"/>
          <a:chOff x="912" y="438"/>
          <a:chExt cx="11" cy="175"/>
        </a:xfrm>
      </xdr:grpSpPr>
      <xdr:sp macro="" textlink="">
        <xdr:nvSpPr>
          <xdr:cNvPr id="4388282" name="Line 147">
            <a:extLst>
              <a:ext uri="{FF2B5EF4-FFF2-40B4-BE49-F238E27FC236}">
                <a16:creationId xmlns="" xmlns:a16="http://schemas.microsoft.com/office/drawing/2014/main" id="{00000000-0008-0000-0600-0000BAF542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8283" name="Line 148">
            <a:extLst>
              <a:ext uri="{FF2B5EF4-FFF2-40B4-BE49-F238E27FC236}">
                <a16:creationId xmlns="" xmlns:a16="http://schemas.microsoft.com/office/drawing/2014/main" id="{00000000-0008-0000-0600-0000BBF542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14</xdr:col>
      <xdr:colOff>876300</xdr:colOff>
      <xdr:row>12</xdr:row>
      <xdr:rowOff>28575</xdr:rowOff>
    </xdr:from>
    <xdr:to>
      <xdr:col>14</xdr:col>
      <xdr:colOff>876300</xdr:colOff>
      <xdr:row>21</xdr:row>
      <xdr:rowOff>9525</xdr:rowOff>
    </xdr:to>
    <xdr:sp macro="" textlink="">
      <xdr:nvSpPr>
        <xdr:cNvPr id="4388122" name="Line 150">
          <a:extLst>
            <a:ext uri="{FF2B5EF4-FFF2-40B4-BE49-F238E27FC236}">
              <a16:creationId xmlns="" xmlns:a16="http://schemas.microsoft.com/office/drawing/2014/main" id="{00000000-0008-0000-0600-00001AF54200}"/>
            </a:ext>
          </a:extLst>
        </xdr:cNvPr>
        <xdr:cNvSpPr>
          <a:spLocks noChangeShapeType="1"/>
        </xdr:cNvSpPr>
      </xdr:nvSpPr>
      <xdr:spPr bwMode="auto">
        <a:xfrm>
          <a:off x="13115925" y="5038725"/>
          <a:ext cx="0" cy="3495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323850</xdr:colOff>
      <xdr:row>11</xdr:row>
      <xdr:rowOff>342900</xdr:rowOff>
    </xdr:from>
    <xdr:to>
      <xdr:col>16</xdr:col>
      <xdr:colOff>190500</xdr:colOff>
      <xdr:row>13</xdr:row>
      <xdr:rowOff>123825</xdr:rowOff>
    </xdr:to>
    <xdr:sp macro="" textlink="">
      <xdr:nvSpPr>
        <xdr:cNvPr id="4388123" name="Rectangle 149">
          <a:extLst>
            <a:ext uri="{FF2B5EF4-FFF2-40B4-BE49-F238E27FC236}">
              <a16:creationId xmlns="" xmlns:a16="http://schemas.microsoft.com/office/drawing/2014/main" id="{00000000-0008-0000-0600-00001BF54200}"/>
            </a:ext>
          </a:extLst>
        </xdr:cNvPr>
        <xdr:cNvSpPr>
          <a:spLocks noChangeArrowheads="1"/>
        </xdr:cNvSpPr>
      </xdr:nvSpPr>
      <xdr:spPr bwMode="auto">
        <a:xfrm>
          <a:off x="7353300" y="4962525"/>
          <a:ext cx="6772275" cy="5619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781050</xdr:colOff>
      <xdr:row>12</xdr:row>
      <xdr:rowOff>123825</xdr:rowOff>
    </xdr:from>
    <xdr:to>
      <xdr:col>16</xdr:col>
      <xdr:colOff>190500</xdr:colOff>
      <xdr:row>12</xdr:row>
      <xdr:rowOff>123825</xdr:rowOff>
    </xdr:to>
    <xdr:sp macro="" textlink="">
      <xdr:nvSpPr>
        <xdr:cNvPr id="4388124" name="Line 151">
          <a:extLst>
            <a:ext uri="{FF2B5EF4-FFF2-40B4-BE49-F238E27FC236}">
              <a16:creationId xmlns="" xmlns:a16="http://schemas.microsoft.com/office/drawing/2014/main" id="{00000000-0008-0000-0600-00001CF54200}"/>
            </a:ext>
          </a:extLst>
        </xdr:cNvPr>
        <xdr:cNvSpPr>
          <a:spLocks noChangeShapeType="1"/>
        </xdr:cNvSpPr>
      </xdr:nvSpPr>
      <xdr:spPr bwMode="auto">
        <a:xfrm>
          <a:off x="13896975" y="51339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323850</xdr:colOff>
      <xdr:row>19</xdr:row>
      <xdr:rowOff>342900</xdr:rowOff>
    </xdr:from>
    <xdr:to>
      <xdr:col>14</xdr:col>
      <xdr:colOff>19050</xdr:colOff>
      <xdr:row>19</xdr:row>
      <xdr:rowOff>342900</xdr:rowOff>
    </xdr:to>
    <xdr:sp macro="" textlink="">
      <xdr:nvSpPr>
        <xdr:cNvPr id="4388125" name="Line 152">
          <a:extLst>
            <a:ext uri="{FF2B5EF4-FFF2-40B4-BE49-F238E27FC236}">
              <a16:creationId xmlns="" xmlns:a16="http://schemas.microsoft.com/office/drawing/2014/main" id="{00000000-0008-0000-0600-00001DF54200}"/>
            </a:ext>
          </a:extLst>
        </xdr:cNvPr>
        <xdr:cNvSpPr>
          <a:spLocks noChangeShapeType="1"/>
        </xdr:cNvSpPr>
      </xdr:nvSpPr>
      <xdr:spPr bwMode="auto">
        <a:xfrm flipV="1">
          <a:off x="7353300" y="8086725"/>
          <a:ext cx="493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314325</xdr:colOff>
      <xdr:row>20</xdr:row>
      <xdr:rowOff>352425</xdr:rowOff>
    </xdr:from>
    <xdr:to>
      <xdr:col>14</xdr:col>
      <xdr:colOff>904875</xdr:colOff>
      <xdr:row>20</xdr:row>
      <xdr:rowOff>352425</xdr:rowOff>
    </xdr:to>
    <xdr:sp macro="" textlink="">
      <xdr:nvSpPr>
        <xdr:cNvPr id="4388126" name="Line 153">
          <a:extLst>
            <a:ext uri="{FF2B5EF4-FFF2-40B4-BE49-F238E27FC236}">
              <a16:creationId xmlns="" xmlns:a16="http://schemas.microsoft.com/office/drawing/2014/main" id="{00000000-0008-0000-0600-00001EF54200}"/>
            </a:ext>
          </a:extLst>
        </xdr:cNvPr>
        <xdr:cNvSpPr>
          <a:spLocks noChangeShapeType="1"/>
        </xdr:cNvSpPr>
      </xdr:nvSpPr>
      <xdr:spPr bwMode="auto">
        <a:xfrm flipV="1">
          <a:off x="7343775" y="8486775"/>
          <a:ext cx="5772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790575</xdr:colOff>
      <xdr:row>12</xdr:row>
      <xdr:rowOff>28575</xdr:rowOff>
    </xdr:from>
    <xdr:to>
      <xdr:col>13</xdr:col>
      <xdr:colOff>895350</xdr:colOff>
      <xdr:row>20</xdr:row>
      <xdr:rowOff>9525</xdr:rowOff>
    </xdr:to>
    <xdr:grpSp>
      <xdr:nvGrpSpPr>
        <xdr:cNvPr id="4388127" name="Group 154">
          <a:extLst>
            <a:ext uri="{FF2B5EF4-FFF2-40B4-BE49-F238E27FC236}">
              <a16:creationId xmlns="" xmlns:a16="http://schemas.microsoft.com/office/drawing/2014/main" id="{00000000-0008-0000-0600-00001FF54200}"/>
            </a:ext>
          </a:extLst>
        </xdr:cNvPr>
        <xdr:cNvGrpSpPr>
          <a:grpSpLocks/>
        </xdr:cNvGrpSpPr>
      </xdr:nvGrpSpPr>
      <xdr:grpSpPr bwMode="auto">
        <a:xfrm>
          <a:off x="11958638" y="4957763"/>
          <a:ext cx="104775" cy="3028950"/>
          <a:chOff x="912" y="438"/>
          <a:chExt cx="11" cy="175"/>
        </a:xfrm>
      </xdr:grpSpPr>
      <xdr:sp macro="" textlink="">
        <xdr:nvSpPr>
          <xdr:cNvPr id="4388280" name="Line 155">
            <a:extLst>
              <a:ext uri="{FF2B5EF4-FFF2-40B4-BE49-F238E27FC236}">
                <a16:creationId xmlns="" xmlns:a16="http://schemas.microsoft.com/office/drawing/2014/main" id="{00000000-0008-0000-0600-0000B8F542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8281" name="Line 156">
            <a:extLst>
              <a:ext uri="{FF2B5EF4-FFF2-40B4-BE49-F238E27FC236}">
                <a16:creationId xmlns="" xmlns:a16="http://schemas.microsoft.com/office/drawing/2014/main" id="{00000000-0008-0000-0600-0000B9F542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295275</xdr:colOff>
      <xdr:row>10</xdr:row>
      <xdr:rowOff>85725</xdr:rowOff>
    </xdr:from>
    <xdr:to>
      <xdr:col>16</xdr:col>
      <xdr:colOff>38100</xdr:colOff>
      <xdr:row>10</xdr:row>
      <xdr:rowOff>85725</xdr:rowOff>
    </xdr:to>
    <xdr:sp macro="" textlink="">
      <xdr:nvSpPr>
        <xdr:cNvPr id="4388128" name="Line 157">
          <a:extLst>
            <a:ext uri="{FF2B5EF4-FFF2-40B4-BE49-F238E27FC236}">
              <a16:creationId xmlns="" xmlns:a16="http://schemas.microsoft.com/office/drawing/2014/main" id="{00000000-0008-0000-0600-000020F54200}"/>
            </a:ext>
          </a:extLst>
        </xdr:cNvPr>
        <xdr:cNvSpPr>
          <a:spLocks noChangeShapeType="1"/>
        </xdr:cNvSpPr>
      </xdr:nvSpPr>
      <xdr:spPr bwMode="auto">
        <a:xfrm>
          <a:off x="7324725" y="4314825"/>
          <a:ext cx="6648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stealth" w="med" len="lg"/>
          <a:tailEnd type="stealth" w="med" len="lg"/>
        </a:ln>
      </xdr:spPr>
    </xdr:sp>
    <xdr:clientData/>
  </xdr:twoCellAnchor>
  <xdr:twoCellAnchor>
    <xdr:from>
      <xdr:col>2</xdr:col>
      <xdr:colOff>657225</xdr:colOff>
      <xdr:row>24</xdr:row>
      <xdr:rowOff>238125</xdr:rowOff>
    </xdr:from>
    <xdr:to>
      <xdr:col>2</xdr:col>
      <xdr:colOff>657225</xdr:colOff>
      <xdr:row>28</xdr:row>
      <xdr:rowOff>295275</xdr:rowOff>
    </xdr:to>
    <xdr:sp macro="" textlink="">
      <xdr:nvSpPr>
        <xdr:cNvPr id="4388129" name="Line 158">
          <a:extLst>
            <a:ext uri="{FF2B5EF4-FFF2-40B4-BE49-F238E27FC236}">
              <a16:creationId xmlns="" xmlns:a16="http://schemas.microsoft.com/office/drawing/2014/main" id="{00000000-0008-0000-0600-000021F54200}"/>
            </a:ext>
          </a:extLst>
        </xdr:cNvPr>
        <xdr:cNvSpPr>
          <a:spLocks noChangeShapeType="1"/>
        </xdr:cNvSpPr>
      </xdr:nvSpPr>
      <xdr:spPr bwMode="auto">
        <a:xfrm flipV="1">
          <a:off x="2771775" y="9934575"/>
          <a:ext cx="0" cy="1619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657225</xdr:colOff>
      <xdr:row>24</xdr:row>
      <xdr:rowOff>219075</xdr:rowOff>
    </xdr:from>
    <xdr:to>
      <xdr:col>5</xdr:col>
      <xdr:colOff>657225</xdr:colOff>
      <xdr:row>28</xdr:row>
      <xdr:rowOff>285750</xdr:rowOff>
    </xdr:to>
    <xdr:sp macro="" textlink="">
      <xdr:nvSpPr>
        <xdr:cNvPr id="4388130" name="Line 159">
          <a:extLst>
            <a:ext uri="{FF2B5EF4-FFF2-40B4-BE49-F238E27FC236}">
              <a16:creationId xmlns="" xmlns:a16="http://schemas.microsoft.com/office/drawing/2014/main" id="{00000000-0008-0000-0600-000022F54200}"/>
            </a:ext>
          </a:extLst>
        </xdr:cNvPr>
        <xdr:cNvSpPr>
          <a:spLocks noChangeShapeType="1"/>
        </xdr:cNvSpPr>
      </xdr:nvSpPr>
      <xdr:spPr bwMode="auto">
        <a:xfrm flipV="1">
          <a:off x="5610225" y="9915525"/>
          <a:ext cx="0" cy="1628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809625</xdr:colOff>
      <xdr:row>32</xdr:row>
      <xdr:rowOff>190500</xdr:rowOff>
    </xdr:from>
    <xdr:to>
      <xdr:col>2</xdr:col>
      <xdr:colOff>809625</xdr:colOff>
      <xdr:row>45</xdr:row>
      <xdr:rowOff>66675</xdr:rowOff>
    </xdr:to>
    <xdr:sp macro="" textlink="">
      <xdr:nvSpPr>
        <xdr:cNvPr id="4388131" name="Line 160">
          <a:extLst>
            <a:ext uri="{FF2B5EF4-FFF2-40B4-BE49-F238E27FC236}">
              <a16:creationId xmlns="" xmlns:a16="http://schemas.microsoft.com/office/drawing/2014/main" id="{00000000-0008-0000-0600-000023F54200}"/>
            </a:ext>
          </a:extLst>
        </xdr:cNvPr>
        <xdr:cNvSpPr>
          <a:spLocks noChangeShapeType="1"/>
        </xdr:cNvSpPr>
      </xdr:nvSpPr>
      <xdr:spPr bwMode="auto">
        <a:xfrm>
          <a:off x="2924175" y="13077825"/>
          <a:ext cx="0" cy="4619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504825</xdr:colOff>
      <xdr:row>32</xdr:row>
      <xdr:rowOff>228600</xdr:rowOff>
    </xdr:from>
    <xdr:to>
      <xdr:col>5</xdr:col>
      <xdr:colOff>504825</xdr:colOff>
      <xdr:row>45</xdr:row>
      <xdr:rowOff>76200</xdr:rowOff>
    </xdr:to>
    <xdr:sp macro="" textlink="">
      <xdr:nvSpPr>
        <xdr:cNvPr id="4388132" name="Line 161">
          <a:extLst>
            <a:ext uri="{FF2B5EF4-FFF2-40B4-BE49-F238E27FC236}">
              <a16:creationId xmlns="" xmlns:a16="http://schemas.microsoft.com/office/drawing/2014/main" id="{00000000-0008-0000-0600-000024F54200}"/>
            </a:ext>
          </a:extLst>
        </xdr:cNvPr>
        <xdr:cNvSpPr>
          <a:spLocks noChangeShapeType="1"/>
        </xdr:cNvSpPr>
      </xdr:nvSpPr>
      <xdr:spPr bwMode="auto">
        <a:xfrm>
          <a:off x="5457825" y="13115925"/>
          <a:ext cx="0" cy="459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819150</xdr:colOff>
      <xdr:row>41</xdr:row>
      <xdr:rowOff>57150</xdr:rowOff>
    </xdr:from>
    <xdr:to>
      <xdr:col>5</xdr:col>
      <xdr:colOff>323850</xdr:colOff>
      <xdr:row>41</xdr:row>
      <xdr:rowOff>57150</xdr:rowOff>
    </xdr:to>
    <xdr:sp macro="" textlink="">
      <xdr:nvSpPr>
        <xdr:cNvPr id="4388133" name="Line 162">
          <a:extLst>
            <a:ext uri="{FF2B5EF4-FFF2-40B4-BE49-F238E27FC236}">
              <a16:creationId xmlns="" xmlns:a16="http://schemas.microsoft.com/office/drawing/2014/main" id="{00000000-0008-0000-0600-000025F54200}"/>
            </a:ext>
          </a:extLst>
        </xdr:cNvPr>
        <xdr:cNvSpPr>
          <a:spLocks noChangeShapeType="1"/>
        </xdr:cNvSpPr>
      </xdr:nvSpPr>
      <xdr:spPr bwMode="auto">
        <a:xfrm flipV="1">
          <a:off x="2933700" y="16316325"/>
          <a:ext cx="2343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819150</xdr:colOff>
      <xdr:row>35</xdr:row>
      <xdr:rowOff>266700</xdr:rowOff>
    </xdr:from>
    <xdr:to>
      <xdr:col>5</xdr:col>
      <xdr:colOff>342900</xdr:colOff>
      <xdr:row>35</xdr:row>
      <xdr:rowOff>266700</xdr:rowOff>
    </xdr:to>
    <xdr:sp macro="" textlink="">
      <xdr:nvSpPr>
        <xdr:cNvPr id="4388134" name="Line 163">
          <a:extLst>
            <a:ext uri="{FF2B5EF4-FFF2-40B4-BE49-F238E27FC236}">
              <a16:creationId xmlns="" xmlns:a16="http://schemas.microsoft.com/office/drawing/2014/main" id="{00000000-0008-0000-0600-000026F54200}"/>
            </a:ext>
          </a:extLst>
        </xdr:cNvPr>
        <xdr:cNvSpPr>
          <a:spLocks noChangeShapeType="1"/>
        </xdr:cNvSpPr>
      </xdr:nvSpPr>
      <xdr:spPr bwMode="auto">
        <a:xfrm flipV="1">
          <a:off x="2933700" y="14125575"/>
          <a:ext cx="2362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819150</xdr:colOff>
      <xdr:row>44</xdr:row>
      <xdr:rowOff>171450</xdr:rowOff>
    </xdr:from>
    <xdr:to>
      <xdr:col>5</xdr:col>
      <xdr:colOff>314325</xdr:colOff>
      <xdr:row>44</xdr:row>
      <xdr:rowOff>171450</xdr:rowOff>
    </xdr:to>
    <xdr:sp macro="" textlink="">
      <xdr:nvSpPr>
        <xdr:cNvPr id="4388135" name="Line 164">
          <a:extLst>
            <a:ext uri="{FF2B5EF4-FFF2-40B4-BE49-F238E27FC236}">
              <a16:creationId xmlns="" xmlns:a16="http://schemas.microsoft.com/office/drawing/2014/main" id="{00000000-0008-0000-0600-000027F54200}"/>
            </a:ext>
          </a:extLst>
        </xdr:cNvPr>
        <xdr:cNvSpPr>
          <a:spLocks noChangeShapeType="1"/>
        </xdr:cNvSpPr>
      </xdr:nvSpPr>
      <xdr:spPr bwMode="auto">
        <a:xfrm>
          <a:off x="2933700" y="17564100"/>
          <a:ext cx="2333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819150</xdr:colOff>
      <xdr:row>32</xdr:row>
      <xdr:rowOff>266700</xdr:rowOff>
    </xdr:from>
    <xdr:to>
      <xdr:col>5</xdr:col>
      <xdr:colOff>323850</xdr:colOff>
      <xdr:row>32</xdr:row>
      <xdr:rowOff>266700</xdr:rowOff>
    </xdr:to>
    <xdr:sp macro="" textlink="">
      <xdr:nvSpPr>
        <xdr:cNvPr id="4388136" name="Line 165">
          <a:extLst>
            <a:ext uri="{FF2B5EF4-FFF2-40B4-BE49-F238E27FC236}">
              <a16:creationId xmlns="" xmlns:a16="http://schemas.microsoft.com/office/drawing/2014/main" id="{00000000-0008-0000-0600-000028F54200}"/>
            </a:ext>
          </a:extLst>
        </xdr:cNvPr>
        <xdr:cNvSpPr>
          <a:spLocks noChangeShapeType="1"/>
        </xdr:cNvSpPr>
      </xdr:nvSpPr>
      <xdr:spPr bwMode="auto">
        <a:xfrm>
          <a:off x="2933700" y="13154025"/>
          <a:ext cx="2343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314325</xdr:colOff>
      <xdr:row>44</xdr:row>
      <xdr:rowOff>171450</xdr:rowOff>
    </xdr:from>
    <xdr:to>
      <xdr:col>5</xdr:col>
      <xdr:colOff>657225</xdr:colOff>
      <xdr:row>44</xdr:row>
      <xdr:rowOff>171450</xdr:rowOff>
    </xdr:to>
    <xdr:sp macro="" textlink="">
      <xdr:nvSpPr>
        <xdr:cNvPr id="4388137" name="Line 166">
          <a:extLst>
            <a:ext uri="{FF2B5EF4-FFF2-40B4-BE49-F238E27FC236}">
              <a16:creationId xmlns="" xmlns:a16="http://schemas.microsoft.com/office/drawing/2014/main" id="{00000000-0008-0000-0600-000029F54200}"/>
            </a:ext>
          </a:extLst>
        </xdr:cNvPr>
        <xdr:cNvSpPr>
          <a:spLocks noChangeShapeType="1"/>
        </xdr:cNvSpPr>
      </xdr:nvSpPr>
      <xdr:spPr bwMode="auto">
        <a:xfrm>
          <a:off x="5267325" y="175641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314325</xdr:colOff>
      <xdr:row>32</xdr:row>
      <xdr:rowOff>266700</xdr:rowOff>
    </xdr:from>
    <xdr:to>
      <xdr:col>5</xdr:col>
      <xdr:colOff>457200</xdr:colOff>
      <xdr:row>32</xdr:row>
      <xdr:rowOff>266700</xdr:rowOff>
    </xdr:to>
    <xdr:sp macro="" textlink="">
      <xdr:nvSpPr>
        <xdr:cNvPr id="4388138" name="Line 167">
          <a:extLst>
            <a:ext uri="{FF2B5EF4-FFF2-40B4-BE49-F238E27FC236}">
              <a16:creationId xmlns="" xmlns:a16="http://schemas.microsoft.com/office/drawing/2014/main" id="{00000000-0008-0000-0600-00002AF54200}"/>
            </a:ext>
          </a:extLst>
        </xdr:cNvPr>
        <xdr:cNvSpPr>
          <a:spLocks noChangeShapeType="1"/>
        </xdr:cNvSpPr>
      </xdr:nvSpPr>
      <xdr:spPr bwMode="auto">
        <a:xfrm>
          <a:off x="5267325" y="1315402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876300</xdr:colOff>
      <xdr:row>32</xdr:row>
      <xdr:rowOff>276225</xdr:rowOff>
    </xdr:from>
    <xdr:to>
      <xdr:col>2</xdr:col>
      <xdr:colOff>876300</xdr:colOff>
      <xdr:row>35</xdr:row>
      <xdr:rowOff>142875</xdr:rowOff>
    </xdr:to>
    <xdr:sp macro="" textlink="">
      <xdr:nvSpPr>
        <xdr:cNvPr id="4388139" name="Line 168">
          <a:extLst>
            <a:ext uri="{FF2B5EF4-FFF2-40B4-BE49-F238E27FC236}">
              <a16:creationId xmlns="" xmlns:a16="http://schemas.microsoft.com/office/drawing/2014/main" id="{00000000-0008-0000-0600-00002BF54200}"/>
            </a:ext>
          </a:extLst>
        </xdr:cNvPr>
        <xdr:cNvSpPr>
          <a:spLocks noChangeShapeType="1"/>
        </xdr:cNvSpPr>
      </xdr:nvSpPr>
      <xdr:spPr bwMode="auto">
        <a:xfrm>
          <a:off x="2990850" y="13163550"/>
          <a:ext cx="0" cy="838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38100</xdr:colOff>
      <xdr:row>32</xdr:row>
      <xdr:rowOff>276225</xdr:rowOff>
    </xdr:from>
    <xdr:to>
      <xdr:col>3</xdr:col>
      <xdr:colOff>38100</xdr:colOff>
      <xdr:row>34</xdr:row>
      <xdr:rowOff>238125</xdr:rowOff>
    </xdr:to>
    <xdr:sp macro="" textlink="">
      <xdr:nvSpPr>
        <xdr:cNvPr id="4388140" name="Line 169">
          <a:extLst>
            <a:ext uri="{FF2B5EF4-FFF2-40B4-BE49-F238E27FC236}">
              <a16:creationId xmlns="" xmlns:a16="http://schemas.microsoft.com/office/drawing/2014/main" id="{00000000-0008-0000-0600-00002CF54200}"/>
            </a:ext>
          </a:extLst>
        </xdr:cNvPr>
        <xdr:cNvSpPr>
          <a:spLocks noChangeShapeType="1"/>
        </xdr:cNvSpPr>
      </xdr:nvSpPr>
      <xdr:spPr bwMode="auto">
        <a:xfrm>
          <a:off x="3114675" y="13163550"/>
          <a:ext cx="0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104775</xdr:colOff>
      <xdr:row>32</xdr:row>
      <xdr:rowOff>276225</xdr:rowOff>
    </xdr:from>
    <xdr:to>
      <xdr:col>3</xdr:col>
      <xdr:colOff>104775</xdr:colOff>
      <xdr:row>34</xdr:row>
      <xdr:rowOff>19050</xdr:rowOff>
    </xdr:to>
    <xdr:sp macro="" textlink="">
      <xdr:nvSpPr>
        <xdr:cNvPr id="4388141" name="Line 170">
          <a:extLst>
            <a:ext uri="{FF2B5EF4-FFF2-40B4-BE49-F238E27FC236}">
              <a16:creationId xmlns="" xmlns:a16="http://schemas.microsoft.com/office/drawing/2014/main" id="{00000000-0008-0000-0600-00002DF54200}"/>
            </a:ext>
          </a:extLst>
        </xdr:cNvPr>
        <xdr:cNvSpPr>
          <a:spLocks noChangeShapeType="1"/>
        </xdr:cNvSpPr>
      </xdr:nvSpPr>
      <xdr:spPr bwMode="auto">
        <a:xfrm>
          <a:off x="3181350" y="13163550"/>
          <a:ext cx="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161925</xdr:colOff>
      <xdr:row>32</xdr:row>
      <xdr:rowOff>276225</xdr:rowOff>
    </xdr:from>
    <xdr:to>
      <xdr:col>3</xdr:col>
      <xdr:colOff>161925</xdr:colOff>
      <xdr:row>33</xdr:row>
      <xdr:rowOff>123825</xdr:rowOff>
    </xdr:to>
    <xdr:sp macro="" textlink="">
      <xdr:nvSpPr>
        <xdr:cNvPr id="4388142" name="Line 171">
          <a:extLst>
            <a:ext uri="{FF2B5EF4-FFF2-40B4-BE49-F238E27FC236}">
              <a16:creationId xmlns="" xmlns:a16="http://schemas.microsoft.com/office/drawing/2014/main" id="{00000000-0008-0000-0600-00002EF54200}"/>
            </a:ext>
          </a:extLst>
        </xdr:cNvPr>
        <xdr:cNvSpPr>
          <a:spLocks noChangeShapeType="1"/>
        </xdr:cNvSpPr>
      </xdr:nvSpPr>
      <xdr:spPr bwMode="auto">
        <a:xfrm>
          <a:off x="3238500" y="13163550"/>
          <a:ext cx="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819150</xdr:colOff>
      <xdr:row>33</xdr:row>
      <xdr:rowOff>47625</xdr:rowOff>
    </xdr:from>
    <xdr:to>
      <xdr:col>3</xdr:col>
      <xdr:colOff>219075</xdr:colOff>
      <xdr:row>33</xdr:row>
      <xdr:rowOff>47625</xdr:rowOff>
    </xdr:to>
    <xdr:sp macro="" textlink="">
      <xdr:nvSpPr>
        <xdr:cNvPr id="4388143" name="Line 172">
          <a:extLst>
            <a:ext uri="{FF2B5EF4-FFF2-40B4-BE49-F238E27FC236}">
              <a16:creationId xmlns="" xmlns:a16="http://schemas.microsoft.com/office/drawing/2014/main" id="{00000000-0008-0000-0600-00002FF54200}"/>
            </a:ext>
          </a:extLst>
        </xdr:cNvPr>
        <xdr:cNvSpPr>
          <a:spLocks noChangeShapeType="1"/>
        </xdr:cNvSpPr>
      </xdr:nvSpPr>
      <xdr:spPr bwMode="auto">
        <a:xfrm>
          <a:off x="2933700" y="13325475"/>
          <a:ext cx="361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809625</xdr:colOff>
      <xdr:row>33</xdr:row>
      <xdr:rowOff>123825</xdr:rowOff>
    </xdr:from>
    <xdr:to>
      <xdr:col>3</xdr:col>
      <xdr:colOff>142875</xdr:colOff>
      <xdr:row>33</xdr:row>
      <xdr:rowOff>123825</xdr:rowOff>
    </xdr:to>
    <xdr:sp macro="" textlink="">
      <xdr:nvSpPr>
        <xdr:cNvPr id="4388144" name="Line 173">
          <a:extLst>
            <a:ext uri="{FF2B5EF4-FFF2-40B4-BE49-F238E27FC236}">
              <a16:creationId xmlns="" xmlns:a16="http://schemas.microsoft.com/office/drawing/2014/main" id="{00000000-0008-0000-0600-000030F54200}"/>
            </a:ext>
          </a:extLst>
        </xdr:cNvPr>
        <xdr:cNvSpPr>
          <a:spLocks noChangeShapeType="1"/>
        </xdr:cNvSpPr>
      </xdr:nvSpPr>
      <xdr:spPr bwMode="auto">
        <a:xfrm>
          <a:off x="2924175" y="1340167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819150</xdr:colOff>
      <xdr:row>34</xdr:row>
      <xdr:rowOff>19050</xdr:rowOff>
    </xdr:from>
    <xdr:to>
      <xdr:col>3</xdr:col>
      <xdr:colOff>85725</xdr:colOff>
      <xdr:row>34</xdr:row>
      <xdr:rowOff>19050</xdr:rowOff>
    </xdr:to>
    <xdr:sp macro="" textlink="">
      <xdr:nvSpPr>
        <xdr:cNvPr id="4388145" name="Line 174">
          <a:extLst>
            <a:ext uri="{FF2B5EF4-FFF2-40B4-BE49-F238E27FC236}">
              <a16:creationId xmlns="" xmlns:a16="http://schemas.microsoft.com/office/drawing/2014/main" id="{00000000-0008-0000-0600-000031F54200}"/>
            </a:ext>
          </a:extLst>
        </xdr:cNvPr>
        <xdr:cNvSpPr>
          <a:spLocks noChangeShapeType="1"/>
        </xdr:cNvSpPr>
      </xdr:nvSpPr>
      <xdr:spPr bwMode="auto">
        <a:xfrm>
          <a:off x="2933700" y="1360170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657225</xdr:colOff>
      <xdr:row>32</xdr:row>
      <xdr:rowOff>200025</xdr:rowOff>
    </xdr:from>
    <xdr:to>
      <xdr:col>2</xdr:col>
      <xdr:colOff>657225</xdr:colOff>
      <xdr:row>45</xdr:row>
      <xdr:rowOff>66675</xdr:rowOff>
    </xdr:to>
    <xdr:sp macro="" textlink="">
      <xdr:nvSpPr>
        <xdr:cNvPr id="4388146" name="Line 175">
          <a:extLst>
            <a:ext uri="{FF2B5EF4-FFF2-40B4-BE49-F238E27FC236}">
              <a16:creationId xmlns="" xmlns:a16="http://schemas.microsoft.com/office/drawing/2014/main" id="{00000000-0008-0000-0600-000032F54200}"/>
            </a:ext>
          </a:extLst>
        </xdr:cNvPr>
        <xdr:cNvSpPr>
          <a:spLocks noChangeShapeType="1"/>
        </xdr:cNvSpPr>
      </xdr:nvSpPr>
      <xdr:spPr bwMode="auto">
        <a:xfrm>
          <a:off x="2771775" y="13087350"/>
          <a:ext cx="0" cy="4610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828675</xdr:colOff>
      <xdr:row>32</xdr:row>
      <xdr:rowOff>190500</xdr:rowOff>
    </xdr:from>
    <xdr:to>
      <xdr:col>5</xdr:col>
      <xdr:colOff>352425</xdr:colOff>
      <xdr:row>32</xdr:row>
      <xdr:rowOff>266700</xdr:rowOff>
    </xdr:to>
    <xdr:grpSp>
      <xdr:nvGrpSpPr>
        <xdr:cNvPr id="4388147" name="Group 176">
          <a:extLst>
            <a:ext uri="{FF2B5EF4-FFF2-40B4-BE49-F238E27FC236}">
              <a16:creationId xmlns="" xmlns:a16="http://schemas.microsoft.com/office/drawing/2014/main" id="{00000000-0008-0000-0600-000033F54200}"/>
            </a:ext>
          </a:extLst>
        </xdr:cNvPr>
        <xdr:cNvGrpSpPr>
          <a:grpSpLocks/>
        </xdr:cNvGrpSpPr>
      </xdr:nvGrpSpPr>
      <xdr:grpSpPr bwMode="auto">
        <a:xfrm>
          <a:off x="2947988" y="12834938"/>
          <a:ext cx="2333625" cy="76200"/>
          <a:chOff x="89" y="756"/>
          <a:chExt cx="186" cy="8"/>
        </a:xfrm>
      </xdr:grpSpPr>
      <xdr:grpSp>
        <xdr:nvGrpSpPr>
          <xdr:cNvPr id="4388252" name="Group 177">
            <a:extLst>
              <a:ext uri="{FF2B5EF4-FFF2-40B4-BE49-F238E27FC236}">
                <a16:creationId xmlns="" xmlns:a16="http://schemas.microsoft.com/office/drawing/2014/main" id="{00000000-0008-0000-0600-00009CF54200}"/>
              </a:ext>
            </a:extLst>
          </xdr:cNvPr>
          <xdr:cNvGrpSpPr>
            <a:grpSpLocks/>
          </xdr:cNvGrpSpPr>
        </xdr:nvGrpSpPr>
        <xdr:grpSpPr bwMode="auto">
          <a:xfrm>
            <a:off x="89" y="756"/>
            <a:ext cx="86" cy="8"/>
            <a:chOff x="89" y="756"/>
            <a:chExt cx="86" cy="8"/>
          </a:xfrm>
        </xdr:grpSpPr>
        <xdr:grpSp>
          <xdr:nvGrpSpPr>
            <xdr:cNvPr id="4388268" name="Group 178">
              <a:extLst>
                <a:ext uri="{FF2B5EF4-FFF2-40B4-BE49-F238E27FC236}">
                  <a16:creationId xmlns="" xmlns:a16="http://schemas.microsoft.com/office/drawing/2014/main" id="{00000000-0008-0000-0600-0000ACF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4388275" name="Oval 179">
                <a:extLst>
                  <a:ext uri="{FF2B5EF4-FFF2-40B4-BE49-F238E27FC236}">
                    <a16:creationId xmlns="" xmlns:a16="http://schemas.microsoft.com/office/drawing/2014/main" id="{00000000-0008-0000-0600-0000B3F5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276" name="Oval 180">
                <a:extLst>
                  <a:ext uri="{FF2B5EF4-FFF2-40B4-BE49-F238E27FC236}">
                    <a16:creationId xmlns="" xmlns:a16="http://schemas.microsoft.com/office/drawing/2014/main" id="{00000000-0008-0000-0600-0000B4F5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8277" name="Group 181">
                <a:extLst>
                  <a:ext uri="{FF2B5EF4-FFF2-40B4-BE49-F238E27FC236}">
                    <a16:creationId xmlns="" xmlns:a16="http://schemas.microsoft.com/office/drawing/2014/main" id="{00000000-0008-0000-0600-0000B5F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88278" name="Oval 182">
                  <a:extLst>
                    <a:ext uri="{FF2B5EF4-FFF2-40B4-BE49-F238E27FC236}">
                      <a16:creationId xmlns="" xmlns:a16="http://schemas.microsoft.com/office/drawing/2014/main" id="{00000000-0008-0000-0600-0000B6F5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8279" name="Oval 183">
                  <a:extLst>
                    <a:ext uri="{FF2B5EF4-FFF2-40B4-BE49-F238E27FC236}">
                      <a16:creationId xmlns="" xmlns:a16="http://schemas.microsoft.com/office/drawing/2014/main" id="{00000000-0008-0000-0600-0000B7F5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4388269" name="Group 184">
              <a:extLst>
                <a:ext uri="{FF2B5EF4-FFF2-40B4-BE49-F238E27FC236}">
                  <a16:creationId xmlns="" xmlns:a16="http://schemas.microsoft.com/office/drawing/2014/main" id="{00000000-0008-0000-0600-0000ADF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4388270" name="Oval 185">
                <a:extLst>
                  <a:ext uri="{FF2B5EF4-FFF2-40B4-BE49-F238E27FC236}">
                    <a16:creationId xmlns="" xmlns:a16="http://schemas.microsoft.com/office/drawing/2014/main" id="{00000000-0008-0000-0600-0000AEF5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271" name="Oval 186">
                <a:extLst>
                  <a:ext uri="{FF2B5EF4-FFF2-40B4-BE49-F238E27FC236}">
                    <a16:creationId xmlns="" xmlns:a16="http://schemas.microsoft.com/office/drawing/2014/main" id="{00000000-0008-0000-0600-0000AFF5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8272" name="Group 187">
                <a:extLst>
                  <a:ext uri="{FF2B5EF4-FFF2-40B4-BE49-F238E27FC236}">
                    <a16:creationId xmlns="" xmlns:a16="http://schemas.microsoft.com/office/drawing/2014/main" id="{00000000-0008-0000-0600-0000B0F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88273" name="Oval 188">
                  <a:extLst>
                    <a:ext uri="{FF2B5EF4-FFF2-40B4-BE49-F238E27FC236}">
                      <a16:creationId xmlns="" xmlns:a16="http://schemas.microsoft.com/office/drawing/2014/main" id="{00000000-0008-0000-0600-0000B1F5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8274" name="Oval 189">
                  <a:extLst>
                    <a:ext uri="{FF2B5EF4-FFF2-40B4-BE49-F238E27FC236}">
                      <a16:creationId xmlns="" xmlns:a16="http://schemas.microsoft.com/office/drawing/2014/main" id="{00000000-0008-0000-0600-0000B2F5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8253" name="Group 190">
            <a:extLst>
              <a:ext uri="{FF2B5EF4-FFF2-40B4-BE49-F238E27FC236}">
                <a16:creationId xmlns="" xmlns:a16="http://schemas.microsoft.com/office/drawing/2014/main" id="{00000000-0008-0000-0600-00009DF54200}"/>
              </a:ext>
            </a:extLst>
          </xdr:cNvPr>
          <xdr:cNvGrpSpPr>
            <a:grpSpLocks/>
          </xdr:cNvGrpSpPr>
        </xdr:nvGrpSpPr>
        <xdr:grpSpPr bwMode="auto">
          <a:xfrm>
            <a:off x="170" y="756"/>
            <a:ext cx="86" cy="8"/>
            <a:chOff x="89" y="756"/>
            <a:chExt cx="86" cy="8"/>
          </a:xfrm>
        </xdr:grpSpPr>
        <xdr:grpSp>
          <xdr:nvGrpSpPr>
            <xdr:cNvPr id="4388256" name="Group 191">
              <a:extLst>
                <a:ext uri="{FF2B5EF4-FFF2-40B4-BE49-F238E27FC236}">
                  <a16:creationId xmlns="" xmlns:a16="http://schemas.microsoft.com/office/drawing/2014/main" id="{00000000-0008-0000-0600-0000A0F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4388263" name="Oval 192">
                <a:extLst>
                  <a:ext uri="{FF2B5EF4-FFF2-40B4-BE49-F238E27FC236}">
                    <a16:creationId xmlns="" xmlns:a16="http://schemas.microsoft.com/office/drawing/2014/main" id="{00000000-0008-0000-0600-0000A7F5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264" name="Oval 193">
                <a:extLst>
                  <a:ext uri="{FF2B5EF4-FFF2-40B4-BE49-F238E27FC236}">
                    <a16:creationId xmlns="" xmlns:a16="http://schemas.microsoft.com/office/drawing/2014/main" id="{00000000-0008-0000-0600-0000A8F5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8265" name="Group 194">
                <a:extLst>
                  <a:ext uri="{FF2B5EF4-FFF2-40B4-BE49-F238E27FC236}">
                    <a16:creationId xmlns="" xmlns:a16="http://schemas.microsoft.com/office/drawing/2014/main" id="{00000000-0008-0000-0600-0000A9F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88266" name="Oval 195">
                  <a:extLst>
                    <a:ext uri="{FF2B5EF4-FFF2-40B4-BE49-F238E27FC236}">
                      <a16:creationId xmlns="" xmlns:a16="http://schemas.microsoft.com/office/drawing/2014/main" id="{00000000-0008-0000-0600-0000AAF5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8267" name="Oval 196">
                  <a:extLst>
                    <a:ext uri="{FF2B5EF4-FFF2-40B4-BE49-F238E27FC236}">
                      <a16:creationId xmlns="" xmlns:a16="http://schemas.microsoft.com/office/drawing/2014/main" id="{00000000-0008-0000-0600-0000ABF5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4388257" name="Group 197">
              <a:extLst>
                <a:ext uri="{FF2B5EF4-FFF2-40B4-BE49-F238E27FC236}">
                  <a16:creationId xmlns="" xmlns:a16="http://schemas.microsoft.com/office/drawing/2014/main" id="{00000000-0008-0000-0600-0000A1F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4388258" name="Oval 198">
                <a:extLst>
                  <a:ext uri="{FF2B5EF4-FFF2-40B4-BE49-F238E27FC236}">
                    <a16:creationId xmlns="" xmlns:a16="http://schemas.microsoft.com/office/drawing/2014/main" id="{00000000-0008-0000-0600-0000A2F5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259" name="Oval 199">
                <a:extLst>
                  <a:ext uri="{FF2B5EF4-FFF2-40B4-BE49-F238E27FC236}">
                    <a16:creationId xmlns="" xmlns:a16="http://schemas.microsoft.com/office/drawing/2014/main" id="{00000000-0008-0000-0600-0000A3F5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8260" name="Group 200">
                <a:extLst>
                  <a:ext uri="{FF2B5EF4-FFF2-40B4-BE49-F238E27FC236}">
                    <a16:creationId xmlns="" xmlns:a16="http://schemas.microsoft.com/office/drawing/2014/main" id="{00000000-0008-0000-0600-0000A4F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88261" name="Oval 201">
                  <a:extLst>
                    <a:ext uri="{FF2B5EF4-FFF2-40B4-BE49-F238E27FC236}">
                      <a16:creationId xmlns="" xmlns:a16="http://schemas.microsoft.com/office/drawing/2014/main" id="{00000000-0008-0000-0600-0000A5F5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8262" name="Oval 202">
                  <a:extLst>
                    <a:ext uri="{FF2B5EF4-FFF2-40B4-BE49-F238E27FC236}">
                      <a16:creationId xmlns="" xmlns:a16="http://schemas.microsoft.com/office/drawing/2014/main" id="{00000000-0008-0000-0600-0000A6F5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88254" name="Oval 203">
            <a:extLst>
              <a:ext uri="{FF2B5EF4-FFF2-40B4-BE49-F238E27FC236}">
                <a16:creationId xmlns="" xmlns:a16="http://schemas.microsoft.com/office/drawing/2014/main" id="{00000000-0008-0000-0600-00009EF54200}"/>
              </a:ext>
            </a:extLst>
          </xdr:cNvPr>
          <xdr:cNvSpPr>
            <a:spLocks noChangeArrowheads="1"/>
          </xdr:cNvSpPr>
        </xdr:nvSpPr>
        <xdr:spPr bwMode="auto">
          <a:xfrm>
            <a:off x="25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8255" name="Oval 204">
            <a:extLst>
              <a:ext uri="{FF2B5EF4-FFF2-40B4-BE49-F238E27FC236}">
                <a16:creationId xmlns="" xmlns:a16="http://schemas.microsoft.com/office/drawing/2014/main" id="{00000000-0008-0000-0600-00009FF54200}"/>
              </a:ext>
            </a:extLst>
          </xdr:cNvPr>
          <xdr:cNvSpPr>
            <a:spLocks noChangeArrowheads="1"/>
          </xdr:cNvSpPr>
        </xdr:nvSpPr>
        <xdr:spPr bwMode="auto">
          <a:xfrm>
            <a:off x="26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809625</xdr:colOff>
      <xdr:row>44</xdr:row>
      <xdr:rowOff>171450</xdr:rowOff>
    </xdr:from>
    <xdr:to>
      <xdr:col>5</xdr:col>
      <xdr:colOff>333375</xdr:colOff>
      <xdr:row>45</xdr:row>
      <xdr:rowOff>66675</xdr:rowOff>
    </xdr:to>
    <xdr:grpSp>
      <xdr:nvGrpSpPr>
        <xdr:cNvPr id="4388148" name="Group 205">
          <a:extLst>
            <a:ext uri="{FF2B5EF4-FFF2-40B4-BE49-F238E27FC236}">
              <a16:creationId xmlns="" xmlns:a16="http://schemas.microsoft.com/office/drawing/2014/main" id="{00000000-0008-0000-0600-000034F54200}"/>
            </a:ext>
          </a:extLst>
        </xdr:cNvPr>
        <xdr:cNvGrpSpPr>
          <a:grpSpLocks/>
        </xdr:cNvGrpSpPr>
      </xdr:nvGrpSpPr>
      <xdr:grpSpPr bwMode="auto">
        <a:xfrm>
          <a:off x="2928938" y="17316450"/>
          <a:ext cx="2333625" cy="133350"/>
          <a:chOff x="89" y="756"/>
          <a:chExt cx="186" cy="8"/>
        </a:xfrm>
      </xdr:grpSpPr>
      <xdr:grpSp>
        <xdr:nvGrpSpPr>
          <xdr:cNvPr id="4388224" name="Group 206">
            <a:extLst>
              <a:ext uri="{FF2B5EF4-FFF2-40B4-BE49-F238E27FC236}">
                <a16:creationId xmlns="" xmlns:a16="http://schemas.microsoft.com/office/drawing/2014/main" id="{00000000-0008-0000-0600-000080F54200}"/>
              </a:ext>
            </a:extLst>
          </xdr:cNvPr>
          <xdr:cNvGrpSpPr>
            <a:grpSpLocks/>
          </xdr:cNvGrpSpPr>
        </xdr:nvGrpSpPr>
        <xdr:grpSpPr bwMode="auto">
          <a:xfrm>
            <a:off x="89" y="756"/>
            <a:ext cx="86" cy="8"/>
            <a:chOff x="89" y="756"/>
            <a:chExt cx="86" cy="8"/>
          </a:xfrm>
        </xdr:grpSpPr>
        <xdr:grpSp>
          <xdr:nvGrpSpPr>
            <xdr:cNvPr id="4388240" name="Group 207">
              <a:extLst>
                <a:ext uri="{FF2B5EF4-FFF2-40B4-BE49-F238E27FC236}">
                  <a16:creationId xmlns="" xmlns:a16="http://schemas.microsoft.com/office/drawing/2014/main" id="{00000000-0008-0000-0600-000090F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4388247" name="Oval 208">
                <a:extLst>
                  <a:ext uri="{FF2B5EF4-FFF2-40B4-BE49-F238E27FC236}">
                    <a16:creationId xmlns="" xmlns:a16="http://schemas.microsoft.com/office/drawing/2014/main" id="{00000000-0008-0000-0600-000097F5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248" name="Oval 209">
                <a:extLst>
                  <a:ext uri="{FF2B5EF4-FFF2-40B4-BE49-F238E27FC236}">
                    <a16:creationId xmlns="" xmlns:a16="http://schemas.microsoft.com/office/drawing/2014/main" id="{00000000-0008-0000-0600-000098F5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8249" name="Group 210">
                <a:extLst>
                  <a:ext uri="{FF2B5EF4-FFF2-40B4-BE49-F238E27FC236}">
                    <a16:creationId xmlns="" xmlns:a16="http://schemas.microsoft.com/office/drawing/2014/main" id="{00000000-0008-0000-0600-000099F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88250" name="Oval 211">
                  <a:extLst>
                    <a:ext uri="{FF2B5EF4-FFF2-40B4-BE49-F238E27FC236}">
                      <a16:creationId xmlns="" xmlns:a16="http://schemas.microsoft.com/office/drawing/2014/main" id="{00000000-0008-0000-0600-00009AF5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8251" name="Oval 212">
                  <a:extLst>
                    <a:ext uri="{FF2B5EF4-FFF2-40B4-BE49-F238E27FC236}">
                      <a16:creationId xmlns="" xmlns:a16="http://schemas.microsoft.com/office/drawing/2014/main" id="{00000000-0008-0000-0600-00009BF5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4388241" name="Group 213">
              <a:extLst>
                <a:ext uri="{FF2B5EF4-FFF2-40B4-BE49-F238E27FC236}">
                  <a16:creationId xmlns="" xmlns:a16="http://schemas.microsoft.com/office/drawing/2014/main" id="{00000000-0008-0000-0600-000091F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4388242" name="Oval 214">
                <a:extLst>
                  <a:ext uri="{FF2B5EF4-FFF2-40B4-BE49-F238E27FC236}">
                    <a16:creationId xmlns="" xmlns:a16="http://schemas.microsoft.com/office/drawing/2014/main" id="{00000000-0008-0000-0600-000092F5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243" name="Oval 215">
                <a:extLst>
                  <a:ext uri="{FF2B5EF4-FFF2-40B4-BE49-F238E27FC236}">
                    <a16:creationId xmlns="" xmlns:a16="http://schemas.microsoft.com/office/drawing/2014/main" id="{00000000-0008-0000-0600-000093F5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8244" name="Group 216">
                <a:extLst>
                  <a:ext uri="{FF2B5EF4-FFF2-40B4-BE49-F238E27FC236}">
                    <a16:creationId xmlns="" xmlns:a16="http://schemas.microsoft.com/office/drawing/2014/main" id="{00000000-0008-0000-0600-000094F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88245" name="Oval 217">
                  <a:extLst>
                    <a:ext uri="{FF2B5EF4-FFF2-40B4-BE49-F238E27FC236}">
                      <a16:creationId xmlns="" xmlns:a16="http://schemas.microsoft.com/office/drawing/2014/main" id="{00000000-0008-0000-0600-000095F5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8246" name="Oval 218">
                  <a:extLst>
                    <a:ext uri="{FF2B5EF4-FFF2-40B4-BE49-F238E27FC236}">
                      <a16:creationId xmlns="" xmlns:a16="http://schemas.microsoft.com/office/drawing/2014/main" id="{00000000-0008-0000-0600-000096F5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8225" name="Group 219">
            <a:extLst>
              <a:ext uri="{FF2B5EF4-FFF2-40B4-BE49-F238E27FC236}">
                <a16:creationId xmlns="" xmlns:a16="http://schemas.microsoft.com/office/drawing/2014/main" id="{00000000-0008-0000-0600-000081F54200}"/>
              </a:ext>
            </a:extLst>
          </xdr:cNvPr>
          <xdr:cNvGrpSpPr>
            <a:grpSpLocks/>
          </xdr:cNvGrpSpPr>
        </xdr:nvGrpSpPr>
        <xdr:grpSpPr bwMode="auto">
          <a:xfrm>
            <a:off x="170" y="756"/>
            <a:ext cx="86" cy="8"/>
            <a:chOff x="89" y="756"/>
            <a:chExt cx="86" cy="8"/>
          </a:xfrm>
        </xdr:grpSpPr>
        <xdr:grpSp>
          <xdr:nvGrpSpPr>
            <xdr:cNvPr id="4388228" name="Group 220">
              <a:extLst>
                <a:ext uri="{FF2B5EF4-FFF2-40B4-BE49-F238E27FC236}">
                  <a16:creationId xmlns="" xmlns:a16="http://schemas.microsoft.com/office/drawing/2014/main" id="{00000000-0008-0000-0600-000084F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4388235" name="Oval 221">
                <a:extLst>
                  <a:ext uri="{FF2B5EF4-FFF2-40B4-BE49-F238E27FC236}">
                    <a16:creationId xmlns="" xmlns:a16="http://schemas.microsoft.com/office/drawing/2014/main" id="{00000000-0008-0000-0600-00008BF5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236" name="Oval 222">
                <a:extLst>
                  <a:ext uri="{FF2B5EF4-FFF2-40B4-BE49-F238E27FC236}">
                    <a16:creationId xmlns="" xmlns:a16="http://schemas.microsoft.com/office/drawing/2014/main" id="{00000000-0008-0000-0600-00008CF5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8237" name="Group 223">
                <a:extLst>
                  <a:ext uri="{FF2B5EF4-FFF2-40B4-BE49-F238E27FC236}">
                    <a16:creationId xmlns="" xmlns:a16="http://schemas.microsoft.com/office/drawing/2014/main" id="{00000000-0008-0000-0600-00008DF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88238" name="Oval 224">
                  <a:extLst>
                    <a:ext uri="{FF2B5EF4-FFF2-40B4-BE49-F238E27FC236}">
                      <a16:creationId xmlns="" xmlns:a16="http://schemas.microsoft.com/office/drawing/2014/main" id="{00000000-0008-0000-0600-00008EF5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8239" name="Oval 225">
                  <a:extLst>
                    <a:ext uri="{FF2B5EF4-FFF2-40B4-BE49-F238E27FC236}">
                      <a16:creationId xmlns="" xmlns:a16="http://schemas.microsoft.com/office/drawing/2014/main" id="{00000000-0008-0000-0600-00008FF5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4388229" name="Group 226">
              <a:extLst>
                <a:ext uri="{FF2B5EF4-FFF2-40B4-BE49-F238E27FC236}">
                  <a16:creationId xmlns="" xmlns:a16="http://schemas.microsoft.com/office/drawing/2014/main" id="{00000000-0008-0000-0600-000085F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4388230" name="Oval 227">
                <a:extLst>
                  <a:ext uri="{FF2B5EF4-FFF2-40B4-BE49-F238E27FC236}">
                    <a16:creationId xmlns="" xmlns:a16="http://schemas.microsoft.com/office/drawing/2014/main" id="{00000000-0008-0000-0600-000086F5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88231" name="Oval 228">
                <a:extLst>
                  <a:ext uri="{FF2B5EF4-FFF2-40B4-BE49-F238E27FC236}">
                    <a16:creationId xmlns="" xmlns:a16="http://schemas.microsoft.com/office/drawing/2014/main" id="{00000000-0008-0000-0600-000087F5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8232" name="Group 229">
                <a:extLst>
                  <a:ext uri="{FF2B5EF4-FFF2-40B4-BE49-F238E27FC236}">
                    <a16:creationId xmlns="" xmlns:a16="http://schemas.microsoft.com/office/drawing/2014/main" id="{00000000-0008-0000-0600-000088F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88233" name="Oval 230">
                  <a:extLst>
                    <a:ext uri="{FF2B5EF4-FFF2-40B4-BE49-F238E27FC236}">
                      <a16:creationId xmlns="" xmlns:a16="http://schemas.microsoft.com/office/drawing/2014/main" id="{00000000-0008-0000-0600-000089F5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8234" name="Oval 231">
                  <a:extLst>
                    <a:ext uri="{FF2B5EF4-FFF2-40B4-BE49-F238E27FC236}">
                      <a16:creationId xmlns="" xmlns:a16="http://schemas.microsoft.com/office/drawing/2014/main" id="{00000000-0008-0000-0600-00008AF5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88226" name="Oval 232">
            <a:extLst>
              <a:ext uri="{FF2B5EF4-FFF2-40B4-BE49-F238E27FC236}">
                <a16:creationId xmlns="" xmlns:a16="http://schemas.microsoft.com/office/drawing/2014/main" id="{00000000-0008-0000-0600-000082F54200}"/>
              </a:ext>
            </a:extLst>
          </xdr:cNvPr>
          <xdr:cNvSpPr>
            <a:spLocks noChangeArrowheads="1"/>
          </xdr:cNvSpPr>
        </xdr:nvSpPr>
        <xdr:spPr bwMode="auto">
          <a:xfrm>
            <a:off x="25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8227" name="Oval 233">
            <a:extLst>
              <a:ext uri="{FF2B5EF4-FFF2-40B4-BE49-F238E27FC236}">
                <a16:creationId xmlns="" xmlns:a16="http://schemas.microsoft.com/office/drawing/2014/main" id="{00000000-0008-0000-0600-000083F54200}"/>
              </a:ext>
            </a:extLst>
          </xdr:cNvPr>
          <xdr:cNvSpPr>
            <a:spLocks noChangeArrowheads="1"/>
          </xdr:cNvSpPr>
        </xdr:nvSpPr>
        <xdr:spPr bwMode="auto">
          <a:xfrm>
            <a:off x="26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133350</xdr:colOff>
      <xdr:row>45</xdr:row>
      <xdr:rowOff>66675</xdr:rowOff>
    </xdr:from>
    <xdr:to>
      <xdr:col>6</xdr:col>
      <xdr:colOff>704850</xdr:colOff>
      <xdr:row>45</xdr:row>
      <xdr:rowOff>66675</xdr:rowOff>
    </xdr:to>
    <xdr:sp macro="" textlink="">
      <xdr:nvSpPr>
        <xdr:cNvPr id="4388149" name="Line 234">
          <a:extLst>
            <a:ext uri="{FF2B5EF4-FFF2-40B4-BE49-F238E27FC236}">
              <a16:creationId xmlns="" xmlns:a16="http://schemas.microsoft.com/office/drawing/2014/main" id="{00000000-0008-0000-0600-000035F54200}"/>
            </a:ext>
          </a:extLst>
        </xdr:cNvPr>
        <xdr:cNvSpPr>
          <a:spLocks noChangeShapeType="1"/>
        </xdr:cNvSpPr>
      </xdr:nvSpPr>
      <xdr:spPr bwMode="auto">
        <a:xfrm>
          <a:off x="5810250" y="17697450"/>
          <a:ext cx="571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123825</xdr:colOff>
      <xdr:row>29</xdr:row>
      <xdr:rowOff>152400</xdr:rowOff>
    </xdr:from>
    <xdr:to>
      <xdr:col>6</xdr:col>
      <xdr:colOff>704850</xdr:colOff>
      <xdr:row>29</xdr:row>
      <xdr:rowOff>152400</xdr:rowOff>
    </xdr:to>
    <xdr:sp macro="" textlink="">
      <xdr:nvSpPr>
        <xdr:cNvPr id="4388150" name="Line 235">
          <a:extLst>
            <a:ext uri="{FF2B5EF4-FFF2-40B4-BE49-F238E27FC236}">
              <a16:creationId xmlns="" xmlns:a16="http://schemas.microsoft.com/office/drawing/2014/main" id="{00000000-0008-0000-0600-000036F54200}"/>
            </a:ext>
          </a:extLst>
        </xdr:cNvPr>
        <xdr:cNvSpPr>
          <a:spLocks noChangeShapeType="1"/>
        </xdr:cNvSpPr>
      </xdr:nvSpPr>
      <xdr:spPr bwMode="auto">
        <a:xfrm>
          <a:off x="5800725" y="11801475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657225</xdr:colOff>
      <xdr:row>24</xdr:row>
      <xdr:rowOff>371475</xdr:rowOff>
    </xdr:from>
    <xdr:to>
      <xdr:col>5</xdr:col>
      <xdr:colOff>657225</xdr:colOff>
      <xdr:row>26</xdr:row>
      <xdr:rowOff>371475</xdr:rowOff>
    </xdr:to>
    <xdr:grpSp>
      <xdr:nvGrpSpPr>
        <xdr:cNvPr id="4388151" name="Group 236">
          <a:extLst>
            <a:ext uri="{FF2B5EF4-FFF2-40B4-BE49-F238E27FC236}">
              <a16:creationId xmlns="" xmlns:a16="http://schemas.microsoft.com/office/drawing/2014/main" id="{00000000-0008-0000-0600-000037F54200}"/>
            </a:ext>
          </a:extLst>
        </xdr:cNvPr>
        <xdr:cNvGrpSpPr>
          <a:grpSpLocks/>
        </xdr:cNvGrpSpPr>
      </xdr:nvGrpSpPr>
      <xdr:grpSpPr bwMode="auto">
        <a:xfrm>
          <a:off x="2776538" y="9872663"/>
          <a:ext cx="2809875" cy="762000"/>
          <a:chOff x="2020" y="383"/>
          <a:chExt cx="656" cy="22"/>
        </a:xfrm>
      </xdr:grpSpPr>
      <xdr:sp macro="" textlink="">
        <xdr:nvSpPr>
          <xdr:cNvPr id="4388221" name="Line 237">
            <a:extLst>
              <a:ext uri="{FF2B5EF4-FFF2-40B4-BE49-F238E27FC236}">
                <a16:creationId xmlns="" xmlns:a16="http://schemas.microsoft.com/office/drawing/2014/main" id="{00000000-0008-0000-0600-00007DF5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8222" name="Line 238">
            <a:extLst>
              <a:ext uri="{FF2B5EF4-FFF2-40B4-BE49-F238E27FC236}">
                <a16:creationId xmlns="" xmlns:a16="http://schemas.microsoft.com/office/drawing/2014/main" id="{00000000-0008-0000-0600-00007EF542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4388223" name="Line 239">
            <a:extLst>
              <a:ext uri="{FF2B5EF4-FFF2-40B4-BE49-F238E27FC236}">
                <a16:creationId xmlns="" xmlns:a16="http://schemas.microsoft.com/office/drawing/2014/main" id="{00000000-0008-0000-0600-00007FF542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542925</xdr:colOff>
      <xdr:row>29</xdr:row>
      <xdr:rowOff>152400</xdr:rowOff>
    </xdr:from>
    <xdr:to>
      <xdr:col>6</xdr:col>
      <xdr:colOff>542925</xdr:colOff>
      <xdr:row>45</xdr:row>
      <xdr:rowOff>38100</xdr:rowOff>
    </xdr:to>
    <xdr:sp macro="" textlink="">
      <xdr:nvSpPr>
        <xdr:cNvPr id="4388152" name="Line 240">
          <a:extLst>
            <a:ext uri="{FF2B5EF4-FFF2-40B4-BE49-F238E27FC236}">
              <a16:creationId xmlns="" xmlns:a16="http://schemas.microsoft.com/office/drawing/2014/main" id="{00000000-0008-0000-0600-000038F54200}"/>
            </a:ext>
          </a:extLst>
        </xdr:cNvPr>
        <xdr:cNvSpPr>
          <a:spLocks noChangeShapeType="1"/>
        </xdr:cNvSpPr>
      </xdr:nvSpPr>
      <xdr:spPr bwMode="auto">
        <a:xfrm>
          <a:off x="6219825" y="11801475"/>
          <a:ext cx="0" cy="5867400"/>
        </a:xfrm>
        <a:prstGeom prst="line">
          <a:avLst/>
        </a:prstGeom>
        <a:noFill/>
        <a:ln w="9525">
          <a:solidFill>
            <a:srgbClr val="000000"/>
          </a:solidFill>
          <a:round/>
          <a:headEnd type="stealth" w="med" len="lg"/>
          <a:tailEnd type="stealth" w="med" len="lg"/>
        </a:ln>
      </xdr:spPr>
    </xdr:sp>
    <xdr:clientData/>
  </xdr:twoCellAnchor>
  <xdr:twoCellAnchor>
    <xdr:from>
      <xdr:col>2</xdr:col>
      <xdr:colOff>666750</xdr:colOff>
      <xdr:row>29</xdr:row>
      <xdr:rowOff>142875</xdr:rowOff>
    </xdr:from>
    <xdr:to>
      <xdr:col>5</xdr:col>
      <xdr:colOff>666750</xdr:colOff>
      <xdr:row>30</xdr:row>
      <xdr:rowOff>171450</xdr:rowOff>
    </xdr:to>
    <xdr:sp macro="" textlink="">
      <xdr:nvSpPr>
        <xdr:cNvPr id="4388153" name="Rectangle 241">
          <a:extLst>
            <a:ext uri="{FF2B5EF4-FFF2-40B4-BE49-F238E27FC236}">
              <a16:creationId xmlns="" xmlns:a16="http://schemas.microsoft.com/office/drawing/2014/main" id="{00000000-0008-0000-0600-000039F54200}"/>
            </a:ext>
          </a:extLst>
        </xdr:cNvPr>
        <xdr:cNvSpPr>
          <a:spLocks noChangeArrowheads="1"/>
        </xdr:cNvSpPr>
      </xdr:nvSpPr>
      <xdr:spPr bwMode="auto">
        <a:xfrm>
          <a:off x="2781300" y="11791950"/>
          <a:ext cx="2838450" cy="419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657225</xdr:colOff>
      <xdr:row>32</xdr:row>
      <xdr:rowOff>161925</xdr:rowOff>
    </xdr:from>
    <xdr:to>
      <xdr:col>5</xdr:col>
      <xdr:colOff>657225</xdr:colOff>
      <xdr:row>45</xdr:row>
      <xdr:rowOff>85725</xdr:rowOff>
    </xdr:to>
    <xdr:sp macro="" textlink="">
      <xdr:nvSpPr>
        <xdr:cNvPr id="4388154" name="Rectangle 242">
          <a:extLst>
            <a:ext uri="{FF2B5EF4-FFF2-40B4-BE49-F238E27FC236}">
              <a16:creationId xmlns="" xmlns:a16="http://schemas.microsoft.com/office/drawing/2014/main" id="{00000000-0008-0000-0600-00003AF54200}"/>
            </a:ext>
          </a:extLst>
        </xdr:cNvPr>
        <xdr:cNvSpPr>
          <a:spLocks noChangeArrowheads="1"/>
        </xdr:cNvSpPr>
      </xdr:nvSpPr>
      <xdr:spPr bwMode="auto">
        <a:xfrm>
          <a:off x="2771775" y="13049250"/>
          <a:ext cx="2838450" cy="46672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428625</xdr:colOff>
      <xdr:row>32</xdr:row>
      <xdr:rowOff>209550</xdr:rowOff>
    </xdr:from>
    <xdr:to>
      <xdr:col>2</xdr:col>
      <xdr:colOff>485775</xdr:colOff>
      <xdr:row>32</xdr:row>
      <xdr:rowOff>209550</xdr:rowOff>
    </xdr:to>
    <xdr:sp macro="" textlink="">
      <xdr:nvSpPr>
        <xdr:cNvPr id="4388155" name="Line 243">
          <a:extLst>
            <a:ext uri="{FF2B5EF4-FFF2-40B4-BE49-F238E27FC236}">
              <a16:creationId xmlns="" xmlns:a16="http://schemas.microsoft.com/office/drawing/2014/main" id="{00000000-0008-0000-0600-00003BF54200}"/>
            </a:ext>
          </a:extLst>
        </xdr:cNvPr>
        <xdr:cNvSpPr>
          <a:spLocks noChangeShapeType="1"/>
        </xdr:cNvSpPr>
      </xdr:nvSpPr>
      <xdr:spPr bwMode="auto">
        <a:xfrm>
          <a:off x="1752600" y="13096875"/>
          <a:ext cx="847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32</xdr:row>
      <xdr:rowOff>180975</xdr:rowOff>
    </xdr:from>
    <xdr:to>
      <xdr:col>2</xdr:col>
      <xdr:colOff>9525</xdr:colOff>
      <xdr:row>45</xdr:row>
      <xdr:rowOff>38100</xdr:rowOff>
    </xdr:to>
    <xdr:sp macro="" textlink="">
      <xdr:nvSpPr>
        <xdr:cNvPr id="4388156" name="Line 244">
          <a:extLst>
            <a:ext uri="{FF2B5EF4-FFF2-40B4-BE49-F238E27FC236}">
              <a16:creationId xmlns="" xmlns:a16="http://schemas.microsoft.com/office/drawing/2014/main" id="{00000000-0008-0000-0600-00003CF54200}"/>
            </a:ext>
          </a:extLst>
        </xdr:cNvPr>
        <xdr:cNvSpPr>
          <a:spLocks noChangeShapeType="1"/>
        </xdr:cNvSpPr>
      </xdr:nvSpPr>
      <xdr:spPr bwMode="auto">
        <a:xfrm>
          <a:off x="2124075" y="13068300"/>
          <a:ext cx="0" cy="4600575"/>
        </a:xfrm>
        <a:prstGeom prst="line">
          <a:avLst/>
        </a:prstGeom>
        <a:noFill/>
        <a:ln w="9525">
          <a:solidFill>
            <a:srgbClr val="000000"/>
          </a:solidFill>
          <a:round/>
          <a:headEnd type="stealth" w="med" len="lg"/>
          <a:tailEnd type="stealth" w="med" len="lg"/>
        </a:ln>
      </xdr:spPr>
    </xdr:sp>
    <xdr:clientData/>
  </xdr:twoCellAnchor>
  <xdr:twoCellAnchor>
    <xdr:from>
      <xdr:col>1</xdr:col>
      <xdr:colOff>428625</xdr:colOff>
      <xdr:row>45</xdr:row>
      <xdr:rowOff>57150</xdr:rowOff>
    </xdr:from>
    <xdr:to>
      <xdr:col>2</xdr:col>
      <xdr:colOff>485775</xdr:colOff>
      <xdr:row>45</xdr:row>
      <xdr:rowOff>57150</xdr:rowOff>
    </xdr:to>
    <xdr:sp macro="" textlink="">
      <xdr:nvSpPr>
        <xdr:cNvPr id="4388157" name="Line 245">
          <a:extLst>
            <a:ext uri="{FF2B5EF4-FFF2-40B4-BE49-F238E27FC236}">
              <a16:creationId xmlns="" xmlns:a16="http://schemas.microsoft.com/office/drawing/2014/main" id="{00000000-0008-0000-0600-00003DF54200}"/>
            </a:ext>
          </a:extLst>
        </xdr:cNvPr>
        <xdr:cNvSpPr>
          <a:spLocks noChangeShapeType="1"/>
        </xdr:cNvSpPr>
      </xdr:nvSpPr>
      <xdr:spPr bwMode="auto">
        <a:xfrm>
          <a:off x="1752600" y="17687925"/>
          <a:ext cx="847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10</xdr:col>
      <xdr:colOff>476250</xdr:colOff>
      <xdr:row>5</xdr:row>
      <xdr:rowOff>190500</xdr:rowOff>
    </xdr:from>
    <xdr:to>
      <xdr:col>13</xdr:col>
      <xdr:colOff>571500</xdr:colOff>
      <xdr:row>7</xdr:row>
      <xdr:rowOff>209550</xdr:rowOff>
    </xdr:to>
    <xdr:grpSp>
      <xdr:nvGrpSpPr>
        <xdr:cNvPr id="4388158" name="Group 246">
          <a:extLst>
            <a:ext uri="{FF2B5EF4-FFF2-40B4-BE49-F238E27FC236}">
              <a16:creationId xmlns="" xmlns:a16="http://schemas.microsoft.com/office/drawing/2014/main" id="{00000000-0008-0000-0600-00003EF54200}"/>
            </a:ext>
          </a:extLst>
        </xdr:cNvPr>
        <xdr:cNvGrpSpPr>
          <a:grpSpLocks/>
        </xdr:cNvGrpSpPr>
      </xdr:nvGrpSpPr>
      <xdr:grpSpPr bwMode="auto">
        <a:xfrm>
          <a:off x="8929688" y="2452688"/>
          <a:ext cx="2809875" cy="781050"/>
          <a:chOff x="358" y="540"/>
          <a:chExt cx="293" cy="139"/>
        </a:xfrm>
      </xdr:grpSpPr>
      <xdr:sp macro="" textlink="">
        <xdr:nvSpPr>
          <xdr:cNvPr id="4388162" name="Line 247">
            <a:extLst>
              <a:ext uri="{FF2B5EF4-FFF2-40B4-BE49-F238E27FC236}">
                <a16:creationId xmlns="" xmlns:a16="http://schemas.microsoft.com/office/drawing/2014/main" id="{00000000-0008-0000-0600-000042F542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88163" name="Group 248">
            <a:extLst>
              <a:ext uri="{FF2B5EF4-FFF2-40B4-BE49-F238E27FC236}">
                <a16:creationId xmlns="" xmlns:a16="http://schemas.microsoft.com/office/drawing/2014/main" id="{00000000-0008-0000-0600-000043F542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388219" name="Line 249">
              <a:extLst>
                <a:ext uri="{FF2B5EF4-FFF2-40B4-BE49-F238E27FC236}">
                  <a16:creationId xmlns="" xmlns:a16="http://schemas.microsoft.com/office/drawing/2014/main" id="{00000000-0008-0000-0600-00007BF5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88220" name="Line 250">
              <a:extLst>
                <a:ext uri="{FF2B5EF4-FFF2-40B4-BE49-F238E27FC236}">
                  <a16:creationId xmlns="" xmlns:a16="http://schemas.microsoft.com/office/drawing/2014/main" id="{00000000-0008-0000-0600-00007CF5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88164" name="Line 251">
            <a:extLst>
              <a:ext uri="{FF2B5EF4-FFF2-40B4-BE49-F238E27FC236}">
                <a16:creationId xmlns="" xmlns:a16="http://schemas.microsoft.com/office/drawing/2014/main" id="{00000000-0008-0000-0600-000044F5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8165" name="Line 252">
            <a:extLst>
              <a:ext uri="{FF2B5EF4-FFF2-40B4-BE49-F238E27FC236}">
                <a16:creationId xmlns="" xmlns:a16="http://schemas.microsoft.com/office/drawing/2014/main" id="{00000000-0008-0000-0600-000045F5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8166" name="Line 253">
            <a:extLst>
              <a:ext uri="{FF2B5EF4-FFF2-40B4-BE49-F238E27FC236}">
                <a16:creationId xmlns="" xmlns:a16="http://schemas.microsoft.com/office/drawing/2014/main" id="{00000000-0008-0000-0600-000046F5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8167" name="Line 254">
            <a:extLst>
              <a:ext uri="{FF2B5EF4-FFF2-40B4-BE49-F238E27FC236}">
                <a16:creationId xmlns="" xmlns:a16="http://schemas.microsoft.com/office/drawing/2014/main" id="{00000000-0008-0000-0600-000047F542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8168" name="Line 255">
            <a:extLst>
              <a:ext uri="{FF2B5EF4-FFF2-40B4-BE49-F238E27FC236}">
                <a16:creationId xmlns="" xmlns:a16="http://schemas.microsoft.com/office/drawing/2014/main" id="{00000000-0008-0000-0600-000048F542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88169" name="Group 256">
            <a:extLst>
              <a:ext uri="{FF2B5EF4-FFF2-40B4-BE49-F238E27FC236}">
                <a16:creationId xmlns="" xmlns:a16="http://schemas.microsoft.com/office/drawing/2014/main" id="{00000000-0008-0000-0600-000049F542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388213" name="Line 257">
              <a:extLst>
                <a:ext uri="{FF2B5EF4-FFF2-40B4-BE49-F238E27FC236}">
                  <a16:creationId xmlns="" xmlns:a16="http://schemas.microsoft.com/office/drawing/2014/main" id="{00000000-0008-0000-0600-000075F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8214" name="Group 258">
              <a:extLst>
                <a:ext uri="{FF2B5EF4-FFF2-40B4-BE49-F238E27FC236}">
                  <a16:creationId xmlns="" xmlns:a16="http://schemas.microsoft.com/office/drawing/2014/main" id="{00000000-0008-0000-0600-000076F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8215" name="Line 259">
                <a:extLst>
                  <a:ext uri="{FF2B5EF4-FFF2-40B4-BE49-F238E27FC236}">
                    <a16:creationId xmlns="" xmlns:a16="http://schemas.microsoft.com/office/drawing/2014/main" id="{00000000-0008-0000-0600-000077F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8216" name="Group 260">
                <a:extLst>
                  <a:ext uri="{FF2B5EF4-FFF2-40B4-BE49-F238E27FC236}">
                    <a16:creationId xmlns="" xmlns:a16="http://schemas.microsoft.com/office/drawing/2014/main" id="{00000000-0008-0000-0600-000078F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8217" name="Line 261">
                  <a:extLst>
                    <a:ext uri="{FF2B5EF4-FFF2-40B4-BE49-F238E27FC236}">
                      <a16:creationId xmlns="" xmlns:a16="http://schemas.microsoft.com/office/drawing/2014/main" id="{00000000-0008-0000-0600-000079F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8218" name="Line 262">
                  <a:extLst>
                    <a:ext uri="{FF2B5EF4-FFF2-40B4-BE49-F238E27FC236}">
                      <a16:creationId xmlns="" xmlns:a16="http://schemas.microsoft.com/office/drawing/2014/main" id="{00000000-0008-0000-0600-00007AF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8170" name="Group 263">
            <a:extLst>
              <a:ext uri="{FF2B5EF4-FFF2-40B4-BE49-F238E27FC236}">
                <a16:creationId xmlns="" xmlns:a16="http://schemas.microsoft.com/office/drawing/2014/main" id="{00000000-0008-0000-0600-00004AF542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388207" name="Line 264">
              <a:extLst>
                <a:ext uri="{FF2B5EF4-FFF2-40B4-BE49-F238E27FC236}">
                  <a16:creationId xmlns="" xmlns:a16="http://schemas.microsoft.com/office/drawing/2014/main" id="{00000000-0008-0000-0600-00006FF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8208" name="Group 265">
              <a:extLst>
                <a:ext uri="{FF2B5EF4-FFF2-40B4-BE49-F238E27FC236}">
                  <a16:creationId xmlns="" xmlns:a16="http://schemas.microsoft.com/office/drawing/2014/main" id="{00000000-0008-0000-0600-000070F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8209" name="Line 266">
                <a:extLst>
                  <a:ext uri="{FF2B5EF4-FFF2-40B4-BE49-F238E27FC236}">
                    <a16:creationId xmlns="" xmlns:a16="http://schemas.microsoft.com/office/drawing/2014/main" id="{00000000-0008-0000-0600-000071F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8210" name="Group 267">
                <a:extLst>
                  <a:ext uri="{FF2B5EF4-FFF2-40B4-BE49-F238E27FC236}">
                    <a16:creationId xmlns="" xmlns:a16="http://schemas.microsoft.com/office/drawing/2014/main" id="{00000000-0008-0000-0600-000072F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8211" name="Line 268">
                  <a:extLst>
                    <a:ext uri="{FF2B5EF4-FFF2-40B4-BE49-F238E27FC236}">
                      <a16:creationId xmlns="" xmlns:a16="http://schemas.microsoft.com/office/drawing/2014/main" id="{00000000-0008-0000-0600-000073F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8212" name="Line 269">
                  <a:extLst>
                    <a:ext uri="{FF2B5EF4-FFF2-40B4-BE49-F238E27FC236}">
                      <a16:creationId xmlns="" xmlns:a16="http://schemas.microsoft.com/office/drawing/2014/main" id="{00000000-0008-0000-0600-000074F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8171" name="Group 270">
            <a:extLst>
              <a:ext uri="{FF2B5EF4-FFF2-40B4-BE49-F238E27FC236}">
                <a16:creationId xmlns="" xmlns:a16="http://schemas.microsoft.com/office/drawing/2014/main" id="{00000000-0008-0000-0600-00004BF542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388201" name="Line 271">
              <a:extLst>
                <a:ext uri="{FF2B5EF4-FFF2-40B4-BE49-F238E27FC236}">
                  <a16:creationId xmlns="" xmlns:a16="http://schemas.microsoft.com/office/drawing/2014/main" id="{00000000-0008-0000-0600-000069F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8202" name="Group 272">
              <a:extLst>
                <a:ext uri="{FF2B5EF4-FFF2-40B4-BE49-F238E27FC236}">
                  <a16:creationId xmlns="" xmlns:a16="http://schemas.microsoft.com/office/drawing/2014/main" id="{00000000-0008-0000-0600-00006AF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8203" name="Line 273">
                <a:extLst>
                  <a:ext uri="{FF2B5EF4-FFF2-40B4-BE49-F238E27FC236}">
                    <a16:creationId xmlns="" xmlns:a16="http://schemas.microsoft.com/office/drawing/2014/main" id="{00000000-0008-0000-0600-00006BF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8204" name="Group 274">
                <a:extLst>
                  <a:ext uri="{FF2B5EF4-FFF2-40B4-BE49-F238E27FC236}">
                    <a16:creationId xmlns="" xmlns:a16="http://schemas.microsoft.com/office/drawing/2014/main" id="{00000000-0008-0000-0600-00006CF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8205" name="Line 275">
                  <a:extLst>
                    <a:ext uri="{FF2B5EF4-FFF2-40B4-BE49-F238E27FC236}">
                      <a16:creationId xmlns="" xmlns:a16="http://schemas.microsoft.com/office/drawing/2014/main" id="{00000000-0008-0000-0600-00006DF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8206" name="Line 276">
                  <a:extLst>
                    <a:ext uri="{FF2B5EF4-FFF2-40B4-BE49-F238E27FC236}">
                      <a16:creationId xmlns="" xmlns:a16="http://schemas.microsoft.com/office/drawing/2014/main" id="{00000000-0008-0000-0600-00006EF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8172" name="Group 277">
            <a:extLst>
              <a:ext uri="{FF2B5EF4-FFF2-40B4-BE49-F238E27FC236}">
                <a16:creationId xmlns="" xmlns:a16="http://schemas.microsoft.com/office/drawing/2014/main" id="{00000000-0008-0000-0600-00004CF542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388195" name="Line 278">
              <a:extLst>
                <a:ext uri="{FF2B5EF4-FFF2-40B4-BE49-F238E27FC236}">
                  <a16:creationId xmlns="" xmlns:a16="http://schemas.microsoft.com/office/drawing/2014/main" id="{00000000-0008-0000-0600-000063F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8196" name="Group 279">
              <a:extLst>
                <a:ext uri="{FF2B5EF4-FFF2-40B4-BE49-F238E27FC236}">
                  <a16:creationId xmlns="" xmlns:a16="http://schemas.microsoft.com/office/drawing/2014/main" id="{00000000-0008-0000-0600-000064F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8197" name="Line 280">
                <a:extLst>
                  <a:ext uri="{FF2B5EF4-FFF2-40B4-BE49-F238E27FC236}">
                    <a16:creationId xmlns="" xmlns:a16="http://schemas.microsoft.com/office/drawing/2014/main" id="{00000000-0008-0000-0600-000065F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8198" name="Group 281">
                <a:extLst>
                  <a:ext uri="{FF2B5EF4-FFF2-40B4-BE49-F238E27FC236}">
                    <a16:creationId xmlns="" xmlns:a16="http://schemas.microsoft.com/office/drawing/2014/main" id="{00000000-0008-0000-0600-000066F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8199" name="Line 282">
                  <a:extLst>
                    <a:ext uri="{FF2B5EF4-FFF2-40B4-BE49-F238E27FC236}">
                      <a16:creationId xmlns="" xmlns:a16="http://schemas.microsoft.com/office/drawing/2014/main" id="{00000000-0008-0000-0600-000067F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8200" name="Line 283">
                  <a:extLst>
                    <a:ext uri="{FF2B5EF4-FFF2-40B4-BE49-F238E27FC236}">
                      <a16:creationId xmlns="" xmlns:a16="http://schemas.microsoft.com/office/drawing/2014/main" id="{00000000-0008-0000-0600-000068F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8173" name="Group 284">
            <a:extLst>
              <a:ext uri="{FF2B5EF4-FFF2-40B4-BE49-F238E27FC236}">
                <a16:creationId xmlns="" xmlns:a16="http://schemas.microsoft.com/office/drawing/2014/main" id="{00000000-0008-0000-0600-00004DF542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388189" name="Line 285">
              <a:extLst>
                <a:ext uri="{FF2B5EF4-FFF2-40B4-BE49-F238E27FC236}">
                  <a16:creationId xmlns="" xmlns:a16="http://schemas.microsoft.com/office/drawing/2014/main" id="{00000000-0008-0000-0600-00005DF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8190" name="Group 286">
              <a:extLst>
                <a:ext uri="{FF2B5EF4-FFF2-40B4-BE49-F238E27FC236}">
                  <a16:creationId xmlns="" xmlns:a16="http://schemas.microsoft.com/office/drawing/2014/main" id="{00000000-0008-0000-0600-00005EF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8191" name="Line 287">
                <a:extLst>
                  <a:ext uri="{FF2B5EF4-FFF2-40B4-BE49-F238E27FC236}">
                    <a16:creationId xmlns="" xmlns:a16="http://schemas.microsoft.com/office/drawing/2014/main" id="{00000000-0008-0000-0600-00005FF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8192" name="Group 288">
                <a:extLst>
                  <a:ext uri="{FF2B5EF4-FFF2-40B4-BE49-F238E27FC236}">
                    <a16:creationId xmlns="" xmlns:a16="http://schemas.microsoft.com/office/drawing/2014/main" id="{00000000-0008-0000-0600-000060F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8193" name="Line 289">
                  <a:extLst>
                    <a:ext uri="{FF2B5EF4-FFF2-40B4-BE49-F238E27FC236}">
                      <a16:creationId xmlns="" xmlns:a16="http://schemas.microsoft.com/office/drawing/2014/main" id="{00000000-0008-0000-0600-000061F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8194" name="Line 290">
                  <a:extLst>
                    <a:ext uri="{FF2B5EF4-FFF2-40B4-BE49-F238E27FC236}">
                      <a16:creationId xmlns="" xmlns:a16="http://schemas.microsoft.com/office/drawing/2014/main" id="{00000000-0008-0000-0600-000062F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8174" name="Group 291">
            <a:extLst>
              <a:ext uri="{FF2B5EF4-FFF2-40B4-BE49-F238E27FC236}">
                <a16:creationId xmlns="" xmlns:a16="http://schemas.microsoft.com/office/drawing/2014/main" id="{00000000-0008-0000-0600-00004EF542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388183" name="Line 292">
              <a:extLst>
                <a:ext uri="{FF2B5EF4-FFF2-40B4-BE49-F238E27FC236}">
                  <a16:creationId xmlns="" xmlns:a16="http://schemas.microsoft.com/office/drawing/2014/main" id="{00000000-0008-0000-0600-000057F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8184" name="Group 293">
              <a:extLst>
                <a:ext uri="{FF2B5EF4-FFF2-40B4-BE49-F238E27FC236}">
                  <a16:creationId xmlns="" xmlns:a16="http://schemas.microsoft.com/office/drawing/2014/main" id="{00000000-0008-0000-0600-000058F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8185" name="Line 294">
                <a:extLst>
                  <a:ext uri="{FF2B5EF4-FFF2-40B4-BE49-F238E27FC236}">
                    <a16:creationId xmlns="" xmlns:a16="http://schemas.microsoft.com/office/drawing/2014/main" id="{00000000-0008-0000-0600-000059F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8186" name="Group 295">
                <a:extLst>
                  <a:ext uri="{FF2B5EF4-FFF2-40B4-BE49-F238E27FC236}">
                    <a16:creationId xmlns="" xmlns:a16="http://schemas.microsoft.com/office/drawing/2014/main" id="{00000000-0008-0000-0600-00005AF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8187" name="Line 296">
                  <a:extLst>
                    <a:ext uri="{FF2B5EF4-FFF2-40B4-BE49-F238E27FC236}">
                      <a16:creationId xmlns="" xmlns:a16="http://schemas.microsoft.com/office/drawing/2014/main" id="{00000000-0008-0000-0600-00005BF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8188" name="Line 297">
                  <a:extLst>
                    <a:ext uri="{FF2B5EF4-FFF2-40B4-BE49-F238E27FC236}">
                      <a16:creationId xmlns="" xmlns:a16="http://schemas.microsoft.com/office/drawing/2014/main" id="{00000000-0008-0000-0600-00005CF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8175" name="Group 298">
            <a:extLst>
              <a:ext uri="{FF2B5EF4-FFF2-40B4-BE49-F238E27FC236}">
                <a16:creationId xmlns="" xmlns:a16="http://schemas.microsoft.com/office/drawing/2014/main" id="{00000000-0008-0000-0600-00004FF542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388177" name="Line 299">
              <a:extLst>
                <a:ext uri="{FF2B5EF4-FFF2-40B4-BE49-F238E27FC236}">
                  <a16:creationId xmlns="" xmlns:a16="http://schemas.microsoft.com/office/drawing/2014/main" id="{00000000-0008-0000-0600-000051F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8178" name="Group 300">
              <a:extLst>
                <a:ext uri="{FF2B5EF4-FFF2-40B4-BE49-F238E27FC236}">
                  <a16:creationId xmlns="" xmlns:a16="http://schemas.microsoft.com/office/drawing/2014/main" id="{00000000-0008-0000-0600-000052F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8179" name="Line 301">
                <a:extLst>
                  <a:ext uri="{FF2B5EF4-FFF2-40B4-BE49-F238E27FC236}">
                    <a16:creationId xmlns="" xmlns:a16="http://schemas.microsoft.com/office/drawing/2014/main" id="{00000000-0008-0000-0600-000053F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8180" name="Group 302">
                <a:extLst>
                  <a:ext uri="{FF2B5EF4-FFF2-40B4-BE49-F238E27FC236}">
                    <a16:creationId xmlns="" xmlns:a16="http://schemas.microsoft.com/office/drawing/2014/main" id="{00000000-0008-0000-0600-000054F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8181" name="Line 303">
                  <a:extLst>
                    <a:ext uri="{FF2B5EF4-FFF2-40B4-BE49-F238E27FC236}">
                      <a16:creationId xmlns="" xmlns:a16="http://schemas.microsoft.com/office/drawing/2014/main" id="{00000000-0008-0000-0600-000055F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8182" name="Line 304">
                  <a:extLst>
                    <a:ext uri="{FF2B5EF4-FFF2-40B4-BE49-F238E27FC236}">
                      <a16:creationId xmlns="" xmlns:a16="http://schemas.microsoft.com/office/drawing/2014/main" id="{00000000-0008-0000-0600-000056F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88176" name="Line 305">
            <a:extLst>
              <a:ext uri="{FF2B5EF4-FFF2-40B4-BE49-F238E27FC236}">
                <a16:creationId xmlns="" xmlns:a16="http://schemas.microsoft.com/office/drawing/2014/main" id="{00000000-0008-0000-0600-000050F542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16</xdr:col>
      <xdr:colOff>57150</xdr:colOff>
      <xdr:row>12</xdr:row>
      <xdr:rowOff>76200</xdr:rowOff>
    </xdr:from>
    <xdr:to>
      <xdr:col>16</xdr:col>
      <xdr:colOff>57150</xdr:colOff>
      <xdr:row>22</xdr:row>
      <xdr:rowOff>152400</xdr:rowOff>
    </xdr:to>
    <xdr:sp macro="" textlink="">
      <xdr:nvSpPr>
        <xdr:cNvPr id="4388159" name="Line 150">
          <a:extLst>
            <a:ext uri="{FF2B5EF4-FFF2-40B4-BE49-F238E27FC236}">
              <a16:creationId xmlns="" xmlns:a16="http://schemas.microsoft.com/office/drawing/2014/main" id="{00000000-0008-0000-0600-00003FF54200}"/>
            </a:ext>
          </a:extLst>
        </xdr:cNvPr>
        <xdr:cNvSpPr>
          <a:spLocks noChangeShapeType="1"/>
        </xdr:cNvSpPr>
      </xdr:nvSpPr>
      <xdr:spPr bwMode="auto">
        <a:xfrm>
          <a:off x="13992225" y="5086350"/>
          <a:ext cx="0" cy="398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714375</xdr:colOff>
      <xdr:row>12</xdr:row>
      <xdr:rowOff>114300</xdr:rowOff>
    </xdr:from>
    <xdr:to>
      <xdr:col>15</xdr:col>
      <xdr:colOff>95250</xdr:colOff>
      <xdr:row>12</xdr:row>
      <xdr:rowOff>114300</xdr:rowOff>
    </xdr:to>
    <xdr:sp macro="" textlink="">
      <xdr:nvSpPr>
        <xdr:cNvPr id="4388160" name="Line 151">
          <a:extLst>
            <a:ext uri="{FF2B5EF4-FFF2-40B4-BE49-F238E27FC236}">
              <a16:creationId xmlns="" xmlns:a16="http://schemas.microsoft.com/office/drawing/2014/main" id="{00000000-0008-0000-0600-000040F54200}"/>
            </a:ext>
          </a:extLst>
        </xdr:cNvPr>
        <xdr:cNvSpPr>
          <a:spLocks noChangeShapeType="1"/>
        </xdr:cNvSpPr>
      </xdr:nvSpPr>
      <xdr:spPr bwMode="auto">
        <a:xfrm>
          <a:off x="12982575" y="51244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333375</xdr:colOff>
      <xdr:row>22</xdr:row>
      <xdr:rowOff>19050</xdr:rowOff>
    </xdr:from>
    <xdr:to>
      <xdr:col>16</xdr:col>
      <xdr:colOff>171450</xdr:colOff>
      <xdr:row>22</xdr:row>
      <xdr:rowOff>19050</xdr:rowOff>
    </xdr:to>
    <xdr:sp macro="" textlink="">
      <xdr:nvSpPr>
        <xdr:cNvPr id="4388161" name="Line 153">
          <a:extLst>
            <a:ext uri="{FF2B5EF4-FFF2-40B4-BE49-F238E27FC236}">
              <a16:creationId xmlns="" xmlns:a16="http://schemas.microsoft.com/office/drawing/2014/main" id="{00000000-0008-0000-0600-000041F54200}"/>
            </a:ext>
          </a:extLst>
        </xdr:cNvPr>
        <xdr:cNvSpPr>
          <a:spLocks noChangeShapeType="1"/>
        </xdr:cNvSpPr>
      </xdr:nvSpPr>
      <xdr:spPr bwMode="auto">
        <a:xfrm flipV="1">
          <a:off x="7362825" y="8934450"/>
          <a:ext cx="6743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9</xdr:row>
      <xdr:rowOff>209550</xdr:rowOff>
    </xdr:from>
    <xdr:to>
      <xdr:col>13</xdr:col>
      <xdr:colOff>352425</xdr:colOff>
      <xdr:row>27</xdr:row>
      <xdr:rowOff>142875</xdr:rowOff>
    </xdr:to>
    <xdr:grpSp>
      <xdr:nvGrpSpPr>
        <xdr:cNvPr id="4333932" name="Gruppo 35">
          <a:extLst>
            <a:ext uri="{FF2B5EF4-FFF2-40B4-BE49-F238E27FC236}">
              <a16:creationId xmlns="" xmlns:a16="http://schemas.microsoft.com/office/drawing/2014/main" id="{00000000-0008-0000-0700-00006C214200}"/>
            </a:ext>
          </a:extLst>
        </xdr:cNvPr>
        <xdr:cNvGrpSpPr>
          <a:grpSpLocks/>
        </xdr:cNvGrpSpPr>
      </xdr:nvGrpSpPr>
      <xdr:grpSpPr bwMode="auto">
        <a:xfrm>
          <a:off x="4762500" y="2857500"/>
          <a:ext cx="5695950" cy="4286250"/>
          <a:chOff x="54697317" y="2990850"/>
          <a:chExt cx="5514971" cy="4953000"/>
        </a:xfrm>
      </xdr:grpSpPr>
      <xdr:sp macro="" textlink="">
        <xdr:nvSpPr>
          <xdr:cNvPr id="4333939" name="Line 7">
            <a:extLst>
              <a:ext uri="{FF2B5EF4-FFF2-40B4-BE49-F238E27FC236}">
                <a16:creationId xmlns="" xmlns:a16="http://schemas.microsoft.com/office/drawing/2014/main" id="{00000000-0008-0000-0700-00007321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4949241" y="2990850"/>
            <a:ext cx="0" cy="87527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33940" name="Line 8">
            <a:extLst>
              <a:ext uri="{FF2B5EF4-FFF2-40B4-BE49-F238E27FC236}">
                <a16:creationId xmlns="" xmlns:a16="http://schemas.microsoft.com/office/drawing/2014/main" id="{00000000-0008-0000-0700-00007421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0212288" y="2990850"/>
            <a:ext cx="0" cy="87527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33941" name="Line 9">
            <a:extLst>
              <a:ext uri="{FF2B5EF4-FFF2-40B4-BE49-F238E27FC236}">
                <a16:creationId xmlns="" xmlns:a16="http://schemas.microsoft.com/office/drawing/2014/main" id="{00000000-0008-0000-0700-000075214200}"/>
              </a:ext>
            </a:extLst>
          </xdr:cNvPr>
          <xdr:cNvSpPr>
            <a:spLocks noChangeShapeType="1"/>
          </xdr:cNvSpPr>
        </xdr:nvSpPr>
        <xdr:spPr bwMode="auto">
          <a:xfrm>
            <a:off x="54949241" y="4535445"/>
            <a:ext cx="0" cy="340840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33942" name="Line 10">
            <a:extLst>
              <a:ext uri="{FF2B5EF4-FFF2-40B4-BE49-F238E27FC236}">
                <a16:creationId xmlns="" xmlns:a16="http://schemas.microsoft.com/office/drawing/2014/main" id="{00000000-0008-0000-0700-00007621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4697317" y="5318039"/>
            <a:ext cx="50694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33943" name="Line 11">
            <a:extLst>
              <a:ext uri="{FF2B5EF4-FFF2-40B4-BE49-F238E27FC236}">
                <a16:creationId xmlns="" xmlns:a16="http://schemas.microsoft.com/office/drawing/2014/main" id="{00000000-0008-0000-0700-000077214200}"/>
              </a:ext>
            </a:extLst>
          </xdr:cNvPr>
          <xdr:cNvSpPr>
            <a:spLocks noChangeShapeType="1"/>
          </xdr:cNvSpPr>
        </xdr:nvSpPr>
        <xdr:spPr bwMode="auto">
          <a:xfrm>
            <a:off x="54949241" y="5729931"/>
            <a:ext cx="66364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33944" name="Line 12">
            <a:extLst>
              <a:ext uri="{FF2B5EF4-FFF2-40B4-BE49-F238E27FC236}">
                <a16:creationId xmlns="" xmlns:a16="http://schemas.microsoft.com/office/drawing/2014/main" id="{00000000-0008-0000-0700-000078214200}"/>
              </a:ext>
            </a:extLst>
          </xdr:cNvPr>
          <xdr:cNvSpPr>
            <a:spLocks noChangeShapeType="1"/>
          </xdr:cNvSpPr>
        </xdr:nvSpPr>
        <xdr:spPr bwMode="auto">
          <a:xfrm>
            <a:off x="54949241" y="6162418"/>
            <a:ext cx="148397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33945" name="Line 13">
            <a:extLst>
              <a:ext uri="{FF2B5EF4-FFF2-40B4-BE49-F238E27FC236}">
                <a16:creationId xmlns="" xmlns:a16="http://schemas.microsoft.com/office/drawing/2014/main" id="{00000000-0008-0000-0700-00007921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4949241" y="6584607"/>
            <a:ext cx="247022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33946" name="Line 14">
            <a:extLst>
              <a:ext uri="{FF2B5EF4-FFF2-40B4-BE49-F238E27FC236}">
                <a16:creationId xmlns="" xmlns:a16="http://schemas.microsoft.com/office/drawing/2014/main" id="{00000000-0008-0000-0700-00007A214200}"/>
              </a:ext>
            </a:extLst>
          </xdr:cNvPr>
          <xdr:cNvSpPr>
            <a:spLocks noChangeShapeType="1"/>
          </xdr:cNvSpPr>
        </xdr:nvSpPr>
        <xdr:spPr bwMode="auto">
          <a:xfrm>
            <a:off x="54949241" y="6996499"/>
            <a:ext cx="349333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33947" name="Group 15">
            <a:extLst>
              <a:ext uri="{FF2B5EF4-FFF2-40B4-BE49-F238E27FC236}">
                <a16:creationId xmlns="" xmlns:a16="http://schemas.microsoft.com/office/drawing/2014/main" id="{00000000-0008-0000-0700-00007B214200}"/>
              </a:ext>
            </a:extLst>
          </xdr:cNvPr>
          <xdr:cNvGrpSpPr>
            <a:grpSpLocks/>
          </xdr:cNvGrpSpPr>
        </xdr:nvGrpSpPr>
        <xdr:grpSpPr bwMode="auto">
          <a:xfrm>
            <a:off x="55156529" y="4123553"/>
            <a:ext cx="92172" cy="1276865"/>
            <a:chOff x="554" y="439"/>
            <a:chExt cx="10" cy="76"/>
          </a:xfrm>
        </xdr:grpSpPr>
        <xdr:sp macro="" textlink="">
          <xdr:nvSpPr>
            <xdr:cNvPr id="4333969" name="Line 16">
              <a:extLst>
                <a:ext uri="{FF2B5EF4-FFF2-40B4-BE49-F238E27FC236}">
                  <a16:creationId xmlns="" xmlns:a16="http://schemas.microsoft.com/office/drawing/2014/main" id="{00000000-0008-0000-0700-00009121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58" y="439"/>
              <a:ext cx="0" cy="7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33970" name="Line 17">
              <a:extLst>
                <a:ext uri="{FF2B5EF4-FFF2-40B4-BE49-F238E27FC236}">
                  <a16:creationId xmlns="" xmlns:a16="http://schemas.microsoft.com/office/drawing/2014/main" id="{00000000-0008-0000-0700-00009221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54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333948" name="Group 18">
            <a:extLst>
              <a:ext uri="{FF2B5EF4-FFF2-40B4-BE49-F238E27FC236}">
                <a16:creationId xmlns="" xmlns:a16="http://schemas.microsoft.com/office/drawing/2014/main" id="{00000000-0008-0000-0700-00007C214200}"/>
              </a:ext>
            </a:extLst>
          </xdr:cNvPr>
          <xdr:cNvGrpSpPr>
            <a:grpSpLocks/>
          </xdr:cNvGrpSpPr>
        </xdr:nvGrpSpPr>
        <xdr:grpSpPr bwMode="auto">
          <a:xfrm>
            <a:off x="55569935" y="4123553"/>
            <a:ext cx="92172" cy="1668162"/>
            <a:chOff x="680" y="439"/>
            <a:chExt cx="10" cy="98"/>
          </a:xfrm>
        </xdr:grpSpPr>
        <xdr:sp macro="" textlink="">
          <xdr:nvSpPr>
            <xdr:cNvPr id="4333967" name="Line 19">
              <a:extLst>
                <a:ext uri="{FF2B5EF4-FFF2-40B4-BE49-F238E27FC236}">
                  <a16:creationId xmlns="" xmlns:a16="http://schemas.microsoft.com/office/drawing/2014/main" id="{00000000-0008-0000-0700-00008F21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85" y="439"/>
              <a:ext cx="0" cy="9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33968" name="Line 20">
              <a:extLst>
                <a:ext uri="{FF2B5EF4-FFF2-40B4-BE49-F238E27FC236}">
                  <a16:creationId xmlns="" xmlns:a16="http://schemas.microsoft.com/office/drawing/2014/main" id="{00000000-0008-0000-0700-00009021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80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333949" name="Group 21">
            <a:extLst>
              <a:ext uri="{FF2B5EF4-FFF2-40B4-BE49-F238E27FC236}">
                <a16:creationId xmlns="" xmlns:a16="http://schemas.microsoft.com/office/drawing/2014/main" id="{00000000-0008-0000-0700-00007D214200}"/>
              </a:ext>
            </a:extLst>
          </xdr:cNvPr>
          <xdr:cNvGrpSpPr>
            <a:grpSpLocks/>
          </xdr:cNvGrpSpPr>
        </xdr:nvGrpSpPr>
        <xdr:grpSpPr bwMode="auto">
          <a:xfrm>
            <a:off x="56377490" y="4113255"/>
            <a:ext cx="92172" cy="2069757"/>
            <a:chOff x="759" y="438"/>
            <a:chExt cx="10" cy="121"/>
          </a:xfrm>
        </xdr:grpSpPr>
        <xdr:sp macro="" textlink="">
          <xdr:nvSpPr>
            <xdr:cNvPr id="4333965" name="Line 22">
              <a:extLst>
                <a:ext uri="{FF2B5EF4-FFF2-40B4-BE49-F238E27FC236}">
                  <a16:creationId xmlns="" xmlns:a16="http://schemas.microsoft.com/office/drawing/2014/main" id="{00000000-0008-0000-0700-00008D21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64" y="438"/>
              <a:ext cx="0" cy="12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33966" name="Line 23">
              <a:extLst>
                <a:ext uri="{FF2B5EF4-FFF2-40B4-BE49-F238E27FC236}">
                  <a16:creationId xmlns="" xmlns:a16="http://schemas.microsoft.com/office/drawing/2014/main" id="{00000000-0008-0000-0700-00008E21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59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333950" name="Group 24">
            <a:extLst>
              <a:ext uri="{FF2B5EF4-FFF2-40B4-BE49-F238E27FC236}">
                <a16:creationId xmlns="" xmlns:a16="http://schemas.microsoft.com/office/drawing/2014/main" id="{00000000-0008-0000-0700-00007E214200}"/>
              </a:ext>
            </a:extLst>
          </xdr:cNvPr>
          <xdr:cNvGrpSpPr>
            <a:grpSpLocks/>
          </xdr:cNvGrpSpPr>
        </xdr:nvGrpSpPr>
        <xdr:grpSpPr bwMode="auto">
          <a:xfrm>
            <a:off x="57330306" y="4113255"/>
            <a:ext cx="92172" cy="2502243"/>
            <a:chOff x="842" y="438"/>
            <a:chExt cx="10" cy="147"/>
          </a:xfrm>
        </xdr:grpSpPr>
        <xdr:sp macro="" textlink="">
          <xdr:nvSpPr>
            <xdr:cNvPr id="4333963" name="Line 25">
              <a:extLst>
                <a:ext uri="{FF2B5EF4-FFF2-40B4-BE49-F238E27FC236}">
                  <a16:creationId xmlns="" xmlns:a16="http://schemas.microsoft.com/office/drawing/2014/main" id="{00000000-0008-0000-0700-00008B21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47" y="438"/>
              <a:ext cx="0" cy="147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33964" name="Line 26">
              <a:extLst>
                <a:ext uri="{FF2B5EF4-FFF2-40B4-BE49-F238E27FC236}">
                  <a16:creationId xmlns="" xmlns:a16="http://schemas.microsoft.com/office/drawing/2014/main" id="{00000000-0008-0000-0700-00008C21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42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333951" name="Group 27">
            <a:extLst>
              <a:ext uri="{FF2B5EF4-FFF2-40B4-BE49-F238E27FC236}">
                <a16:creationId xmlns="" xmlns:a16="http://schemas.microsoft.com/office/drawing/2014/main" id="{00000000-0008-0000-0700-00007F214200}"/>
              </a:ext>
            </a:extLst>
          </xdr:cNvPr>
          <xdr:cNvGrpSpPr>
            <a:grpSpLocks/>
          </xdr:cNvGrpSpPr>
        </xdr:nvGrpSpPr>
        <xdr:grpSpPr bwMode="auto">
          <a:xfrm>
            <a:off x="58347418" y="4113255"/>
            <a:ext cx="101390" cy="2914135"/>
            <a:chOff x="912" y="438"/>
            <a:chExt cx="11" cy="175"/>
          </a:xfrm>
        </xdr:grpSpPr>
        <xdr:sp macro="" textlink="">
          <xdr:nvSpPr>
            <xdr:cNvPr id="4333961" name="Line 28">
              <a:extLst>
                <a:ext uri="{FF2B5EF4-FFF2-40B4-BE49-F238E27FC236}">
                  <a16:creationId xmlns="" xmlns:a16="http://schemas.microsoft.com/office/drawing/2014/main" id="{00000000-0008-0000-0700-00008921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33962" name="Line 29">
              <a:extLst>
                <a:ext uri="{FF2B5EF4-FFF2-40B4-BE49-F238E27FC236}">
                  <a16:creationId xmlns="" xmlns:a16="http://schemas.microsoft.com/office/drawing/2014/main" id="{00000000-0008-0000-0700-00008A21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33952" name="Rectangle 30">
            <a:extLst>
              <a:ext uri="{FF2B5EF4-FFF2-40B4-BE49-F238E27FC236}">
                <a16:creationId xmlns="" xmlns:a16="http://schemas.microsoft.com/office/drawing/2014/main" id="{00000000-0008-0000-0700-000080214200}"/>
              </a:ext>
            </a:extLst>
          </xdr:cNvPr>
          <xdr:cNvSpPr>
            <a:spLocks noChangeArrowheads="1"/>
          </xdr:cNvSpPr>
        </xdr:nvSpPr>
        <xdr:spPr bwMode="auto">
          <a:xfrm>
            <a:off x="54949241" y="4041174"/>
            <a:ext cx="5244613" cy="42218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33953" name="Line 31">
            <a:extLst>
              <a:ext uri="{FF2B5EF4-FFF2-40B4-BE49-F238E27FC236}">
                <a16:creationId xmlns="" xmlns:a16="http://schemas.microsoft.com/office/drawing/2014/main" id="{00000000-0008-0000-0700-000081214200}"/>
              </a:ext>
            </a:extLst>
          </xdr:cNvPr>
          <xdr:cNvSpPr>
            <a:spLocks noChangeShapeType="1"/>
          </xdr:cNvSpPr>
        </xdr:nvSpPr>
        <xdr:spPr bwMode="auto">
          <a:xfrm>
            <a:off x="60120116" y="4113255"/>
            <a:ext cx="0" cy="377910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33954" name="Line 32">
            <a:extLst>
              <a:ext uri="{FF2B5EF4-FFF2-40B4-BE49-F238E27FC236}">
                <a16:creationId xmlns="" xmlns:a16="http://schemas.microsoft.com/office/drawing/2014/main" id="{00000000-0008-0000-0700-000082214200}"/>
              </a:ext>
            </a:extLst>
          </xdr:cNvPr>
          <xdr:cNvSpPr>
            <a:spLocks noChangeShapeType="1"/>
          </xdr:cNvSpPr>
        </xdr:nvSpPr>
        <xdr:spPr bwMode="auto">
          <a:xfrm>
            <a:off x="59917336" y="4154445"/>
            <a:ext cx="24886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33955" name="Line 33">
            <a:extLst>
              <a:ext uri="{FF2B5EF4-FFF2-40B4-BE49-F238E27FC236}">
                <a16:creationId xmlns="" xmlns:a16="http://schemas.microsoft.com/office/drawing/2014/main" id="{00000000-0008-0000-0700-00008321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4949241" y="7418688"/>
            <a:ext cx="438740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33956" name="Line 34">
            <a:extLst>
              <a:ext uri="{FF2B5EF4-FFF2-40B4-BE49-F238E27FC236}">
                <a16:creationId xmlns="" xmlns:a16="http://schemas.microsoft.com/office/drawing/2014/main" id="{00000000-0008-0000-0700-00008421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4940024" y="7851174"/>
            <a:ext cx="520774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33957" name="Group 35">
            <a:extLst>
              <a:ext uri="{FF2B5EF4-FFF2-40B4-BE49-F238E27FC236}">
                <a16:creationId xmlns="" xmlns:a16="http://schemas.microsoft.com/office/drawing/2014/main" id="{00000000-0008-0000-0700-000085214200}"/>
              </a:ext>
            </a:extLst>
          </xdr:cNvPr>
          <xdr:cNvGrpSpPr>
            <a:grpSpLocks/>
          </xdr:cNvGrpSpPr>
        </xdr:nvGrpSpPr>
        <xdr:grpSpPr bwMode="auto">
          <a:xfrm>
            <a:off x="59266258" y="4113255"/>
            <a:ext cx="101390" cy="3356919"/>
            <a:chOff x="912" y="438"/>
            <a:chExt cx="11" cy="175"/>
          </a:xfrm>
        </xdr:grpSpPr>
        <xdr:sp macro="" textlink="">
          <xdr:nvSpPr>
            <xdr:cNvPr id="4333959" name="Line 36">
              <a:extLst>
                <a:ext uri="{FF2B5EF4-FFF2-40B4-BE49-F238E27FC236}">
                  <a16:creationId xmlns="" xmlns:a16="http://schemas.microsoft.com/office/drawing/2014/main" id="{00000000-0008-0000-0700-00008721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33960" name="Line 37">
              <a:extLst>
                <a:ext uri="{FF2B5EF4-FFF2-40B4-BE49-F238E27FC236}">
                  <a16:creationId xmlns="" xmlns:a16="http://schemas.microsoft.com/office/drawing/2014/main" id="{00000000-0008-0000-0700-00008821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33958" name="Line 38">
            <a:extLst>
              <a:ext uri="{FF2B5EF4-FFF2-40B4-BE49-F238E27FC236}">
                <a16:creationId xmlns="" xmlns:a16="http://schemas.microsoft.com/office/drawing/2014/main" id="{00000000-0008-0000-0700-000086214200}"/>
              </a:ext>
            </a:extLst>
          </xdr:cNvPr>
          <xdr:cNvSpPr>
            <a:spLocks noChangeShapeType="1"/>
          </xdr:cNvSpPr>
        </xdr:nvSpPr>
        <xdr:spPr bwMode="auto">
          <a:xfrm>
            <a:off x="54930806" y="3330661"/>
            <a:ext cx="528148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</xdr:grpSp>
    <xdr:clientData/>
  </xdr:twoCellAnchor>
  <xdr:twoCellAnchor>
    <xdr:from>
      <xdr:col>0</xdr:col>
      <xdr:colOff>295275</xdr:colOff>
      <xdr:row>28</xdr:row>
      <xdr:rowOff>142875</xdr:rowOff>
    </xdr:from>
    <xdr:to>
      <xdr:col>4</xdr:col>
      <xdr:colOff>609600</xdr:colOff>
      <xdr:row>47</xdr:row>
      <xdr:rowOff>219075</xdr:rowOff>
    </xdr:to>
    <xdr:sp macro="" textlink="">
      <xdr:nvSpPr>
        <xdr:cNvPr id="4333933" name="Rectangle 39">
          <a:extLst>
            <a:ext uri="{FF2B5EF4-FFF2-40B4-BE49-F238E27FC236}">
              <a16:creationId xmlns="" xmlns:a16="http://schemas.microsoft.com/office/drawing/2014/main" id="{00000000-0008-0000-0700-00006D214200}"/>
            </a:ext>
          </a:extLst>
        </xdr:cNvPr>
        <xdr:cNvSpPr>
          <a:spLocks noChangeArrowheads="1"/>
        </xdr:cNvSpPr>
      </xdr:nvSpPr>
      <xdr:spPr bwMode="auto">
        <a:xfrm>
          <a:off x="295275" y="7381875"/>
          <a:ext cx="3171825" cy="46672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57150</xdr:colOff>
      <xdr:row>12</xdr:row>
      <xdr:rowOff>114300</xdr:rowOff>
    </xdr:from>
    <xdr:to>
      <xdr:col>27</xdr:col>
      <xdr:colOff>19050</xdr:colOff>
      <xdr:row>13</xdr:row>
      <xdr:rowOff>76200</xdr:rowOff>
    </xdr:to>
    <xdr:sp macro="" textlink="">
      <xdr:nvSpPr>
        <xdr:cNvPr id="4333934" name="Rectangle 257">
          <a:extLst>
            <a:ext uri="{FF2B5EF4-FFF2-40B4-BE49-F238E27FC236}">
              <a16:creationId xmlns="" xmlns:a16="http://schemas.microsoft.com/office/drawing/2014/main" id="{00000000-0008-0000-0700-00006E214200}"/>
            </a:ext>
          </a:extLst>
        </xdr:cNvPr>
        <xdr:cNvSpPr>
          <a:spLocks noChangeArrowheads="1"/>
        </xdr:cNvSpPr>
      </xdr:nvSpPr>
      <xdr:spPr bwMode="auto">
        <a:xfrm>
          <a:off x="16554450" y="3476625"/>
          <a:ext cx="36385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38100</xdr:colOff>
      <xdr:row>11</xdr:row>
      <xdr:rowOff>0</xdr:rowOff>
    </xdr:from>
    <xdr:to>
      <xdr:col>27</xdr:col>
      <xdr:colOff>0</xdr:colOff>
      <xdr:row>11</xdr:row>
      <xdr:rowOff>152400</xdr:rowOff>
    </xdr:to>
    <xdr:grpSp>
      <xdr:nvGrpSpPr>
        <xdr:cNvPr id="4333935" name="Group 265">
          <a:extLst>
            <a:ext uri="{FF2B5EF4-FFF2-40B4-BE49-F238E27FC236}">
              <a16:creationId xmlns="" xmlns:a16="http://schemas.microsoft.com/office/drawing/2014/main" id="{00000000-0008-0000-0700-00006F214200}"/>
            </a:ext>
          </a:extLst>
        </xdr:cNvPr>
        <xdr:cNvGrpSpPr>
          <a:grpSpLocks/>
        </xdr:cNvGrpSpPr>
      </xdr:nvGrpSpPr>
      <xdr:grpSpPr bwMode="auto">
        <a:xfrm>
          <a:off x="16535400" y="3124200"/>
          <a:ext cx="3638550" cy="152400"/>
          <a:chOff x="2020" y="383"/>
          <a:chExt cx="656" cy="22"/>
        </a:xfrm>
      </xdr:grpSpPr>
      <xdr:sp macro="" textlink="">
        <xdr:nvSpPr>
          <xdr:cNvPr id="4333936" name="Line 258">
            <a:extLst>
              <a:ext uri="{FF2B5EF4-FFF2-40B4-BE49-F238E27FC236}">
                <a16:creationId xmlns="" xmlns:a16="http://schemas.microsoft.com/office/drawing/2014/main" id="{00000000-0008-0000-0700-00007021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33937" name="Line 259">
            <a:extLst>
              <a:ext uri="{FF2B5EF4-FFF2-40B4-BE49-F238E27FC236}">
                <a16:creationId xmlns="" xmlns:a16="http://schemas.microsoft.com/office/drawing/2014/main" id="{00000000-0008-0000-0700-0000712142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4333938" name="Line 260">
            <a:extLst>
              <a:ext uri="{FF2B5EF4-FFF2-40B4-BE49-F238E27FC236}">
                <a16:creationId xmlns="" xmlns:a16="http://schemas.microsoft.com/office/drawing/2014/main" id="{00000000-0008-0000-0700-0000722142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9</xdr:row>
      <xdr:rowOff>171450</xdr:rowOff>
    </xdr:from>
    <xdr:to>
      <xdr:col>12</xdr:col>
      <xdr:colOff>666750</xdr:colOff>
      <xdr:row>27</xdr:row>
      <xdr:rowOff>104775</xdr:rowOff>
    </xdr:to>
    <xdr:grpSp>
      <xdr:nvGrpSpPr>
        <xdr:cNvPr id="4273820" name="Gruppo 35">
          <a:extLst>
            <a:ext uri="{FF2B5EF4-FFF2-40B4-BE49-F238E27FC236}">
              <a16:creationId xmlns="" xmlns:a16="http://schemas.microsoft.com/office/drawing/2014/main" id="{00000000-0008-0000-0800-00009C364100}"/>
            </a:ext>
          </a:extLst>
        </xdr:cNvPr>
        <xdr:cNvGrpSpPr>
          <a:grpSpLocks/>
        </xdr:cNvGrpSpPr>
      </xdr:nvGrpSpPr>
      <xdr:grpSpPr bwMode="auto">
        <a:xfrm>
          <a:off x="5000625" y="2819400"/>
          <a:ext cx="4857750" cy="4286250"/>
          <a:chOff x="26394650" y="3742460"/>
          <a:chExt cx="4870730" cy="4366780"/>
        </a:xfrm>
      </xdr:grpSpPr>
      <xdr:sp macro="" textlink="">
        <xdr:nvSpPr>
          <xdr:cNvPr id="4273826" name="Line 7">
            <a:extLst>
              <a:ext uri="{FF2B5EF4-FFF2-40B4-BE49-F238E27FC236}">
                <a16:creationId xmlns="" xmlns:a16="http://schemas.microsoft.com/office/drawing/2014/main" id="{00000000-0008-0000-0800-0000A2364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6617145" y="3742460"/>
            <a:ext cx="0" cy="7716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273827" name="Line 8">
            <a:extLst>
              <a:ext uri="{FF2B5EF4-FFF2-40B4-BE49-F238E27FC236}">
                <a16:creationId xmlns="" xmlns:a16="http://schemas.microsoft.com/office/drawing/2014/main" id="{00000000-0008-0000-0800-0000A3364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1265380" y="3742460"/>
            <a:ext cx="0" cy="7716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273828" name="Line 9">
            <a:extLst>
              <a:ext uri="{FF2B5EF4-FFF2-40B4-BE49-F238E27FC236}">
                <a16:creationId xmlns="" xmlns:a16="http://schemas.microsoft.com/office/drawing/2014/main" id="{00000000-0008-0000-0800-0000A4364100}"/>
              </a:ext>
            </a:extLst>
          </xdr:cNvPr>
          <xdr:cNvSpPr>
            <a:spLocks noChangeShapeType="1"/>
          </xdr:cNvSpPr>
        </xdr:nvSpPr>
        <xdr:spPr bwMode="auto">
          <a:xfrm>
            <a:off x="26617145" y="5104242"/>
            <a:ext cx="0" cy="30049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273829" name="Line 10">
            <a:extLst>
              <a:ext uri="{FF2B5EF4-FFF2-40B4-BE49-F238E27FC236}">
                <a16:creationId xmlns="" xmlns:a16="http://schemas.microsoft.com/office/drawing/2014/main" id="{00000000-0008-0000-0800-0000A5364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6394650" y="5794211"/>
            <a:ext cx="44772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273830" name="Line 11">
            <a:extLst>
              <a:ext uri="{FF2B5EF4-FFF2-40B4-BE49-F238E27FC236}">
                <a16:creationId xmlns="" xmlns:a16="http://schemas.microsoft.com/office/drawing/2014/main" id="{00000000-0008-0000-0800-0000A6364100}"/>
              </a:ext>
            </a:extLst>
          </xdr:cNvPr>
          <xdr:cNvSpPr>
            <a:spLocks noChangeShapeType="1"/>
          </xdr:cNvSpPr>
        </xdr:nvSpPr>
        <xdr:spPr bwMode="auto">
          <a:xfrm>
            <a:off x="26617145" y="6157353"/>
            <a:ext cx="58611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273831" name="Line 12">
            <a:extLst>
              <a:ext uri="{FF2B5EF4-FFF2-40B4-BE49-F238E27FC236}">
                <a16:creationId xmlns="" xmlns:a16="http://schemas.microsoft.com/office/drawing/2014/main" id="{00000000-0008-0000-0800-0000A7364100}"/>
              </a:ext>
            </a:extLst>
          </xdr:cNvPr>
          <xdr:cNvSpPr>
            <a:spLocks noChangeShapeType="1"/>
          </xdr:cNvSpPr>
        </xdr:nvSpPr>
        <xdr:spPr bwMode="auto">
          <a:xfrm>
            <a:off x="26617145" y="6538652"/>
            <a:ext cx="131062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273832" name="Line 13">
            <a:extLst>
              <a:ext uri="{FF2B5EF4-FFF2-40B4-BE49-F238E27FC236}">
                <a16:creationId xmlns="" xmlns:a16="http://schemas.microsoft.com/office/drawing/2014/main" id="{00000000-0008-0000-0800-0000A8364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617145" y="6910872"/>
            <a:ext cx="218165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273833" name="Line 14">
            <a:extLst>
              <a:ext uri="{FF2B5EF4-FFF2-40B4-BE49-F238E27FC236}">
                <a16:creationId xmlns="" xmlns:a16="http://schemas.microsoft.com/office/drawing/2014/main" id="{00000000-0008-0000-0800-0000A9364100}"/>
              </a:ext>
            </a:extLst>
          </xdr:cNvPr>
          <xdr:cNvSpPr>
            <a:spLocks noChangeShapeType="1"/>
          </xdr:cNvSpPr>
        </xdr:nvSpPr>
        <xdr:spPr bwMode="auto">
          <a:xfrm>
            <a:off x="26617145" y="7274014"/>
            <a:ext cx="30852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273834" name="Group 18">
            <a:extLst>
              <a:ext uri="{FF2B5EF4-FFF2-40B4-BE49-F238E27FC236}">
                <a16:creationId xmlns="" xmlns:a16="http://schemas.microsoft.com/office/drawing/2014/main" id="{00000000-0008-0000-0800-0000AA364100}"/>
              </a:ext>
            </a:extLst>
          </xdr:cNvPr>
          <xdr:cNvGrpSpPr>
            <a:grpSpLocks/>
          </xdr:cNvGrpSpPr>
        </xdr:nvGrpSpPr>
        <xdr:grpSpPr bwMode="auto">
          <a:xfrm>
            <a:off x="27380044" y="4771115"/>
            <a:ext cx="77811" cy="1470724"/>
            <a:chOff x="680" y="441"/>
            <a:chExt cx="6598232" cy="98"/>
          </a:xfrm>
        </xdr:grpSpPr>
        <xdr:sp macro="" textlink="">
          <xdr:nvSpPr>
            <xdr:cNvPr id="4273853" name="Line 19">
              <a:extLst>
                <a:ext uri="{FF2B5EF4-FFF2-40B4-BE49-F238E27FC236}">
                  <a16:creationId xmlns="" xmlns:a16="http://schemas.microsoft.com/office/drawing/2014/main" id="{00000000-0008-0000-0800-0000BD364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598912" y="441"/>
              <a:ext cx="0" cy="9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73854" name="Line 20">
              <a:extLst>
                <a:ext uri="{FF2B5EF4-FFF2-40B4-BE49-F238E27FC236}">
                  <a16:creationId xmlns="" xmlns:a16="http://schemas.microsoft.com/office/drawing/2014/main" id="{00000000-0008-0000-0800-0000BE364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80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273835" name="Group 21">
            <a:extLst>
              <a:ext uri="{FF2B5EF4-FFF2-40B4-BE49-F238E27FC236}">
                <a16:creationId xmlns="" xmlns:a16="http://schemas.microsoft.com/office/drawing/2014/main" id="{00000000-0008-0000-0800-0000AB364100}"/>
              </a:ext>
            </a:extLst>
          </xdr:cNvPr>
          <xdr:cNvGrpSpPr>
            <a:grpSpLocks/>
          </xdr:cNvGrpSpPr>
        </xdr:nvGrpSpPr>
        <xdr:grpSpPr bwMode="auto">
          <a:xfrm>
            <a:off x="27986182" y="4807426"/>
            <a:ext cx="77194" cy="1854950"/>
            <a:chOff x="759" y="443"/>
            <a:chExt cx="7204368" cy="123"/>
          </a:xfrm>
        </xdr:grpSpPr>
        <xdr:sp macro="" textlink="">
          <xdr:nvSpPr>
            <xdr:cNvPr id="4273851" name="Line 22">
              <a:extLst>
                <a:ext uri="{FF2B5EF4-FFF2-40B4-BE49-F238E27FC236}">
                  <a16:creationId xmlns="" xmlns:a16="http://schemas.microsoft.com/office/drawing/2014/main" id="{00000000-0008-0000-0800-0000BB364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05127" y="445"/>
              <a:ext cx="0" cy="12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73852" name="Line 23">
              <a:extLst>
                <a:ext uri="{FF2B5EF4-FFF2-40B4-BE49-F238E27FC236}">
                  <a16:creationId xmlns="" xmlns:a16="http://schemas.microsoft.com/office/drawing/2014/main" id="{00000000-0008-0000-0800-0000BC364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59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273836" name="Group 24">
            <a:extLst>
              <a:ext uri="{FF2B5EF4-FFF2-40B4-BE49-F238E27FC236}">
                <a16:creationId xmlns="" xmlns:a16="http://schemas.microsoft.com/office/drawing/2014/main" id="{00000000-0008-0000-0800-0000AC364100}"/>
              </a:ext>
            </a:extLst>
          </xdr:cNvPr>
          <xdr:cNvGrpSpPr>
            <a:grpSpLocks/>
          </xdr:cNvGrpSpPr>
        </xdr:nvGrpSpPr>
        <xdr:grpSpPr bwMode="auto">
          <a:xfrm>
            <a:off x="28800136" y="4807058"/>
            <a:ext cx="163332" cy="2206086"/>
            <a:chOff x="842" y="443"/>
            <a:chExt cx="8035641" cy="147"/>
          </a:xfrm>
        </xdr:grpSpPr>
        <xdr:sp macro="" textlink="">
          <xdr:nvSpPr>
            <xdr:cNvPr id="4273849" name="Line 25">
              <a:extLst>
                <a:ext uri="{FF2B5EF4-FFF2-40B4-BE49-F238E27FC236}">
                  <a16:creationId xmlns="" xmlns:a16="http://schemas.microsoft.com/office/drawing/2014/main" id="{00000000-0008-0000-0800-0000B9364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036483" y="443"/>
              <a:ext cx="0" cy="147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73850" name="Line 26">
              <a:extLst>
                <a:ext uri="{FF2B5EF4-FFF2-40B4-BE49-F238E27FC236}">
                  <a16:creationId xmlns="" xmlns:a16="http://schemas.microsoft.com/office/drawing/2014/main" id="{00000000-0008-0000-0800-0000BA364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42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273837" name="Group 27">
            <a:extLst>
              <a:ext uri="{FF2B5EF4-FFF2-40B4-BE49-F238E27FC236}">
                <a16:creationId xmlns="" xmlns:a16="http://schemas.microsoft.com/office/drawing/2014/main" id="{00000000-0008-0000-0800-0000AD364100}"/>
              </a:ext>
            </a:extLst>
          </xdr:cNvPr>
          <xdr:cNvGrpSpPr>
            <a:grpSpLocks/>
          </xdr:cNvGrpSpPr>
        </xdr:nvGrpSpPr>
        <xdr:grpSpPr bwMode="auto">
          <a:xfrm>
            <a:off x="29821909" y="4790746"/>
            <a:ext cx="127716" cy="2569228"/>
            <a:chOff x="912" y="442"/>
            <a:chExt cx="8780324" cy="175"/>
          </a:xfrm>
        </xdr:grpSpPr>
        <xdr:sp macro="" textlink="">
          <xdr:nvSpPr>
            <xdr:cNvPr id="4273847" name="Line 28">
              <a:extLst>
                <a:ext uri="{FF2B5EF4-FFF2-40B4-BE49-F238E27FC236}">
                  <a16:creationId xmlns="" xmlns:a16="http://schemas.microsoft.com/office/drawing/2014/main" id="{00000000-0008-0000-0800-0000B7364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81236" y="442"/>
              <a:ext cx="0" cy="17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73848" name="Line 29">
              <a:extLst>
                <a:ext uri="{FF2B5EF4-FFF2-40B4-BE49-F238E27FC236}">
                  <a16:creationId xmlns="" xmlns:a16="http://schemas.microsoft.com/office/drawing/2014/main" id="{00000000-0008-0000-0800-0000B8364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273838" name="Rectangle 30">
            <a:extLst>
              <a:ext uri="{FF2B5EF4-FFF2-40B4-BE49-F238E27FC236}">
                <a16:creationId xmlns="" xmlns:a16="http://schemas.microsoft.com/office/drawing/2014/main" id="{00000000-0008-0000-0800-0000AE364100}"/>
              </a:ext>
            </a:extLst>
          </xdr:cNvPr>
          <xdr:cNvSpPr>
            <a:spLocks noChangeArrowheads="1"/>
          </xdr:cNvSpPr>
        </xdr:nvSpPr>
        <xdr:spPr bwMode="auto">
          <a:xfrm>
            <a:off x="26617145" y="4668471"/>
            <a:ext cx="4631954" cy="372220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273839" name="Line 31">
            <a:extLst>
              <a:ext uri="{FF2B5EF4-FFF2-40B4-BE49-F238E27FC236}">
                <a16:creationId xmlns="" xmlns:a16="http://schemas.microsoft.com/office/drawing/2014/main" id="{00000000-0008-0000-0800-0000AF364100}"/>
              </a:ext>
            </a:extLst>
          </xdr:cNvPr>
          <xdr:cNvSpPr>
            <a:spLocks noChangeShapeType="1"/>
          </xdr:cNvSpPr>
        </xdr:nvSpPr>
        <xdr:spPr bwMode="auto">
          <a:xfrm>
            <a:off x="31183975" y="4732021"/>
            <a:ext cx="0" cy="333182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273840" name="Line 32">
            <a:extLst>
              <a:ext uri="{FF2B5EF4-FFF2-40B4-BE49-F238E27FC236}">
                <a16:creationId xmlns="" xmlns:a16="http://schemas.microsoft.com/office/drawing/2014/main" id="{00000000-0008-0000-0800-0000B0364100}"/>
              </a:ext>
            </a:extLst>
          </xdr:cNvPr>
          <xdr:cNvSpPr>
            <a:spLocks noChangeShapeType="1"/>
          </xdr:cNvSpPr>
        </xdr:nvSpPr>
        <xdr:spPr bwMode="auto">
          <a:xfrm>
            <a:off x="31004883" y="4768336"/>
            <a:ext cx="21979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273841" name="Line 33">
            <a:extLst>
              <a:ext uri="{FF2B5EF4-FFF2-40B4-BE49-F238E27FC236}">
                <a16:creationId xmlns="" xmlns:a16="http://schemas.microsoft.com/office/drawing/2014/main" id="{00000000-0008-0000-0800-0000B1364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6617145" y="7646234"/>
            <a:ext cx="387488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273842" name="Line 34">
            <a:extLst>
              <a:ext uri="{FF2B5EF4-FFF2-40B4-BE49-F238E27FC236}">
                <a16:creationId xmlns="" xmlns:a16="http://schemas.microsoft.com/office/drawing/2014/main" id="{00000000-0008-0000-0800-0000B2364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6609005" y="8027533"/>
            <a:ext cx="459939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273843" name="Group 35">
            <a:extLst>
              <a:ext uri="{FF2B5EF4-FFF2-40B4-BE49-F238E27FC236}">
                <a16:creationId xmlns="" xmlns:a16="http://schemas.microsoft.com/office/drawing/2014/main" id="{00000000-0008-0000-0800-0000B3364100}"/>
              </a:ext>
            </a:extLst>
          </xdr:cNvPr>
          <xdr:cNvGrpSpPr>
            <a:grpSpLocks/>
          </xdr:cNvGrpSpPr>
        </xdr:nvGrpSpPr>
        <xdr:grpSpPr bwMode="auto">
          <a:xfrm>
            <a:off x="30408168" y="4765845"/>
            <a:ext cx="45719" cy="2959606"/>
            <a:chOff x="912" y="440"/>
            <a:chExt cx="8432445" cy="175"/>
          </a:xfrm>
        </xdr:grpSpPr>
        <xdr:sp macro="" textlink="">
          <xdr:nvSpPr>
            <xdr:cNvPr id="4273845" name="Line 36">
              <a:extLst>
                <a:ext uri="{FF2B5EF4-FFF2-40B4-BE49-F238E27FC236}">
                  <a16:creationId xmlns="" xmlns:a16="http://schemas.microsoft.com/office/drawing/2014/main" id="{00000000-0008-0000-0800-0000B5364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433357" y="440"/>
              <a:ext cx="0" cy="17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73846" name="Line 37">
              <a:extLst>
                <a:ext uri="{FF2B5EF4-FFF2-40B4-BE49-F238E27FC236}">
                  <a16:creationId xmlns="" xmlns:a16="http://schemas.microsoft.com/office/drawing/2014/main" id="{00000000-0008-0000-0800-0000B63641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273844" name="Line 38">
            <a:extLst>
              <a:ext uri="{FF2B5EF4-FFF2-40B4-BE49-F238E27FC236}">
                <a16:creationId xmlns="" xmlns:a16="http://schemas.microsoft.com/office/drawing/2014/main" id="{00000000-0008-0000-0800-0000B4364100}"/>
              </a:ext>
            </a:extLst>
          </xdr:cNvPr>
          <xdr:cNvSpPr>
            <a:spLocks noChangeShapeType="1"/>
          </xdr:cNvSpPr>
        </xdr:nvSpPr>
        <xdr:spPr bwMode="auto">
          <a:xfrm>
            <a:off x="26600860" y="4042052"/>
            <a:ext cx="466451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</xdr:grpSp>
    <xdr:clientData/>
  </xdr:twoCellAnchor>
  <xdr:twoCellAnchor>
    <xdr:from>
      <xdr:col>22</xdr:col>
      <xdr:colOff>57150</xdr:colOff>
      <xdr:row>12</xdr:row>
      <xdr:rowOff>114300</xdr:rowOff>
    </xdr:from>
    <xdr:to>
      <xdr:col>27</xdr:col>
      <xdr:colOff>19050</xdr:colOff>
      <xdr:row>13</xdr:row>
      <xdr:rowOff>76200</xdr:rowOff>
    </xdr:to>
    <xdr:sp macro="" textlink="">
      <xdr:nvSpPr>
        <xdr:cNvPr id="4273821" name="Rectangle 257">
          <a:extLst>
            <a:ext uri="{FF2B5EF4-FFF2-40B4-BE49-F238E27FC236}">
              <a16:creationId xmlns="" xmlns:a16="http://schemas.microsoft.com/office/drawing/2014/main" id="{00000000-0008-0000-0800-00009D364100}"/>
            </a:ext>
          </a:extLst>
        </xdr:cNvPr>
        <xdr:cNvSpPr>
          <a:spLocks noChangeArrowheads="1"/>
        </xdr:cNvSpPr>
      </xdr:nvSpPr>
      <xdr:spPr bwMode="auto">
        <a:xfrm>
          <a:off x="16554450" y="3476625"/>
          <a:ext cx="3571875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38100</xdr:colOff>
      <xdr:row>11</xdr:row>
      <xdr:rowOff>0</xdr:rowOff>
    </xdr:from>
    <xdr:to>
      <xdr:col>27</xdr:col>
      <xdr:colOff>0</xdr:colOff>
      <xdr:row>11</xdr:row>
      <xdr:rowOff>152400</xdr:rowOff>
    </xdr:to>
    <xdr:grpSp>
      <xdr:nvGrpSpPr>
        <xdr:cNvPr id="4273822" name="Group 265">
          <a:extLst>
            <a:ext uri="{FF2B5EF4-FFF2-40B4-BE49-F238E27FC236}">
              <a16:creationId xmlns="" xmlns:a16="http://schemas.microsoft.com/office/drawing/2014/main" id="{00000000-0008-0000-0800-00009E364100}"/>
            </a:ext>
          </a:extLst>
        </xdr:cNvPr>
        <xdr:cNvGrpSpPr>
          <a:grpSpLocks/>
        </xdr:cNvGrpSpPr>
      </xdr:nvGrpSpPr>
      <xdr:grpSpPr bwMode="auto">
        <a:xfrm>
          <a:off x="16535400" y="3124200"/>
          <a:ext cx="3571875" cy="152400"/>
          <a:chOff x="2020" y="383"/>
          <a:chExt cx="656" cy="22"/>
        </a:xfrm>
      </xdr:grpSpPr>
      <xdr:sp macro="" textlink="">
        <xdr:nvSpPr>
          <xdr:cNvPr id="4273823" name="Line 258">
            <a:extLst>
              <a:ext uri="{FF2B5EF4-FFF2-40B4-BE49-F238E27FC236}">
                <a16:creationId xmlns="" xmlns:a16="http://schemas.microsoft.com/office/drawing/2014/main" id="{00000000-0008-0000-0800-00009F364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273824" name="Line 259">
            <a:extLst>
              <a:ext uri="{FF2B5EF4-FFF2-40B4-BE49-F238E27FC236}">
                <a16:creationId xmlns="" xmlns:a16="http://schemas.microsoft.com/office/drawing/2014/main" id="{00000000-0008-0000-0800-0000A03641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4273825" name="Line 260">
            <a:extLst>
              <a:ext uri="{FF2B5EF4-FFF2-40B4-BE49-F238E27FC236}">
                <a16:creationId xmlns="" xmlns:a16="http://schemas.microsoft.com/office/drawing/2014/main" id="{00000000-0008-0000-0800-0000A13641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647700</xdr:colOff>
      <xdr:row>20</xdr:row>
      <xdr:rowOff>85725</xdr:rowOff>
    </xdr:from>
    <xdr:to>
      <xdr:col>3</xdr:col>
      <xdr:colOff>647700</xdr:colOff>
      <xdr:row>23</xdr:row>
      <xdr:rowOff>142875</xdr:rowOff>
    </xdr:to>
    <xdr:sp macro="" textlink="">
      <xdr:nvSpPr>
        <xdr:cNvPr id="4379124" name="Line 1">
          <a:extLst>
            <a:ext uri="{FF2B5EF4-FFF2-40B4-BE49-F238E27FC236}">
              <a16:creationId xmlns="" xmlns:a16="http://schemas.microsoft.com/office/drawing/2014/main" id="{00000000-0008-0000-0900-0000F4D14200}"/>
            </a:ext>
          </a:extLst>
        </xdr:cNvPr>
        <xdr:cNvSpPr>
          <a:spLocks noChangeShapeType="1"/>
        </xdr:cNvSpPr>
      </xdr:nvSpPr>
      <xdr:spPr bwMode="auto">
        <a:xfrm flipV="1">
          <a:off x="9820275" y="6696075"/>
          <a:ext cx="0" cy="1000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20</xdr:row>
      <xdr:rowOff>66675</xdr:rowOff>
    </xdr:from>
    <xdr:to>
      <xdr:col>7</xdr:col>
      <xdr:colOff>0</xdr:colOff>
      <xdr:row>23</xdr:row>
      <xdr:rowOff>133350</xdr:rowOff>
    </xdr:to>
    <xdr:sp macro="" textlink="">
      <xdr:nvSpPr>
        <xdr:cNvPr id="4379125" name="Line 2">
          <a:extLst>
            <a:ext uri="{FF2B5EF4-FFF2-40B4-BE49-F238E27FC236}">
              <a16:creationId xmlns="" xmlns:a16="http://schemas.microsoft.com/office/drawing/2014/main" id="{00000000-0008-0000-0900-0000F5D14200}"/>
            </a:ext>
          </a:extLst>
        </xdr:cNvPr>
        <xdr:cNvSpPr>
          <a:spLocks noChangeShapeType="1"/>
        </xdr:cNvSpPr>
      </xdr:nvSpPr>
      <xdr:spPr bwMode="auto">
        <a:xfrm flipV="1">
          <a:off x="13125450" y="6677025"/>
          <a:ext cx="0" cy="1009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676275</xdr:colOff>
      <xdr:row>21</xdr:row>
      <xdr:rowOff>0</xdr:rowOff>
    </xdr:from>
    <xdr:to>
      <xdr:col>7</xdr:col>
      <xdr:colOff>0</xdr:colOff>
      <xdr:row>21</xdr:row>
      <xdr:rowOff>0</xdr:rowOff>
    </xdr:to>
    <xdr:sp macro="" textlink="">
      <xdr:nvSpPr>
        <xdr:cNvPr id="4379126" name="Line 3">
          <a:extLst>
            <a:ext uri="{FF2B5EF4-FFF2-40B4-BE49-F238E27FC236}">
              <a16:creationId xmlns="" xmlns:a16="http://schemas.microsoft.com/office/drawing/2014/main" id="{00000000-0008-0000-0900-0000F6D14200}"/>
            </a:ext>
          </a:extLst>
        </xdr:cNvPr>
        <xdr:cNvSpPr>
          <a:spLocks noChangeShapeType="1"/>
        </xdr:cNvSpPr>
      </xdr:nvSpPr>
      <xdr:spPr bwMode="auto">
        <a:xfrm>
          <a:off x="9848850" y="6924675"/>
          <a:ext cx="3276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47625</xdr:colOff>
      <xdr:row>23</xdr:row>
      <xdr:rowOff>228600</xdr:rowOff>
    </xdr:from>
    <xdr:to>
      <xdr:col>6</xdr:col>
      <xdr:colOff>133350</xdr:colOff>
      <xdr:row>24</xdr:row>
      <xdr:rowOff>228600</xdr:rowOff>
    </xdr:to>
    <xdr:sp macro="" textlink="">
      <xdr:nvSpPr>
        <xdr:cNvPr id="4379127" name="Line 4">
          <a:extLst>
            <a:ext uri="{FF2B5EF4-FFF2-40B4-BE49-F238E27FC236}">
              <a16:creationId xmlns="" xmlns:a16="http://schemas.microsoft.com/office/drawing/2014/main" id="{00000000-0008-0000-0900-0000F7D14200}"/>
            </a:ext>
          </a:extLst>
        </xdr:cNvPr>
        <xdr:cNvSpPr>
          <a:spLocks noChangeShapeType="1"/>
        </xdr:cNvSpPr>
      </xdr:nvSpPr>
      <xdr:spPr bwMode="auto">
        <a:xfrm flipH="1" flipV="1">
          <a:off x="12296775" y="7781925"/>
          <a:ext cx="85725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447675</xdr:colOff>
      <xdr:row>24</xdr:row>
      <xdr:rowOff>0</xdr:rowOff>
    </xdr:from>
    <xdr:to>
      <xdr:col>6</xdr:col>
      <xdr:colOff>514350</xdr:colOff>
      <xdr:row>25</xdr:row>
      <xdr:rowOff>0</xdr:rowOff>
    </xdr:to>
    <xdr:sp macro="" textlink="">
      <xdr:nvSpPr>
        <xdr:cNvPr id="4379128" name="Line 5">
          <a:extLst>
            <a:ext uri="{FF2B5EF4-FFF2-40B4-BE49-F238E27FC236}">
              <a16:creationId xmlns="" xmlns:a16="http://schemas.microsoft.com/office/drawing/2014/main" id="{00000000-0008-0000-0900-0000F8D14200}"/>
            </a:ext>
          </a:extLst>
        </xdr:cNvPr>
        <xdr:cNvSpPr>
          <a:spLocks noChangeShapeType="1"/>
        </xdr:cNvSpPr>
      </xdr:nvSpPr>
      <xdr:spPr bwMode="auto">
        <a:xfrm flipH="1">
          <a:off x="12696825" y="7867650"/>
          <a:ext cx="66675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371475</xdr:colOff>
      <xdr:row>24</xdr:row>
      <xdr:rowOff>0</xdr:rowOff>
    </xdr:from>
    <xdr:to>
      <xdr:col>6</xdr:col>
      <xdr:colOff>447675</xdr:colOff>
      <xdr:row>25</xdr:row>
      <xdr:rowOff>0</xdr:rowOff>
    </xdr:to>
    <xdr:sp macro="" textlink="">
      <xdr:nvSpPr>
        <xdr:cNvPr id="4379129" name="Line 6">
          <a:extLst>
            <a:ext uri="{FF2B5EF4-FFF2-40B4-BE49-F238E27FC236}">
              <a16:creationId xmlns="" xmlns:a16="http://schemas.microsoft.com/office/drawing/2014/main" id="{00000000-0008-0000-0900-0000F9D14200}"/>
            </a:ext>
          </a:extLst>
        </xdr:cNvPr>
        <xdr:cNvSpPr>
          <a:spLocks noChangeShapeType="1"/>
        </xdr:cNvSpPr>
      </xdr:nvSpPr>
      <xdr:spPr bwMode="auto">
        <a:xfrm flipH="1" flipV="1">
          <a:off x="12620625" y="7867650"/>
          <a:ext cx="7620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295275</xdr:colOff>
      <xdr:row>24</xdr:row>
      <xdr:rowOff>0</xdr:rowOff>
    </xdr:from>
    <xdr:to>
      <xdr:col>6</xdr:col>
      <xdr:colOff>371475</xdr:colOff>
      <xdr:row>25</xdr:row>
      <xdr:rowOff>0</xdr:rowOff>
    </xdr:to>
    <xdr:sp macro="" textlink="">
      <xdr:nvSpPr>
        <xdr:cNvPr id="4379130" name="Line 7">
          <a:extLst>
            <a:ext uri="{FF2B5EF4-FFF2-40B4-BE49-F238E27FC236}">
              <a16:creationId xmlns="" xmlns:a16="http://schemas.microsoft.com/office/drawing/2014/main" id="{00000000-0008-0000-0900-0000FAD14200}"/>
            </a:ext>
          </a:extLst>
        </xdr:cNvPr>
        <xdr:cNvSpPr>
          <a:spLocks noChangeShapeType="1"/>
        </xdr:cNvSpPr>
      </xdr:nvSpPr>
      <xdr:spPr bwMode="auto">
        <a:xfrm flipH="1">
          <a:off x="12544425" y="7867650"/>
          <a:ext cx="7620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219075</xdr:colOff>
      <xdr:row>24</xdr:row>
      <xdr:rowOff>0</xdr:rowOff>
    </xdr:from>
    <xdr:to>
      <xdr:col>6</xdr:col>
      <xdr:colOff>295275</xdr:colOff>
      <xdr:row>25</xdr:row>
      <xdr:rowOff>0</xdr:rowOff>
    </xdr:to>
    <xdr:sp macro="" textlink="">
      <xdr:nvSpPr>
        <xdr:cNvPr id="4379131" name="Line 8">
          <a:extLst>
            <a:ext uri="{FF2B5EF4-FFF2-40B4-BE49-F238E27FC236}">
              <a16:creationId xmlns="" xmlns:a16="http://schemas.microsoft.com/office/drawing/2014/main" id="{00000000-0008-0000-0900-0000FBD14200}"/>
            </a:ext>
          </a:extLst>
        </xdr:cNvPr>
        <xdr:cNvSpPr>
          <a:spLocks noChangeShapeType="1"/>
        </xdr:cNvSpPr>
      </xdr:nvSpPr>
      <xdr:spPr bwMode="auto">
        <a:xfrm flipH="1" flipV="1">
          <a:off x="12468225" y="7867650"/>
          <a:ext cx="7620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152400</xdr:colOff>
      <xdr:row>24</xdr:row>
      <xdr:rowOff>0</xdr:rowOff>
    </xdr:from>
    <xdr:to>
      <xdr:col>6</xdr:col>
      <xdr:colOff>219075</xdr:colOff>
      <xdr:row>25</xdr:row>
      <xdr:rowOff>0</xdr:rowOff>
    </xdr:to>
    <xdr:sp macro="" textlink="">
      <xdr:nvSpPr>
        <xdr:cNvPr id="4379132" name="Line 9">
          <a:extLst>
            <a:ext uri="{FF2B5EF4-FFF2-40B4-BE49-F238E27FC236}">
              <a16:creationId xmlns="" xmlns:a16="http://schemas.microsoft.com/office/drawing/2014/main" id="{00000000-0008-0000-0900-0000FCD14200}"/>
            </a:ext>
          </a:extLst>
        </xdr:cNvPr>
        <xdr:cNvSpPr>
          <a:spLocks noChangeShapeType="1"/>
        </xdr:cNvSpPr>
      </xdr:nvSpPr>
      <xdr:spPr bwMode="auto">
        <a:xfrm flipH="1">
          <a:off x="12401550" y="7867650"/>
          <a:ext cx="66675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85725</xdr:colOff>
      <xdr:row>28</xdr:row>
      <xdr:rowOff>0</xdr:rowOff>
    </xdr:from>
    <xdr:to>
      <xdr:col>8</xdr:col>
      <xdr:colOff>190500</xdr:colOff>
      <xdr:row>28</xdr:row>
      <xdr:rowOff>0</xdr:rowOff>
    </xdr:to>
    <xdr:sp macro="" textlink="">
      <xdr:nvSpPr>
        <xdr:cNvPr id="4379133" name="Line 10">
          <a:extLst>
            <a:ext uri="{FF2B5EF4-FFF2-40B4-BE49-F238E27FC236}">
              <a16:creationId xmlns="" xmlns:a16="http://schemas.microsoft.com/office/drawing/2014/main" id="{00000000-0008-0000-0900-0000FDD14200}"/>
            </a:ext>
          </a:extLst>
        </xdr:cNvPr>
        <xdr:cNvSpPr>
          <a:spLocks noChangeShapeType="1"/>
        </xdr:cNvSpPr>
      </xdr:nvSpPr>
      <xdr:spPr bwMode="auto">
        <a:xfrm>
          <a:off x="13211175" y="9124950"/>
          <a:ext cx="1304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104775</xdr:colOff>
      <xdr:row>28</xdr:row>
      <xdr:rowOff>0</xdr:rowOff>
    </xdr:from>
    <xdr:to>
      <xdr:col>8</xdr:col>
      <xdr:colOff>104775</xdr:colOff>
      <xdr:row>32</xdr:row>
      <xdr:rowOff>114300</xdr:rowOff>
    </xdr:to>
    <xdr:sp macro="" textlink="">
      <xdr:nvSpPr>
        <xdr:cNvPr id="4379134" name="Line 11">
          <a:extLst>
            <a:ext uri="{FF2B5EF4-FFF2-40B4-BE49-F238E27FC236}">
              <a16:creationId xmlns="" xmlns:a16="http://schemas.microsoft.com/office/drawing/2014/main" id="{00000000-0008-0000-0900-0000FED14200}"/>
            </a:ext>
          </a:extLst>
        </xdr:cNvPr>
        <xdr:cNvSpPr>
          <a:spLocks noChangeShapeType="1"/>
        </xdr:cNvSpPr>
      </xdr:nvSpPr>
      <xdr:spPr bwMode="auto">
        <a:xfrm>
          <a:off x="14430375" y="9124950"/>
          <a:ext cx="0" cy="1371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114300</xdr:colOff>
      <xdr:row>34</xdr:row>
      <xdr:rowOff>114300</xdr:rowOff>
    </xdr:from>
    <xdr:to>
      <xdr:col>8</xdr:col>
      <xdr:colOff>114300</xdr:colOff>
      <xdr:row>40</xdr:row>
      <xdr:rowOff>0</xdr:rowOff>
    </xdr:to>
    <xdr:sp macro="" textlink="">
      <xdr:nvSpPr>
        <xdr:cNvPr id="4379135" name="Line 12">
          <a:extLst>
            <a:ext uri="{FF2B5EF4-FFF2-40B4-BE49-F238E27FC236}">
              <a16:creationId xmlns="" xmlns:a16="http://schemas.microsoft.com/office/drawing/2014/main" id="{00000000-0008-0000-0900-0000FFD14200}"/>
            </a:ext>
          </a:extLst>
        </xdr:cNvPr>
        <xdr:cNvSpPr>
          <a:spLocks noChangeShapeType="1"/>
        </xdr:cNvSpPr>
      </xdr:nvSpPr>
      <xdr:spPr bwMode="auto">
        <a:xfrm>
          <a:off x="14439900" y="11125200"/>
          <a:ext cx="0" cy="1771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85725</xdr:colOff>
      <xdr:row>40</xdr:row>
      <xdr:rowOff>0</xdr:rowOff>
    </xdr:from>
    <xdr:to>
      <xdr:col>8</xdr:col>
      <xdr:colOff>228600</xdr:colOff>
      <xdr:row>40</xdr:row>
      <xdr:rowOff>0</xdr:rowOff>
    </xdr:to>
    <xdr:sp macro="" textlink="">
      <xdr:nvSpPr>
        <xdr:cNvPr id="4379136" name="Line 13">
          <a:extLst>
            <a:ext uri="{FF2B5EF4-FFF2-40B4-BE49-F238E27FC236}">
              <a16:creationId xmlns="" xmlns:a16="http://schemas.microsoft.com/office/drawing/2014/main" id="{00000000-0008-0000-0900-000000D24200}"/>
            </a:ext>
          </a:extLst>
        </xdr:cNvPr>
        <xdr:cNvSpPr>
          <a:spLocks noChangeShapeType="1"/>
        </xdr:cNvSpPr>
      </xdr:nvSpPr>
      <xdr:spPr bwMode="auto">
        <a:xfrm>
          <a:off x="13211175" y="12896850"/>
          <a:ext cx="1343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342900</xdr:colOff>
      <xdr:row>48</xdr:row>
      <xdr:rowOff>0</xdr:rowOff>
    </xdr:from>
    <xdr:to>
      <xdr:col>4</xdr:col>
      <xdr:colOff>342900</xdr:colOff>
      <xdr:row>55</xdr:row>
      <xdr:rowOff>0</xdr:rowOff>
    </xdr:to>
    <xdr:sp macro="" textlink="">
      <xdr:nvSpPr>
        <xdr:cNvPr id="4379137" name="Line 35">
          <a:extLst>
            <a:ext uri="{FF2B5EF4-FFF2-40B4-BE49-F238E27FC236}">
              <a16:creationId xmlns="" xmlns:a16="http://schemas.microsoft.com/office/drawing/2014/main" id="{00000000-0008-0000-0900-000001D24200}"/>
            </a:ext>
          </a:extLst>
        </xdr:cNvPr>
        <xdr:cNvSpPr>
          <a:spLocks noChangeShapeType="1"/>
        </xdr:cNvSpPr>
      </xdr:nvSpPr>
      <xdr:spPr bwMode="auto">
        <a:xfrm>
          <a:off x="10639425" y="15411450"/>
          <a:ext cx="0" cy="2200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152400</xdr:colOff>
      <xdr:row>24</xdr:row>
      <xdr:rowOff>0</xdr:rowOff>
    </xdr:from>
    <xdr:to>
      <xdr:col>4</xdr:col>
      <xdr:colOff>152400</xdr:colOff>
      <xdr:row>25</xdr:row>
      <xdr:rowOff>0</xdr:rowOff>
    </xdr:to>
    <xdr:sp macro="" textlink="">
      <xdr:nvSpPr>
        <xdr:cNvPr id="4379138" name="Line 36">
          <a:extLst>
            <a:ext uri="{FF2B5EF4-FFF2-40B4-BE49-F238E27FC236}">
              <a16:creationId xmlns="" xmlns:a16="http://schemas.microsoft.com/office/drawing/2014/main" id="{00000000-0008-0000-0900-000002D24200}"/>
            </a:ext>
          </a:extLst>
        </xdr:cNvPr>
        <xdr:cNvSpPr>
          <a:spLocks noChangeShapeType="1"/>
        </xdr:cNvSpPr>
      </xdr:nvSpPr>
      <xdr:spPr bwMode="auto">
        <a:xfrm flipV="1">
          <a:off x="10448925" y="7867650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152400</xdr:colOff>
      <xdr:row>28</xdr:row>
      <xdr:rowOff>0</xdr:rowOff>
    </xdr:from>
    <xdr:to>
      <xdr:col>4</xdr:col>
      <xdr:colOff>152400</xdr:colOff>
      <xdr:row>40</xdr:row>
      <xdr:rowOff>0</xdr:rowOff>
    </xdr:to>
    <xdr:sp macro="" textlink="">
      <xdr:nvSpPr>
        <xdr:cNvPr id="4379139" name="Line 37">
          <a:extLst>
            <a:ext uri="{FF2B5EF4-FFF2-40B4-BE49-F238E27FC236}">
              <a16:creationId xmlns="" xmlns:a16="http://schemas.microsoft.com/office/drawing/2014/main" id="{00000000-0008-0000-0900-000003D24200}"/>
            </a:ext>
          </a:extLst>
        </xdr:cNvPr>
        <xdr:cNvSpPr>
          <a:spLocks noChangeShapeType="1"/>
        </xdr:cNvSpPr>
      </xdr:nvSpPr>
      <xdr:spPr bwMode="auto">
        <a:xfrm>
          <a:off x="10448925" y="912495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552450</xdr:colOff>
      <xdr:row>27</xdr:row>
      <xdr:rowOff>209550</xdr:rowOff>
    </xdr:from>
    <xdr:to>
      <xdr:col>6</xdr:col>
      <xdr:colOff>552450</xdr:colOff>
      <xdr:row>39</xdr:row>
      <xdr:rowOff>209550</xdr:rowOff>
    </xdr:to>
    <xdr:sp macro="" textlink="">
      <xdr:nvSpPr>
        <xdr:cNvPr id="4379140" name="Line 38">
          <a:extLst>
            <a:ext uri="{FF2B5EF4-FFF2-40B4-BE49-F238E27FC236}">
              <a16:creationId xmlns="" xmlns:a16="http://schemas.microsoft.com/office/drawing/2014/main" id="{00000000-0008-0000-0900-000004D24200}"/>
            </a:ext>
          </a:extLst>
        </xdr:cNvPr>
        <xdr:cNvSpPr>
          <a:spLocks noChangeShapeType="1"/>
        </xdr:cNvSpPr>
      </xdr:nvSpPr>
      <xdr:spPr bwMode="auto">
        <a:xfrm>
          <a:off x="12801600" y="9020175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161925</xdr:colOff>
      <xdr:row>36</xdr:row>
      <xdr:rowOff>123825</xdr:rowOff>
    </xdr:from>
    <xdr:to>
      <xdr:col>6</xdr:col>
      <xdr:colOff>542925</xdr:colOff>
      <xdr:row>36</xdr:row>
      <xdr:rowOff>123825</xdr:rowOff>
    </xdr:to>
    <xdr:sp macro="" textlink="">
      <xdr:nvSpPr>
        <xdr:cNvPr id="4379141" name="Line 39">
          <a:extLst>
            <a:ext uri="{FF2B5EF4-FFF2-40B4-BE49-F238E27FC236}">
              <a16:creationId xmlns="" xmlns:a16="http://schemas.microsoft.com/office/drawing/2014/main" id="{00000000-0008-0000-0900-000005D24200}"/>
            </a:ext>
          </a:extLst>
        </xdr:cNvPr>
        <xdr:cNvSpPr>
          <a:spLocks noChangeShapeType="1"/>
        </xdr:cNvSpPr>
      </xdr:nvSpPr>
      <xdr:spPr bwMode="auto">
        <a:xfrm flipV="1">
          <a:off x="10458450" y="11763375"/>
          <a:ext cx="2333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161925</xdr:colOff>
      <xdr:row>30</xdr:row>
      <xdr:rowOff>276225</xdr:rowOff>
    </xdr:from>
    <xdr:to>
      <xdr:col>6</xdr:col>
      <xdr:colOff>561975</xdr:colOff>
      <xdr:row>30</xdr:row>
      <xdr:rowOff>276225</xdr:rowOff>
    </xdr:to>
    <xdr:sp macro="" textlink="">
      <xdr:nvSpPr>
        <xdr:cNvPr id="4379142" name="Line 40">
          <a:extLst>
            <a:ext uri="{FF2B5EF4-FFF2-40B4-BE49-F238E27FC236}">
              <a16:creationId xmlns="" xmlns:a16="http://schemas.microsoft.com/office/drawing/2014/main" id="{00000000-0008-0000-0900-000006D24200}"/>
            </a:ext>
          </a:extLst>
        </xdr:cNvPr>
        <xdr:cNvSpPr>
          <a:spLocks noChangeShapeType="1"/>
        </xdr:cNvSpPr>
      </xdr:nvSpPr>
      <xdr:spPr bwMode="auto">
        <a:xfrm flipV="1">
          <a:off x="10458450" y="10029825"/>
          <a:ext cx="2352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676275</xdr:colOff>
      <xdr:row>46</xdr:row>
      <xdr:rowOff>133350</xdr:rowOff>
    </xdr:from>
    <xdr:to>
      <xdr:col>6</xdr:col>
      <xdr:colOff>676275</xdr:colOff>
      <xdr:row>46</xdr:row>
      <xdr:rowOff>133350</xdr:rowOff>
    </xdr:to>
    <xdr:sp macro="" textlink="">
      <xdr:nvSpPr>
        <xdr:cNvPr id="4379143" name="Line 41">
          <a:extLst>
            <a:ext uri="{FF2B5EF4-FFF2-40B4-BE49-F238E27FC236}">
              <a16:creationId xmlns="" xmlns:a16="http://schemas.microsoft.com/office/drawing/2014/main" id="{00000000-0008-0000-0900-000007D24200}"/>
            </a:ext>
          </a:extLst>
        </xdr:cNvPr>
        <xdr:cNvSpPr>
          <a:spLocks noChangeShapeType="1"/>
        </xdr:cNvSpPr>
      </xdr:nvSpPr>
      <xdr:spPr bwMode="auto">
        <a:xfrm>
          <a:off x="12249150" y="14916150"/>
          <a:ext cx="676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638175</xdr:colOff>
      <xdr:row>24</xdr:row>
      <xdr:rowOff>142875</xdr:rowOff>
    </xdr:from>
    <xdr:to>
      <xdr:col>7</xdr:col>
      <xdr:colOff>85725</xdr:colOff>
      <xdr:row>27</xdr:row>
      <xdr:rowOff>0</xdr:rowOff>
    </xdr:to>
    <xdr:sp macro="" textlink="">
      <xdr:nvSpPr>
        <xdr:cNvPr id="4379144" name="Line 42">
          <a:extLst>
            <a:ext uri="{FF2B5EF4-FFF2-40B4-BE49-F238E27FC236}">
              <a16:creationId xmlns="" xmlns:a16="http://schemas.microsoft.com/office/drawing/2014/main" id="{00000000-0008-0000-0900-000008D24200}"/>
            </a:ext>
          </a:extLst>
        </xdr:cNvPr>
        <xdr:cNvSpPr>
          <a:spLocks noChangeShapeType="1"/>
        </xdr:cNvSpPr>
      </xdr:nvSpPr>
      <xdr:spPr bwMode="auto">
        <a:xfrm>
          <a:off x="12887325" y="8010525"/>
          <a:ext cx="323850" cy="800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85725</xdr:colOff>
      <xdr:row>27</xdr:row>
      <xdr:rowOff>0</xdr:rowOff>
    </xdr:from>
    <xdr:to>
      <xdr:col>7</xdr:col>
      <xdr:colOff>647700</xdr:colOff>
      <xdr:row>27</xdr:row>
      <xdr:rowOff>0</xdr:rowOff>
    </xdr:to>
    <xdr:sp macro="" textlink="">
      <xdr:nvSpPr>
        <xdr:cNvPr id="4379145" name="Line 43">
          <a:extLst>
            <a:ext uri="{FF2B5EF4-FFF2-40B4-BE49-F238E27FC236}">
              <a16:creationId xmlns="" xmlns:a16="http://schemas.microsoft.com/office/drawing/2014/main" id="{00000000-0008-0000-0900-000009D24200}"/>
            </a:ext>
          </a:extLst>
        </xdr:cNvPr>
        <xdr:cNvSpPr>
          <a:spLocks noChangeShapeType="1"/>
        </xdr:cNvSpPr>
      </xdr:nvSpPr>
      <xdr:spPr bwMode="auto">
        <a:xfrm>
          <a:off x="13211175" y="8810625"/>
          <a:ext cx="561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247650</xdr:colOff>
      <xdr:row>23</xdr:row>
      <xdr:rowOff>0</xdr:rowOff>
    </xdr:from>
    <xdr:to>
      <xdr:col>6</xdr:col>
      <xdr:colOff>28575</xdr:colOff>
      <xdr:row>23</xdr:row>
      <xdr:rowOff>0</xdr:rowOff>
    </xdr:to>
    <xdr:sp macro="" textlink="">
      <xdr:nvSpPr>
        <xdr:cNvPr id="4379146" name="Line 44">
          <a:extLst>
            <a:ext uri="{FF2B5EF4-FFF2-40B4-BE49-F238E27FC236}">
              <a16:creationId xmlns="" xmlns:a16="http://schemas.microsoft.com/office/drawing/2014/main" id="{00000000-0008-0000-0900-00000AD24200}"/>
            </a:ext>
          </a:extLst>
        </xdr:cNvPr>
        <xdr:cNvSpPr>
          <a:spLocks noChangeShapeType="1"/>
        </xdr:cNvSpPr>
      </xdr:nvSpPr>
      <xdr:spPr bwMode="auto">
        <a:xfrm flipH="1">
          <a:off x="10544175" y="7553325"/>
          <a:ext cx="1733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590550</xdr:colOff>
      <xdr:row>12</xdr:row>
      <xdr:rowOff>200025</xdr:rowOff>
    </xdr:from>
    <xdr:to>
      <xdr:col>16</xdr:col>
      <xdr:colOff>95250</xdr:colOff>
      <xdr:row>14</xdr:row>
      <xdr:rowOff>228600</xdr:rowOff>
    </xdr:to>
    <xdr:grpSp>
      <xdr:nvGrpSpPr>
        <xdr:cNvPr id="4379147" name="Group 46">
          <a:extLst>
            <a:ext uri="{FF2B5EF4-FFF2-40B4-BE49-F238E27FC236}">
              <a16:creationId xmlns="" xmlns:a16="http://schemas.microsoft.com/office/drawing/2014/main" id="{00000000-0008-0000-0900-00000BD24200}"/>
            </a:ext>
          </a:extLst>
        </xdr:cNvPr>
        <xdr:cNvGrpSpPr>
          <a:grpSpLocks/>
        </xdr:cNvGrpSpPr>
      </xdr:nvGrpSpPr>
      <xdr:grpSpPr bwMode="auto">
        <a:xfrm>
          <a:off x="15536141" y="4269798"/>
          <a:ext cx="5098473" cy="652029"/>
          <a:chOff x="630" y="359"/>
          <a:chExt cx="361" cy="60"/>
        </a:xfrm>
      </xdr:grpSpPr>
      <xdr:sp macro="" textlink="">
        <xdr:nvSpPr>
          <xdr:cNvPr id="4379394" name="Line 47">
            <a:extLst>
              <a:ext uri="{FF2B5EF4-FFF2-40B4-BE49-F238E27FC236}">
                <a16:creationId xmlns="" xmlns:a16="http://schemas.microsoft.com/office/drawing/2014/main" id="{00000000-0008-0000-0900-000002D3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0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9395" name="Line 48">
            <a:extLst>
              <a:ext uri="{FF2B5EF4-FFF2-40B4-BE49-F238E27FC236}">
                <a16:creationId xmlns="" xmlns:a16="http://schemas.microsoft.com/office/drawing/2014/main" id="{00000000-0008-0000-0900-000003D3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91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9396" name="Line 49">
            <a:extLst>
              <a:ext uri="{FF2B5EF4-FFF2-40B4-BE49-F238E27FC236}">
                <a16:creationId xmlns="" xmlns:a16="http://schemas.microsoft.com/office/drawing/2014/main" id="{00000000-0008-0000-0900-000004D34200}"/>
              </a:ext>
            </a:extLst>
          </xdr:cNvPr>
          <xdr:cNvSpPr>
            <a:spLocks noChangeShapeType="1"/>
          </xdr:cNvSpPr>
        </xdr:nvSpPr>
        <xdr:spPr bwMode="auto">
          <a:xfrm>
            <a:off x="630" y="381"/>
            <a:ext cx="3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9</xdr:col>
      <xdr:colOff>590550</xdr:colOff>
      <xdr:row>16</xdr:row>
      <xdr:rowOff>66675</xdr:rowOff>
    </xdr:from>
    <xdr:to>
      <xdr:col>9</xdr:col>
      <xdr:colOff>590550</xdr:colOff>
      <xdr:row>25</xdr:row>
      <xdr:rowOff>228600</xdr:rowOff>
    </xdr:to>
    <xdr:sp macro="" textlink="">
      <xdr:nvSpPr>
        <xdr:cNvPr id="4379148" name="Line 50">
          <a:extLst>
            <a:ext uri="{FF2B5EF4-FFF2-40B4-BE49-F238E27FC236}">
              <a16:creationId xmlns="" xmlns:a16="http://schemas.microsoft.com/office/drawing/2014/main" id="{00000000-0008-0000-0900-00000CD24200}"/>
            </a:ext>
          </a:extLst>
        </xdr:cNvPr>
        <xdr:cNvSpPr>
          <a:spLocks noChangeShapeType="1"/>
        </xdr:cNvSpPr>
      </xdr:nvSpPr>
      <xdr:spPr bwMode="auto">
        <a:xfrm>
          <a:off x="15525750" y="5419725"/>
          <a:ext cx="0" cy="2990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133350</xdr:colOff>
      <xdr:row>18</xdr:row>
      <xdr:rowOff>9525</xdr:rowOff>
    </xdr:from>
    <xdr:to>
      <xdr:col>10</xdr:col>
      <xdr:colOff>47625</xdr:colOff>
      <xdr:row>18</xdr:row>
      <xdr:rowOff>9525</xdr:rowOff>
    </xdr:to>
    <xdr:sp macro="" textlink="">
      <xdr:nvSpPr>
        <xdr:cNvPr id="4379149" name="Line 51">
          <a:extLst>
            <a:ext uri="{FF2B5EF4-FFF2-40B4-BE49-F238E27FC236}">
              <a16:creationId xmlns="" xmlns:a16="http://schemas.microsoft.com/office/drawing/2014/main" id="{00000000-0008-0000-0900-00000DD24200}"/>
            </a:ext>
          </a:extLst>
        </xdr:cNvPr>
        <xdr:cNvSpPr>
          <a:spLocks noChangeShapeType="1"/>
        </xdr:cNvSpPr>
      </xdr:nvSpPr>
      <xdr:spPr bwMode="auto">
        <a:xfrm flipV="1">
          <a:off x="15068550" y="599122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590550</xdr:colOff>
      <xdr:row>19</xdr:row>
      <xdr:rowOff>0</xdr:rowOff>
    </xdr:from>
    <xdr:to>
      <xdr:col>10</xdr:col>
      <xdr:colOff>666750</xdr:colOff>
      <xdr:row>19</xdr:row>
      <xdr:rowOff>0</xdr:rowOff>
    </xdr:to>
    <xdr:sp macro="" textlink="">
      <xdr:nvSpPr>
        <xdr:cNvPr id="4379150" name="Line 52">
          <a:extLst>
            <a:ext uri="{FF2B5EF4-FFF2-40B4-BE49-F238E27FC236}">
              <a16:creationId xmlns="" xmlns:a16="http://schemas.microsoft.com/office/drawing/2014/main" id="{00000000-0008-0000-0900-00000ED24200}"/>
            </a:ext>
          </a:extLst>
        </xdr:cNvPr>
        <xdr:cNvSpPr>
          <a:spLocks noChangeShapeType="1"/>
        </xdr:cNvSpPr>
      </xdr:nvSpPr>
      <xdr:spPr bwMode="auto">
        <a:xfrm>
          <a:off x="15525750" y="6296025"/>
          <a:ext cx="695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590550</xdr:colOff>
      <xdr:row>20</xdr:row>
      <xdr:rowOff>9525</xdr:rowOff>
    </xdr:from>
    <xdr:to>
      <xdr:col>12</xdr:col>
      <xdr:colOff>28575</xdr:colOff>
      <xdr:row>20</xdr:row>
      <xdr:rowOff>9525</xdr:rowOff>
    </xdr:to>
    <xdr:sp macro="" textlink="">
      <xdr:nvSpPr>
        <xdr:cNvPr id="4379151" name="Line 53">
          <a:extLst>
            <a:ext uri="{FF2B5EF4-FFF2-40B4-BE49-F238E27FC236}">
              <a16:creationId xmlns="" xmlns:a16="http://schemas.microsoft.com/office/drawing/2014/main" id="{00000000-0008-0000-0900-00000FD24200}"/>
            </a:ext>
          </a:extLst>
        </xdr:cNvPr>
        <xdr:cNvSpPr>
          <a:spLocks noChangeShapeType="1"/>
        </xdr:cNvSpPr>
      </xdr:nvSpPr>
      <xdr:spPr bwMode="auto">
        <a:xfrm>
          <a:off x="15525750" y="6619875"/>
          <a:ext cx="1428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590550</xdr:colOff>
      <xdr:row>21</xdr:row>
      <xdr:rowOff>9525</xdr:rowOff>
    </xdr:from>
    <xdr:to>
      <xdr:col>13</xdr:col>
      <xdr:colOff>28575</xdr:colOff>
      <xdr:row>21</xdr:row>
      <xdr:rowOff>9525</xdr:rowOff>
    </xdr:to>
    <xdr:sp macro="" textlink="">
      <xdr:nvSpPr>
        <xdr:cNvPr id="4379152" name="Line 54">
          <a:extLst>
            <a:ext uri="{FF2B5EF4-FFF2-40B4-BE49-F238E27FC236}">
              <a16:creationId xmlns="" xmlns:a16="http://schemas.microsoft.com/office/drawing/2014/main" id="{00000000-0008-0000-0900-000010D24200}"/>
            </a:ext>
          </a:extLst>
        </xdr:cNvPr>
        <xdr:cNvSpPr>
          <a:spLocks noChangeShapeType="1"/>
        </xdr:cNvSpPr>
      </xdr:nvSpPr>
      <xdr:spPr bwMode="auto">
        <a:xfrm flipH="1">
          <a:off x="15525750" y="6934200"/>
          <a:ext cx="2247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590550</xdr:colOff>
      <xdr:row>22</xdr:row>
      <xdr:rowOff>0</xdr:rowOff>
    </xdr:from>
    <xdr:to>
      <xdr:col>14</xdr:col>
      <xdr:colOff>38100</xdr:colOff>
      <xdr:row>22</xdr:row>
      <xdr:rowOff>0</xdr:rowOff>
    </xdr:to>
    <xdr:sp macro="" textlink="">
      <xdr:nvSpPr>
        <xdr:cNvPr id="4379153" name="Line 55">
          <a:extLst>
            <a:ext uri="{FF2B5EF4-FFF2-40B4-BE49-F238E27FC236}">
              <a16:creationId xmlns="" xmlns:a16="http://schemas.microsoft.com/office/drawing/2014/main" id="{00000000-0008-0000-0900-000011D24200}"/>
            </a:ext>
          </a:extLst>
        </xdr:cNvPr>
        <xdr:cNvSpPr>
          <a:spLocks noChangeShapeType="1"/>
        </xdr:cNvSpPr>
      </xdr:nvSpPr>
      <xdr:spPr bwMode="auto">
        <a:xfrm>
          <a:off x="15525750" y="7239000"/>
          <a:ext cx="3209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15</xdr:row>
      <xdr:rowOff>76200</xdr:rowOff>
    </xdr:from>
    <xdr:to>
      <xdr:col>10</xdr:col>
      <xdr:colOff>57150</xdr:colOff>
      <xdr:row>18</xdr:row>
      <xdr:rowOff>85725</xdr:rowOff>
    </xdr:to>
    <xdr:grpSp>
      <xdr:nvGrpSpPr>
        <xdr:cNvPr id="4379154" name="Group 56">
          <a:extLst>
            <a:ext uri="{FF2B5EF4-FFF2-40B4-BE49-F238E27FC236}">
              <a16:creationId xmlns="" xmlns:a16="http://schemas.microsoft.com/office/drawing/2014/main" id="{00000000-0008-0000-0900-000012D24200}"/>
            </a:ext>
          </a:extLst>
        </xdr:cNvPr>
        <xdr:cNvGrpSpPr>
          <a:grpSpLocks/>
        </xdr:cNvGrpSpPr>
      </xdr:nvGrpSpPr>
      <xdr:grpSpPr bwMode="auto">
        <a:xfrm>
          <a:off x="15569045" y="5081155"/>
          <a:ext cx="57150" cy="944706"/>
          <a:chOff x="554" y="439"/>
          <a:chExt cx="10" cy="76"/>
        </a:xfrm>
      </xdr:grpSpPr>
      <xdr:sp macro="" textlink="">
        <xdr:nvSpPr>
          <xdr:cNvPr id="4379392" name="Line 57">
            <a:extLst>
              <a:ext uri="{FF2B5EF4-FFF2-40B4-BE49-F238E27FC236}">
                <a16:creationId xmlns="" xmlns:a16="http://schemas.microsoft.com/office/drawing/2014/main" id="{00000000-0008-0000-0900-000000D34200}"/>
              </a:ext>
            </a:extLst>
          </xdr:cNvPr>
          <xdr:cNvSpPr>
            <a:spLocks noChangeShapeType="1"/>
          </xdr:cNvSpPr>
        </xdr:nvSpPr>
        <xdr:spPr bwMode="auto">
          <a:xfrm>
            <a:off x="558" y="439"/>
            <a:ext cx="0" cy="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9393" name="Line 58">
            <a:extLst>
              <a:ext uri="{FF2B5EF4-FFF2-40B4-BE49-F238E27FC236}">
                <a16:creationId xmlns="" xmlns:a16="http://schemas.microsoft.com/office/drawing/2014/main" id="{00000000-0008-0000-0900-000001D34200}"/>
              </a:ext>
            </a:extLst>
          </xdr:cNvPr>
          <xdr:cNvSpPr>
            <a:spLocks noChangeShapeType="1"/>
          </xdr:cNvSpPr>
        </xdr:nvSpPr>
        <xdr:spPr bwMode="auto">
          <a:xfrm>
            <a:off x="554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10</xdr:col>
      <xdr:colOff>628650</xdr:colOff>
      <xdr:row>15</xdr:row>
      <xdr:rowOff>76200</xdr:rowOff>
    </xdr:from>
    <xdr:to>
      <xdr:col>11</xdr:col>
      <xdr:colOff>38100</xdr:colOff>
      <xdr:row>19</xdr:row>
      <xdr:rowOff>57150</xdr:rowOff>
    </xdr:to>
    <xdr:grpSp>
      <xdr:nvGrpSpPr>
        <xdr:cNvPr id="4379155" name="Group 59">
          <a:extLst>
            <a:ext uri="{FF2B5EF4-FFF2-40B4-BE49-F238E27FC236}">
              <a16:creationId xmlns="" xmlns:a16="http://schemas.microsoft.com/office/drawing/2014/main" id="{00000000-0008-0000-0900-000013D24200}"/>
            </a:ext>
          </a:extLst>
        </xdr:cNvPr>
        <xdr:cNvGrpSpPr>
          <a:grpSpLocks/>
        </xdr:cNvGrpSpPr>
      </xdr:nvGrpSpPr>
      <xdr:grpSpPr bwMode="auto">
        <a:xfrm>
          <a:off x="16197695" y="5081155"/>
          <a:ext cx="119496" cy="1227859"/>
          <a:chOff x="680" y="439"/>
          <a:chExt cx="10" cy="98"/>
        </a:xfrm>
      </xdr:grpSpPr>
      <xdr:sp macro="" textlink="">
        <xdr:nvSpPr>
          <xdr:cNvPr id="4379390" name="Line 60">
            <a:extLst>
              <a:ext uri="{FF2B5EF4-FFF2-40B4-BE49-F238E27FC236}">
                <a16:creationId xmlns="" xmlns:a16="http://schemas.microsoft.com/office/drawing/2014/main" id="{00000000-0008-0000-0900-0000FED24200}"/>
              </a:ext>
            </a:extLst>
          </xdr:cNvPr>
          <xdr:cNvSpPr>
            <a:spLocks noChangeShapeType="1"/>
          </xdr:cNvSpPr>
        </xdr:nvSpPr>
        <xdr:spPr bwMode="auto">
          <a:xfrm>
            <a:off x="685" y="439"/>
            <a:ext cx="0" cy="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9391" name="Line 61">
            <a:extLst>
              <a:ext uri="{FF2B5EF4-FFF2-40B4-BE49-F238E27FC236}">
                <a16:creationId xmlns="" xmlns:a16="http://schemas.microsoft.com/office/drawing/2014/main" id="{00000000-0008-0000-0900-0000FFD24200}"/>
              </a:ext>
            </a:extLst>
          </xdr:cNvPr>
          <xdr:cNvSpPr>
            <a:spLocks noChangeShapeType="1"/>
          </xdr:cNvSpPr>
        </xdr:nvSpPr>
        <xdr:spPr bwMode="auto">
          <a:xfrm>
            <a:off x="680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0</xdr:colOff>
      <xdr:row>15</xdr:row>
      <xdr:rowOff>66675</xdr:rowOff>
    </xdr:from>
    <xdr:to>
      <xdr:col>12</xdr:col>
      <xdr:colOff>38100</xdr:colOff>
      <xdr:row>20</xdr:row>
      <xdr:rowOff>28575</xdr:rowOff>
    </xdr:to>
    <xdr:grpSp>
      <xdr:nvGrpSpPr>
        <xdr:cNvPr id="4379156" name="Group 62">
          <a:extLst>
            <a:ext uri="{FF2B5EF4-FFF2-40B4-BE49-F238E27FC236}">
              <a16:creationId xmlns="" xmlns:a16="http://schemas.microsoft.com/office/drawing/2014/main" id="{00000000-0008-0000-0900-000014D24200}"/>
            </a:ext>
          </a:extLst>
        </xdr:cNvPr>
        <xdr:cNvGrpSpPr>
          <a:grpSpLocks/>
        </xdr:cNvGrpSpPr>
      </xdr:nvGrpSpPr>
      <xdr:grpSpPr bwMode="auto">
        <a:xfrm>
          <a:off x="16937182" y="5071630"/>
          <a:ext cx="38100" cy="1520536"/>
          <a:chOff x="759" y="438"/>
          <a:chExt cx="10" cy="121"/>
        </a:xfrm>
      </xdr:grpSpPr>
      <xdr:sp macro="" textlink="">
        <xdr:nvSpPr>
          <xdr:cNvPr id="4379388" name="Line 63">
            <a:extLst>
              <a:ext uri="{FF2B5EF4-FFF2-40B4-BE49-F238E27FC236}">
                <a16:creationId xmlns="" xmlns:a16="http://schemas.microsoft.com/office/drawing/2014/main" id="{00000000-0008-0000-0900-0000FCD242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9389" name="Line 64">
            <a:extLst>
              <a:ext uri="{FF2B5EF4-FFF2-40B4-BE49-F238E27FC236}">
                <a16:creationId xmlns="" xmlns:a16="http://schemas.microsoft.com/office/drawing/2014/main" id="{00000000-0008-0000-0900-0000FDD242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628650</xdr:colOff>
      <xdr:row>15</xdr:row>
      <xdr:rowOff>66675</xdr:rowOff>
    </xdr:from>
    <xdr:to>
      <xdr:col>13</xdr:col>
      <xdr:colOff>38100</xdr:colOff>
      <xdr:row>21</xdr:row>
      <xdr:rowOff>38100</xdr:rowOff>
    </xdr:to>
    <xdr:grpSp>
      <xdr:nvGrpSpPr>
        <xdr:cNvPr id="4379157" name="Group 65">
          <a:extLst>
            <a:ext uri="{FF2B5EF4-FFF2-40B4-BE49-F238E27FC236}">
              <a16:creationId xmlns="" xmlns:a16="http://schemas.microsoft.com/office/drawing/2014/main" id="{00000000-0008-0000-0900-000015D24200}"/>
            </a:ext>
          </a:extLst>
        </xdr:cNvPr>
        <xdr:cNvGrpSpPr>
          <a:grpSpLocks/>
        </xdr:cNvGrpSpPr>
      </xdr:nvGrpSpPr>
      <xdr:grpSpPr bwMode="auto">
        <a:xfrm>
          <a:off x="17565832" y="5071630"/>
          <a:ext cx="223404" cy="1841788"/>
          <a:chOff x="842" y="438"/>
          <a:chExt cx="10" cy="147"/>
        </a:xfrm>
      </xdr:grpSpPr>
      <xdr:sp macro="" textlink="">
        <xdr:nvSpPr>
          <xdr:cNvPr id="4379386" name="Line 66">
            <a:extLst>
              <a:ext uri="{FF2B5EF4-FFF2-40B4-BE49-F238E27FC236}">
                <a16:creationId xmlns="" xmlns:a16="http://schemas.microsoft.com/office/drawing/2014/main" id="{00000000-0008-0000-0900-0000FAD242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9387" name="Line 67">
            <a:extLst>
              <a:ext uri="{FF2B5EF4-FFF2-40B4-BE49-F238E27FC236}">
                <a16:creationId xmlns="" xmlns:a16="http://schemas.microsoft.com/office/drawing/2014/main" id="{00000000-0008-0000-0900-0000FBD242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13</xdr:col>
      <xdr:colOff>638175</xdr:colOff>
      <xdr:row>15</xdr:row>
      <xdr:rowOff>66675</xdr:rowOff>
    </xdr:from>
    <xdr:to>
      <xdr:col>14</xdr:col>
      <xdr:colOff>57150</xdr:colOff>
      <xdr:row>22</xdr:row>
      <xdr:rowOff>28575</xdr:rowOff>
    </xdr:to>
    <xdr:grpSp>
      <xdr:nvGrpSpPr>
        <xdr:cNvPr id="4379158" name="Group 68">
          <a:extLst>
            <a:ext uri="{FF2B5EF4-FFF2-40B4-BE49-F238E27FC236}">
              <a16:creationId xmlns="" xmlns:a16="http://schemas.microsoft.com/office/drawing/2014/main" id="{00000000-0008-0000-0900-000016D24200}"/>
            </a:ext>
          </a:extLst>
        </xdr:cNvPr>
        <xdr:cNvGrpSpPr>
          <a:grpSpLocks/>
        </xdr:cNvGrpSpPr>
      </xdr:nvGrpSpPr>
      <xdr:grpSpPr bwMode="auto">
        <a:xfrm>
          <a:off x="18389311" y="5071630"/>
          <a:ext cx="371475" cy="2143990"/>
          <a:chOff x="912" y="438"/>
          <a:chExt cx="11" cy="175"/>
        </a:xfrm>
      </xdr:grpSpPr>
      <xdr:sp macro="" textlink="">
        <xdr:nvSpPr>
          <xdr:cNvPr id="4379384" name="Line 69">
            <a:extLst>
              <a:ext uri="{FF2B5EF4-FFF2-40B4-BE49-F238E27FC236}">
                <a16:creationId xmlns="" xmlns:a16="http://schemas.microsoft.com/office/drawing/2014/main" id="{00000000-0008-0000-0900-0000F8D242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9385" name="Line 70">
            <a:extLst>
              <a:ext uri="{FF2B5EF4-FFF2-40B4-BE49-F238E27FC236}">
                <a16:creationId xmlns="" xmlns:a16="http://schemas.microsoft.com/office/drawing/2014/main" id="{00000000-0008-0000-0900-0000F9D242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9</xdr:col>
      <xdr:colOff>590550</xdr:colOff>
      <xdr:row>15</xdr:row>
      <xdr:rowOff>0</xdr:rowOff>
    </xdr:from>
    <xdr:to>
      <xdr:col>16</xdr:col>
      <xdr:colOff>76200</xdr:colOff>
      <xdr:row>16</xdr:row>
      <xdr:rowOff>0</xdr:rowOff>
    </xdr:to>
    <xdr:sp macro="" textlink="">
      <xdr:nvSpPr>
        <xdr:cNvPr id="4379159" name="Rectangle 71">
          <a:extLst>
            <a:ext uri="{FF2B5EF4-FFF2-40B4-BE49-F238E27FC236}">
              <a16:creationId xmlns="" xmlns:a16="http://schemas.microsoft.com/office/drawing/2014/main" id="{00000000-0008-0000-0900-000017D24200}"/>
            </a:ext>
          </a:extLst>
        </xdr:cNvPr>
        <xdr:cNvSpPr>
          <a:spLocks noChangeArrowheads="1"/>
        </xdr:cNvSpPr>
      </xdr:nvSpPr>
      <xdr:spPr bwMode="auto">
        <a:xfrm>
          <a:off x="15525750" y="5038725"/>
          <a:ext cx="508635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0</xdr:colOff>
      <xdr:row>15</xdr:row>
      <xdr:rowOff>57150</xdr:rowOff>
    </xdr:from>
    <xdr:to>
      <xdr:col>16</xdr:col>
      <xdr:colOff>0</xdr:colOff>
      <xdr:row>24</xdr:row>
      <xdr:rowOff>47625</xdr:rowOff>
    </xdr:to>
    <xdr:sp macro="" textlink="">
      <xdr:nvSpPr>
        <xdr:cNvPr id="4379160" name="Line 72">
          <a:extLst>
            <a:ext uri="{FF2B5EF4-FFF2-40B4-BE49-F238E27FC236}">
              <a16:creationId xmlns="" xmlns:a16="http://schemas.microsoft.com/office/drawing/2014/main" id="{00000000-0008-0000-0900-000018D24200}"/>
            </a:ext>
          </a:extLst>
        </xdr:cNvPr>
        <xdr:cNvSpPr>
          <a:spLocks noChangeShapeType="1"/>
        </xdr:cNvSpPr>
      </xdr:nvSpPr>
      <xdr:spPr bwMode="auto">
        <a:xfrm>
          <a:off x="20535900" y="5095875"/>
          <a:ext cx="0" cy="2819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638175</xdr:colOff>
      <xdr:row>15</xdr:row>
      <xdr:rowOff>95250</xdr:rowOff>
    </xdr:from>
    <xdr:to>
      <xdr:col>16</xdr:col>
      <xdr:colOff>47625</xdr:colOff>
      <xdr:row>15</xdr:row>
      <xdr:rowOff>95250</xdr:rowOff>
    </xdr:to>
    <xdr:sp macro="" textlink="">
      <xdr:nvSpPr>
        <xdr:cNvPr id="4379161" name="Line 73">
          <a:extLst>
            <a:ext uri="{FF2B5EF4-FFF2-40B4-BE49-F238E27FC236}">
              <a16:creationId xmlns="" xmlns:a16="http://schemas.microsoft.com/office/drawing/2014/main" id="{00000000-0008-0000-0900-000019D24200}"/>
            </a:ext>
          </a:extLst>
        </xdr:cNvPr>
        <xdr:cNvSpPr>
          <a:spLocks noChangeShapeType="1"/>
        </xdr:cNvSpPr>
      </xdr:nvSpPr>
      <xdr:spPr bwMode="auto">
        <a:xfrm>
          <a:off x="20250150" y="5133975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590550</xdr:colOff>
      <xdr:row>23</xdr:row>
      <xdr:rowOff>0</xdr:rowOff>
    </xdr:from>
    <xdr:to>
      <xdr:col>15</xdr:col>
      <xdr:colOff>38100</xdr:colOff>
      <xdr:row>23</xdr:row>
      <xdr:rowOff>0</xdr:rowOff>
    </xdr:to>
    <xdr:sp macro="" textlink="">
      <xdr:nvSpPr>
        <xdr:cNvPr id="4379162" name="Line 74">
          <a:extLst>
            <a:ext uri="{FF2B5EF4-FFF2-40B4-BE49-F238E27FC236}">
              <a16:creationId xmlns="" xmlns:a16="http://schemas.microsoft.com/office/drawing/2014/main" id="{00000000-0008-0000-0900-00001AD24200}"/>
            </a:ext>
          </a:extLst>
        </xdr:cNvPr>
        <xdr:cNvSpPr>
          <a:spLocks noChangeShapeType="1"/>
        </xdr:cNvSpPr>
      </xdr:nvSpPr>
      <xdr:spPr bwMode="auto">
        <a:xfrm flipV="1">
          <a:off x="15525750" y="7553325"/>
          <a:ext cx="412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581025</xdr:colOff>
      <xdr:row>24</xdr:row>
      <xdr:rowOff>9525</xdr:rowOff>
    </xdr:from>
    <xdr:to>
      <xdr:col>16</xdr:col>
      <xdr:colOff>28575</xdr:colOff>
      <xdr:row>24</xdr:row>
      <xdr:rowOff>9525</xdr:rowOff>
    </xdr:to>
    <xdr:sp macro="" textlink="">
      <xdr:nvSpPr>
        <xdr:cNvPr id="4379163" name="Line 75">
          <a:extLst>
            <a:ext uri="{FF2B5EF4-FFF2-40B4-BE49-F238E27FC236}">
              <a16:creationId xmlns="" xmlns:a16="http://schemas.microsoft.com/office/drawing/2014/main" id="{00000000-0008-0000-0900-00001BD24200}"/>
            </a:ext>
          </a:extLst>
        </xdr:cNvPr>
        <xdr:cNvSpPr>
          <a:spLocks noChangeShapeType="1"/>
        </xdr:cNvSpPr>
      </xdr:nvSpPr>
      <xdr:spPr bwMode="auto">
        <a:xfrm flipV="1">
          <a:off x="15516225" y="7877175"/>
          <a:ext cx="5048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628650</xdr:colOff>
      <xdr:row>15</xdr:row>
      <xdr:rowOff>57150</xdr:rowOff>
    </xdr:from>
    <xdr:to>
      <xdr:col>15</xdr:col>
      <xdr:colOff>47625</xdr:colOff>
      <xdr:row>23</xdr:row>
      <xdr:rowOff>47625</xdr:rowOff>
    </xdr:to>
    <xdr:grpSp>
      <xdr:nvGrpSpPr>
        <xdr:cNvPr id="4379164" name="Group 76">
          <a:extLst>
            <a:ext uri="{FF2B5EF4-FFF2-40B4-BE49-F238E27FC236}">
              <a16:creationId xmlns="" xmlns:a16="http://schemas.microsoft.com/office/drawing/2014/main" id="{00000000-0008-0000-0900-00001CD24200}"/>
            </a:ext>
          </a:extLst>
        </xdr:cNvPr>
        <xdr:cNvGrpSpPr>
          <a:grpSpLocks/>
        </xdr:cNvGrpSpPr>
      </xdr:nvGrpSpPr>
      <xdr:grpSpPr bwMode="auto">
        <a:xfrm>
          <a:off x="19332286" y="5062105"/>
          <a:ext cx="336839" cy="2484293"/>
          <a:chOff x="912" y="438"/>
          <a:chExt cx="11" cy="175"/>
        </a:xfrm>
      </xdr:grpSpPr>
      <xdr:sp macro="" textlink="">
        <xdr:nvSpPr>
          <xdr:cNvPr id="4379382" name="Line 77">
            <a:extLst>
              <a:ext uri="{FF2B5EF4-FFF2-40B4-BE49-F238E27FC236}">
                <a16:creationId xmlns="" xmlns:a16="http://schemas.microsoft.com/office/drawing/2014/main" id="{00000000-0008-0000-0900-0000F6D242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9383" name="Line 78">
            <a:extLst>
              <a:ext uri="{FF2B5EF4-FFF2-40B4-BE49-F238E27FC236}">
                <a16:creationId xmlns="" xmlns:a16="http://schemas.microsoft.com/office/drawing/2014/main" id="{00000000-0008-0000-0900-0000F7D242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18</xdr:col>
      <xdr:colOff>0</xdr:colOff>
      <xdr:row>10</xdr:row>
      <xdr:rowOff>104775</xdr:rowOff>
    </xdr:from>
    <xdr:to>
      <xdr:col>23</xdr:col>
      <xdr:colOff>485775</xdr:colOff>
      <xdr:row>12</xdr:row>
      <xdr:rowOff>133350</xdr:rowOff>
    </xdr:to>
    <xdr:grpSp>
      <xdr:nvGrpSpPr>
        <xdr:cNvPr id="4379165" name="Group 79">
          <a:extLst>
            <a:ext uri="{FF2B5EF4-FFF2-40B4-BE49-F238E27FC236}">
              <a16:creationId xmlns="" xmlns:a16="http://schemas.microsoft.com/office/drawing/2014/main" id="{00000000-0008-0000-0900-00001DD24200}"/>
            </a:ext>
          </a:extLst>
        </xdr:cNvPr>
        <xdr:cNvGrpSpPr>
          <a:grpSpLocks/>
        </xdr:cNvGrpSpPr>
      </xdr:nvGrpSpPr>
      <xdr:grpSpPr bwMode="auto">
        <a:xfrm>
          <a:off x="21457227" y="3551093"/>
          <a:ext cx="6737639" cy="652030"/>
          <a:chOff x="1141" y="310"/>
          <a:chExt cx="360" cy="54"/>
        </a:xfrm>
      </xdr:grpSpPr>
      <xdr:sp macro="" textlink="">
        <xdr:nvSpPr>
          <xdr:cNvPr id="4379379" name="Line 80">
            <a:extLst>
              <a:ext uri="{FF2B5EF4-FFF2-40B4-BE49-F238E27FC236}">
                <a16:creationId xmlns="" xmlns:a16="http://schemas.microsoft.com/office/drawing/2014/main" id="{00000000-0008-0000-0900-0000F3D2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141" y="310"/>
            <a:ext cx="0" cy="5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9380" name="Line 81">
            <a:extLst>
              <a:ext uri="{FF2B5EF4-FFF2-40B4-BE49-F238E27FC236}">
                <a16:creationId xmlns="" xmlns:a16="http://schemas.microsoft.com/office/drawing/2014/main" id="{00000000-0008-0000-0900-0000F4D2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501" y="311"/>
            <a:ext cx="0" cy="5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9381" name="Line 82">
            <a:extLst>
              <a:ext uri="{FF2B5EF4-FFF2-40B4-BE49-F238E27FC236}">
                <a16:creationId xmlns="" xmlns:a16="http://schemas.microsoft.com/office/drawing/2014/main" id="{00000000-0008-0000-0900-0000F5D24200}"/>
              </a:ext>
            </a:extLst>
          </xdr:cNvPr>
          <xdr:cNvSpPr>
            <a:spLocks noChangeShapeType="1"/>
          </xdr:cNvSpPr>
        </xdr:nvSpPr>
        <xdr:spPr bwMode="auto">
          <a:xfrm>
            <a:off x="1141" y="324"/>
            <a:ext cx="36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17</xdr:col>
      <xdr:colOff>609600</xdr:colOff>
      <xdr:row>13</xdr:row>
      <xdr:rowOff>0</xdr:rowOff>
    </xdr:from>
    <xdr:to>
      <xdr:col>23</xdr:col>
      <xdr:colOff>466725</xdr:colOff>
      <xdr:row>14</xdr:row>
      <xdr:rowOff>9525</xdr:rowOff>
    </xdr:to>
    <xdr:sp macro="" textlink="">
      <xdr:nvSpPr>
        <xdr:cNvPr id="4379166" name="Rectangle 83">
          <a:extLst>
            <a:ext uri="{FF2B5EF4-FFF2-40B4-BE49-F238E27FC236}">
              <a16:creationId xmlns="" xmlns:a16="http://schemas.microsoft.com/office/drawing/2014/main" id="{00000000-0008-0000-0900-00001ED24200}"/>
            </a:ext>
          </a:extLst>
        </xdr:cNvPr>
        <xdr:cNvSpPr>
          <a:spLocks noChangeArrowheads="1"/>
        </xdr:cNvSpPr>
      </xdr:nvSpPr>
      <xdr:spPr bwMode="auto">
        <a:xfrm>
          <a:off x="21459825" y="4410075"/>
          <a:ext cx="6715125" cy="323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66675</xdr:colOff>
      <xdr:row>23</xdr:row>
      <xdr:rowOff>0</xdr:rowOff>
    </xdr:from>
    <xdr:to>
      <xdr:col>4</xdr:col>
      <xdr:colOff>257175</xdr:colOff>
      <xdr:row>24</xdr:row>
      <xdr:rowOff>85725</xdr:rowOff>
    </xdr:to>
    <xdr:sp macro="" textlink="">
      <xdr:nvSpPr>
        <xdr:cNvPr id="4379167" name="Line 84">
          <a:extLst>
            <a:ext uri="{FF2B5EF4-FFF2-40B4-BE49-F238E27FC236}">
              <a16:creationId xmlns="" xmlns:a16="http://schemas.microsoft.com/office/drawing/2014/main" id="{00000000-0008-0000-0900-00001FD24200}"/>
            </a:ext>
          </a:extLst>
        </xdr:cNvPr>
        <xdr:cNvSpPr>
          <a:spLocks noChangeShapeType="1"/>
        </xdr:cNvSpPr>
      </xdr:nvSpPr>
      <xdr:spPr bwMode="auto">
        <a:xfrm flipH="1">
          <a:off x="10363200" y="7553325"/>
          <a:ext cx="19050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161925</xdr:colOff>
      <xdr:row>39</xdr:row>
      <xdr:rowOff>161925</xdr:rowOff>
    </xdr:from>
    <xdr:to>
      <xdr:col>6</xdr:col>
      <xdr:colOff>533400</xdr:colOff>
      <xdr:row>39</xdr:row>
      <xdr:rowOff>161925</xdr:rowOff>
    </xdr:to>
    <xdr:sp macro="" textlink="">
      <xdr:nvSpPr>
        <xdr:cNvPr id="4379168" name="Line 85">
          <a:extLst>
            <a:ext uri="{FF2B5EF4-FFF2-40B4-BE49-F238E27FC236}">
              <a16:creationId xmlns="" xmlns:a16="http://schemas.microsoft.com/office/drawing/2014/main" id="{00000000-0008-0000-0900-000020D24200}"/>
            </a:ext>
          </a:extLst>
        </xdr:cNvPr>
        <xdr:cNvSpPr>
          <a:spLocks noChangeShapeType="1"/>
        </xdr:cNvSpPr>
      </xdr:nvSpPr>
      <xdr:spPr bwMode="auto">
        <a:xfrm>
          <a:off x="10458450" y="12744450"/>
          <a:ext cx="2324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161925</xdr:colOff>
      <xdr:row>28</xdr:row>
      <xdr:rowOff>76200</xdr:rowOff>
    </xdr:from>
    <xdr:to>
      <xdr:col>6</xdr:col>
      <xdr:colOff>542925</xdr:colOff>
      <xdr:row>28</xdr:row>
      <xdr:rowOff>76200</xdr:rowOff>
    </xdr:to>
    <xdr:sp macro="" textlink="">
      <xdr:nvSpPr>
        <xdr:cNvPr id="4379169" name="Line 86">
          <a:extLst>
            <a:ext uri="{FF2B5EF4-FFF2-40B4-BE49-F238E27FC236}">
              <a16:creationId xmlns="" xmlns:a16="http://schemas.microsoft.com/office/drawing/2014/main" id="{00000000-0008-0000-0900-000021D24200}"/>
            </a:ext>
          </a:extLst>
        </xdr:cNvPr>
        <xdr:cNvSpPr>
          <a:spLocks noChangeShapeType="1"/>
        </xdr:cNvSpPr>
      </xdr:nvSpPr>
      <xdr:spPr bwMode="auto">
        <a:xfrm>
          <a:off x="10458450" y="9201150"/>
          <a:ext cx="2333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533400</xdr:colOff>
      <xdr:row>39</xdr:row>
      <xdr:rowOff>161925</xdr:rowOff>
    </xdr:from>
    <xdr:to>
      <xdr:col>7</xdr:col>
      <xdr:colOff>0</xdr:colOff>
      <xdr:row>39</xdr:row>
      <xdr:rowOff>161925</xdr:rowOff>
    </xdr:to>
    <xdr:sp macro="" textlink="">
      <xdr:nvSpPr>
        <xdr:cNvPr id="4379170" name="Line 87">
          <a:extLst>
            <a:ext uri="{FF2B5EF4-FFF2-40B4-BE49-F238E27FC236}">
              <a16:creationId xmlns="" xmlns:a16="http://schemas.microsoft.com/office/drawing/2014/main" id="{00000000-0008-0000-0900-000022D24200}"/>
            </a:ext>
          </a:extLst>
        </xdr:cNvPr>
        <xdr:cNvSpPr>
          <a:spLocks noChangeShapeType="1"/>
        </xdr:cNvSpPr>
      </xdr:nvSpPr>
      <xdr:spPr bwMode="auto">
        <a:xfrm>
          <a:off x="12782550" y="1274445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533400</xdr:colOff>
      <xdr:row>28</xdr:row>
      <xdr:rowOff>76200</xdr:rowOff>
    </xdr:from>
    <xdr:to>
      <xdr:col>6</xdr:col>
      <xdr:colOff>676275</xdr:colOff>
      <xdr:row>28</xdr:row>
      <xdr:rowOff>76200</xdr:rowOff>
    </xdr:to>
    <xdr:sp macro="" textlink="">
      <xdr:nvSpPr>
        <xdr:cNvPr id="4379171" name="Line 88">
          <a:extLst>
            <a:ext uri="{FF2B5EF4-FFF2-40B4-BE49-F238E27FC236}">
              <a16:creationId xmlns="" xmlns:a16="http://schemas.microsoft.com/office/drawing/2014/main" id="{00000000-0008-0000-0900-000023D24200}"/>
            </a:ext>
          </a:extLst>
        </xdr:cNvPr>
        <xdr:cNvSpPr>
          <a:spLocks noChangeShapeType="1"/>
        </xdr:cNvSpPr>
      </xdr:nvSpPr>
      <xdr:spPr bwMode="auto">
        <a:xfrm>
          <a:off x="12782550" y="920115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219075</xdr:colOff>
      <xdr:row>28</xdr:row>
      <xdr:rowOff>85725</xdr:rowOff>
    </xdr:from>
    <xdr:to>
      <xdr:col>4</xdr:col>
      <xdr:colOff>219075</xdr:colOff>
      <xdr:row>30</xdr:row>
      <xdr:rowOff>180975</xdr:rowOff>
    </xdr:to>
    <xdr:sp macro="" textlink="">
      <xdr:nvSpPr>
        <xdr:cNvPr id="4379172" name="Line 89">
          <a:extLst>
            <a:ext uri="{FF2B5EF4-FFF2-40B4-BE49-F238E27FC236}">
              <a16:creationId xmlns="" xmlns:a16="http://schemas.microsoft.com/office/drawing/2014/main" id="{00000000-0008-0000-0900-000024D24200}"/>
            </a:ext>
          </a:extLst>
        </xdr:cNvPr>
        <xdr:cNvSpPr>
          <a:spLocks noChangeShapeType="1"/>
        </xdr:cNvSpPr>
      </xdr:nvSpPr>
      <xdr:spPr bwMode="auto">
        <a:xfrm>
          <a:off x="10515600" y="9210675"/>
          <a:ext cx="0" cy="723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266700</xdr:colOff>
      <xdr:row>28</xdr:row>
      <xdr:rowOff>85725</xdr:rowOff>
    </xdr:from>
    <xdr:to>
      <xdr:col>4</xdr:col>
      <xdr:colOff>266700</xdr:colOff>
      <xdr:row>30</xdr:row>
      <xdr:rowOff>0</xdr:rowOff>
    </xdr:to>
    <xdr:sp macro="" textlink="">
      <xdr:nvSpPr>
        <xdr:cNvPr id="4379173" name="Line 90">
          <a:extLst>
            <a:ext uri="{FF2B5EF4-FFF2-40B4-BE49-F238E27FC236}">
              <a16:creationId xmlns="" xmlns:a16="http://schemas.microsoft.com/office/drawing/2014/main" id="{00000000-0008-0000-0900-000025D24200}"/>
            </a:ext>
          </a:extLst>
        </xdr:cNvPr>
        <xdr:cNvSpPr>
          <a:spLocks noChangeShapeType="1"/>
        </xdr:cNvSpPr>
      </xdr:nvSpPr>
      <xdr:spPr bwMode="auto">
        <a:xfrm>
          <a:off x="10563225" y="9210675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333375</xdr:colOff>
      <xdr:row>28</xdr:row>
      <xdr:rowOff>85725</xdr:rowOff>
    </xdr:from>
    <xdr:to>
      <xdr:col>4</xdr:col>
      <xdr:colOff>333375</xdr:colOff>
      <xdr:row>29</xdr:row>
      <xdr:rowOff>76200</xdr:rowOff>
    </xdr:to>
    <xdr:sp macro="" textlink="">
      <xdr:nvSpPr>
        <xdr:cNvPr id="4379174" name="Line 91">
          <a:extLst>
            <a:ext uri="{FF2B5EF4-FFF2-40B4-BE49-F238E27FC236}">
              <a16:creationId xmlns="" xmlns:a16="http://schemas.microsoft.com/office/drawing/2014/main" id="{00000000-0008-0000-0900-000026D24200}"/>
            </a:ext>
          </a:extLst>
        </xdr:cNvPr>
        <xdr:cNvSpPr>
          <a:spLocks noChangeShapeType="1"/>
        </xdr:cNvSpPr>
      </xdr:nvSpPr>
      <xdr:spPr bwMode="auto">
        <a:xfrm>
          <a:off x="10629900" y="9210675"/>
          <a:ext cx="0" cy="304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390525</xdr:colOff>
      <xdr:row>28</xdr:row>
      <xdr:rowOff>85725</xdr:rowOff>
    </xdr:from>
    <xdr:to>
      <xdr:col>4</xdr:col>
      <xdr:colOff>390525</xdr:colOff>
      <xdr:row>28</xdr:row>
      <xdr:rowOff>228600</xdr:rowOff>
    </xdr:to>
    <xdr:sp macro="" textlink="">
      <xdr:nvSpPr>
        <xdr:cNvPr id="4379175" name="Line 92">
          <a:extLst>
            <a:ext uri="{FF2B5EF4-FFF2-40B4-BE49-F238E27FC236}">
              <a16:creationId xmlns="" xmlns:a16="http://schemas.microsoft.com/office/drawing/2014/main" id="{00000000-0008-0000-0900-000027D24200}"/>
            </a:ext>
          </a:extLst>
        </xdr:cNvPr>
        <xdr:cNvSpPr>
          <a:spLocks noChangeShapeType="1"/>
        </xdr:cNvSpPr>
      </xdr:nvSpPr>
      <xdr:spPr bwMode="auto">
        <a:xfrm>
          <a:off x="10687050" y="921067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161925</xdr:colOff>
      <xdr:row>28</xdr:row>
      <xdr:rowOff>152400</xdr:rowOff>
    </xdr:from>
    <xdr:to>
      <xdr:col>4</xdr:col>
      <xdr:colOff>447675</xdr:colOff>
      <xdr:row>28</xdr:row>
      <xdr:rowOff>152400</xdr:rowOff>
    </xdr:to>
    <xdr:sp macro="" textlink="">
      <xdr:nvSpPr>
        <xdr:cNvPr id="4379176" name="Line 93">
          <a:extLst>
            <a:ext uri="{FF2B5EF4-FFF2-40B4-BE49-F238E27FC236}">
              <a16:creationId xmlns="" xmlns:a16="http://schemas.microsoft.com/office/drawing/2014/main" id="{00000000-0008-0000-0900-000028D24200}"/>
            </a:ext>
          </a:extLst>
        </xdr:cNvPr>
        <xdr:cNvSpPr>
          <a:spLocks noChangeShapeType="1"/>
        </xdr:cNvSpPr>
      </xdr:nvSpPr>
      <xdr:spPr bwMode="auto">
        <a:xfrm>
          <a:off x="10458450" y="927735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152400</xdr:colOff>
      <xdr:row>28</xdr:row>
      <xdr:rowOff>228600</xdr:rowOff>
    </xdr:from>
    <xdr:to>
      <xdr:col>4</xdr:col>
      <xdr:colOff>371475</xdr:colOff>
      <xdr:row>28</xdr:row>
      <xdr:rowOff>228600</xdr:rowOff>
    </xdr:to>
    <xdr:sp macro="" textlink="">
      <xdr:nvSpPr>
        <xdr:cNvPr id="4379177" name="Line 94">
          <a:extLst>
            <a:ext uri="{FF2B5EF4-FFF2-40B4-BE49-F238E27FC236}">
              <a16:creationId xmlns="" xmlns:a16="http://schemas.microsoft.com/office/drawing/2014/main" id="{00000000-0008-0000-0900-000029D24200}"/>
            </a:ext>
          </a:extLst>
        </xdr:cNvPr>
        <xdr:cNvSpPr>
          <a:spLocks noChangeShapeType="1"/>
        </xdr:cNvSpPr>
      </xdr:nvSpPr>
      <xdr:spPr bwMode="auto">
        <a:xfrm>
          <a:off x="10448925" y="935355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161925</xdr:colOff>
      <xdr:row>29</xdr:row>
      <xdr:rowOff>76200</xdr:rowOff>
    </xdr:from>
    <xdr:to>
      <xdr:col>4</xdr:col>
      <xdr:colOff>314325</xdr:colOff>
      <xdr:row>29</xdr:row>
      <xdr:rowOff>76200</xdr:rowOff>
    </xdr:to>
    <xdr:sp macro="" textlink="">
      <xdr:nvSpPr>
        <xdr:cNvPr id="4379178" name="Line 95">
          <a:extLst>
            <a:ext uri="{FF2B5EF4-FFF2-40B4-BE49-F238E27FC236}">
              <a16:creationId xmlns="" xmlns:a16="http://schemas.microsoft.com/office/drawing/2014/main" id="{00000000-0008-0000-0900-00002AD24200}"/>
            </a:ext>
          </a:extLst>
        </xdr:cNvPr>
        <xdr:cNvSpPr>
          <a:spLocks noChangeShapeType="1"/>
        </xdr:cNvSpPr>
      </xdr:nvSpPr>
      <xdr:spPr bwMode="auto">
        <a:xfrm>
          <a:off x="10458450" y="9515475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619125</xdr:colOff>
      <xdr:row>24</xdr:row>
      <xdr:rowOff>114300</xdr:rowOff>
    </xdr:from>
    <xdr:to>
      <xdr:col>3</xdr:col>
      <xdr:colOff>609600</xdr:colOff>
      <xdr:row>24</xdr:row>
      <xdr:rowOff>114300</xdr:rowOff>
    </xdr:to>
    <xdr:sp macro="" textlink="">
      <xdr:nvSpPr>
        <xdr:cNvPr id="4379179" name="Line 96">
          <a:extLst>
            <a:ext uri="{FF2B5EF4-FFF2-40B4-BE49-F238E27FC236}">
              <a16:creationId xmlns="" xmlns:a16="http://schemas.microsoft.com/office/drawing/2014/main" id="{00000000-0008-0000-0900-00002BD24200}"/>
            </a:ext>
          </a:extLst>
        </xdr:cNvPr>
        <xdr:cNvSpPr>
          <a:spLocks noChangeShapeType="1"/>
        </xdr:cNvSpPr>
      </xdr:nvSpPr>
      <xdr:spPr bwMode="auto">
        <a:xfrm flipH="1">
          <a:off x="9791700" y="7981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619125</xdr:colOff>
      <xdr:row>24</xdr:row>
      <xdr:rowOff>85725</xdr:rowOff>
    </xdr:from>
    <xdr:to>
      <xdr:col>3</xdr:col>
      <xdr:colOff>609600</xdr:colOff>
      <xdr:row>24</xdr:row>
      <xdr:rowOff>114300</xdr:rowOff>
    </xdr:to>
    <xdr:sp macro="" textlink="">
      <xdr:nvSpPr>
        <xdr:cNvPr id="4379180" name="Line 97">
          <a:extLst>
            <a:ext uri="{FF2B5EF4-FFF2-40B4-BE49-F238E27FC236}">
              <a16:creationId xmlns="" xmlns:a16="http://schemas.microsoft.com/office/drawing/2014/main" id="{00000000-0008-0000-0900-00002CD24200}"/>
            </a:ext>
          </a:extLst>
        </xdr:cNvPr>
        <xdr:cNvSpPr>
          <a:spLocks noChangeShapeType="1"/>
        </xdr:cNvSpPr>
      </xdr:nvSpPr>
      <xdr:spPr bwMode="auto">
        <a:xfrm flipH="1" flipV="1">
          <a:off x="9791700" y="7953375"/>
          <a:ext cx="0" cy="28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619125</xdr:colOff>
      <xdr:row>24</xdr:row>
      <xdr:rowOff>114300</xdr:rowOff>
    </xdr:from>
    <xdr:to>
      <xdr:col>3</xdr:col>
      <xdr:colOff>609600</xdr:colOff>
      <xdr:row>24</xdr:row>
      <xdr:rowOff>142875</xdr:rowOff>
    </xdr:to>
    <xdr:sp macro="" textlink="">
      <xdr:nvSpPr>
        <xdr:cNvPr id="4379181" name="Line 98">
          <a:extLst>
            <a:ext uri="{FF2B5EF4-FFF2-40B4-BE49-F238E27FC236}">
              <a16:creationId xmlns="" xmlns:a16="http://schemas.microsoft.com/office/drawing/2014/main" id="{00000000-0008-0000-0900-00002DD24200}"/>
            </a:ext>
          </a:extLst>
        </xdr:cNvPr>
        <xdr:cNvSpPr>
          <a:spLocks noChangeShapeType="1"/>
        </xdr:cNvSpPr>
      </xdr:nvSpPr>
      <xdr:spPr bwMode="auto">
        <a:xfrm flipH="1">
          <a:off x="9791700" y="7981950"/>
          <a:ext cx="0" cy="28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657225</xdr:colOff>
      <xdr:row>28</xdr:row>
      <xdr:rowOff>9525</xdr:rowOff>
    </xdr:from>
    <xdr:to>
      <xdr:col>3</xdr:col>
      <xdr:colOff>657225</xdr:colOff>
      <xdr:row>40</xdr:row>
      <xdr:rowOff>0</xdr:rowOff>
    </xdr:to>
    <xdr:sp macro="" textlink="">
      <xdr:nvSpPr>
        <xdr:cNvPr id="4379182" name="Line 99">
          <a:extLst>
            <a:ext uri="{FF2B5EF4-FFF2-40B4-BE49-F238E27FC236}">
              <a16:creationId xmlns="" xmlns:a16="http://schemas.microsoft.com/office/drawing/2014/main" id="{00000000-0008-0000-0900-00002ED24200}"/>
            </a:ext>
          </a:extLst>
        </xdr:cNvPr>
        <xdr:cNvSpPr>
          <a:spLocks noChangeShapeType="1"/>
        </xdr:cNvSpPr>
      </xdr:nvSpPr>
      <xdr:spPr bwMode="auto">
        <a:xfrm>
          <a:off x="9829800" y="9134475"/>
          <a:ext cx="0" cy="3762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171450</xdr:colOff>
      <xdr:row>28</xdr:row>
      <xdr:rowOff>0</xdr:rowOff>
    </xdr:from>
    <xdr:to>
      <xdr:col>6</xdr:col>
      <xdr:colOff>571500</xdr:colOff>
      <xdr:row>28</xdr:row>
      <xdr:rowOff>76200</xdr:rowOff>
    </xdr:to>
    <xdr:grpSp>
      <xdr:nvGrpSpPr>
        <xdr:cNvPr id="4379183" name="Group 100">
          <a:extLst>
            <a:ext uri="{FF2B5EF4-FFF2-40B4-BE49-F238E27FC236}">
              <a16:creationId xmlns="" xmlns:a16="http://schemas.microsoft.com/office/drawing/2014/main" id="{00000000-0008-0000-0900-00002FD24200}"/>
            </a:ext>
          </a:extLst>
        </xdr:cNvPr>
        <xdr:cNvGrpSpPr>
          <a:grpSpLocks/>
        </xdr:cNvGrpSpPr>
      </xdr:nvGrpSpPr>
      <xdr:grpSpPr bwMode="auto">
        <a:xfrm>
          <a:off x="10475768" y="9057409"/>
          <a:ext cx="2357005" cy="76200"/>
          <a:chOff x="89" y="756"/>
          <a:chExt cx="186" cy="8"/>
        </a:xfrm>
      </xdr:grpSpPr>
      <xdr:grpSp>
        <xdr:nvGrpSpPr>
          <xdr:cNvPr id="4379351" name="Group 101">
            <a:extLst>
              <a:ext uri="{FF2B5EF4-FFF2-40B4-BE49-F238E27FC236}">
                <a16:creationId xmlns="" xmlns:a16="http://schemas.microsoft.com/office/drawing/2014/main" id="{00000000-0008-0000-0900-0000D7D24200}"/>
              </a:ext>
            </a:extLst>
          </xdr:cNvPr>
          <xdr:cNvGrpSpPr>
            <a:grpSpLocks/>
          </xdr:cNvGrpSpPr>
        </xdr:nvGrpSpPr>
        <xdr:grpSpPr bwMode="auto">
          <a:xfrm>
            <a:off x="89" y="756"/>
            <a:ext cx="86" cy="8"/>
            <a:chOff x="89" y="756"/>
            <a:chExt cx="86" cy="8"/>
          </a:xfrm>
        </xdr:grpSpPr>
        <xdr:grpSp>
          <xdr:nvGrpSpPr>
            <xdr:cNvPr id="4379367" name="Group 102">
              <a:extLst>
                <a:ext uri="{FF2B5EF4-FFF2-40B4-BE49-F238E27FC236}">
                  <a16:creationId xmlns="" xmlns:a16="http://schemas.microsoft.com/office/drawing/2014/main" id="{00000000-0008-0000-0900-0000E7D2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4379374" name="Oval 103">
                <a:extLst>
                  <a:ext uri="{FF2B5EF4-FFF2-40B4-BE49-F238E27FC236}">
                    <a16:creationId xmlns="" xmlns:a16="http://schemas.microsoft.com/office/drawing/2014/main" id="{00000000-0008-0000-0900-0000EED2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375" name="Oval 104">
                <a:extLst>
                  <a:ext uri="{FF2B5EF4-FFF2-40B4-BE49-F238E27FC236}">
                    <a16:creationId xmlns="" xmlns:a16="http://schemas.microsoft.com/office/drawing/2014/main" id="{00000000-0008-0000-0900-0000EFD2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9376" name="Group 105">
                <a:extLst>
                  <a:ext uri="{FF2B5EF4-FFF2-40B4-BE49-F238E27FC236}">
                    <a16:creationId xmlns="" xmlns:a16="http://schemas.microsoft.com/office/drawing/2014/main" id="{00000000-0008-0000-0900-0000F0D2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9377" name="Oval 106">
                  <a:extLst>
                    <a:ext uri="{FF2B5EF4-FFF2-40B4-BE49-F238E27FC236}">
                      <a16:creationId xmlns="" xmlns:a16="http://schemas.microsoft.com/office/drawing/2014/main" id="{00000000-0008-0000-0900-0000F1D2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9378" name="Oval 107">
                  <a:extLst>
                    <a:ext uri="{FF2B5EF4-FFF2-40B4-BE49-F238E27FC236}">
                      <a16:creationId xmlns="" xmlns:a16="http://schemas.microsoft.com/office/drawing/2014/main" id="{00000000-0008-0000-0900-0000F2D2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4379368" name="Group 108">
              <a:extLst>
                <a:ext uri="{FF2B5EF4-FFF2-40B4-BE49-F238E27FC236}">
                  <a16:creationId xmlns="" xmlns:a16="http://schemas.microsoft.com/office/drawing/2014/main" id="{00000000-0008-0000-0900-0000E8D2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4379369" name="Oval 109">
                <a:extLst>
                  <a:ext uri="{FF2B5EF4-FFF2-40B4-BE49-F238E27FC236}">
                    <a16:creationId xmlns="" xmlns:a16="http://schemas.microsoft.com/office/drawing/2014/main" id="{00000000-0008-0000-0900-0000E9D2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370" name="Oval 110">
                <a:extLst>
                  <a:ext uri="{FF2B5EF4-FFF2-40B4-BE49-F238E27FC236}">
                    <a16:creationId xmlns="" xmlns:a16="http://schemas.microsoft.com/office/drawing/2014/main" id="{00000000-0008-0000-0900-0000EAD2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9371" name="Group 111">
                <a:extLst>
                  <a:ext uri="{FF2B5EF4-FFF2-40B4-BE49-F238E27FC236}">
                    <a16:creationId xmlns="" xmlns:a16="http://schemas.microsoft.com/office/drawing/2014/main" id="{00000000-0008-0000-0900-0000EBD2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9372" name="Oval 112">
                  <a:extLst>
                    <a:ext uri="{FF2B5EF4-FFF2-40B4-BE49-F238E27FC236}">
                      <a16:creationId xmlns="" xmlns:a16="http://schemas.microsoft.com/office/drawing/2014/main" id="{00000000-0008-0000-0900-0000ECD2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9373" name="Oval 113">
                  <a:extLst>
                    <a:ext uri="{FF2B5EF4-FFF2-40B4-BE49-F238E27FC236}">
                      <a16:creationId xmlns="" xmlns:a16="http://schemas.microsoft.com/office/drawing/2014/main" id="{00000000-0008-0000-0900-0000EDD2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9352" name="Group 114">
            <a:extLst>
              <a:ext uri="{FF2B5EF4-FFF2-40B4-BE49-F238E27FC236}">
                <a16:creationId xmlns="" xmlns:a16="http://schemas.microsoft.com/office/drawing/2014/main" id="{00000000-0008-0000-0900-0000D8D24200}"/>
              </a:ext>
            </a:extLst>
          </xdr:cNvPr>
          <xdr:cNvGrpSpPr>
            <a:grpSpLocks/>
          </xdr:cNvGrpSpPr>
        </xdr:nvGrpSpPr>
        <xdr:grpSpPr bwMode="auto">
          <a:xfrm>
            <a:off x="170" y="756"/>
            <a:ext cx="86" cy="8"/>
            <a:chOff x="89" y="756"/>
            <a:chExt cx="86" cy="8"/>
          </a:xfrm>
        </xdr:grpSpPr>
        <xdr:grpSp>
          <xdr:nvGrpSpPr>
            <xdr:cNvPr id="4379355" name="Group 115">
              <a:extLst>
                <a:ext uri="{FF2B5EF4-FFF2-40B4-BE49-F238E27FC236}">
                  <a16:creationId xmlns="" xmlns:a16="http://schemas.microsoft.com/office/drawing/2014/main" id="{00000000-0008-0000-0900-0000DBD2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4379362" name="Oval 116">
                <a:extLst>
                  <a:ext uri="{FF2B5EF4-FFF2-40B4-BE49-F238E27FC236}">
                    <a16:creationId xmlns="" xmlns:a16="http://schemas.microsoft.com/office/drawing/2014/main" id="{00000000-0008-0000-0900-0000E2D2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363" name="Oval 117">
                <a:extLst>
                  <a:ext uri="{FF2B5EF4-FFF2-40B4-BE49-F238E27FC236}">
                    <a16:creationId xmlns="" xmlns:a16="http://schemas.microsoft.com/office/drawing/2014/main" id="{00000000-0008-0000-0900-0000E3D2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9364" name="Group 118">
                <a:extLst>
                  <a:ext uri="{FF2B5EF4-FFF2-40B4-BE49-F238E27FC236}">
                    <a16:creationId xmlns="" xmlns:a16="http://schemas.microsoft.com/office/drawing/2014/main" id="{00000000-0008-0000-0900-0000E4D2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9365" name="Oval 119">
                  <a:extLst>
                    <a:ext uri="{FF2B5EF4-FFF2-40B4-BE49-F238E27FC236}">
                      <a16:creationId xmlns="" xmlns:a16="http://schemas.microsoft.com/office/drawing/2014/main" id="{00000000-0008-0000-0900-0000E5D2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9366" name="Oval 120">
                  <a:extLst>
                    <a:ext uri="{FF2B5EF4-FFF2-40B4-BE49-F238E27FC236}">
                      <a16:creationId xmlns="" xmlns:a16="http://schemas.microsoft.com/office/drawing/2014/main" id="{00000000-0008-0000-0900-0000E6D2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4379356" name="Group 121">
              <a:extLst>
                <a:ext uri="{FF2B5EF4-FFF2-40B4-BE49-F238E27FC236}">
                  <a16:creationId xmlns="" xmlns:a16="http://schemas.microsoft.com/office/drawing/2014/main" id="{00000000-0008-0000-0900-0000DCD2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4379357" name="Oval 122">
                <a:extLst>
                  <a:ext uri="{FF2B5EF4-FFF2-40B4-BE49-F238E27FC236}">
                    <a16:creationId xmlns="" xmlns:a16="http://schemas.microsoft.com/office/drawing/2014/main" id="{00000000-0008-0000-0900-0000DDD2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358" name="Oval 123">
                <a:extLst>
                  <a:ext uri="{FF2B5EF4-FFF2-40B4-BE49-F238E27FC236}">
                    <a16:creationId xmlns="" xmlns:a16="http://schemas.microsoft.com/office/drawing/2014/main" id="{00000000-0008-0000-0900-0000DED2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9359" name="Group 124">
                <a:extLst>
                  <a:ext uri="{FF2B5EF4-FFF2-40B4-BE49-F238E27FC236}">
                    <a16:creationId xmlns="" xmlns:a16="http://schemas.microsoft.com/office/drawing/2014/main" id="{00000000-0008-0000-0900-0000DFD2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9360" name="Oval 125">
                  <a:extLst>
                    <a:ext uri="{FF2B5EF4-FFF2-40B4-BE49-F238E27FC236}">
                      <a16:creationId xmlns="" xmlns:a16="http://schemas.microsoft.com/office/drawing/2014/main" id="{00000000-0008-0000-0900-0000E0D2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9361" name="Oval 126">
                  <a:extLst>
                    <a:ext uri="{FF2B5EF4-FFF2-40B4-BE49-F238E27FC236}">
                      <a16:creationId xmlns="" xmlns:a16="http://schemas.microsoft.com/office/drawing/2014/main" id="{00000000-0008-0000-0900-0000E1D2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79353" name="Oval 127">
            <a:extLst>
              <a:ext uri="{FF2B5EF4-FFF2-40B4-BE49-F238E27FC236}">
                <a16:creationId xmlns="" xmlns:a16="http://schemas.microsoft.com/office/drawing/2014/main" id="{00000000-0008-0000-0900-0000D9D24200}"/>
              </a:ext>
            </a:extLst>
          </xdr:cNvPr>
          <xdr:cNvSpPr>
            <a:spLocks noChangeArrowheads="1"/>
          </xdr:cNvSpPr>
        </xdr:nvSpPr>
        <xdr:spPr bwMode="auto">
          <a:xfrm>
            <a:off x="25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9354" name="Oval 128">
            <a:extLst>
              <a:ext uri="{FF2B5EF4-FFF2-40B4-BE49-F238E27FC236}">
                <a16:creationId xmlns="" xmlns:a16="http://schemas.microsoft.com/office/drawing/2014/main" id="{00000000-0008-0000-0900-0000DAD24200}"/>
              </a:ext>
            </a:extLst>
          </xdr:cNvPr>
          <xdr:cNvSpPr>
            <a:spLocks noChangeArrowheads="1"/>
          </xdr:cNvSpPr>
        </xdr:nvSpPr>
        <xdr:spPr bwMode="auto">
          <a:xfrm>
            <a:off x="26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152400</xdr:colOff>
      <xdr:row>39</xdr:row>
      <xdr:rowOff>161925</xdr:rowOff>
    </xdr:from>
    <xdr:to>
      <xdr:col>6</xdr:col>
      <xdr:colOff>552450</xdr:colOff>
      <xdr:row>40</xdr:row>
      <xdr:rowOff>0</xdr:rowOff>
    </xdr:to>
    <xdr:grpSp>
      <xdr:nvGrpSpPr>
        <xdr:cNvPr id="4379184" name="Group 129">
          <a:extLst>
            <a:ext uri="{FF2B5EF4-FFF2-40B4-BE49-F238E27FC236}">
              <a16:creationId xmlns="" xmlns:a16="http://schemas.microsoft.com/office/drawing/2014/main" id="{00000000-0008-0000-0900-000030D24200}"/>
            </a:ext>
          </a:extLst>
        </xdr:cNvPr>
        <xdr:cNvGrpSpPr>
          <a:grpSpLocks/>
        </xdr:cNvGrpSpPr>
      </xdr:nvGrpSpPr>
      <xdr:grpSpPr bwMode="auto">
        <a:xfrm>
          <a:off x="10456718" y="12648334"/>
          <a:ext cx="2357005" cy="149802"/>
          <a:chOff x="89" y="756"/>
          <a:chExt cx="186" cy="8"/>
        </a:xfrm>
      </xdr:grpSpPr>
      <xdr:grpSp>
        <xdr:nvGrpSpPr>
          <xdr:cNvPr id="4379323" name="Group 130">
            <a:extLst>
              <a:ext uri="{FF2B5EF4-FFF2-40B4-BE49-F238E27FC236}">
                <a16:creationId xmlns="" xmlns:a16="http://schemas.microsoft.com/office/drawing/2014/main" id="{00000000-0008-0000-0900-0000BBD24200}"/>
              </a:ext>
            </a:extLst>
          </xdr:cNvPr>
          <xdr:cNvGrpSpPr>
            <a:grpSpLocks/>
          </xdr:cNvGrpSpPr>
        </xdr:nvGrpSpPr>
        <xdr:grpSpPr bwMode="auto">
          <a:xfrm>
            <a:off x="89" y="756"/>
            <a:ext cx="86" cy="8"/>
            <a:chOff x="89" y="756"/>
            <a:chExt cx="86" cy="8"/>
          </a:xfrm>
        </xdr:grpSpPr>
        <xdr:grpSp>
          <xdr:nvGrpSpPr>
            <xdr:cNvPr id="4379339" name="Group 131">
              <a:extLst>
                <a:ext uri="{FF2B5EF4-FFF2-40B4-BE49-F238E27FC236}">
                  <a16:creationId xmlns="" xmlns:a16="http://schemas.microsoft.com/office/drawing/2014/main" id="{00000000-0008-0000-0900-0000CBD2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4379346" name="Oval 132">
                <a:extLst>
                  <a:ext uri="{FF2B5EF4-FFF2-40B4-BE49-F238E27FC236}">
                    <a16:creationId xmlns="" xmlns:a16="http://schemas.microsoft.com/office/drawing/2014/main" id="{00000000-0008-0000-0900-0000D2D2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347" name="Oval 133">
                <a:extLst>
                  <a:ext uri="{FF2B5EF4-FFF2-40B4-BE49-F238E27FC236}">
                    <a16:creationId xmlns="" xmlns:a16="http://schemas.microsoft.com/office/drawing/2014/main" id="{00000000-0008-0000-0900-0000D3D2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9348" name="Group 134">
                <a:extLst>
                  <a:ext uri="{FF2B5EF4-FFF2-40B4-BE49-F238E27FC236}">
                    <a16:creationId xmlns="" xmlns:a16="http://schemas.microsoft.com/office/drawing/2014/main" id="{00000000-0008-0000-0900-0000D4D2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9349" name="Oval 135">
                  <a:extLst>
                    <a:ext uri="{FF2B5EF4-FFF2-40B4-BE49-F238E27FC236}">
                      <a16:creationId xmlns="" xmlns:a16="http://schemas.microsoft.com/office/drawing/2014/main" id="{00000000-0008-0000-0900-0000D5D2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9350" name="Oval 136">
                  <a:extLst>
                    <a:ext uri="{FF2B5EF4-FFF2-40B4-BE49-F238E27FC236}">
                      <a16:creationId xmlns="" xmlns:a16="http://schemas.microsoft.com/office/drawing/2014/main" id="{00000000-0008-0000-0900-0000D6D2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4379340" name="Group 137">
              <a:extLst>
                <a:ext uri="{FF2B5EF4-FFF2-40B4-BE49-F238E27FC236}">
                  <a16:creationId xmlns="" xmlns:a16="http://schemas.microsoft.com/office/drawing/2014/main" id="{00000000-0008-0000-0900-0000CCD2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4379341" name="Oval 138">
                <a:extLst>
                  <a:ext uri="{FF2B5EF4-FFF2-40B4-BE49-F238E27FC236}">
                    <a16:creationId xmlns="" xmlns:a16="http://schemas.microsoft.com/office/drawing/2014/main" id="{00000000-0008-0000-0900-0000CDD2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342" name="Oval 139">
                <a:extLst>
                  <a:ext uri="{FF2B5EF4-FFF2-40B4-BE49-F238E27FC236}">
                    <a16:creationId xmlns="" xmlns:a16="http://schemas.microsoft.com/office/drawing/2014/main" id="{00000000-0008-0000-0900-0000CED2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9343" name="Group 140">
                <a:extLst>
                  <a:ext uri="{FF2B5EF4-FFF2-40B4-BE49-F238E27FC236}">
                    <a16:creationId xmlns="" xmlns:a16="http://schemas.microsoft.com/office/drawing/2014/main" id="{00000000-0008-0000-0900-0000CFD2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9344" name="Oval 141">
                  <a:extLst>
                    <a:ext uri="{FF2B5EF4-FFF2-40B4-BE49-F238E27FC236}">
                      <a16:creationId xmlns="" xmlns:a16="http://schemas.microsoft.com/office/drawing/2014/main" id="{00000000-0008-0000-0900-0000D0D2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9345" name="Oval 142">
                  <a:extLst>
                    <a:ext uri="{FF2B5EF4-FFF2-40B4-BE49-F238E27FC236}">
                      <a16:creationId xmlns="" xmlns:a16="http://schemas.microsoft.com/office/drawing/2014/main" id="{00000000-0008-0000-0900-0000D1D2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9324" name="Group 143">
            <a:extLst>
              <a:ext uri="{FF2B5EF4-FFF2-40B4-BE49-F238E27FC236}">
                <a16:creationId xmlns="" xmlns:a16="http://schemas.microsoft.com/office/drawing/2014/main" id="{00000000-0008-0000-0900-0000BCD24200}"/>
              </a:ext>
            </a:extLst>
          </xdr:cNvPr>
          <xdr:cNvGrpSpPr>
            <a:grpSpLocks/>
          </xdr:cNvGrpSpPr>
        </xdr:nvGrpSpPr>
        <xdr:grpSpPr bwMode="auto">
          <a:xfrm>
            <a:off x="170" y="756"/>
            <a:ext cx="86" cy="8"/>
            <a:chOff x="89" y="756"/>
            <a:chExt cx="86" cy="8"/>
          </a:xfrm>
        </xdr:grpSpPr>
        <xdr:grpSp>
          <xdr:nvGrpSpPr>
            <xdr:cNvPr id="4379327" name="Group 144">
              <a:extLst>
                <a:ext uri="{FF2B5EF4-FFF2-40B4-BE49-F238E27FC236}">
                  <a16:creationId xmlns="" xmlns:a16="http://schemas.microsoft.com/office/drawing/2014/main" id="{00000000-0008-0000-0900-0000BFD2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4379334" name="Oval 145">
                <a:extLst>
                  <a:ext uri="{FF2B5EF4-FFF2-40B4-BE49-F238E27FC236}">
                    <a16:creationId xmlns="" xmlns:a16="http://schemas.microsoft.com/office/drawing/2014/main" id="{00000000-0008-0000-0900-0000C6D2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335" name="Oval 146">
                <a:extLst>
                  <a:ext uri="{FF2B5EF4-FFF2-40B4-BE49-F238E27FC236}">
                    <a16:creationId xmlns="" xmlns:a16="http://schemas.microsoft.com/office/drawing/2014/main" id="{00000000-0008-0000-0900-0000C7D2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9336" name="Group 147">
                <a:extLst>
                  <a:ext uri="{FF2B5EF4-FFF2-40B4-BE49-F238E27FC236}">
                    <a16:creationId xmlns="" xmlns:a16="http://schemas.microsoft.com/office/drawing/2014/main" id="{00000000-0008-0000-0900-0000C8D2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9337" name="Oval 148">
                  <a:extLst>
                    <a:ext uri="{FF2B5EF4-FFF2-40B4-BE49-F238E27FC236}">
                      <a16:creationId xmlns="" xmlns:a16="http://schemas.microsoft.com/office/drawing/2014/main" id="{00000000-0008-0000-0900-0000C9D2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9338" name="Oval 149">
                  <a:extLst>
                    <a:ext uri="{FF2B5EF4-FFF2-40B4-BE49-F238E27FC236}">
                      <a16:creationId xmlns="" xmlns:a16="http://schemas.microsoft.com/office/drawing/2014/main" id="{00000000-0008-0000-0900-0000CAD2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4379328" name="Group 150">
              <a:extLst>
                <a:ext uri="{FF2B5EF4-FFF2-40B4-BE49-F238E27FC236}">
                  <a16:creationId xmlns="" xmlns:a16="http://schemas.microsoft.com/office/drawing/2014/main" id="{00000000-0008-0000-0900-0000C0D2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4379329" name="Oval 151">
                <a:extLst>
                  <a:ext uri="{FF2B5EF4-FFF2-40B4-BE49-F238E27FC236}">
                    <a16:creationId xmlns="" xmlns:a16="http://schemas.microsoft.com/office/drawing/2014/main" id="{00000000-0008-0000-0900-0000C1D2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330" name="Oval 152">
                <a:extLst>
                  <a:ext uri="{FF2B5EF4-FFF2-40B4-BE49-F238E27FC236}">
                    <a16:creationId xmlns="" xmlns:a16="http://schemas.microsoft.com/office/drawing/2014/main" id="{00000000-0008-0000-0900-0000C2D2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9331" name="Group 153">
                <a:extLst>
                  <a:ext uri="{FF2B5EF4-FFF2-40B4-BE49-F238E27FC236}">
                    <a16:creationId xmlns="" xmlns:a16="http://schemas.microsoft.com/office/drawing/2014/main" id="{00000000-0008-0000-0900-0000C3D2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9332" name="Oval 154">
                  <a:extLst>
                    <a:ext uri="{FF2B5EF4-FFF2-40B4-BE49-F238E27FC236}">
                      <a16:creationId xmlns="" xmlns:a16="http://schemas.microsoft.com/office/drawing/2014/main" id="{00000000-0008-0000-0900-0000C4D2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9333" name="Oval 155">
                  <a:extLst>
                    <a:ext uri="{FF2B5EF4-FFF2-40B4-BE49-F238E27FC236}">
                      <a16:creationId xmlns="" xmlns:a16="http://schemas.microsoft.com/office/drawing/2014/main" id="{00000000-0008-0000-0900-0000C5D2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79325" name="Oval 156">
            <a:extLst>
              <a:ext uri="{FF2B5EF4-FFF2-40B4-BE49-F238E27FC236}">
                <a16:creationId xmlns="" xmlns:a16="http://schemas.microsoft.com/office/drawing/2014/main" id="{00000000-0008-0000-0900-0000BDD24200}"/>
              </a:ext>
            </a:extLst>
          </xdr:cNvPr>
          <xdr:cNvSpPr>
            <a:spLocks noChangeArrowheads="1"/>
          </xdr:cNvSpPr>
        </xdr:nvSpPr>
        <xdr:spPr bwMode="auto">
          <a:xfrm>
            <a:off x="25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9326" name="Oval 157">
            <a:extLst>
              <a:ext uri="{FF2B5EF4-FFF2-40B4-BE49-F238E27FC236}">
                <a16:creationId xmlns="" xmlns:a16="http://schemas.microsoft.com/office/drawing/2014/main" id="{00000000-0008-0000-0900-0000BED24200}"/>
              </a:ext>
            </a:extLst>
          </xdr:cNvPr>
          <xdr:cNvSpPr>
            <a:spLocks noChangeArrowheads="1"/>
          </xdr:cNvSpPr>
        </xdr:nvSpPr>
        <xdr:spPr bwMode="auto">
          <a:xfrm>
            <a:off x="26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57150</xdr:colOff>
      <xdr:row>9</xdr:row>
      <xdr:rowOff>57150</xdr:rowOff>
    </xdr:from>
    <xdr:to>
      <xdr:col>28</xdr:col>
      <xdr:colOff>609600</xdr:colOff>
      <xdr:row>10</xdr:row>
      <xdr:rowOff>28575</xdr:rowOff>
    </xdr:to>
    <xdr:sp macro="" textlink="">
      <xdr:nvSpPr>
        <xdr:cNvPr id="4379185" name="Rectangle 159">
          <a:extLst>
            <a:ext uri="{FF2B5EF4-FFF2-40B4-BE49-F238E27FC236}">
              <a16:creationId xmlns="" xmlns:a16="http://schemas.microsoft.com/office/drawing/2014/main" id="{00000000-0008-0000-0900-000031D24200}"/>
            </a:ext>
          </a:extLst>
        </xdr:cNvPr>
        <xdr:cNvSpPr>
          <a:spLocks noChangeArrowheads="1"/>
        </xdr:cNvSpPr>
      </xdr:nvSpPr>
      <xdr:spPr bwMode="auto">
        <a:xfrm flipV="1">
          <a:off x="29260800" y="3209925"/>
          <a:ext cx="47053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25</xdr:col>
      <xdr:colOff>76200</xdr:colOff>
      <xdr:row>9</xdr:row>
      <xdr:rowOff>171450</xdr:rowOff>
    </xdr:from>
    <xdr:to>
      <xdr:col>28</xdr:col>
      <xdr:colOff>628650</xdr:colOff>
      <xdr:row>9</xdr:row>
      <xdr:rowOff>190500</xdr:rowOff>
    </xdr:to>
    <xdr:sp macro="" textlink="">
      <xdr:nvSpPr>
        <xdr:cNvPr id="4379186" name="Line 160">
          <a:extLst>
            <a:ext uri="{FF2B5EF4-FFF2-40B4-BE49-F238E27FC236}">
              <a16:creationId xmlns="" xmlns:a16="http://schemas.microsoft.com/office/drawing/2014/main" id="{00000000-0008-0000-0900-000032D24200}"/>
            </a:ext>
          </a:extLst>
        </xdr:cNvPr>
        <xdr:cNvSpPr>
          <a:spLocks noChangeShapeType="1"/>
        </xdr:cNvSpPr>
      </xdr:nvSpPr>
      <xdr:spPr bwMode="auto">
        <a:xfrm>
          <a:off x="29279850" y="3324225"/>
          <a:ext cx="4705350" cy="19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609600</xdr:colOff>
      <xdr:row>9</xdr:row>
      <xdr:rowOff>133350</xdr:rowOff>
    </xdr:from>
    <xdr:to>
      <xdr:col>25</xdr:col>
      <xdr:colOff>647700</xdr:colOff>
      <xdr:row>9</xdr:row>
      <xdr:rowOff>180975</xdr:rowOff>
    </xdr:to>
    <xdr:sp macro="" textlink="">
      <xdr:nvSpPr>
        <xdr:cNvPr id="4379187" name="Oval 161">
          <a:extLst>
            <a:ext uri="{FF2B5EF4-FFF2-40B4-BE49-F238E27FC236}">
              <a16:creationId xmlns="" xmlns:a16="http://schemas.microsoft.com/office/drawing/2014/main" id="{00000000-0008-0000-0900-000033D24200}"/>
            </a:ext>
          </a:extLst>
        </xdr:cNvPr>
        <xdr:cNvSpPr>
          <a:spLocks noChangeArrowheads="1"/>
        </xdr:cNvSpPr>
      </xdr:nvSpPr>
      <xdr:spPr bwMode="auto">
        <a:xfrm>
          <a:off x="29813250" y="3286125"/>
          <a:ext cx="38100" cy="47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95250</xdr:colOff>
      <xdr:row>9</xdr:row>
      <xdr:rowOff>152400</xdr:rowOff>
    </xdr:from>
    <xdr:to>
      <xdr:col>27</xdr:col>
      <xdr:colOff>133350</xdr:colOff>
      <xdr:row>9</xdr:row>
      <xdr:rowOff>200025</xdr:rowOff>
    </xdr:to>
    <xdr:sp macro="" textlink="">
      <xdr:nvSpPr>
        <xdr:cNvPr id="4379188" name="Oval 162">
          <a:extLst>
            <a:ext uri="{FF2B5EF4-FFF2-40B4-BE49-F238E27FC236}">
              <a16:creationId xmlns="" xmlns:a16="http://schemas.microsoft.com/office/drawing/2014/main" id="{00000000-0008-0000-0900-000034D24200}"/>
            </a:ext>
          </a:extLst>
        </xdr:cNvPr>
        <xdr:cNvSpPr>
          <a:spLocks noChangeArrowheads="1"/>
        </xdr:cNvSpPr>
      </xdr:nvSpPr>
      <xdr:spPr bwMode="auto">
        <a:xfrm>
          <a:off x="31232475" y="3305175"/>
          <a:ext cx="38100" cy="47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95250</xdr:colOff>
      <xdr:row>9</xdr:row>
      <xdr:rowOff>133350</xdr:rowOff>
    </xdr:from>
    <xdr:to>
      <xdr:col>28</xdr:col>
      <xdr:colOff>133350</xdr:colOff>
      <xdr:row>9</xdr:row>
      <xdr:rowOff>180975</xdr:rowOff>
    </xdr:to>
    <xdr:sp macro="" textlink="">
      <xdr:nvSpPr>
        <xdr:cNvPr id="4379189" name="Oval 163">
          <a:extLst>
            <a:ext uri="{FF2B5EF4-FFF2-40B4-BE49-F238E27FC236}">
              <a16:creationId xmlns="" xmlns:a16="http://schemas.microsoft.com/office/drawing/2014/main" id="{00000000-0008-0000-0900-000035D24200}"/>
            </a:ext>
          </a:extLst>
        </xdr:cNvPr>
        <xdr:cNvSpPr>
          <a:spLocks noChangeArrowheads="1"/>
        </xdr:cNvSpPr>
      </xdr:nvSpPr>
      <xdr:spPr bwMode="auto">
        <a:xfrm>
          <a:off x="33451800" y="3286125"/>
          <a:ext cx="38100" cy="47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66675</xdr:colOff>
      <xdr:row>20</xdr:row>
      <xdr:rowOff>180975</xdr:rowOff>
    </xdr:from>
    <xdr:to>
      <xdr:col>30</xdr:col>
      <xdr:colOff>114300</xdr:colOff>
      <xdr:row>21</xdr:row>
      <xdr:rowOff>38100</xdr:rowOff>
    </xdr:to>
    <xdr:sp macro="" textlink="">
      <xdr:nvSpPr>
        <xdr:cNvPr id="4379190" name="Rectangle 164">
          <a:extLst>
            <a:ext uri="{FF2B5EF4-FFF2-40B4-BE49-F238E27FC236}">
              <a16:creationId xmlns="" xmlns:a16="http://schemas.microsoft.com/office/drawing/2014/main" id="{00000000-0008-0000-0900-000036D24200}"/>
            </a:ext>
          </a:extLst>
        </xdr:cNvPr>
        <xdr:cNvSpPr>
          <a:spLocks noChangeArrowheads="1"/>
        </xdr:cNvSpPr>
      </xdr:nvSpPr>
      <xdr:spPr bwMode="auto">
        <a:xfrm>
          <a:off x="29270325" y="6791325"/>
          <a:ext cx="6048375" cy="1714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323850</xdr:colOff>
      <xdr:row>32</xdr:row>
      <xdr:rowOff>76200</xdr:rowOff>
    </xdr:from>
    <xdr:to>
      <xdr:col>9</xdr:col>
      <xdr:colOff>504825</xdr:colOff>
      <xdr:row>49</xdr:row>
      <xdr:rowOff>228600</xdr:rowOff>
    </xdr:to>
    <xdr:grpSp>
      <xdr:nvGrpSpPr>
        <xdr:cNvPr id="4379191" name="Group 165">
          <a:extLst>
            <a:ext uri="{FF2B5EF4-FFF2-40B4-BE49-F238E27FC236}">
              <a16:creationId xmlns="" xmlns:a16="http://schemas.microsoft.com/office/drawing/2014/main" id="{00000000-0008-0000-0900-000037D24200}"/>
            </a:ext>
          </a:extLst>
        </xdr:cNvPr>
        <xdr:cNvGrpSpPr>
          <a:grpSpLocks/>
        </xdr:cNvGrpSpPr>
      </xdr:nvGrpSpPr>
      <xdr:grpSpPr bwMode="auto">
        <a:xfrm>
          <a:off x="15269441" y="10380518"/>
          <a:ext cx="180975" cy="5451764"/>
          <a:chOff x="621" y="908"/>
          <a:chExt cx="19" cy="457"/>
        </a:xfrm>
      </xdr:grpSpPr>
      <xdr:sp macro="" textlink="">
        <xdr:nvSpPr>
          <xdr:cNvPr id="4379316" name="Freeform 166">
            <a:extLst>
              <a:ext uri="{FF2B5EF4-FFF2-40B4-BE49-F238E27FC236}">
                <a16:creationId xmlns="" xmlns:a16="http://schemas.microsoft.com/office/drawing/2014/main" id="{00000000-0008-0000-0900-0000B4D24200}"/>
              </a:ext>
            </a:extLst>
          </xdr:cNvPr>
          <xdr:cNvSpPr>
            <a:spLocks/>
          </xdr:cNvSpPr>
        </xdr:nvSpPr>
        <xdr:spPr bwMode="auto">
          <a:xfrm>
            <a:off x="621" y="908"/>
            <a:ext cx="18" cy="28"/>
          </a:xfrm>
          <a:custGeom>
            <a:avLst/>
            <a:gdLst>
              <a:gd name="T0" fmla="*/ 0 w 20"/>
              <a:gd name="T1" fmla="*/ 5 h 31"/>
              <a:gd name="T2" fmla="*/ 2 w 20"/>
              <a:gd name="T3" fmla="*/ 5 h 31"/>
              <a:gd name="T4" fmla="*/ 5 w 20"/>
              <a:gd name="T5" fmla="*/ 1 h 31"/>
              <a:gd name="T6" fmla="*/ 5 w 20"/>
              <a:gd name="T7" fmla="*/ 5 h 31"/>
              <a:gd name="T8" fmla="*/ 5 w 20"/>
              <a:gd name="T9" fmla="*/ 5 h 31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20"/>
              <a:gd name="T16" fmla="*/ 0 h 31"/>
              <a:gd name="T17" fmla="*/ 20 w 20"/>
              <a:gd name="T18" fmla="*/ 31 h 31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20" h="31">
                <a:moveTo>
                  <a:pt x="0" y="31"/>
                </a:moveTo>
                <a:cubicBezTo>
                  <a:pt x="0" y="21"/>
                  <a:pt x="0" y="12"/>
                  <a:pt x="2" y="7"/>
                </a:cubicBezTo>
                <a:cubicBezTo>
                  <a:pt x="4" y="2"/>
                  <a:pt x="9" y="0"/>
                  <a:pt x="12" y="1"/>
                </a:cubicBezTo>
                <a:cubicBezTo>
                  <a:pt x="15" y="2"/>
                  <a:pt x="18" y="7"/>
                  <a:pt x="19" y="12"/>
                </a:cubicBezTo>
                <a:cubicBezTo>
                  <a:pt x="20" y="17"/>
                  <a:pt x="19" y="26"/>
                  <a:pt x="19" y="29"/>
                </a:cubicBezTo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9317" name="Freeform 167">
            <a:extLst>
              <a:ext uri="{FF2B5EF4-FFF2-40B4-BE49-F238E27FC236}">
                <a16:creationId xmlns="" xmlns:a16="http://schemas.microsoft.com/office/drawing/2014/main" id="{00000000-0008-0000-0900-0000B5D24200}"/>
              </a:ext>
            </a:extLst>
          </xdr:cNvPr>
          <xdr:cNvSpPr>
            <a:spLocks/>
          </xdr:cNvSpPr>
        </xdr:nvSpPr>
        <xdr:spPr bwMode="auto">
          <a:xfrm rot="10800000">
            <a:off x="621" y="1337"/>
            <a:ext cx="18" cy="28"/>
          </a:xfrm>
          <a:custGeom>
            <a:avLst/>
            <a:gdLst>
              <a:gd name="T0" fmla="*/ 0 w 20"/>
              <a:gd name="T1" fmla="*/ 5 h 31"/>
              <a:gd name="T2" fmla="*/ 2 w 20"/>
              <a:gd name="T3" fmla="*/ 5 h 31"/>
              <a:gd name="T4" fmla="*/ 5 w 20"/>
              <a:gd name="T5" fmla="*/ 1 h 31"/>
              <a:gd name="T6" fmla="*/ 5 w 20"/>
              <a:gd name="T7" fmla="*/ 5 h 31"/>
              <a:gd name="T8" fmla="*/ 5 w 20"/>
              <a:gd name="T9" fmla="*/ 5 h 31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20"/>
              <a:gd name="T16" fmla="*/ 0 h 31"/>
              <a:gd name="T17" fmla="*/ 20 w 20"/>
              <a:gd name="T18" fmla="*/ 31 h 31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20" h="31">
                <a:moveTo>
                  <a:pt x="0" y="31"/>
                </a:moveTo>
                <a:cubicBezTo>
                  <a:pt x="0" y="21"/>
                  <a:pt x="0" y="12"/>
                  <a:pt x="2" y="7"/>
                </a:cubicBezTo>
                <a:cubicBezTo>
                  <a:pt x="4" y="2"/>
                  <a:pt x="9" y="0"/>
                  <a:pt x="12" y="1"/>
                </a:cubicBezTo>
                <a:cubicBezTo>
                  <a:pt x="15" y="2"/>
                  <a:pt x="18" y="7"/>
                  <a:pt x="19" y="12"/>
                </a:cubicBezTo>
                <a:cubicBezTo>
                  <a:pt x="20" y="17"/>
                  <a:pt x="19" y="26"/>
                  <a:pt x="19" y="29"/>
                </a:cubicBezTo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9318" name="Line 168">
            <a:extLst>
              <a:ext uri="{FF2B5EF4-FFF2-40B4-BE49-F238E27FC236}">
                <a16:creationId xmlns="" xmlns:a16="http://schemas.microsoft.com/office/drawing/2014/main" id="{00000000-0008-0000-0900-0000B6D24200}"/>
              </a:ext>
            </a:extLst>
          </xdr:cNvPr>
          <xdr:cNvSpPr>
            <a:spLocks noChangeShapeType="1"/>
          </xdr:cNvSpPr>
        </xdr:nvSpPr>
        <xdr:spPr bwMode="auto">
          <a:xfrm>
            <a:off x="622" y="934"/>
            <a:ext cx="0" cy="16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9319" name="Line 169">
            <a:extLst>
              <a:ext uri="{FF2B5EF4-FFF2-40B4-BE49-F238E27FC236}">
                <a16:creationId xmlns="" xmlns:a16="http://schemas.microsoft.com/office/drawing/2014/main" id="{00000000-0008-0000-0900-0000B7D24200}"/>
              </a:ext>
            </a:extLst>
          </xdr:cNvPr>
          <xdr:cNvSpPr>
            <a:spLocks noChangeShapeType="1"/>
          </xdr:cNvSpPr>
        </xdr:nvSpPr>
        <xdr:spPr bwMode="auto">
          <a:xfrm>
            <a:off x="640" y="930"/>
            <a:ext cx="0" cy="16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9320" name="Line 170">
            <a:extLst>
              <a:ext uri="{FF2B5EF4-FFF2-40B4-BE49-F238E27FC236}">
                <a16:creationId xmlns="" xmlns:a16="http://schemas.microsoft.com/office/drawing/2014/main" id="{00000000-0008-0000-0900-0000B8D24200}"/>
              </a:ext>
            </a:extLst>
          </xdr:cNvPr>
          <xdr:cNvSpPr>
            <a:spLocks noChangeShapeType="1"/>
          </xdr:cNvSpPr>
        </xdr:nvSpPr>
        <xdr:spPr bwMode="auto">
          <a:xfrm>
            <a:off x="622" y="1184"/>
            <a:ext cx="0" cy="1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9321" name="Line 171">
            <a:extLst>
              <a:ext uri="{FF2B5EF4-FFF2-40B4-BE49-F238E27FC236}">
                <a16:creationId xmlns="" xmlns:a16="http://schemas.microsoft.com/office/drawing/2014/main" id="{00000000-0008-0000-0900-0000B9D24200}"/>
              </a:ext>
            </a:extLst>
          </xdr:cNvPr>
          <xdr:cNvSpPr>
            <a:spLocks noChangeShapeType="1"/>
          </xdr:cNvSpPr>
        </xdr:nvSpPr>
        <xdr:spPr bwMode="auto">
          <a:xfrm>
            <a:off x="639" y="1182"/>
            <a:ext cx="0" cy="1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9322" name="Line 172">
            <a:extLst>
              <a:ext uri="{FF2B5EF4-FFF2-40B4-BE49-F238E27FC236}">
                <a16:creationId xmlns="" xmlns:a16="http://schemas.microsoft.com/office/drawing/2014/main" id="{00000000-0008-0000-0900-0000BAD24200}"/>
              </a:ext>
            </a:extLst>
          </xdr:cNvPr>
          <xdr:cNvSpPr>
            <a:spLocks noChangeShapeType="1"/>
          </xdr:cNvSpPr>
        </xdr:nvSpPr>
        <xdr:spPr bwMode="auto">
          <a:xfrm>
            <a:off x="621" y="1097"/>
            <a:ext cx="18" cy="8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9</xdr:col>
      <xdr:colOff>438150</xdr:colOff>
      <xdr:row>39</xdr:row>
      <xdr:rowOff>152400</xdr:rowOff>
    </xdr:from>
    <xdr:to>
      <xdr:col>9</xdr:col>
      <xdr:colOff>504825</xdr:colOff>
      <xdr:row>41</xdr:row>
      <xdr:rowOff>28575</xdr:rowOff>
    </xdr:to>
    <xdr:sp macro="" textlink="">
      <xdr:nvSpPr>
        <xdr:cNvPr id="4379192" name="Line 173">
          <a:extLst>
            <a:ext uri="{FF2B5EF4-FFF2-40B4-BE49-F238E27FC236}">
              <a16:creationId xmlns="" xmlns:a16="http://schemas.microsoft.com/office/drawing/2014/main" id="{00000000-0008-0000-0900-000038D24200}"/>
            </a:ext>
          </a:extLst>
        </xdr:cNvPr>
        <xdr:cNvSpPr>
          <a:spLocks noChangeShapeType="1"/>
        </xdr:cNvSpPr>
      </xdr:nvSpPr>
      <xdr:spPr bwMode="auto">
        <a:xfrm flipH="1">
          <a:off x="15373350" y="12734925"/>
          <a:ext cx="66675" cy="504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381000</xdr:colOff>
      <xdr:row>41</xdr:row>
      <xdr:rowOff>38100</xdr:rowOff>
    </xdr:from>
    <xdr:to>
      <xdr:col>9</xdr:col>
      <xdr:colOff>428625</xdr:colOff>
      <xdr:row>42</xdr:row>
      <xdr:rowOff>171450</xdr:rowOff>
    </xdr:to>
    <xdr:sp macro="" textlink="">
      <xdr:nvSpPr>
        <xdr:cNvPr id="4379193" name="Line 174">
          <a:extLst>
            <a:ext uri="{FF2B5EF4-FFF2-40B4-BE49-F238E27FC236}">
              <a16:creationId xmlns="" xmlns:a16="http://schemas.microsoft.com/office/drawing/2014/main" id="{00000000-0008-0000-0900-000039D24200}"/>
            </a:ext>
          </a:extLst>
        </xdr:cNvPr>
        <xdr:cNvSpPr>
          <a:spLocks noChangeShapeType="1"/>
        </xdr:cNvSpPr>
      </xdr:nvSpPr>
      <xdr:spPr bwMode="auto">
        <a:xfrm flipV="1">
          <a:off x="15316200" y="13249275"/>
          <a:ext cx="47625" cy="447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266700</xdr:colOff>
      <xdr:row>37</xdr:row>
      <xdr:rowOff>38100</xdr:rowOff>
    </xdr:from>
    <xdr:to>
      <xdr:col>11</xdr:col>
      <xdr:colOff>352425</xdr:colOff>
      <xdr:row>38</xdr:row>
      <xdr:rowOff>161925</xdr:rowOff>
    </xdr:to>
    <xdr:sp macro="" textlink="">
      <xdr:nvSpPr>
        <xdr:cNvPr id="4379194" name="Text Box 175">
          <a:extLst>
            <a:ext uri="{FF2B5EF4-FFF2-40B4-BE49-F238E27FC236}">
              <a16:creationId xmlns="" xmlns:a16="http://schemas.microsoft.com/office/drawing/2014/main" id="{00000000-0008-0000-0900-00003AD24200}"/>
            </a:ext>
          </a:extLst>
        </xdr:cNvPr>
        <xdr:cNvSpPr txBox="1">
          <a:spLocks noChangeArrowheads="1"/>
        </xdr:cNvSpPr>
      </xdr:nvSpPr>
      <xdr:spPr bwMode="auto">
        <a:xfrm>
          <a:off x="15821025" y="11991975"/>
          <a:ext cx="800100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9</xdr:col>
      <xdr:colOff>571500</xdr:colOff>
      <xdr:row>48</xdr:row>
      <xdr:rowOff>228600</xdr:rowOff>
    </xdr:from>
    <xdr:to>
      <xdr:col>11</xdr:col>
      <xdr:colOff>95250</xdr:colOff>
      <xdr:row>50</xdr:row>
      <xdr:rowOff>133350</xdr:rowOff>
    </xdr:to>
    <xdr:sp macro="" textlink="">
      <xdr:nvSpPr>
        <xdr:cNvPr id="154" name="Text Box 176">
          <a:extLst>
            <a:ext uri="{FF2B5EF4-FFF2-40B4-BE49-F238E27FC236}">
              <a16:creationId xmlns="" xmlns:a16="http://schemas.microsoft.com/office/drawing/2014/main" id="{00000000-0008-0000-0900-00009A000000}"/>
            </a:ext>
          </a:extLst>
        </xdr:cNvPr>
        <xdr:cNvSpPr txBox="1">
          <a:spLocks noChangeArrowheads="1"/>
        </xdr:cNvSpPr>
      </xdr:nvSpPr>
      <xdr:spPr bwMode="auto">
        <a:xfrm>
          <a:off x="15506700" y="15640050"/>
          <a:ext cx="847725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it-IT" sz="1400" b="1" i="0" strike="noStrike">
              <a:solidFill>
                <a:srgbClr val="000000"/>
              </a:solidFill>
              <a:latin typeface="Times New Roman"/>
              <a:cs typeface="Times New Roman"/>
            </a:rPr>
            <a:t>Bianco</a:t>
          </a:r>
        </a:p>
      </xdr:txBody>
    </xdr:sp>
    <xdr:clientData/>
  </xdr:twoCellAnchor>
  <xdr:twoCellAnchor>
    <xdr:from>
      <xdr:col>10</xdr:col>
      <xdr:colOff>190500</xdr:colOff>
      <xdr:row>35</xdr:row>
      <xdr:rowOff>0</xdr:rowOff>
    </xdr:from>
    <xdr:to>
      <xdr:col>11</xdr:col>
      <xdr:colOff>304800</xdr:colOff>
      <xdr:row>36</xdr:row>
      <xdr:rowOff>47625</xdr:rowOff>
    </xdr:to>
    <xdr:sp macro="" textlink="">
      <xdr:nvSpPr>
        <xdr:cNvPr id="155" name="Text Box 177">
          <a:extLst>
            <a:ext uri="{FF2B5EF4-FFF2-40B4-BE49-F238E27FC236}">
              <a16:creationId xmlns="" xmlns:a16="http://schemas.microsoft.com/office/drawing/2014/main" id="{00000000-0008-0000-0900-00009B000000}"/>
            </a:ext>
          </a:extLst>
        </xdr:cNvPr>
        <xdr:cNvSpPr txBox="1">
          <a:spLocks noChangeArrowheads="1"/>
        </xdr:cNvSpPr>
      </xdr:nvSpPr>
      <xdr:spPr bwMode="auto">
        <a:xfrm>
          <a:off x="15735300" y="11325225"/>
          <a:ext cx="828675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it-IT" sz="1400" b="1" i="0" strike="noStrike">
              <a:solidFill>
                <a:srgbClr val="000000"/>
              </a:solidFill>
              <a:latin typeface="Times New Roman"/>
              <a:cs typeface="Times New Roman"/>
            </a:rPr>
            <a:t>Giallo</a:t>
          </a:r>
        </a:p>
      </xdr:txBody>
    </xdr:sp>
    <xdr:clientData/>
  </xdr:twoCellAnchor>
  <xdr:twoCellAnchor>
    <xdr:from>
      <xdr:col>9</xdr:col>
      <xdr:colOff>609600</xdr:colOff>
      <xdr:row>31</xdr:row>
      <xdr:rowOff>114300</xdr:rowOff>
    </xdr:from>
    <xdr:to>
      <xdr:col>11</xdr:col>
      <xdr:colOff>95250</xdr:colOff>
      <xdr:row>33</xdr:row>
      <xdr:rowOff>0</xdr:rowOff>
    </xdr:to>
    <xdr:sp macro="" textlink="">
      <xdr:nvSpPr>
        <xdr:cNvPr id="156" name="Text Box 178">
          <a:extLst>
            <a:ext uri="{FF2B5EF4-FFF2-40B4-BE49-F238E27FC236}">
              <a16:creationId xmlns="" xmlns:a16="http://schemas.microsoft.com/office/drawing/2014/main" id="{00000000-0008-0000-0900-00009C000000}"/>
            </a:ext>
          </a:extLst>
        </xdr:cNvPr>
        <xdr:cNvSpPr txBox="1">
          <a:spLocks noChangeArrowheads="1"/>
        </xdr:cNvSpPr>
      </xdr:nvSpPr>
      <xdr:spPr bwMode="auto">
        <a:xfrm>
          <a:off x="15544800" y="10182225"/>
          <a:ext cx="809625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it-IT" sz="1400" b="1" i="0" strike="noStrike">
              <a:solidFill>
                <a:srgbClr val="000000"/>
              </a:solidFill>
              <a:latin typeface="Times New Roman"/>
              <a:cs typeface="Times New Roman"/>
            </a:rPr>
            <a:t>Rosso</a:t>
          </a:r>
        </a:p>
      </xdr:txBody>
    </xdr:sp>
    <xdr:clientData/>
  </xdr:twoCellAnchor>
  <xdr:twoCellAnchor>
    <xdr:from>
      <xdr:col>16</xdr:col>
      <xdr:colOff>409575</xdr:colOff>
      <xdr:row>32</xdr:row>
      <xdr:rowOff>28575</xdr:rowOff>
    </xdr:from>
    <xdr:to>
      <xdr:col>16</xdr:col>
      <xdr:colOff>581025</xdr:colOff>
      <xdr:row>33</xdr:row>
      <xdr:rowOff>57150</xdr:rowOff>
    </xdr:to>
    <xdr:sp macro="" textlink="">
      <xdr:nvSpPr>
        <xdr:cNvPr id="4379198" name="Freeform 179">
          <a:extLst>
            <a:ext uri="{FF2B5EF4-FFF2-40B4-BE49-F238E27FC236}">
              <a16:creationId xmlns="" xmlns:a16="http://schemas.microsoft.com/office/drawing/2014/main" id="{00000000-0008-0000-0900-00003ED24200}"/>
            </a:ext>
          </a:extLst>
        </xdr:cNvPr>
        <xdr:cNvSpPr>
          <a:spLocks/>
        </xdr:cNvSpPr>
      </xdr:nvSpPr>
      <xdr:spPr bwMode="auto">
        <a:xfrm>
          <a:off x="20945475" y="10410825"/>
          <a:ext cx="171450" cy="342900"/>
        </a:xfrm>
        <a:custGeom>
          <a:avLst/>
          <a:gdLst>
            <a:gd name="T0" fmla="*/ 0 w 20"/>
            <a:gd name="T1" fmla="*/ 2147483647 h 31"/>
            <a:gd name="T2" fmla="*/ 2147483647 w 20"/>
            <a:gd name="T3" fmla="*/ 2147483647 h 31"/>
            <a:gd name="T4" fmla="*/ 2147483647 w 20"/>
            <a:gd name="T5" fmla="*/ 2147483647 h 31"/>
            <a:gd name="T6" fmla="*/ 2147483647 w 20"/>
            <a:gd name="T7" fmla="*/ 2147483647 h 31"/>
            <a:gd name="T8" fmla="*/ 2147483647 w 20"/>
            <a:gd name="T9" fmla="*/ 2147483647 h 3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1"/>
            <a:gd name="T17" fmla="*/ 20 w 20"/>
            <a:gd name="T18" fmla="*/ 31 h 3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1">
              <a:moveTo>
                <a:pt x="0" y="31"/>
              </a:moveTo>
              <a:cubicBezTo>
                <a:pt x="0" y="21"/>
                <a:pt x="0" y="12"/>
                <a:pt x="2" y="7"/>
              </a:cubicBezTo>
              <a:cubicBezTo>
                <a:pt x="4" y="2"/>
                <a:pt x="9" y="0"/>
                <a:pt x="12" y="1"/>
              </a:cubicBezTo>
              <a:cubicBezTo>
                <a:pt x="15" y="2"/>
                <a:pt x="18" y="7"/>
                <a:pt x="19" y="12"/>
              </a:cubicBezTo>
              <a:cubicBezTo>
                <a:pt x="20" y="17"/>
                <a:pt x="19" y="26"/>
                <a:pt x="19" y="29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409575</xdr:colOff>
      <xdr:row>48</xdr:row>
      <xdr:rowOff>152400</xdr:rowOff>
    </xdr:from>
    <xdr:to>
      <xdr:col>16</xdr:col>
      <xdr:colOff>581025</xdr:colOff>
      <xdr:row>49</xdr:row>
      <xdr:rowOff>180975</xdr:rowOff>
    </xdr:to>
    <xdr:sp macro="" textlink="">
      <xdr:nvSpPr>
        <xdr:cNvPr id="4379199" name="Freeform 180">
          <a:extLst>
            <a:ext uri="{FF2B5EF4-FFF2-40B4-BE49-F238E27FC236}">
              <a16:creationId xmlns="" xmlns:a16="http://schemas.microsoft.com/office/drawing/2014/main" id="{00000000-0008-0000-0900-00003FD24200}"/>
            </a:ext>
          </a:extLst>
        </xdr:cNvPr>
        <xdr:cNvSpPr>
          <a:spLocks/>
        </xdr:cNvSpPr>
      </xdr:nvSpPr>
      <xdr:spPr bwMode="auto">
        <a:xfrm rot="10800000">
          <a:off x="20945475" y="15563850"/>
          <a:ext cx="171450" cy="342900"/>
        </a:xfrm>
        <a:custGeom>
          <a:avLst/>
          <a:gdLst>
            <a:gd name="T0" fmla="*/ 0 w 20"/>
            <a:gd name="T1" fmla="*/ 2147483647 h 31"/>
            <a:gd name="T2" fmla="*/ 2147483647 w 20"/>
            <a:gd name="T3" fmla="*/ 2147483647 h 31"/>
            <a:gd name="T4" fmla="*/ 2147483647 w 20"/>
            <a:gd name="T5" fmla="*/ 2147483647 h 31"/>
            <a:gd name="T6" fmla="*/ 2147483647 w 20"/>
            <a:gd name="T7" fmla="*/ 2147483647 h 31"/>
            <a:gd name="T8" fmla="*/ 2147483647 w 20"/>
            <a:gd name="T9" fmla="*/ 2147483647 h 3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1"/>
            <a:gd name="T17" fmla="*/ 20 w 20"/>
            <a:gd name="T18" fmla="*/ 31 h 3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1">
              <a:moveTo>
                <a:pt x="0" y="31"/>
              </a:moveTo>
              <a:cubicBezTo>
                <a:pt x="0" y="21"/>
                <a:pt x="0" y="12"/>
                <a:pt x="2" y="7"/>
              </a:cubicBezTo>
              <a:cubicBezTo>
                <a:pt x="4" y="2"/>
                <a:pt x="9" y="0"/>
                <a:pt x="12" y="1"/>
              </a:cubicBezTo>
              <a:cubicBezTo>
                <a:pt x="15" y="2"/>
                <a:pt x="18" y="7"/>
                <a:pt x="19" y="12"/>
              </a:cubicBezTo>
              <a:cubicBezTo>
                <a:pt x="20" y="17"/>
                <a:pt x="19" y="26"/>
                <a:pt x="19" y="29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409575</xdr:colOff>
      <xdr:row>33</xdr:row>
      <xdr:rowOff>28575</xdr:rowOff>
    </xdr:from>
    <xdr:to>
      <xdr:col>16</xdr:col>
      <xdr:colOff>409575</xdr:colOff>
      <xdr:row>39</xdr:row>
      <xdr:rowOff>85725</xdr:rowOff>
    </xdr:to>
    <xdr:sp macro="" textlink="">
      <xdr:nvSpPr>
        <xdr:cNvPr id="4379200" name="Line 181">
          <a:extLst>
            <a:ext uri="{FF2B5EF4-FFF2-40B4-BE49-F238E27FC236}">
              <a16:creationId xmlns="" xmlns:a16="http://schemas.microsoft.com/office/drawing/2014/main" id="{00000000-0008-0000-0900-000040D24200}"/>
            </a:ext>
          </a:extLst>
        </xdr:cNvPr>
        <xdr:cNvSpPr>
          <a:spLocks noChangeShapeType="1"/>
        </xdr:cNvSpPr>
      </xdr:nvSpPr>
      <xdr:spPr bwMode="auto">
        <a:xfrm>
          <a:off x="20945475" y="10725150"/>
          <a:ext cx="0" cy="1943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590550</xdr:colOff>
      <xdr:row>33</xdr:row>
      <xdr:rowOff>38100</xdr:rowOff>
    </xdr:from>
    <xdr:to>
      <xdr:col>16</xdr:col>
      <xdr:colOff>590550</xdr:colOff>
      <xdr:row>39</xdr:row>
      <xdr:rowOff>95250</xdr:rowOff>
    </xdr:to>
    <xdr:sp macro="" textlink="">
      <xdr:nvSpPr>
        <xdr:cNvPr id="4379201" name="Line 182">
          <a:extLst>
            <a:ext uri="{FF2B5EF4-FFF2-40B4-BE49-F238E27FC236}">
              <a16:creationId xmlns="" xmlns:a16="http://schemas.microsoft.com/office/drawing/2014/main" id="{00000000-0008-0000-0900-000041D24200}"/>
            </a:ext>
          </a:extLst>
        </xdr:cNvPr>
        <xdr:cNvSpPr>
          <a:spLocks noChangeShapeType="1"/>
        </xdr:cNvSpPr>
      </xdr:nvSpPr>
      <xdr:spPr bwMode="auto">
        <a:xfrm>
          <a:off x="21126450" y="10734675"/>
          <a:ext cx="0" cy="1943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419100</xdr:colOff>
      <xdr:row>42</xdr:row>
      <xdr:rowOff>161925</xdr:rowOff>
    </xdr:from>
    <xdr:to>
      <xdr:col>16</xdr:col>
      <xdr:colOff>419100</xdr:colOff>
      <xdr:row>48</xdr:row>
      <xdr:rowOff>219075</xdr:rowOff>
    </xdr:to>
    <xdr:sp macro="" textlink="">
      <xdr:nvSpPr>
        <xdr:cNvPr id="4379202" name="Line 183">
          <a:extLst>
            <a:ext uri="{FF2B5EF4-FFF2-40B4-BE49-F238E27FC236}">
              <a16:creationId xmlns="" xmlns:a16="http://schemas.microsoft.com/office/drawing/2014/main" id="{00000000-0008-0000-0900-000042D24200}"/>
            </a:ext>
          </a:extLst>
        </xdr:cNvPr>
        <xdr:cNvSpPr>
          <a:spLocks noChangeShapeType="1"/>
        </xdr:cNvSpPr>
      </xdr:nvSpPr>
      <xdr:spPr bwMode="auto">
        <a:xfrm>
          <a:off x="20955000" y="13687425"/>
          <a:ext cx="0" cy="1943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581025</xdr:colOff>
      <xdr:row>42</xdr:row>
      <xdr:rowOff>142875</xdr:rowOff>
    </xdr:from>
    <xdr:to>
      <xdr:col>16</xdr:col>
      <xdr:colOff>581025</xdr:colOff>
      <xdr:row>48</xdr:row>
      <xdr:rowOff>200025</xdr:rowOff>
    </xdr:to>
    <xdr:sp macro="" textlink="">
      <xdr:nvSpPr>
        <xdr:cNvPr id="4379203" name="Line 184">
          <a:extLst>
            <a:ext uri="{FF2B5EF4-FFF2-40B4-BE49-F238E27FC236}">
              <a16:creationId xmlns="" xmlns:a16="http://schemas.microsoft.com/office/drawing/2014/main" id="{00000000-0008-0000-0900-000043D24200}"/>
            </a:ext>
          </a:extLst>
        </xdr:cNvPr>
        <xdr:cNvSpPr>
          <a:spLocks noChangeShapeType="1"/>
        </xdr:cNvSpPr>
      </xdr:nvSpPr>
      <xdr:spPr bwMode="auto">
        <a:xfrm>
          <a:off x="21116925" y="13668375"/>
          <a:ext cx="0" cy="1943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409575</xdr:colOff>
      <xdr:row>39</xdr:row>
      <xdr:rowOff>85725</xdr:rowOff>
    </xdr:from>
    <xdr:to>
      <xdr:col>16</xdr:col>
      <xdr:colOff>581025</xdr:colOff>
      <xdr:row>42</xdr:row>
      <xdr:rowOff>161925</xdr:rowOff>
    </xdr:to>
    <xdr:sp macro="" textlink="">
      <xdr:nvSpPr>
        <xdr:cNvPr id="4379204" name="Line 185">
          <a:extLst>
            <a:ext uri="{FF2B5EF4-FFF2-40B4-BE49-F238E27FC236}">
              <a16:creationId xmlns="" xmlns:a16="http://schemas.microsoft.com/office/drawing/2014/main" id="{00000000-0008-0000-0900-000044D24200}"/>
            </a:ext>
          </a:extLst>
        </xdr:cNvPr>
        <xdr:cNvSpPr>
          <a:spLocks noChangeShapeType="1"/>
        </xdr:cNvSpPr>
      </xdr:nvSpPr>
      <xdr:spPr bwMode="auto">
        <a:xfrm>
          <a:off x="20945475" y="12668250"/>
          <a:ext cx="171450" cy="1019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504825</xdr:colOff>
      <xdr:row>39</xdr:row>
      <xdr:rowOff>66675</xdr:rowOff>
    </xdr:from>
    <xdr:to>
      <xdr:col>16</xdr:col>
      <xdr:colOff>571500</xdr:colOff>
      <xdr:row>40</xdr:row>
      <xdr:rowOff>180975</xdr:rowOff>
    </xdr:to>
    <xdr:sp macro="" textlink="">
      <xdr:nvSpPr>
        <xdr:cNvPr id="4379205" name="Line 186">
          <a:extLst>
            <a:ext uri="{FF2B5EF4-FFF2-40B4-BE49-F238E27FC236}">
              <a16:creationId xmlns="" xmlns:a16="http://schemas.microsoft.com/office/drawing/2014/main" id="{00000000-0008-0000-0900-000045D24200}"/>
            </a:ext>
          </a:extLst>
        </xdr:cNvPr>
        <xdr:cNvSpPr>
          <a:spLocks noChangeShapeType="1"/>
        </xdr:cNvSpPr>
      </xdr:nvSpPr>
      <xdr:spPr bwMode="auto">
        <a:xfrm flipH="1">
          <a:off x="21040725" y="12649200"/>
          <a:ext cx="66675" cy="428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419100</xdr:colOff>
      <xdr:row>41</xdr:row>
      <xdr:rowOff>28575</xdr:rowOff>
    </xdr:from>
    <xdr:to>
      <xdr:col>16</xdr:col>
      <xdr:colOff>466725</xdr:colOff>
      <xdr:row>42</xdr:row>
      <xdr:rowOff>161925</xdr:rowOff>
    </xdr:to>
    <xdr:sp macro="" textlink="">
      <xdr:nvSpPr>
        <xdr:cNvPr id="4379206" name="Line 187">
          <a:extLst>
            <a:ext uri="{FF2B5EF4-FFF2-40B4-BE49-F238E27FC236}">
              <a16:creationId xmlns="" xmlns:a16="http://schemas.microsoft.com/office/drawing/2014/main" id="{00000000-0008-0000-0900-000046D24200}"/>
            </a:ext>
          </a:extLst>
        </xdr:cNvPr>
        <xdr:cNvSpPr>
          <a:spLocks noChangeShapeType="1"/>
        </xdr:cNvSpPr>
      </xdr:nvSpPr>
      <xdr:spPr bwMode="auto">
        <a:xfrm flipV="1">
          <a:off x="20955000" y="13239750"/>
          <a:ext cx="47625" cy="447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266700</xdr:colOff>
      <xdr:row>49</xdr:row>
      <xdr:rowOff>19050</xdr:rowOff>
    </xdr:from>
    <xdr:to>
      <xdr:col>16</xdr:col>
      <xdr:colOff>381000</xdr:colOff>
      <xdr:row>50</xdr:row>
      <xdr:rowOff>104775</xdr:rowOff>
    </xdr:to>
    <xdr:sp macro="" textlink="">
      <xdr:nvSpPr>
        <xdr:cNvPr id="166" name="Text Box 188">
          <a:extLst>
            <a:ext uri="{FF2B5EF4-FFF2-40B4-BE49-F238E27FC236}">
              <a16:creationId xmlns="" xmlns:a16="http://schemas.microsoft.com/office/drawing/2014/main" id="{00000000-0008-0000-0900-0000A6000000}"/>
            </a:ext>
          </a:extLst>
        </xdr:cNvPr>
        <xdr:cNvSpPr txBox="1">
          <a:spLocks noChangeArrowheads="1"/>
        </xdr:cNvSpPr>
      </xdr:nvSpPr>
      <xdr:spPr bwMode="auto">
        <a:xfrm>
          <a:off x="19821525" y="15744825"/>
          <a:ext cx="10382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it-IT" sz="1400" b="1" i="0" strike="noStrike">
              <a:solidFill>
                <a:srgbClr val="000000"/>
              </a:solidFill>
              <a:latin typeface="Times New Roman"/>
              <a:cs typeface="Times New Roman"/>
            </a:rPr>
            <a:t>Bianco</a:t>
          </a:r>
        </a:p>
      </xdr:txBody>
    </xdr:sp>
    <xdr:clientData/>
  </xdr:twoCellAnchor>
  <xdr:twoCellAnchor>
    <xdr:from>
      <xdr:col>15</xdr:col>
      <xdr:colOff>285750</xdr:colOff>
      <xdr:row>31</xdr:row>
      <xdr:rowOff>171450</xdr:rowOff>
    </xdr:from>
    <xdr:to>
      <xdr:col>16</xdr:col>
      <xdr:colOff>342900</xdr:colOff>
      <xdr:row>33</xdr:row>
      <xdr:rowOff>85725</xdr:rowOff>
    </xdr:to>
    <xdr:sp macro="" textlink="">
      <xdr:nvSpPr>
        <xdr:cNvPr id="167" name="Text Box 189">
          <a:extLst>
            <a:ext uri="{FF2B5EF4-FFF2-40B4-BE49-F238E27FC236}">
              <a16:creationId xmlns="" xmlns:a16="http://schemas.microsoft.com/office/drawing/2014/main" id="{00000000-0008-0000-0900-0000A7000000}"/>
            </a:ext>
          </a:extLst>
        </xdr:cNvPr>
        <xdr:cNvSpPr txBox="1">
          <a:spLocks noChangeArrowheads="1"/>
        </xdr:cNvSpPr>
      </xdr:nvSpPr>
      <xdr:spPr bwMode="auto">
        <a:xfrm>
          <a:off x="19840575" y="10239375"/>
          <a:ext cx="981075" cy="542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it-IT" sz="1400" b="1" i="0" strike="noStrike">
              <a:solidFill>
                <a:srgbClr val="000000"/>
              </a:solidFill>
              <a:latin typeface="Times New Roman"/>
              <a:cs typeface="Times New Roman"/>
            </a:rPr>
            <a:t>Rosso</a:t>
          </a:r>
          <a:endParaRPr lang="it-IT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endParaRPr lang="it-IT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11</xdr:col>
      <xdr:colOff>257175</xdr:colOff>
      <xdr:row>33</xdr:row>
      <xdr:rowOff>161925</xdr:rowOff>
    </xdr:from>
    <xdr:to>
      <xdr:col>14</xdr:col>
      <xdr:colOff>57150</xdr:colOff>
      <xdr:row>51</xdr:row>
      <xdr:rowOff>85725</xdr:rowOff>
    </xdr:to>
    <xdr:grpSp>
      <xdr:nvGrpSpPr>
        <xdr:cNvPr id="4379209" name="Group 190">
          <a:extLst>
            <a:ext uri="{FF2B5EF4-FFF2-40B4-BE49-F238E27FC236}">
              <a16:creationId xmlns="" xmlns:a16="http://schemas.microsoft.com/office/drawing/2014/main" id="{00000000-0008-0000-0900-000049D24200}"/>
            </a:ext>
          </a:extLst>
        </xdr:cNvPr>
        <xdr:cNvGrpSpPr>
          <a:grpSpLocks/>
        </xdr:cNvGrpSpPr>
      </xdr:nvGrpSpPr>
      <xdr:grpSpPr bwMode="auto">
        <a:xfrm>
          <a:off x="16536266" y="10777970"/>
          <a:ext cx="2224520" cy="5534891"/>
          <a:chOff x="788" y="869"/>
          <a:chExt cx="204" cy="442"/>
        </a:xfrm>
      </xdr:grpSpPr>
      <xdr:grpSp>
        <xdr:nvGrpSpPr>
          <xdr:cNvPr id="4379253" name="Group 191">
            <a:extLst>
              <a:ext uri="{FF2B5EF4-FFF2-40B4-BE49-F238E27FC236}">
                <a16:creationId xmlns="" xmlns:a16="http://schemas.microsoft.com/office/drawing/2014/main" id="{00000000-0008-0000-0900-000075D24200}"/>
              </a:ext>
            </a:extLst>
          </xdr:cNvPr>
          <xdr:cNvGrpSpPr>
            <a:grpSpLocks/>
          </xdr:cNvGrpSpPr>
        </xdr:nvGrpSpPr>
        <xdr:grpSpPr bwMode="auto">
          <a:xfrm>
            <a:off x="838" y="915"/>
            <a:ext cx="99" cy="351"/>
            <a:chOff x="421" y="99"/>
            <a:chExt cx="99" cy="351"/>
          </a:xfrm>
        </xdr:grpSpPr>
        <xdr:sp macro="" textlink="">
          <xdr:nvSpPr>
            <xdr:cNvPr id="4379310" name="Line 192">
              <a:extLst>
                <a:ext uri="{FF2B5EF4-FFF2-40B4-BE49-F238E27FC236}">
                  <a16:creationId xmlns="" xmlns:a16="http://schemas.microsoft.com/office/drawing/2014/main" id="{00000000-0008-0000-0900-0000AED2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40" y="450"/>
              <a:ext cx="6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9311" name="Line 193">
              <a:extLst>
                <a:ext uri="{FF2B5EF4-FFF2-40B4-BE49-F238E27FC236}">
                  <a16:creationId xmlns="" xmlns:a16="http://schemas.microsoft.com/office/drawing/2014/main" id="{00000000-0008-0000-0900-0000AFD2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33" y="383"/>
              <a:ext cx="86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9312" name="Line 194">
              <a:extLst>
                <a:ext uri="{FF2B5EF4-FFF2-40B4-BE49-F238E27FC236}">
                  <a16:creationId xmlns="" xmlns:a16="http://schemas.microsoft.com/office/drawing/2014/main" id="{00000000-0008-0000-0900-0000B0D2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28" y="309"/>
              <a:ext cx="92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9313" name="Line 195">
              <a:extLst>
                <a:ext uri="{FF2B5EF4-FFF2-40B4-BE49-F238E27FC236}">
                  <a16:creationId xmlns="" xmlns:a16="http://schemas.microsoft.com/office/drawing/2014/main" id="{00000000-0008-0000-0900-0000B1D2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21" y="242"/>
              <a:ext cx="96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9314" name="Line 196">
              <a:extLst>
                <a:ext uri="{FF2B5EF4-FFF2-40B4-BE49-F238E27FC236}">
                  <a16:creationId xmlns="" xmlns:a16="http://schemas.microsoft.com/office/drawing/2014/main" id="{00000000-0008-0000-0900-0000B2D2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28" y="169"/>
              <a:ext cx="88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9315" name="Line 197">
              <a:extLst>
                <a:ext uri="{FF2B5EF4-FFF2-40B4-BE49-F238E27FC236}">
                  <a16:creationId xmlns="" xmlns:a16="http://schemas.microsoft.com/office/drawing/2014/main" id="{00000000-0008-0000-0900-0000B3D2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37" y="99"/>
              <a:ext cx="68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379254" name="Group 198">
            <a:extLst>
              <a:ext uri="{FF2B5EF4-FFF2-40B4-BE49-F238E27FC236}">
                <a16:creationId xmlns="" xmlns:a16="http://schemas.microsoft.com/office/drawing/2014/main" id="{00000000-0008-0000-0900-000076D24200}"/>
              </a:ext>
            </a:extLst>
          </xdr:cNvPr>
          <xdr:cNvGrpSpPr>
            <a:grpSpLocks/>
          </xdr:cNvGrpSpPr>
        </xdr:nvGrpSpPr>
        <xdr:grpSpPr bwMode="auto">
          <a:xfrm>
            <a:off x="788" y="1125"/>
            <a:ext cx="68" cy="184"/>
            <a:chOff x="371" y="309"/>
            <a:chExt cx="68" cy="184"/>
          </a:xfrm>
        </xdr:grpSpPr>
        <xdr:grpSp>
          <xdr:nvGrpSpPr>
            <xdr:cNvPr id="4379297" name="Group 199">
              <a:extLst>
                <a:ext uri="{FF2B5EF4-FFF2-40B4-BE49-F238E27FC236}">
                  <a16:creationId xmlns="" xmlns:a16="http://schemas.microsoft.com/office/drawing/2014/main" id="{00000000-0008-0000-0900-0000A1D24200}"/>
                </a:ext>
              </a:extLst>
            </xdr:cNvPr>
            <xdr:cNvGrpSpPr>
              <a:grpSpLocks/>
            </xdr:cNvGrpSpPr>
          </xdr:nvGrpSpPr>
          <xdr:grpSpPr bwMode="auto">
            <a:xfrm rot="10800000">
              <a:off x="371" y="461"/>
              <a:ext cx="51" cy="32"/>
              <a:chOff x="557" y="246"/>
              <a:chExt cx="51" cy="32"/>
            </a:xfrm>
          </xdr:grpSpPr>
          <xdr:sp macro="" textlink="">
            <xdr:nvSpPr>
              <xdr:cNvPr id="4379307" name="Arc 200">
                <a:extLst>
                  <a:ext uri="{FF2B5EF4-FFF2-40B4-BE49-F238E27FC236}">
                    <a16:creationId xmlns="" xmlns:a16="http://schemas.microsoft.com/office/drawing/2014/main" id="{00000000-0008-0000-0900-0000ABD2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569" y="258"/>
                <a:ext cx="27" cy="18"/>
              </a:xfrm>
              <a:custGeom>
                <a:avLst/>
                <a:gdLst>
                  <a:gd name="T0" fmla="*/ 0 w 42977"/>
                  <a:gd name="T1" fmla="*/ 0 h 21600"/>
                  <a:gd name="T2" fmla="*/ 0 w 42977"/>
                  <a:gd name="T3" fmla="*/ 0 h 21600"/>
                  <a:gd name="T4" fmla="*/ 0 w 42977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7"/>
                  <a:gd name="T10" fmla="*/ 0 h 21600"/>
                  <a:gd name="T11" fmla="*/ 42977 w 42977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7" h="21600" fill="none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</a:path>
                  <a:path w="42977" h="21600" stroke="0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  <a:lnTo>
                      <a:pt x="21377" y="21600"/>
                    </a:lnTo>
                    <a:lnTo>
                      <a:pt x="-1" y="18506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308" name="Arc 201">
                <a:extLst>
                  <a:ext uri="{FF2B5EF4-FFF2-40B4-BE49-F238E27FC236}">
                    <a16:creationId xmlns="" xmlns:a16="http://schemas.microsoft.com/office/drawing/2014/main" id="{00000000-0008-0000-0900-0000ACD2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563" y="251"/>
                <a:ext cx="39" cy="25"/>
              </a:xfrm>
              <a:custGeom>
                <a:avLst/>
                <a:gdLst>
                  <a:gd name="T0" fmla="*/ 0 w 43076"/>
                  <a:gd name="T1" fmla="*/ 0 h 21600"/>
                  <a:gd name="T2" fmla="*/ 0 w 43076"/>
                  <a:gd name="T3" fmla="*/ 0 h 21600"/>
                  <a:gd name="T4" fmla="*/ 0 w 43076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3076"/>
                  <a:gd name="T10" fmla="*/ 0 h 21600"/>
                  <a:gd name="T11" fmla="*/ 43076 w 43076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3076" h="21600" fill="none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</a:path>
                  <a:path w="43076" h="21600" stroke="0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  <a:lnTo>
                      <a:pt x="21476" y="21600"/>
                    </a:lnTo>
                    <a:lnTo>
                      <a:pt x="0" y="1928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309" name="Arc 202">
                <a:extLst>
                  <a:ext uri="{FF2B5EF4-FFF2-40B4-BE49-F238E27FC236}">
                    <a16:creationId xmlns="" xmlns:a16="http://schemas.microsoft.com/office/drawing/2014/main" id="{00000000-0008-0000-0900-0000ADD2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557" y="246"/>
                <a:ext cx="51" cy="32"/>
              </a:xfrm>
              <a:custGeom>
                <a:avLst/>
                <a:gdLst>
                  <a:gd name="T0" fmla="*/ 0 w 42973"/>
                  <a:gd name="T1" fmla="*/ 0 h 21600"/>
                  <a:gd name="T2" fmla="*/ 0 w 42973"/>
                  <a:gd name="T3" fmla="*/ 0 h 21600"/>
                  <a:gd name="T4" fmla="*/ 0 w 42973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3"/>
                  <a:gd name="T10" fmla="*/ 0 h 21600"/>
                  <a:gd name="T11" fmla="*/ 42973 w 42973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3" h="21600" fill="none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</a:path>
                  <a:path w="42973" h="21600" stroke="0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  <a:lnTo>
                      <a:pt x="21392" y="21600"/>
                    </a:lnTo>
                    <a:lnTo>
                      <a:pt x="0" y="1860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379298" name="Group 203">
              <a:extLst>
                <a:ext uri="{FF2B5EF4-FFF2-40B4-BE49-F238E27FC236}">
                  <a16:creationId xmlns="" xmlns:a16="http://schemas.microsoft.com/office/drawing/2014/main" id="{00000000-0008-0000-0900-0000A2D2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71" y="309"/>
              <a:ext cx="68" cy="157"/>
              <a:chOff x="371" y="309"/>
              <a:chExt cx="68" cy="157"/>
            </a:xfrm>
          </xdr:grpSpPr>
          <xdr:sp macro="" textlink="">
            <xdr:nvSpPr>
              <xdr:cNvPr id="4379299" name="Line 204">
                <a:extLst>
                  <a:ext uri="{FF2B5EF4-FFF2-40B4-BE49-F238E27FC236}">
                    <a16:creationId xmlns="" xmlns:a16="http://schemas.microsoft.com/office/drawing/2014/main" id="{00000000-0008-0000-0900-0000A3D2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416" y="398"/>
                <a:ext cx="0" cy="64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300" name="Line 205">
                <a:extLst>
                  <a:ext uri="{FF2B5EF4-FFF2-40B4-BE49-F238E27FC236}">
                    <a16:creationId xmlns="" xmlns:a16="http://schemas.microsoft.com/office/drawing/2014/main" id="{00000000-0008-0000-0900-0000A4D2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409" y="323"/>
                <a:ext cx="0" cy="13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301" name="Line 206">
                <a:extLst>
                  <a:ext uri="{FF2B5EF4-FFF2-40B4-BE49-F238E27FC236}">
                    <a16:creationId xmlns="" xmlns:a16="http://schemas.microsoft.com/office/drawing/2014/main" id="{00000000-0008-0000-0900-0000A5D2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381" y="375"/>
                <a:ext cx="0" cy="8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302" name="Line 207">
                <a:extLst>
                  <a:ext uri="{FF2B5EF4-FFF2-40B4-BE49-F238E27FC236}">
                    <a16:creationId xmlns="" xmlns:a16="http://schemas.microsoft.com/office/drawing/2014/main" id="{00000000-0008-0000-0900-0000A6D2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376" y="403"/>
                <a:ext cx="0" cy="62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303" name="Line 208">
                <a:extLst>
                  <a:ext uri="{FF2B5EF4-FFF2-40B4-BE49-F238E27FC236}">
                    <a16:creationId xmlns="" xmlns:a16="http://schemas.microsoft.com/office/drawing/2014/main" id="{00000000-0008-0000-0900-0000A7D2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371" y="423"/>
                <a:ext cx="0" cy="4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304" name="Arc 209">
                <a:extLst>
                  <a:ext uri="{FF2B5EF4-FFF2-40B4-BE49-F238E27FC236}">
                    <a16:creationId xmlns="" xmlns:a16="http://schemas.microsoft.com/office/drawing/2014/main" id="{00000000-0008-0000-0900-0000A8D2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411" y="309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305" name="Arc 210">
                <a:extLst>
                  <a:ext uri="{FF2B5EF4-FFF2-40B4-BE49-F238E27FC236}">
                    <a16:creationId xmlns="" xmlns:a16="http://schemas.microsoft.com/office/drawing/2014/main" id="{00000000-0008-0000-0900-0000A9D2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417" y="383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306" name="Arc 211">
                <a:extLst>
                  <a:ext uri="{FF2B5EF4-FFF2-40B4-BE49-F238E27FC236}">
                    <a16:creationId xmlns="" xmlns:a16="http://schemas.microsoft.com/office/drawing/2014/main" id="{00000000-0008-0000-0900-0000AAD2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424" y="450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grpSp>
        <xdr:nvGrpSpPr>
          <xdr:cNvPr id="4379255" name="Group 212">
            <a:extLst>
              <a:ext uri="{FF2B5EF4-FFF2-40B4-BE49-F238E27FC236}">
                <a16:creationId xmlns="" xmlns:a16="http://schemas.microsoft.com/office/drawing/2014/main" id="{00000000-0008-0000-0900-000077D24200}"/>
              </a:ext>
            </a:extLst>
          </xdr:cNvPr>
          <xdr:cNvGrpSpPr>
            <a:grpSpLocks/>
          </xdr:cNvGrpSpPr>
        </xdr:nvGrpSpPr>
        <xdr:grpSpPr bwMode="auto">
          <a:xfrm>
            <a:off x="789" y="869"/>
            <a:ext cx="67" cy="190"/>
            <a:chOff x="372" y="53"/>
            <a:chExt cx="67" cy="190"/>
          </a:xfrm>
        </xdr:grpSpPr>
        <xdr:grpSp>
          <xdr:nvGrpSpPr>
            <xdr:cNvPr id="4379284" name="Group 213">
              <a:extLst>
                <a:ext uri="{FF2B5EF4-FFF2-40B4-BE49-F238E27FC236}">
                  <a16:creationId xmlns="" xmlns:a16="http://schemas.microsoft.com/office/drawing/2014/main" id="{00000000-0008-0000-0900-000094D2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72" y="53"/>
              <a:ext cx="51" cy="32"/>
              <a:chOff x="557" y="246"/>
              <a:chExt cx="51" cy="32"/>
            </a:xfrm>
          </xdr:grpSpPr>
          <xdr:sp macro="" textlink="">
            <xdr:nvSpPr>
              <xdr:cNvPr id="4379294" name="Arc 214">
                <a:extLst>
                  <a:ext uri="{FF2B5EF4-FFF2-40B4-BE49-F238E27FC236}">
                    <a16:creationId xmlns="" xmlns:a16="http://schemas.microsoft.com/office/drawing/2014/main" id="{00000000-0008-0000-0900-00009ED2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569" y="258"/>
                <a:ext cx="27" cy="18"/>
              </a:xfrm>
              <a:custGeom>
                <a:avLst/>
                <a:gdLst>
                  <a:gd name="T0" fmla="*/ 0 w 42977"/>
                  <a:gd name="T1" fmla="*/ 0 h 21600"/>
                  <a:gd name="T2" fmla="*/ 0 w 42977"/>
                  <a:gd name="T3" fmla="*/ 0 h 21600"/>
                  <a:gd name="T4" fmla="*/ 0 w 42977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7"/>
                  <a:gd name="T10" fmla="*/ 0 h 21600"/>
                  <a:gd name="T11" fmla="*/ 42977 w 42977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7" h="21600" fill="none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</a:path>
                  <a:path w="42977" h="21600" stroke="0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  <a:lnTo>
                      <a:pt x="21377" y="21600"/>
                    </a:lnTo>
                    <a:lnTo>
                      <a:pt x="-1" y="18506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95" name="Arc 215">
                <a:extLst>
                  <a:ext uri="{FF2B5EF4-FFF2-40B4-BE49-F238E27FC236}">
                    <a16:creationId xmlns="" xmlns:a16="http://schemas.microsoft.com/office/drawing/2014/main" id="{00000000-0008-0000-0900-00009FD2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563" y="251"/>
                <a:ext cx="39" cy="25"/>
              </a:xfrm>
              <a:custGeom>
                <a:avLst/>
                <a:gdLst>
                  <a:gd name="T0" fmla="*/ 0 w 43076"/>
                  <a:gd name="T1" fmla="*/ 0 h 21600"/>
                  <a:gd name="T2" fmla="*/ 0 w 43076"/>
                  <a:gd name="T3" fmla="*/ 0 h 21600"/>
                  <a:gd name="T4" fmla="*/ 0 w 43076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3076"/>
                  <a:gd name="T10" fmla="*/ 0 h 21600"/>
                  <a:gd name="T11" fmla="*/ 43076 w 43076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3076" h="21600" fill="none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</a:path>
                  <a:path w="43076" h="21600" stroke="0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  <a:lnTo>
                      <a:pt x="21476" y="21600"/>
                    </a:lnTo>
                    <a:lnTo>
                      <a:pt x="0" y="1928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96" name="Arc 216">
                <a:extLst>
                  <a:ext uri="{FF2B5EF4-FFF2-40B4-BE49-F238E27FC236}">
                    <a16:creationId xmlns="" xmlns:a16="http://schemas.microsoft.com/office/drawing/2014/main" id="{00000000-0008-0000-0900-0000A0D2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557" y="246"/>
                <a:ext cx="51" cy="32"/>
              </a:xfrm>
              <a:custGeom>
                <a:avLst/>
                <a:gdLst>
                  <a:gd name="T0" fmla="*/ 0 w 42973"/>
                  <a:gd name="T1" fmla="*/ 0 h 21600"/>
                  <a:gd name="T2" fmla="*/ 0 w 42973"/>
                  <a:gd name="T3" fmla="*/ 0 h 21600"/>
                  <a:gd name="T4" fmla="*/ 0 w 42973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3"/>
                  <a:gd name="T10" fmla="*/ 0 h 21600"/>
                  <a:gd name="T11" fmla="*/ 42973 w 42973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3" h="21600" fill="none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</a:path>
                  <a:path w="42973" h="21600" stroke="0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  <a:lnTo>
                      <a:pt x="21392" y="21600"/>
                    </a:lnTo>
                    <a:lnTo>
                      <a:pt x="0" y="1860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379285" name="Group 217">
              <a:extLst>
                <a:ext uri="{FF2B5EF4-FFF2-40B4-BE49-F238E27FC236}">
                  <a16:creationId xmlns="" xmlns:a16="http://schemas.microsoft.com/office/drawing/2014/main" id="{00000000-0008-0000-0900-000095D2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72" y="81"/>
              <a:ext cx="67" cy="162"/>
              <a:chOff x="372" y="81"/>
              <a:chExt cx="67" cy="162"/>
            </a:xfrm>
          </xdr:grpSpPr>
          <xdr:sp macro="" textlink="">
            <xdr:nvSpPr>
              <xdr:cNvPr id="4379286" name="Line 218">
                <a:extLst>
                  <a:ext uri="{FF2B5EF4-FFF2-40B4-BE49-F238E27FC236}">
                    <a16:creationId xmlns="" xmlns:a16="http://schemas.microsoft.com/office/drawing/2014/main" id="{00000000-0008-0000-0900-000096D2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72" y="84"/>
                <a:ext cx="0" cy="4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87" name="Line 219">
                <a:extLst>
                  <a:ext uri="{FF2B5EF4-FFF2-40B4-BE49-F238E27FC236}">
                    <a16:creationId xmlns="" xmlns:a16="http://schemas.microsoft.com/office/drawing/2014/main" id="{00000000-0008-0000-0900-000097D2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77" y="83"/>
                <a:ext cx="0" cy="6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88" name="Line 220">
                <a:extLst>
                  <a:ext uri="{FF2B5EF4-FFF2-40B4-BE49-F238E27FC236}">
                    <a16:creationId xmlns="" xmlns:a16="http://schemas.microsoft.com/office/drawing/2014/main" id="{00000000-0008-0000-0900-000098D2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84" y="83"/>
                <a:ext cx="0" cy="92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89" name="Line 221">
                <a:extLst>
                  <a:ext uri="{FF2B5EF4-FFF2-40B4-BE49-F238E27FC236}">
                    <a16:creationId xmlns="" xmlns:a16="http://schemas.microsoft.com/office/drawing/2014/main" id="{00000000-0008-0000-0900-000099D2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11" y="81"/>
                <a:ext cx="0" cy="14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90" name="Line 222">
                <a:extLst>
                  <a:ext uri="{FF2B5EF4-FFF2-40B4-BE49-F238E27FC236}">
                    <a16:creationId xmlns="" xmlns:a16="http://schemas.microsoft.com/office/drawing/2014/main" id="{00000000-0008-0000-0900-00009AD2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17" y="82"/>
                <a:ext cx="0" cy="8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91" name="Arc 223">
                <a:extLst>
                  <a:ext uri="{FF2B5EF4-FFF2-40B4-BE49-F238E27FC236}">
                    <a16:creationId xmlns="" xmlns:a16="http://schemas.microsoft.com/office/drawing/2014/main" id="{00000000-0008-0000-0900-00009BD24200}"/>
                  </a:ext>
                </a:extLst>
              </xdr:cNvPr>
              <xdr:cNvSpPr>
                <a:spLocks/>
              </xdr:cNvSpPr>
            </xdr:nvSpPr>
            <xdr:spPr bwMode="auto">
              <a:xfrm rot="15712194" flipH="1">
                <a:off x="412" y="228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92" name="Arc 224">
                <a:extLst>
                  <a:ext uri="{FF2B5EF4-FFF2-40B4-BE49-F238E27FC236}">
                    <a16:creationId xmlns="" xmlns:a16="http://schemas.microsoft.com/office/drawing/2014/main" id="{00000000-0008-0000-0900-00009CD24200}"/>
                  </a:ext>
                </a:extLst>
              </xdr:cNvPr>
              <xdr:cNvSpPr>
                <a:spLocks/>
              </xdr:cNvSpPr>
            </xdr:nvSpPr>
            <xdr:spPr bwMode="auto">
              <a:xfrm rot="16200000" flipH="1">
                <a:off x="417" y="155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93" name="Arc 225">
                <a:extLst>
                  <a:ext uri="{FF2B5EF4-FFF2-40B4-BE49-F238E27FC236}">
                    <a16:creationId xmlns="" xmlns:a16="http://schemas.microsoft.com/office/drawing/2014/main" id="{00000000-0008-0000-0900-00009DD24200}"/>
                  </a:ext>
                </a:extLst>
              </xdr:cNvPr>
              <xdr:cNvSpPr>
                <a:spLocks/>
              </xdr:cNvSpPr>
            </xdr:nvSpPr>
            <xdr:spPr bwMode="auto">
              <a:xfrm rot="16200000" flipH="1">
                <a:off x="424" y="84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grpSp>
        <xdr:nvGrpSpPr>
          <xdr:cNvPr id="4379256" name="Group 226">
            <a:extLst>
              <a:ext uri="{FF2B5EF4-FFF2-40B4-BE49-F238E27FC236}">
                <a16:creationId xmlns="" xmlns:a16="http://schemas.microsoft.com/office/drawing/2014/main" id="{00000000-0008-0000-0900-000078D24200}"/>
              </a:ext>
            </a:extLst>
          </xdr:cNvPr>
          <xdr:cNvGrpSpPr>
            <a:grpSpLocks/>
          </xdr:cNvGrpSpPr>
        </xdr:nvGrpSpPr>
        <xdr:grpSpPr bwMode="auto">
          <a:xfrm>
            <a:off x="922" y="869"/>
            <a:ext cx="67" cy="190"/>
            <a:chOff x="505" y="53"/>
            <a:chExt cx="67" cy="190"/>
          </a:xfrm>
        </xdr:grpSpPr>
        <xdr:grpSp>
          <xdr:nvGrpSpPr>
            <xdr:cNvPr id="4379271" name="Group 227">
              <a:extLst>
                <a:ext uri="{FF2B5EF4-FFF2-40B4-BE49-F238E27FC236}">
                  <a16:creationId xmlns="" xmlns:a16="http://schemas.microsoft.com/office/drawing/2014/main" id="{00000000-0008-0000-0900-000087D24200}"/>
                </a:ext>
              </a:extLst>
            </xdr:cNvPr>
            <xdr:cNvGrpSpPr>
              <a:grpSpLocks noChangeAspect="1"/>
            </xdr:cNvGrpSpPr>
          </xdr:nvGrpSpPr>
          <xdr:grpSpPr bwMode="auto">
            <a:xfrm flipH="1">
              <a:off x="521" y="53"/>
              <a:ext cx="51" cy="32"/>
              <a:chOff x="557" y="246"/>
              <a:chExt cx="51" cy="32"/>
            </a:xfrm>
          </xdr:grpSpPr>
          <xdr:sp macro="" textlink="">
            <xdr:nvSpPr>
              <xdr:cNvPr id="4379281" name="Arc 228">
                <a:extLst>
                  <a:ext uri="{FF2B5EF4-FFF2-40B4-BE49-F238E27FC236}">
                    <a16:creationId xmlns="" xmlns:a16="http://schemas.microsoft.com/office/drawing/2014/main" id="{00000000-0008-0000-0900-000091D2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flipH="1">
                <a:off x="569" y="258"/>
                <a:ext cx="27" cy="18"/>
              </a:xfrm>
              <a:custGeom>
                <a:avLst/>
                <a:gdLst>
                  <a:gd name="T0" fmla="*/ 0 w 42977"/>
                  <a:gd name="T1" fmla="*/ 0 h 21600"/>
                  <a:gd name="T2" fmla="*/ 0 w 42977"/>
                  <a:gd name="T3" fmla="*/ 0 h 21600"/>
                  <a:gd name="T4" fmla="*/ 0 w 42977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7"/>
                  <a:gd name="T10" fmla="*/ 0 h 21600"/>
                  <a:gd name="T11" fmla="*/ 42977 w 42977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7" h="21600" fill="none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</a:path>
                  <a:path w="42977" h="21600" stroke="0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  <a:lnTo>
                      <a:pt x="21377" y="21600"/>
                    </a:lnTo>
                    <a:lnTo>
                      <a:pt x="-1" y="18506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82" name="Arc 229">
                <a:extLst>
                  <a:ext uri="{FF2B5EF4-FFF2-40B4-BE49-F238E27FC236}">
                    <a16:creationId xmlns="" xmlns:a16="http://schemas.microsoft.com/office/drawing/2014/main" id="{00000000-0008-0000-0900-000092D2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flipH="1">
                <a:off x="563" y="251"/>
                <a:ext cx="39" cy="25"/>
              </a:xfrm>
              <a:custGeom>
                <a:avLst/>
                <a:gdLst>
                  <a:gd name="T0" fmla="*/ 0 w 43076"/>
                  <a:gd name="T1" fmla="*/ 0 h 21600"/>
                  <a:gd name="T2" fmla="*/ 0 w 43076"/>
                  <a:gd name="T3" fmla="*/ 0 h 21600"/>
                  <a:gd name="T4" fmla="*/ 0 w 43076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3076"/>
                  <a:gd name="T10" fmla="*/ 0 h 21600"/>
                  <a:gd name="T11" fmla="*/ 43076 w 43076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3076" h="21600" fill="none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</a:path>
                  <a:path w="43076" h="21600" stroke="0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  <a:lnTo>
                      <a:pt x="21476" y="21600"/>
                    </a:lnTo>
                    <a:lnTo>
                      <a:pt x="0" y="1928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83" name="Arc 230">
                <a:extLst>
                  <a:ext uri="{FF2B5EF4-FFF2-40B4-BE49-F238E27FC236}">
                    <a16:creationId xmlns="" xmlns:a16="http://schemas.microsoft.com/office/drawing/2014/main" id="{00000000-0008-0000-0900-000093D2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flipH="1">
                <a:off x="557" y="246"/>
                <a:ext cx="51" cy="32"/>
              </a:xfrm>
              <a:custGeom>
                <a:avLst/>
                <a:gdLst>
                  <a:gd name="T0" fmla="*/ 0 w 42973"/>
                  <a:gd name="T1" fmla="*/ 0 h 21600"/>
                  <a:gd name="T2" fmla="*/ 0 w 42973"/>
                  <a:gd name="T3" fmla="*/ 0 h 21600"/>
                  <a:gd name="T4" fmla="*/ 0 w 42973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3"/>
                  <a:gd name="T10" fmla="*/ 0 h 21600"/>
                  <a:gd name="T11" fmla="*/ 42973 w 42973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3" h="21600" fill="none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</a:path>
                  <a:path w="42973" h="21600" stroke="0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  <a:lnTo>
                      <a:pt x="21392" y="21600"/>
                    </a:lnTo>
                    <a:lnTo>
                      <a:pt x="0" y="1860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379272" name="Group 231">
              <a:extLst>
                <a:ext uri="{FF2B5EF4-FFF2-40B4-BE49-F238E27FC236}">
                  <a16:creationId xmlns="" xmlns:a16="http://schemas.microsoft.com/office/drawing/2014/main" id="{00000000-0008-0000-0900-000088D2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05" y="81"/>
              <a:ext cx="67" cy="162"/>
              <a:chOff x="505" y="81"/>
              <a:chExt cx="67" cy="162"/>
            </a:xfrm>
          </xdr:grpSpPr>
          <xdr:sp macro="" textlink="">
            <xdr:nvSpPr>
              <xdr:cNvPr id="4379273" name="Line 232">
                <a:extLst>
                  <a:ext uri="{FF2B5EF4-FFF2-40B4-BE49-F238E27FC236}">
                    <a16:creationId xmlns="" xmlns:a16="http://schemas.microsoft.com/office/drawing/2014/main" id="{00000000-0008-0000-0900-000089D2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>
                <a:off x="572" y="84"/>
                <a:ext cx="0" cy="4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74" name="Line 233">
                <a:extLst>
                  <a:ext uri="{FF2B5EF4-FFF2-40B4-BE49-F238E27FC236}">
                    <a16:creationId xmlns="" xmlns:a16="http://schemas.microsoft.com/office/drawing/2014/main" id="{00000000-0008-0000-0900-00008AD2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>
                <a:off x="567" y="83"/>
                <a:ext cx="0" cy="38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75" name="Line 234">
                <a:extLst>
                  <a:ext uri="{FF2B5EF4-FFF2-40B4-BE49-F238E27FC236}">
                    <a16:creationId xmlns="" xmlns:a16="http://schemas.microsoft.com/office/drawing/2014/main" id="{00000000-0008-0000-0900-00008BD2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>
                <a:off x="560" y="83"/>
                <a:ext cx="0" cy="38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76" name="Line 235">
                <a:extLst>
                  <a:ext uri="{FF2B5EF4-FFF2-40B4-BE49-F238E27FC236}">
                    <a16:creationId xmlns="" xmlns:a16="http://schemas.microsoft.com/office/drawing/2014/main" id="{00000000-0008-0000-0900-00008CD2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>
                <a:off x="533" y="81"/>
                <a:ext cx="0" cy="14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77" name="Line 236">
                <a:extLst>
                  <a:ext uri="{FF2B5EF4-FFF2-40B4-BE49-F238E27FC236}">
                    <a16:creationId xmlns="" xmlns:a16="http://schemas.microsoft.com/office/drawing/2014/main" id="{00000000-0008-0000-0900-00008DD2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>
                <a:off x="527" y="82"/>
                <a:ext cx="0" cy="8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78" name="Arc 237">
                <a:extLst>
                  <a:ext uri="{FF2B5EF4-FFF2-40B4-BE49-F238E27FC236}">
                    <a16:creationId xmlns="" xmlns:a16="http://schemas.microsoft.com/office/drawing/2014/main" id="{00000000-0008-0000-0900-00008ED2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rot="5887806">
                <a:off x="517" y="228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79" name="Arc 238">
                <a:extLst>
                  <a:ext uri="{FF2B5EF4-FFF2-40B4-BE49-F238E27FC236}">
                    <a16:creationId xmlns="" xmlns:a16="http://schemas.microsoft.com/office/drawing/2014/main" id="{00000000-0008-0000-0900-00008FD2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rot="5400000">
                <a:off x="512" y="155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80" name="Arc 239">
                <a:extLst>
                  <a:ext uri="{FF2B5EF4-FFF2-40B4-BE49-F238E27FC236}">
                    <a16:creationId xmlns="" xmlns:a16="http://schemas.microsoft.com/office/drawing/2014/main" id="{00000000-0008-0000-0900-000090D2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rot="5400000">
                <a:off x="505" y="84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grpSp>
        <xdr:nvGrpSpPr>
          <xdr:cNvPr id="4379257" name="Group 240">
            <a:extLst>
              <a:ext uri="{FF2B5EF4-FFF2-40B4-BE49-F238E27FC236}">
                <a16:creationId xmlns="" xmlns:a16="http://schemas.microsoft.com/office/drawing/2014/main" id="{00000000-0008-0000-0900-000079D24200}"/>
              </a:ext>
            </a:extLst>
          </xdr:cNvPr>
          <xdr:cNvGrpSpPr>
            <a:grpSpLocks/>
          </xdr:cNvGrpSpPr>
        </xdr:nvGrpSpPr>
        <xdr:grpSpPr bwMode="auto">
          <a:xfrm>
            <a:off x="924" y="1127"/>
            <a:ext cx="68" cy="184"/>
            <a:chOff x="507" y="311"/>
            <a:chExt cx="68" cy="184"/>
          </a:xfrm>
        </xdr:grpSpPr>
        <xdr:grpSp>
          <xdr:nvGrpSpPr>
            <xdr:cNvPr id="4379258" name="Group 241">
              <a:extLst>
                <a:ext uri="{FF2B5EF4-FFF2-40B4-BE49-F238E27FC236}">
                  <a16:creationId xmlns="" xmlns:a16="http://schemas.microsoft.com/office/drawing/2014/main" id="{00000000-0008-0000-0900-00007AD24200}"/>
                </a:ext>
              </a:extLst>
            </xdr:cNvPr>
            <xdr:cNvGrpSpPr>
              <a:grpSpLocks noChangeAspect="1"/>
            </xdr:cNvGrpSpPr>
          </xdr:nvGrpSpPr>
          <xdr:grpSpPr bwMode="auto">
            <a:xfrm rot="10800000" flipH="1">
              <a:off x="524" y="463"/>
              <a:ext cx="51" cy="32"/>
              <a:chOff x="557" y="246"/>
              <a:chExt cx="51" cy="32"/>
            </a:xfrm>
          </xdr:grpSpPr>
          <xdr:sp macro="" textlink="">
            <xdr:nvSpPr>
              <xdr:cNvPr id="4379268" name="Arc 242">
                <a:extLst>
                  <a:ext uri="{FF2B5EF4-FFF2-40B4-BE49-F238E27FC236}">
                    <a16:creationId xmlns="" xmlns:a16="http://schemas.microsoft.com/office/drawing/2014/main" id="{00000000-0008-0000-0900-000084D2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flipH="1">
                <a:off x="569" y="258"/>
                <a:ext cx="27" cy="18"/>
              </a:xfrm>
              <a:custGeom>
                <a:avLst/>
                <a:gdLst>
                  <a:gd name="T0" fmla="*/ 0 w 42977"/>
                  <a:gd name="T1" fmla="*/ 0 h 21600"/>
                  <a:gd name="T2" fmla="*/ 0 w 42977"/>
                  <a:gd name="T3" fmla="*/ 0 h 21600"/>
                  <a:gd name="T4" fmla="*/ 0 w 42977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7"/>
                  <a:gd name="T10" fmla="*/ 0 h 21600"/>
                  <a:gd name="T11" fmla="*/ 42977 w 42977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7" h="21600" fill="none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</a:path>
                  <a:path w="42977" h="21600" stroke="0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  <a:lnTo>
                      <a:pt x="21377" y="21600"/>
                    </a:lnTo>
                    <a:lnTo>
                      <a:pt x="-1" y="18506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69" name="Arc 243">
                <a:extLst>
                  <a:ext uri="{FF2B5EF4-FFF2-40B4-BE49-F238E27FC236}">
                    <a16:creationId xmlns="" xmlns:a16="http://schemas.microsoft.com/office/drawing/2014/main" id="{00000000-0008-0000-0900-000085D2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flipH="1">
                <a:off x="563" y="251"/>
                <a:ext cx="39" cy="25"/>
              </a:xfrm>
              <a:custGeom>
                <a:avLst/>
                <a:gdLst>
                  <a:gd name="T0" fmla="*/ 0 w 43076"/>
                  <a:gd name="T1" fmla="*/ 0 h 21600"/>
                  <a:gd name="T2" fmla="*/ 0 w 43076"/>
                  <a:gd name="T3" fmla="*/ 0 h 21600"/>
                  <a:gd name="T4" fmla="*/ 0 w 43076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3076"/>
                  <a:gd name="T10" fmla="*/ 0 h 21600"/>
                  <a:gd name="T11" fmla="*/ 43076 w 43076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3076" h="21600" fill="none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</a:path>
                  <a:path w="43076" h="21600" stroke="0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  <a:lnTo>
                      <a:pt x="21476" y="21600"/>
                    </a:lnTo>
                    <a:lnTo>
                      <a:pt x="0" y="1928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70" name="Arc 244">
                <a:extLst>
                  <a:ext uri="{FF2B5EF4-FFF2-40B4-BE49-F238E27FC236}">
                    <a16:creationId xmlns="" xmlns:a16="http://schemas.microsoft.com/office/drawing/2014/main" id="{00000000-0008-0000-0900-000086D2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flipH="1">
                <a:off x="557" y="246"/>
                <a:ext cx="51" cy="32"/>
              </a:xfrm>
              <a:custGeom>
                <a:avLst/>
                <a:gdLst>
                  <a:gd name="T0" fmla="*/ 0 w 42973"/>
                  <a:gd name="T1" fmla="*/ 0 h 21600"/>
                  <a:gd name="T2" fmla="*/ 0 w 42973"/>
                  <a:gd name="T3" fmla="*/ 0 h 21600"/>
                  <a:gd name="T4" fmla="*/ 0 w 42973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3"/>
                  <a:gd name="T10" fmla="*/ 0 h 21600"/>
                  <a:gd name="T11" fmla="*/ 42973 w 42973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3" h="21600" fill="none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</a:path>
                  <a:path w="42973" h="21600" stroke="0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  <a:lnTo>
                      <a:pt x="21392" y="21600"/>
                    </a:lnTo>
                    <a:lnTo>
                      <a:pt x="0" y="1860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379259" name="Group 245">
              <a:extLst>
                <a:ext uri="{FF2B5EF4-FFF2-40B4-BE49-F238E27FC236}">
                  <a16:creationId xmlns="" xmlns:a16="http://schemas.microsoft.com/office/drawing/2014/main" id="{00000000-0008-0000-0900-00007BD2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07" y="311"/>
              <a:ext cx="68" cy="157"/>
              <a:chOff x="507" y="311"/>
              <a:chExt cx="68" cy="157"/>
            </a:xfrm>
          </xdr:grpSpPr>
          <xdr:sp macro="" textlink="">
            <xdr:nvSpPr>
              <xdr:cNvPr id="4379260" name="Line 246">
                <a:extLst>
                  <a:ext uri="{FF2B5EF4-FFF2-40B4-BE49-F238E27FC236}">
                    <a16:creationId xmlns="" xmlns:a16="http://schemas.microsoft.com/office/drawing/2014/main" id="{00000000-0008-0000-0900-00007CD2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 flipV="1">
                <a:off x="528" y="395"/>
                <a:ext cx="0" cy="68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61" name="Line 247">
                <a:extLst>
                  <a:ext uri="{FF2B5EF4-FFF2-40B4-BE49-F238E27FC236}">
                    <a16:creationId xmlns="" xmlns:a16="http://schemas.microsoft.com/office/drawing/2014/main" id="{00000000-0008-0000-0900-00007DD2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 flipV="1">
                <a:off x="535" y="325"/>
                <a:ext cx="0" cy="13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62" name="Line 248">
                <a:extLst>
                  <a:ext uri="{FF2B5EF4-FFF2-40B4-BE49-F238E27FC236}">
                    <a16:creationId xmlns="" xmlns:a16="http://schemas.microsoft.com/office/drawing/2014/main" id="{00000000-0008-0000-0900-00007ED2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 flipV="1">
                <a:off x="563" y="428"/>
                <a:ext cx="0" cy="38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63" name="Line 249">
                <a:extLst>
                  <a:ext uri="{FF2B5EF4-FFF2-40B4-BE49-F238E27FC236}">
                    <a16:creationId xmlns="" xmlns:a16="http://schemas.microsoft.com/office/drawing/2014/main" id="{00000000-0008-0000-0900-00007FD2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 flipV="1">
                <a:off x="568" y="428"/>
                <a:ext cx="0" cy="3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64" name="Line 250">
                <a:extLst>
                  <a:ext uri="{FF2B5EF4-FFF2-40B4-BE49-F238E27FC236}">
                    <a16:creationId xmlns="" xmlns:a16="http://schemas.microsoft.com/office/drawing/2014/main" id="{00000000-0008-0000-0900-000080D2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 flipV="1">
                <a:off x="575" y="429"/>
                <a:ext cx="0" cy="3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65" name="Arc 251">
                <a:extLst>
                  <a:ext uri="{FF2B5EF4-FFF2-40B4-BE49-F238E27FC236}">
                    <a16:creationId xmlns="" xmlns:a16="http://schemas.microsoft.com/office/drawing/2014/main" id="{00000000-0008-0000-0900-000081D2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>
                <a:off x="520" y="311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66" name="Arc 252">
                <a:extLst>
                  <a:ext uri="{FF2B5EF4-FFF2-40B4-BE49-F238E27FC236}">
                    <a16:creationId xmlns="" xmlns:a16="http://schemas.microsoft.com/office/drawing/2014/main" id="{00000000-0008-0000-0900-000082D2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>
                <a:off x="513" y="383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67" name="Arc 253">
                <a:extLst>
                  <a:ext uri="{FF2B5EF4-FFF2-40B4-BE49-F238E27FC236}">
                    <a16:creationId xmlns="" xmlns:a16="http://schemas.microsoft.com/office/drawing/2014/main" id="{00000000-0008-0000-0900-000083D2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>
                <a:off x="507" y="450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</xdr:grpSp>
    <xdr:clientData/>
  </xdr:twoCellAnchor>
  <xdr:twoCellAnchor>
    <xdr:from>
      <xdr:col>12</xdr:col>
      <xdr:colOff>19050</xdr:colOff>
      <xdr:row>42</xdr:row>
      <xdr:rowOff>76200</xdr:rowOff>
    </xdr:from>
    <xdr:to>
      <xdr:col>13</xdr:col>
      <xdr:colOff>352425</xdr:colOff>
      <xdr:row>42</xdr:row>
      <xdr:rowOff>76200</xdr:rowOff>
    </xdr:to>
    <xdr:sp macro="" textlink="">
      <xdr:nvSpPr>
        <xdr:cNvPr id="4379210" name="Line 254">
          <a:extLst>
            <a:ext uri="{FF2B5EF4-FFF2-40B4-BE49-F238E27FC236}">
              <a16:creationId xmlns="" xmlns:a16="http://schemas.microsoft.com/office/drawing/2014/main" id="{00000000-0008-0000-0900-00004AD24200}"/>
            </a:ext>
          </a:extLst>
        </xdr:cNvPr>
        <xdr:cNvSpPr>
          <a:spLocks noChangeShapeType="1"/>
        </xdr:cNvSpPr>
      </xdr:nvSpPr>
      <xdr:spPr bwMode="auto">
        <a:xfrm>
          <a:off x="16944975" y="13601700"/>
          <a:ext cx="115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438150</xdr:colOff>
      <xdr:row>35</xdr:row>
      <xdr:rowOff>123825</xdr:rowOff>
    </xdr:from>
    <xdr:to>
      <xdr:col>11</xdr:col>
      <xdr:colOff>552450</xdr:colOff>
      <xdr:row>36</xdr:row>
      <xdr:rowOff>47625</xdr:rowOff>
    </xdr:to>
    <xdr:sp macro="" textlink="">
      <xdr:nvSpPr>
        <xdr:cNvPr id="4379211" name="Arc 255">
          <a:extLst>
            <a:ext uri="{FF2B5EF4-FFF2-40B4-BE49-F238E27FC236}">
              <a16:creationId xmlns="" xmlns:a16="http://schemas.microsoft.com/office/drawing/2014/main" id="{00000000-0008-0000-0900-00004BD24200}"/>
            </a:ext>
          </a:extLst>
        </xdr:cNvPr>
        <xdr:cNvSpPr>
          <a:spLocks/>
        </xdr:cNvSpPr>
      </xdr:nvSpPr>
      <xdr:spPr bwMode="auto">
        <a:xfrm flipH="1">
          <a:off x="16706850" y="11449050"/>
          <a:ext cx="114300" cy="238125"/>
        </a:xfrm>
        <a:custGeom>
          <a:avLst/>
          <a:gdLst>
            <a:gd name="T0" fmla="*/ 0 w 41584"/>
            <a:gd name="T1" fmla="*/ 2147483647 h 21600"/>
            <a:gd name="T2" fmla="*/ 2147483647 w 41584"/>
            <a:gd name="T3" fmla="*/ 2147483647 h 21600"/>
            <a:gd name="T4" fmla="*/ 2147483647 w 41584"/>
            <a:gd name="T5" fmla="*/ 2147483647 h 21600"/>
            <a:gd name="T6" fmla="*/ 0 60000 65536"/>
            <a:gd name="T7" fmla="*/ 0 60000 65536"/>
            <a:gd name="T8" fmla="*/ 0 60000 65536"/>
            <a:gd name="T9" fmla="*/ 0 w 41584"/>
            <a:gd name="T10" fmla="*/ 0 h 21600"/>
            <a:gd name="T11" fmla="*/ 41584 w 41584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1584" h="21600" fill="none" extrusionOk="0">
              <a:moveTo>
                <a:pt x="-1" y="18506"/>
              </a:moveTo>
              <a:cubicBezTo>
                <a:pt x="1536" y="7883"/>
                <a:pt x="10642" y="-1"/>
                <a:pt x="21377" y="0"/>
              </a:cubicBezTo>
              <a:cubicBezTo>
                <a:pt x="30362" y="0"/>
                <a:pt x="38409" y="5562"/>
                <a:pt x="41583" y="13968"/>
              </a:cubicBezTo>
            </a:path>
            <a:path w="41584" h="21600" stroke="0" extrusionOk="0">
              <a:moveTo>
                <a:pt x="-1" y="18506"/>
              </a:moveTo>
              <a:cubicBezTo>
                <a:pt x="1536" y="7883"/>
                <a:pt x="10642" y="-1"/>
                <a:pt x="21377" y="0"/>
              </a:cubicBezTo>
              <a:cubicBezTo>
                <a:pt x="30362" y="0"/>
                <a:pt x="38409" y="5562"/>
                <a:pt x="41583" y="13968"/>
              </a:cubicBezTo>
              <a:lnTo>
                <a:pt x="21377" y="21600"/>
              </a:lnTo>
              <a:lnTo>
                <a:pt x="-1" y="18506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447675</xdr:colOff>
      <xdr:row>35</xdr:row>
      <xdr:rowOff>266700</xdr:rowOff>
    </xdr:from>
    <xdr:to>
      <xdr:col>11</xdr:col>
      <xdr:colOff>457200</xdr:colOff>
      <xdr:row>39</xdr:row>
      <xdr:rowOff>219075</xdr:rowOff>
    </xdr:to>
    <xdr:sp macro="" textlink="">
      <xdr:nvSpPr>
        <xdr:cNvPr id="4379212" name="Line 256">
          <a:extLst>
            <a:ext uri="{FF2B5EF4-FFF2-40B4-BE49-F238E27FC236}">
              <a16:creationId xmlns="" xmlns:a16="http://schemas.microsoft.com/office/drawing/2014/main" id="{00000000-0008-0000-0900-00004CD24200}"/>
            </a:ext>
          </a:extLst>
        </xdr:cNvPr>
        <xdr:cNvSpPr>
          <a:spLocks noChangeShapeType="1"/>
        </xdr:cNvSpPr>
      </xdr:nvSpPr>
      <xdr:spPr bwMode="auto">
        <a:xfrm>
          <a:off x="16716375" y="11591925"/>
          <a:ext cx="9525" cy="1209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533400</xdr:colOff>
      <xdr:row>36</xdr:row>
      <xdr:rowOff>38100</xdr:rowOff>
    </xdr:from>
    <xdr:to>
      <xdr:col>11</xdr:col>
      <xdr:colOff>552450</xdr:colOff>
      <xdr:row>41</xdr:row>
      <xdr:rowOff>238125</xdr:rowOff>
    </xdr:to>
    <xdr:sp macro="" textlink="">
      <xdr:nvSpPr>
        <xdr:cNvPr id="4379213" name="Line 257">
          <a:extLst>
            <a:ext uri="{FF2B5EF4-FFF2-40B4-BE49-F238E27FC236}">
              <a16:creationId xmlns="" xmlns:a16="http://schemas.microsoft.com/office/drawing/2014/main" id="{00000000-0008-0000-0900-00004DD24200}"/>
            </a:ext>
          </a:extLst>
        </xdr:cNvPr>
        <xdr:cNvSpPr>
          <a:spLocks noChangeShapeType="1"/>
        </xdr:cNvSpPr>
      </xdr:nvSpPr>
      <xdr:spPr bwMode="auto">
        <a:xfrm flipH="1">
          <a:off x="16802100" y="11677650"/>
          <a:ext cx="19050" cy="1771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542925</xdr:colOff>
      <xdr:row>41</xdr:row>
      <xdr:rowOff>190500</xdr:rowOff>
    </xdr:from>
    <xdr:to>
      <xdr:col>12</xdr:col>
      <xdr:colOff>38100</xdr:colOff>
      <xdr:row>42</xdr:row>
      <xdr:rowOff>85725</xdr:rowOff>
    </xdr:to>
    <xdr:sp macro="" textlink="">
      <xdr:nvSpPr>
        <xdr:cNvPr id="4379214" name="Arc 258">
          <a:extLst>
            <a:ext uri="{FF2B5EF4-FFF2-40B4-BE49-F238E27FC236}">
              <a16:creationId xmlns="" xmlns:a16="http://schemas.microsoft.com/office/drawing/2014/main" id="{00000000-0008-0000-0900-00004ED24200}"/>
            </a:ext>
          </a:extLst>
        </xdr:cNvPr>
        <xdr:cNvSpPr>
          <a:spLocks/>
        </xdr:cNvSpPr>
      </xdr:nvSpPr>
      <xdr:spPr bwMode="auto">
        <a:xfrm rot="15712194" flipH="1">
          <a:off x="16783050" y="13430250"/>
          <a:ext cx="209550" cy="152400"/>
        </a:xfrm>
        <a:custGeom>
          <a:avLst/>
          <a:gdLst>
            <a:gd name="T0" fmla="*/ 2147483647 w 21335"/>
            <a:gd name="T1" fmla="*/ 0 h 20984"/>
            <a:gd name="T2" fmla="*/ 2147483647 w 21335"/>
            <a:gd name="T3" fmla="*/ 2147483647 h 20984"/>
            <a:gd name="T4" fmla="*/ 0 w 21335"/>
            <a:gd name="T5" fmla="*/ 2147483647 h 20984"/>
            <a:gd name="T6" fmla="*/ 0 60000 65536"/>
            <a:gd name="T7" fmla="*/ 0 60000 65536"/>
            <a:gd name="T8" fmla="*/ 0 60000 65536"/>
            <a:gd name="T9" fmla="*/ 0 w 21335"/>
            <a:gd name="T10" fmla="*/ 0 h 20984"/>
            <a:gd name="T11" fmla="*/ 21335 w 21335"/>
            <a:gd name="T12" fmla="*/ 20984 h 209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335" h="20984" fill="none" extrusionOk="0">
              <a:moveTo>
                <a:pt x="5121" y="0"/>
              </a:moveTo>
              <a:cubicBezTo>
                <a:pt x="13583" y="2065"/>
                <a:pt x="19976" y="9010"/>
                <a:pt x="21335" y="17612"/>
              </a:cubicBezTo>
            </a:path>
            <a:path w="21335" h="20984" stroke="0" extrusionOk="0">
              <a:moveTo>
                <a:pt x="5121" y="0"/>
              </a:moveTo>
              <a:cubicBezTo>
                <a:pt x="13583" y="2065"/>
                <a:pt x="19976" y="9010"/>
                <a:pt x="21335" y="17612"/>
              </a:cubicBezTo>
              <a:lnTo>
                <a:pt x="0" y="20984"/>
              </a:lnTo>
              <a:lnTo>
                <a:pt x="5121" y="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476250</xdr:colOff>
      <xdr:row>35</xdr:row>
      <xdr:rowOff>9525</xdr:rowOff>
    </xdr:from>
    <xdr:to>
      <xdr:col>13</xdr:col>
      <xdr:colOff>609600</xdr:colOff>
      <xdr:row>36</xdr:row>
      <xdr:rowOff>95250</xdr:rowOff>
    </xdr:to>
    <xdr:sp macro="" textlink="">
      <xdr:nvSpPr>
        <xdr:cNvPr id="4379215" name="Arc 259">
          <a:extLst>
            <a:ext uri="{FF2B5EF4-FFF2-40B4-BE49-F238E27FC236}">
              <a16:creationId xmlns="" xmlns:a16="http://schemas.microsoft.com/office/drawing/2014/main" id="{00000000-0008-0000-0900-00004FD24200}"/>
            </a:ext>
          </a:extLst>
        </xdr:cNvPr>
        <xdr:cNvSpPr>
          <a:spLocks noChangeAspect="1"/>
        </xdr:cNvSpPr>
      </xdr:nvSpPr>
      <xdr:spPr bwMode="auto">
        <a:xfrm>
          <a:off x="18221325" y="11334750"/>
          <a:ext cx="133350" cy="400050"/>
        </a:xfrm>
        <a:custGeom>
          <a:avLst/>
          <a:gdLst>
            <a:gd name="T0" fmla="*/ 0 w 41135"/>
            <a:gd name="T1" fmla="*/ 2147483647 h 21600"/>
            <a:gd name="T2" fmla="*/ 2147483647 w 41135"/>
            <a:gd name="T3" fmla="*/ 2147483647 h 21600"/>
            <a:gd name="T4" fmla="*/ 2147483647 w 41135"/>
            <a:gd name="T5" fmla="*/ 2147483647 h 21600"/>
            <a:gd name="T6" fmla="*/ 0 60000 65536"/>
            <a:gd name="T7" fmla="*/ 0 60000 65536"/>
            <a:gd name="T8" fmla="*/ 0 60000 65536"/>
            <a:gd name="T9" fmla="*/ 0 w 41135"/>
            <a:gd name="T10" fmla="*/ 0 h 21600"/>
            <a:gd name="T11" fmla="*/ 41135 w 41135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1135" h="21600" fill="none" extrusionOk="0">
              <a:moveTo>
                <a:pt x="-1" y="18506"/>
              </a:moveTo>
              <a:cubicBezTo>
                <a:pt x="1536" y="7883"/>
                <a:pt x="10642" y="-1"/>
                <a:pt x="21377" y="0"/>
              </a:cubicBezTo>
              <a:cubicBezTo>
                <a:pt x="29930" y="0"/>
                <a:pt x="37678" y="5047"/>
                <a:pt x="41135" y="12871"/>
              </a:cubicBezTo>
            </a:path>
            <a:path w="41135" h="21600" stroke="0" extrusionOk="0">
              <a:moveTo>
                <a:pt x="-1" y="18506"/>
              </a:moveTo>
              <a:cubicBezTo>
                <a:pt x="1536" y="7883"/>
                <a:pt x="10642" y="-1"/>
                <a:pt x="21377" y="0"/>
              </a:cubicBezTo>
              <a:cubicBezTo>
                <a:pt x="29930" y="0"/>
                <a:pt x="37678" y="5047"/>
                <a:pt x="41135" y="12871"/>
              </a:cubicBezTo>
              <a:lnTo>
                <a:pt x="21377" y="21600"/>
              </a:lnTo>
              <a:lnTo>
                <a:pt x="-1" y="18506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35</xdr:row>
      <xdr:rowOff>219075</xdr:rowOff>
    </xdr:from>
    <xdr:to>
      <xdr:col>13</xdr:col>
      <xdr:colOff>609600</xdr:colOff>
      <xdr:row>37</xdr:row>
      <xdr:rowOff>0</xdr:rowOff>
    </xdr:to>
    <xdr:sp macro="" textlink="">
      <xdr:nvSpPr>
        <xdr:cNvPr id="4379216" name="Line 260">
          <a:extLst>
            <a:ext uri="{FF2B5EF4-FFF2-40B4-BE49-F238E27FC236}">
              <a16:creationId xmlns="" xmlns:a16="http://schemas.microsoft.com/office/drawing/2014/main" id="{00000000-0008-0000-0900-000050D24200}"/>
            </a:ext>
          </a:extLst>
        </xdr:cNvPr>
        <xdr:cNvSpPr>
          <a:spLocks noChangeAspect="1" noChangeShapeType="1"/>
        </xdr:cNvSpPr>
      </xdr:nvSpPr>
      <xdr:spPr bwMode="auto">
        <a:xfrm flipH="1">
          <a:off x="18354675" y="11544300"/>
          <a:ext cx="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476250</xdr:colOff>
      <xdr:row>36</xdr:row>
      <xdr:rowOff>57150</xdr:rowOff>
    </xdr:from>
    <xdr:to>
      <xdr:col>13</xdr:col>
      <xdr:colOff>476250</xdr:colOff>
      <xdr:row>41</xdr:row>
      <xdr:rowOff>257175</xdr:rowOff>
    </xdr:to>
    <xdr:sp macro="" textlink="">
      <xdr:nvSpPr>
        <xdr:cNvPr id="4379217" name="Line 261">
          <a:extLst>
            <a:ext uri="{FF2B5EF4-FFF2-40B4-BE49-F238E27FC236}">
              <a16:creationId xmlns="" xmlns:a16="http://schemas.microsoft.com/office/drawing/2014/main" id="{00000000-0008-0000-0900-000051D24200}"/>
            </a:ext>
          </a:extLst>
        </xdr:cNvPr>
        <xdr:cNvSpPr>
          <a:spLocks noChangeAspect="1" noChangeShapeType="1"/>
        </xdr:cNvSpPr>
      </xdr:nvSpPr>
      <xdr:spPr bwMode="auto">
        <a:xfrm flipH="1">
          <a:off x="18221325" y="11696700"/>
          <a:ext cx="0" cy="1771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276225</xdr:colOff>
      <xdr:row>41</xdr:row>
      <xdr:rowOff>133350</xdr:rowOff>
    </xdr:from>
    <xdr:to>
      <xdr:col>13</xdr:col>
      <xdr:colOff>476250</xdr:colOff>
      <xdr:row>42</xdr:row>
      <xdr:rowOff>95250</xdr:rowOff>
    </xdr:to>
    <xdr:sp macro="" textlink="">
      <xdr:nvSpPr>
        <xdr:cNvPr id="4379218" name="Arc 262">
          <a:extLst>
            <a:ext uri="{FF2B5EF4-FFF2-40B4-BE49-F238E27FC236}">
              <a16:creationId xmlns="" xmlns:a16="http://schemas.microsoft.com/office/drawing/2014/main" id="{00000000-0008-0000-0900-000052D24200}"/>
            </a:ext>
          </a:extLst>
        </xdr:cNvPr>
        <xdr:cNvSpPr>
          <a:spLocks noChangeAspect="1"/>
        </xdr:cNvSpPr>
      </xdr:nvSpPr>
      <xdr:spPr bwMode="auto">
        <a:xfrm rot="5887806">
          <a:off x="17983200" y="13382625"/>
          <a:ext cx="276225" cy="200025"/>
        </a:xfrm>
        <a:custGeom>
          <a:avLst/>
          <a:gdLst>
            <a:gd name="T0" fmla="*/ 2147483647 w 21600"/>
            <a:gd name="T1" fmla="*/ 0 h 18971"/>
            <a:gd name="T2" fmla="*/ 2147483647 w 21600"/>
            <a:gd name="T3" fmla="*/ 2147483647 h 18971"/>
            <a:gd name="T4" fmla="*/ 0 w 21600"/>
            <a:gd name="T5" fmla="*/ 2147483647 h 18971"/>
            <a:gd name="T6" fmla="*/ 0 60000 65536"/>
            <a:gd name="T7" fmla="*/ 0 60000 65536"/>
            <a:gd name="T8" fmla="*/ 0 60000 65536"/>
            <a:gd name="T9" fmla="*/ 0 w 21600"/>
            <a:gd name="T10" fmla="*/ 0 h 18971"/>
            <a:gd name="T11" fmla="*/ 21600 w 21600"/>
            <a:gd name="T12" fmla="*/ 18971 h 18971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18971" fill="none" extrusionOk="0">
              <a:moveTo>
                <a:pt x="10327" y="-1"/>
              </a:moveTo>
              <a:cubicBezTo>
                <a:pt x="17275" y="3782"/>
                <a:pt x="21600" y="11060"/>
                <a:pt x="21600" y="18971"/>
              </a:cubicBezTo>
            </a:path>
            <a:path w="21600" h="18971" stroke="0" extrusionOk="0">
              <a:moveTo>
                <a:pt x="10327" y="-1"/>
              </a:moveTo>
              <a:cubicBezTo>
                <a:pt x="17275" y="3782"/>
                <a:pt x="21600" y="11060"/>
                <a:pt x="21600" y="18971"/>
              </a:cubicBezTo>
              <a:lnTo>
                <a:pt x="0" y="18971"/>
              </a:lnTo>
              <a:lnTo>
                <a:pt x="10327" y="-1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552450</xdr:colOff>
      <xdr:row>23</xdr:row>
      <xdr:rowOff>228600</xdr:rowOff>
    </xdr:from>
    <xdr:to>
      <xdr:col>6</xdr:col>
      <xdr:colOff>552450</xdr:colOff>
      <xdr:row>24</xdr:row>
      <xdr:rowOff>228600</xdr:rowOff>
    </xdr:to>
    <xdr:sp macro="" textlink="">
      <xdr:nvSpPr>
        <xdr:cNvPr id="4379219" name="Line 263">
          <a:extLst>
            <a:ext uri="{FF2B5EF4-FFF2-40B4-BE49-F238E27FC236}">
              <a16:creationId xmlns="" xmlns:a16="http://schemas.microsoft.com/office/drawing/2014/main" id="{00000000-0008-0000-0900-000053D24200}"/>
            </a:ext>
          </a:extLst>
        </xdr:cNvPr>
        <xdr:cNvSpPr>
          <a:spLocks noChangeShapeType="1"/>
        </xdr:cNvSpPr>
      </xdr:nvSpPr>
      <xdr:spPr bwMode="auto">
        <a:xfrm flipV="1">
          <a:off x="12801600" y="778192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485775</xdr:colOff>
      <xdr:row>8</xdr:row>
      <xdr:rowOff>95250</xdr:rowOff>
    </xdr:from>
    <xdr:to>
      <xdr:col>16</xdr:col>
      <xdr:colOff>247650</xdr:colOff>
      <xdr:row>11</xdr:row>
      <xdr:rowOff>228600</xdr:rowOff>
    </xdr:to>
    <xdr:grpSp>
      <xdr:nvGrpSpPr>
        <xdr:cNvPr id="4379220" name="Group 307">
          <a:extLst>
            <a:ext uri="{FF2B5EF4-FFF2-40B4-BE49-F238E27FC236}">
              <a16:creationId xmlns="" xmlns:a16="http://schemas.microsoft.com/office/drawing/2014/main" id="{00000000-0008-0000-0900-000054D24200}"/>
            </a:ext>
          </a:extLst>
        </xdr:cNvPr>
        <xdr:cNvGrpSpPr>
          <a:grpSpLocks/>
        </xdr:cNvGrpSpPr>
      </xdr:nvGrpSpPr>
      <xdr:grpSpPr bwMode="auto">
        <a:xfrm>
          <a:off x="18236911" y="2918114"/>
          <a:ext cx="2550103" cy="1068531"/>
          <a:chOff x="1769" y="284"/>
          <a:chExt cx="268" cy="113"/>
        </a:xfrm>
      </xdr:grpSpPr>
      <xdr:sp macro="" textlink="">
        <xdr:nvSpPr>
          <xdr:cNvPr id="4379221" name="Line 32">
            <a:extLst>
              <a:ext uri="{FF2B5EF4-FFF2-40B4-BE49-F238E27FC236}">
                <a16:creationId xmlns="" xmlns:a16="http://schemas.microsoft.com/office/drawing/2014/main" id="{00000000-0008-0000-0900-000055D2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782" y="284"/>
            <a:ext cx="0" cy="9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9222" name="Line 33">
            <a:extLst>
              <a:ext uri="{FF2B5EF4-FFF2-40B4-BE49-F238E27FC236}">
                <a16:creationId xmlns="" xmlns:a16="http://schemas.microsoft.com/office/drawing/2014/main" id="{00000000-0008-0000-0900-000056D2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2" y="284"/>
            <a:ext cx="0" cy="9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9223" name="Line 34">
            <a:extLst>
              <a:ext uri="{FF2B5EF4-FFF2-40B4-BE49-F238E27FC236}">
                <a16:creationId xmlns="" xmlns:a16="http://schemas.microsoft.com/office/drawing/2014/main" id="{00000000-0008-0000-0900-000057D24200}"/>
              </a:ext>
            </a:extLst>
          </xdr:cNvPr>
          <xdr:cNvSpPr>
            <a:spLocks noChangeShapeType="1"/>
          </xdr:cNvSpPr>
        </xdr:nvSpPr>
        <xdr:spPr bwMode="auto">
          <a:xfrm>
            <a:off x="1783" y="303"/>
            <a:ext cx="23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79224" name="Group 303">
            <a:extLst>
              <a:ext uri="{FF2B5EF4-FFF2-40B4-BE49-F238E27FC236}">
                <a16:creationId xmlns="" xmlns:a16="http://schemas.microsoft.com/office/drawing/2014/main" id="{00000000-0008-0000-0900-000058D24200}"/>
              </a:ext>
            </a:extLst>
          </xdr:cNvPr>
          <xdr:cNvGrpSpPr>
            <a:grpSpLocks/>
          </xdr:cNvGrpSpPr>
        </xdr:nvGrpSpPr>
        <xdr:grpSpPr bwMode="auto">
          <a:xfrm>
            <a:off x="1769" y="362"/>
            <a:ext cx="268" cy="35"/>
            <a:chOff x="1769" y="362"/>
            <a:chExt cx="268" cy="35"/>
          </a:xfrm>
        </xdr:grpSpPr>
        <xdr:sp macro="" textlink="">
          <xdr:nvSpPr>
            <xdr:cNvPr id="4379225" name="Line 14">
              <a:extLst>
                <a:ext uri="{FF2B5EF4-FFF2-40B4-BE49-F238E27FC236}">
                  <a16:creationId xmlns="" xmlns:a16="http://schemas.microsoft.com/office/drawing/2014/main" id="{00000000-0008-0000-0900-000059D2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769" y="364"/>
              <a:ext cx="15" cy="33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9226" name="Line 45">
              <a:extLst>
                <a:ext uri="{FF2B5EF4-FFF2-40B4-BE49-F238E27FC236}">
                  <a16:creationId xmlns="" xmlns:a16="http://schemas.microsoft.com/office/drawing/2014/main" id="{00000000-0008-0000-0900-00005AD2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2023" y="364"/>
              <a:ext cx="14" cy="3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9227" name="Group 286">
              <a:extLst>
                <a:ext uri="{FF2B5EF4-FFF2-40B4-BE49-F238E27FC236}">
                  <a16:creationId xmlns="" xmlns:a16="http://schemas.microsoft.com/office/drawing/2014/main" id="{00000000-0008-0000-0900-00005BD2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784" y="364"/>
              <a:ext cx="95" cy="33"/>
              <a:chOff x="1784" y="364"/>
              <a:chExt cx="95" cy="33"/>
            </a:xfrm>
          </xdr:grpSpPr>
          <xdr:grpSp>
            <xdr:nvGrpSpPr>
              <xdr:cNvPr id="4379243" name="Group 270">
                <a:extLst>
                  <a:ext uri="{FF2B5EF4-FFF2-40B4-BE49-F238E27FC236}">
                    <a16:creationId xmlns="" xmlns:a16="http://schemas.microsoft.com/office/drawing/2014/main" id="{00000000-0008-0000-0900-00006BD2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784" y="364"/>
                <a:ext cx="48" cy="33"/>
                <a:chOff x="1784" y="364"/>
                <a:chExt cx="48" cy="33"/>
              </a:xfrm>
            </xdr:grpSpPr>
            <xdr:sp macro="" textlink="">
              <xdr:nvSpPr>
                <xdr:cNvPr id="4379249" name="Line 15">
                  <a:extLst>
                    <a:ext uri="{FF2B5EF4-FFF2-40B4-BE49-F238E27FC236}">
                      <a16:creationId xmlns="" xmlns:a16="http://schemas.microsoft.com/office/drawing/2014/main" id="{00000000-0008-0000-0900-000071D2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1784" y="364"/>
                  <a:ext cx="12" cy="3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9250" name="Line 16">
                  <a:extLst>
                    <a:ext uri="{FF2B5EF4-FFF2-40B4-BE49-F238E27FC236}">
                      <a16:creationId xmlns="" xmlns:a16="http://schemas.microsoft.com/office/drawing/2014/main" id="{00000000-0008-0000-0900-000072D2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1796" y="364"/>
                  <a:ext cx="13" cy="3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9251" name="Line 17">
                  <a:extLst>
                    <a:ext uri="{FF2B5EF4-FFF2-40B4-BE49-F238E27FC236}">
                      <a16:creationId xmlns="" xmlns:a16="http://schemas.microsoft.com/office/drawing/2014/main" id="{00000000-0008-0000-0900-000073D2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1809" y="364"/>
                  <a:ext cx="11" cy="3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9252" name="Line 18">
                  <a:extLst>
                    <a:ext uri="{FF2B5EF4-FFF2-40B4-BE49-F238E27FC236}">
                      <a16:creationId xmlns="" xmlns:a16="http://schemas.microsoft.com/office/drawing/2014/main" id="{00000000-0008-0000-0900-000074D2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1820" y="364"/>
                  <a:ext cx="12" cy="3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  <xdr:grpSp>
            <xdr:nvGrpSpPr>
              <xdr:cNvPr id="4379244" name="Group 271">
                <a:extLst>
                  <a:ext uri="{FF2B5EF4-FFF2-40B4-BE49-F238E27FC236}">
                    <a16:creationId xmlns="" xmlns:a16="http://schemas.microsoft.com/office/drawing/2014/main" id="{00000000-0008-0000-0900-00006CD2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831" y="364"/>
                <a:ext cx="48" cy="33"/>
                <a:chOff x="1784" y="364"/>
                <a:chExt cx="48" cy="33"/>
              </a:xfrm>
            </xdr:grpSpPr>
            <xdr:sp macro="" textlink="">
              <xdr:nvSpPr>
                <xdr:cNvPr id="4379245" name="Line 272">
                  <a:extLst>
                    <a:ext uri="{FF2B5EF4-FFF2-40B4-BE49-F238E27FC236}">
                      <a16:creationId xmlns="" xmlns:a16="http://schemas.microsoft.com/office/drawing/2014/main" id="{00000000-0008-0000-0900-00006DD2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1784" y="364"/>
                  <a:ext cx="12" cy="3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9246" name="Line 273">
                  <a:extLst>
                    <a:ext uri="{FF2B5EF4-FFF2-40B4-BE49-F238E27FC236}">
                      <a16:creationId xmlns="" xmlns:a16="http://schemas.microsoft.com/office/drawing/2014/main" id="{00000000-0008-0000-0900-00006ED2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1796" y="364"/>
                  <a:ext cx="13" cy="3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9247" name="Line 274">
                  <a:extLst>
                    <a:ext uri="{FF2B5EF4-FFF2-40B4-BE49-F238E27FC236}">
                      <a16:creationId xmlns="" xmlns:a16="http://schemas.microsoft.com/office/drawing/2014/main" id="{00000000-0008-0000-0900-00006FD2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1809" y="364"/>
                  <a:ext cx="11" cy="3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9248" name="Line 275">
                  <a:extLst>
                    <a:ext uri="{FF2B5EF4-FFF2-40B4-BE49-F238E27FC236}">
                      <a16:creationId xmlns="" xmlns:a16="http://schemas.microsoft.com/office/drawing/2014/main" id="{00000000-0008-0000-0900-000070D2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>
                  <a:off x="1820" y="364"/>
                  <a:ext cx="12" cy="3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4379228" name="Group 288">
              <a:extLst>
                <a:ext uri="{FF2B5EF4-FFF2-40B4-BE49-F238E27FC236}">
                  <a16:creationId xmlns="" xmlns:a16="http://schemas.microsoft.com/office/drawing/2014/main" id="{00000000-0008-0000-0900-00005CD2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880" y="363"/>
              <a:ext cx="48" cy="33"/>
              <a:chOff x="1784" y="364"/>
              <a:chExt cx="48" cy="33"/>
            </a:xfrm>
          </xdr:grpSpPr>
          <xdr:sp macro="" textlink="">
            <xdr:nvSpPr>
              <xdr:cNvPr id="4379239" name="Line 289">
                <a:extLst>
                  <a:ext uri="{FF2B5EF4-FFF2-40B4-BE49-F238E27FC236}">
                    <a16:creationId xmlns="" xmlns:a16="http://schemas.microsoft.com/office/drawing/2014/main" id="{00000000-0008-0000-0900-000067D2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1784" y="364"/>
                <a:ext cx="12" cy="3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40" name="Line 290">
                <a:extLst>
                  <a:ext uri="{FF2B5EF4-FFF2-40B4-BE49-F238E27FC236}">
                    <a16:creationId xmlns="" xmlns:a16="http://schemas.microsoft.com/office/drawing/2014/main" id="{00000000-0008-0000-0900-000068D2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796" y="364"/>
                <a:ext cx="13" cy="3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41" name="Line 291">
                <a:extLst>
                  <a:ext uri="{FF2B5EF4-FFF2-40B4-BE49-F238E27FC236}">
                    <a16:creationId xmlns="" xmlns:a16="http://schemas.microsoft.com/office/drawing/2014/main" id="{00000000-0008-0000-0900-000069D2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1809" y="364"/>
                <a:ext cx="11" cy="3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42" name="Line 292">
                <a:extLst>
                  <a:ext uri="{FF2B5EF4-FFF2-40B4-BE49-F238E27FC236}">
                    <a16:creationId xmlns="" xmlns:a16="http://schemas.microsoft.com/office/drawing/2014/main" id="{00000000-0008-0000-0900-00006AD2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820" y="364"/>
                <a:ext cx="12" cy="3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379229" name="Group 293">
              <a:extLst>
                <a:ext uri="{FF2B5EF4-FFF2-40B4-BE49-F238E27FC236}">
                  <a16:creationId xmlns="" xmlns:a16="http://schemas.microsoft.com/office/drawing/2014/main" id="{00000000-0008-0000-0900-00005DD2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927" y="363"/>
              <a:ext cx="48" cy="33"/>
              <a:chOff x="1784" y="364"/>
              <a:chExt cx="48" cy="33"/>
            </a:xfrm>
          </xdr:grpSpPr>
          <xdr:sp macro="" textlink="">
            <xdr:nvSpPr>
              <xdr:cNvPr id="4379235" name="Line 294">
                <a:extLst>
                  <a:ext uri="{FF2B5EF4-FFF2-40B4-BE49-F238E27FC236}">
                    <a16:creationId xmlns="" xmlns:a16="http://schemas.microsoft.com/office/drawing/2014/main" id="{00000000-0008-0000-0900-000063D2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1784" y="364"/>
                <a:ext cx="12" cy="3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36" name="Line 295">
                <a:extLst>
                  <a:ext uri="{FF2B5EF4-FFF2-40B4-BE49-F238E27FC236}">
                    <a16:creationId xmlns="" xmlns:a16="http://schemas.microsoft.com/office/drawing/2014/main" id="{00000000-0008-0000-0900-000064D2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796" y="364"/>
                <a:ext cx="13" cy="3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37" name="Line 296">
                <a:extLst>
                  <a:ext uri="{FF2B5EF4-FFF2-40B4-BE49-F238E27FC236}">
                    <a16:creationId xmlns="" xmlns:a16="http://schemas.microsoft.com/office/drawing/2014/main" id="{00000000-0008-0000-0900-000065D2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1809" y="364"/>
                <a:ext cx="11" cy="3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38" name="Line 297">
                <a:extLst>
                  <a:ext uri="{FF2B5EF4-FFF2-40B4-BE49-F238E27FC236}">
                    <a16:creationId xmlns="" xmlns:a16="http://schemas.microsoft.com/office/drawing/2014/main" id="{00000000-0008-0000-0900-000066D2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820" y="364"/>
                <a:ext cx="12" cy="3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379230" name="Group 298">
              <a:extLst>
                <a:ext uri="{FF2B5EF4-FFF2-40B4-BE49-F238E27FC236}">
                  <a16:creationId xmlns="" xmlns:a16="http://schemas.microsoft.com/office/drawing/2014/main" id="{00000000-0008-0000-0900-00005ED2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975" y="362"/>
              <a:ext cx="48" cy="33"/>
              <a:chOff x="1784" y="364"/>
              <a:chExt cx="48" cy="33"/>
            </a:xfrm>
          </xdr:grpSpPr>
          <xdr:sp macro="" textlink="">
            <xdr:nvSpPr>
              <xdr:cNvPr id="4379231" name="Line 299">
                <a:extLst>
                  <a:ext uri="{FF2B5EF4-FFF2-40B4-BE49-F238E27FC236}">
                    <a16:creationId xmlns="" xmlns:a16="http://schemas.microsoft.com/office/drawing/2014/main" id="{00000000-0008-0000-0900-00005FD2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1784" y="364"/>
                <a:ext cx="12" cy="3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32" name="Line 300">
                <a:extLst>
                  <a:ext uri="{FF2B5EF4-FFF2-40B4-BE49-F238E27FC236}">
                    <a16:creationId xmlns="" xmlns:a16="http://schemas.microsoft.com/office/drawing/2014/main" id="{00000000-0008-0000-0900-000060D2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796" y="364"/>
                <a:ext cx="13" cy="3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33" name="Line 301">
                <a:extLst>
                  <a:ext uri="{FF2B5EF4-FFF2-40B4-BE49-F238E27FC236}">
                    <a16:creationId xmlns="" xmlns:a16="http://schemas.microsoft.com/office/drawing/2014/main" id="{00000000-0008-0000-0900-000061D2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1809" y="364"/>
                <a:ext cx="11" cy="3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9234" name="Line 302">
                <a:extLst>
                  <a:ext uri="{FF2B5EF4-FFF2-40B4-BE49-F238E27FC236}">
                    <a16:creationId xmlns="" xmlns:a16="http://schemas.microsoft.com/office/drawing/2014/main" id="{00000000-0008-0000-0900-000062D2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820" y="364"/>
                <a:ext cx="12" cy="3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48</xdr:row>
      <xdr:rowOff>0</xdr:rowOff>
    </xdr:from>
    <xdr:to>
      <xdr:col>4</xdr:col>
      <xdr:colOff>352425</xdr:colOff>
      <xdr:row>55</xdr:row>
      <xdr:rowOff>0</xdr:rowOff>
    </xdr:to>
    <xdr:sp macro="" textlink="">
      <xdr:nvSpPr>
        <xdr:cNvPr id="4375257" name="Line 29">
          <a:extLst>
            <a:ext uri="{FF2B5EF4-FFF2-40B4-BE49-F238E27FC236}">
              <a16:creationId xmlns="" xmlns:a16="http://schemas.microsoft.com/office/drawing/2014/main" id="{00000000-0008-0000-0A00-0000D9C24200}"/>
            </a:ext>
          </a:extLst>
        </xdr:cNvPr>
        <xdr:cNvSpPr>
          <a:spLocks noChangeShapeType="1"/>
        </xdr:cNvSpPr>
      </xdr:nvSpPr>
      <xdr:spPr bwMode="auto">
        <a:xfrm>
          <a:off x="9972675" y="18335625"/>
          <a:ext cx="0" cy="2066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381000</xdr:colOff>
      <xdr:row>32</xdr:row>
      <xdr:rowOff>171450</xdr:rowOff>
    </xdr:from>
    <xdr:to>
      <xdr:col>10</xdr:col>
      <xdr:colOff>476250</xdr:colOff>
      <xdr:row>50</xdr:row>
      <xdr:rowOff>95250</xdr:rowOff>
    </xdr:to>
    <xdr:grpSp>
      <xdr:nvGrpSpPr>
        <xdr:cNvPr id="4375258" name="Group 140">
          <a:extLst>
            <a:ext uri="{FF2B5EF4-FFF2-40B4-BE49-F238E27FC236}">
              <a16:creationId xmlns="" xmlns:a16="http://schemas.microsoft.com/office/drawing/2014/main" id="{00000000-0008-0000-0A00-0000DAC24200}"/>
            </a:ext>
          </a:extLst>
        </xdr:cNvPr>
        <xdr:cNvGrpSpPr>
          <a:grpSpLocks/>
        </xdr:cNvGrpSpPr>
      </xdr:nvGrpSpPr>
      <xdr:grpSpPr bwMode="auto">
        <a:xfrm>
          <a:off x="14859000" y="12720638"/>
          <a:ext cx="95250" cy="5948362"/>
          <a:chOff x="621" y="908"/>
          <a:chExt cx="19" cy="457"/>
        </a:xfrm>
      </xdr:grpSpPr>
      <xdr:sp macro="" textlink="">
        <xdr:nvSpPr>
          <xdr:cNvPr id="4375550" name="Freeform 141">
            <a:extLst>
              <a:ext uri="{FF2B5EF4-FFF2-40B4-BE49-F238E27FC236}">
                <a16:creationId xmlns="" xmlns:a16="http://schemas.microsoft.com/office/drawing/2014/main" id="{00000000-0008-0000-0A00-0000FEC34200}"/>
              </a:ext>
            </a:extLst>
          </xdr:cNvPr>
          <xdr:cNvSpPr>
            <a:spLocks/>
          </xdr:cNvSpPr>
        </xdr:nvSpPr>
        <xdr:spPr bwMode="auto">
          <a:xfrm>
            <a:off x="621" y="908"/>
            <a:ext cx="18" cy="28"/>
          </a:xfrm>
          <a:custGeom>
            <a:avLst/>
            <a:gdLst>
              <a:gd name="T0" fmla="*/ 0 w 20"/>
              <a:gd name="T1" fmla="*/ 5 h 31"/>
              <a:gd name="T2" fmla="*/ 2 w 20"/>
              <a:gd name="T3" fmla="*/ 5 h 31"/>
              <a:gd name="T4" fmla="*/ 5 w 20"/>
              <a:gd name="T5" fmla="*/ 1 h 31"/>
              <a:gd name="T6" fmla="*/ 5 w 20"/>
              <a:gd name="T7" fmla="*/ 5 h 31"/>
              <a:gd name="T8" fmla="*/ 5 w 20"/>
              <a:gd name="T9" fmla="*/ 5 h 31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20"/>
              <a:gd name="T16" fmla="*/ 0 h 31"/>
              <a:gd name="T17" fmla="*/ 20 w 20"/>
              <a:gd name="T18" fmla="*/ 31 h 31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20" h="31">
                <a:moveTo>
                  <a:pt x="0" y="31"/>
                </a:moveTo>
                <a:cubicBezTo>
                  <a:pt x="0" y="21"/>
                  <a:pt x="0" y="12"/>
                  <a:pt x="2" y="7"/>
                </a:cubicBezTo>
                <a:cubicBezTo>
                  <a:pt x="4" y="2"/>
                  <a:pt x="9" y="0"/>
                  <a:pt x="12" y="1"/>
                </a:cubicBezTo>
                <a:cubicBezTo>
                  <a:pt x="15" y="2"/>
                  <a:pt x="18" y="7"/>
                  <a:pt x="19" y="12"/>
                </a:cubicBezTo>
                <a:cubicBezTo>
                  <a:pt x="20" y="17"/>
                  <a:pt x="19" y="26"/>
                  <a:pt x="19" y="29"/>
                </a:cubicBezTo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5551" name="Freeform 142">
            <a:extLst>
              <a:ext uri="{FF2B5EF4-FFF2-40B4-BE49-F238E27FC236}">
                <a16:creationId xmlns="" xmlns:a16="http://schemas.microsoft.com/office/drawing/2014/main" id="{00000000-0008-0000-0A00-0000FFC34200}"/>
              </a:ext>
            </a:extLst>
          </xdr:cNvPr>
          <xdr:cNvSpPr>
            <a:spLocks/>
          </xdr:cNvSpPr>
        </xdr:nvSpPr>
        <xdr:spPr bwMode="auto">
          <a:xfrm rot="10800000">
            <a:off x="621" y="1337"/>
            <a:ext cx="18" cy="28"/>
          </a:xfrm>
          <a:custGeom>
            <a:avLst/>
            <a:gdLst>
              <a:gd name="T0" fmla="*/ 0 w 20"/>
              <a:gd name="T1" fmla="*/ 5 h 31"/>
              <a:gd name="T2" fmla="*/ 2 w 20"/>
              <a:gd name="T3" fmla="*/ 5 h 31"/>
              <a:gd name="T4" fmla="*/ 5 w 20"/>
              <a:gd name="T5" fmla="*/ 1 h 31"/>
              <a:gd name="T6" fmla="*/ 5 w 20"/>
              <a:gd name="T7" fmla="*/ 5 h 31"/>
              <a:gd name="T8" fmla="*/ 5 w 20"/>
              <a:gd name="T9" fmla="*/ 5 h 31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20"/>
              <a:gd name="T16" fmla="*/ 0 h 31"/>
              <a:gd name="T17" fmla="*/ 20 w 20"/>
              <a:gd name="T18" fmla="*/ 31 h 31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20" h="31">
                <a:moveTo>
                  <a:pt x="0" y="31"/>
                </a:moveTo>
                <a:cubicBezTo>
                  <a:pt x="0" y="21"/>
                  <a:pt x="0" y="12"/>
                  <a:pt x="2" y="7"/>
                </a:cubicBezTo>
                <a:cubicBezTo>
                  <a:pt x="4" y="2"/>
                  <a:pt x="9" y="0"/>
                  <a:pt x="12" y="1"/>
                </a:cubicBezTo>
                <a:cubicBezTo>
                  <a:pt x="15" y="2"/>
                  <a:pt x="18" y="7"/>
                  <a:pt x="19" y="12"/>
                </a:cubicBezTo>
                <a:cubicBezTo>
                  <a:pt x="20" y="17"/>
                  <a:pt x="19" y="26"/>
                  <a:pt x="19" y="29"/>
                </a:cubicBezTo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7056" name="Line 143">
            <a:extLst>
              <a:ext uri="{FF2B5EF4-FFF2-40B4-BE49-F238E27FC236}">
                <a16:creationId xmlns="" xmlns:a16="http://schemas.microsoft.com/office/drawing/2014/main" id="{00000000-0008-0000-0A00-000000184300}"/>
              </a:ext>
            </a:extLst>
          </xdr:cNvPr>
          <xdr:cNvSpPr>
            <a:spLocks noChangeShapeType="1"/>
          </xdr:cNvSpPr>
        </xdr:nvSpPr>
        <xdr:spPr bwMode="auto">
          <a:xfrm>
            <a:off x="622" y="934"/>
            <a:ext cx="0" cy="16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7057" name="Line 144">
            <a:extLst>
              <a:ext uri="{FF2B5EF4-FFF2-40B4-BE49-F238E27FC236}">
                <a16:creationId xmlns="" xmlns:a16="http://schemas.microsoft.com/office/drawing/2014/main" id="{00000000-0008-0000-0A00-000001184300}"/>
              </a:ext>
            </a:extLst>
          </xdr:cNvPr>
          <xdr:cNvSpPr>
            <a:spLocks noChangeShapeType="1"/>
          </xdr:cNvSpPr>
        </xdr:nvSpPr>
        <xdr:spPr bwMode="auto">
          <a:xfrm>
            <a:off x="640" y="930"/>
            <a:ext cx="0" cy="16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7058" name="Line 145">
            <a:extLst>
              <a:ext uri="{FF2B5EF4-FFF2-40B4-BE49-F238E27FC236}">
                <a16:creationId xmlns="" xmlns:a16="http://schemas.microsoft.com/office/drawing/2014/main" id="{00000000-0008-0000-0A00-000002184300}"/>
              </a:ext>
            </a:extLst>
          </xdr:cNvPr>
          <xdr:cNvSpPr>
            <a:spLocks noChangeShapeType="1"/>
          </xdr:cNvSpPr>
        </xdr:nvSpPr>
        <xdr:spPr bwMode="auto">
          <a:xfrm>
            <a:off x="622" y="1184"/>
            <a:ext cx="0" cy="1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7059" name="Line 146">
            <a:extLst>
              <a:ext uri="{FF2B5EF4-FFF2-40B4-BE49-F238E27FC236}">
                <a16:creationId xmlns="" xmlns:a16="http://schemas.microsoft.com/office/drawing/2014/main" id="{00000000-0008-0000-0A00-000003184300}"/>
              </a:ext>
            </a:extLst>
          </xdr:cNvPr>
          <xdr:cNvSpPr>
            <a:spLocks noChangeShapeType="1"/>
          </xdr:cNvSpPr>
        </xdr:nvSpPr>
        <xdr:spPr bwMode="auto">
          <a:xfrm>
            <a:off x="639" y="1182"/>
            <a:ext cx="0" cy="1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7060" name="Line 147">
            <a:extLst>
              <a:ext uri="{FF2B5EF4-FFF2-40B4-BE49-F238E27FC236}">
                <a16:creationId xmlns="" xmlns:a16="http://schemas.microsoft.com/office/drawing/2014/main" id="{00000000-0008-0000-0A00-000004184300}"/>
              </a:ext>
            </a:extLst>
          </xdr:cNvPr>
          <xdr:cNvSpPr>
            <a:spLocks noChangeShapeType="1"/>
          </xdr:cNvSpPr>
        </xdr:nvSpPr>
        <xdr:spPr bwMode="auto">
          <a:xfrm>
            <a:off x="621" y="1097"/>
            <a:ext cx="18" cy="8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10</xdr:col>
      <xdr:colOff>438150</xdr:colOff>
      <xdr:row>41</xdr:row>
      <xdr:rowOff>76200</xdr:rowOff>
    </xdr:from>
    <xdr:to>
      <xdr:col>10</xdr:col>
      <xdr:colOff>504825</xdr:colOff>
      <xdr:row>42</xdr:row>
      <xdr:rowOff>285750</xdr:rowOff>
    </xdr:to>
    <xdr:sp macro="" textlink="">
      <xdr:nvSpPr>
        <xdr:cNvPr id="4375259" name="Line 148">
          <a:extLst>
            <a:ext uri="{FF2B5EF4-FFF2-40B4-BE49-F238E27FC236}">
              <a16:creationId xmlns="" xmlns:a16="http://schemas.microsoft.com/office/drawing/2014/main" id="{00000000-0008-0000-0A00-0000DBC24200}"/>
            </a:ext>
          </a:extLst>
        </xdr:cNvPr>
        <xdr:cNvSpPr>
          <a:spLocks noChangeShapeType="1"/>
        </xdr:cNvSpPr>
      </xdr:nvSpPr>
      <xdr:spPr bwMode="auto">
        <a:xfrm flipH="1">
          <a:off x="14973300" y="16240125"/>
          <a:ext cx="66675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409575</xdr:colOff>
      <xdr:row>43</xdr:row>
      <xdr:rowOff>0</xdr:rowOff>
    </xdr:from>
    <xdr:to>
      <xdr:col>10</xdr:col>
      <xdr:colOff>457200</xdr:colOff>
      <xdr:row>44</xdr:row>
      <xdr:rowOff>171450</xdr:rowOff>
    </xdr:to>
    <xdr:sp macro="" textlink="">
      <xdr:nvSpPr>
        <xdr:cNvPr id="4375260" name="Line 149">
          <a:extLst>
            <a:ext uri="{FF2B5EF4-FFF2-40B4-BE49-F238E27FC236}">
              <a16:creationId xmlns="" xmlns:a16="http://schemas.microsoft.com/office/drawing/2014/main" id="{00000000-0008-0000-0A00-0000DCC24200}"/>
            </a:ext>
          </a:extLst>
        </xdr:cNvPr>
        <xdr:cNvSpPr>
          <a:spLocks noChangeShapeType="1"/>
        </xdr:cNvSpPr>
      </xdr:nvSpPr>
      <xdr:spPr bwMode="auto">
        <a:xfrm flipV="1">
          <a:off x="14944725" y="16868775"/>
          <a:ext cx="47625" cy="600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266700</xdr:colOff>
      <xdr:row>37</xdr:row>
      <xdr:rowOff>38100</xdr:rowOff>
    </xdr:from>
    <xdr:to>
      <xdr:col>12</xdr:col>
      <xdr:colOff>352425</xdr:colOff>
      <xdr:row>38</xdr:row>
      <xdr:rowOff>161925</xdr:rowOff>
    </xdr:to>
    <xdr:sp macro="" textlink="">
      <xdr:nvSpPr>
        <xdr:cNvPr id="4375261" name="Text Box 150">
          <a:extLst>
            <a:ext uri="{FF2B5EF4-FFF2-40B4-BE49-F238E27FC236}">
              <a16:creationId xmlns="" xmlns:a16="http://schemas.microsoft.com/office/drawing/2014/main" id="{00000000-0008-0000-0A00-0000DDC24200}"/>
            </a:ext>
          </a:extLst>
        </xdr:cNvPr>
        <xdr:cNvSpPr txBox="1">
          <a:spLocks noChangeArrowheads="1"/>
        </xdr:cNvSpPr>
      </xdr:nvSpPr>
      <xdr:spPr bwMode="auto">
        <a:xfrm>
          <a:off x="15411450" y="14582775"/>
          <a:ext cx="800100" cy="628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10</xdr:col>
      <xdr:colOff>409575</xdr:colOff>
      <xdr:row>48</xdr:row>
      <xdr:rowOff>190500</xdr:rowOff>
    </xdr:from>
    <xdr:to>
      <xdr:col>12</xdr:col>
      <xdr:colOff>428625</xdr:colOff>
      <xdr:row>50</xdr:row>
      <xdr:rowOff>142875</xdr:rowOff>
    </xdr:to>
    <xdr:sp macro="" textlink="">
      <xdr:nvSpPr>
        <xdr:cNvPr id="15" name="Text Box 151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 txBox="1">
          <a:spLocks noChangeArrowheads="1"/>
        </xdr:cNvSpPr>
      </xdr:nvSpPr>
      <xdr:spPr bwMode="auto">
        <a:xfrm>
          <a:off x="14944725" y="18526125"/>
          <a:ext cx="1343025" cy="428625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vertOverflow="clip" wrap="square" lIns="45720" tIns="41148" rIns="45720" bIns="41148" anchor="ctr" upright="1"/>
        <a:lstStyle/>
        <a:p>
          <a:pPr algn="ctr" rtl="0">
            <a:defRPr sz="1000"/>
          </a:pPr>
          <a:r>
            <a:rPr lang="it-IT" sz="2000" b="1" i="0" strike="noStrike">
              <a:solidFill>
                <a:srgbClr val="000000"/>
              </a:solidFill>
              <a:latin typeface="Futura Lt BT"/>
            </a:rPr>
            <a:t>Bianco</a:t>
          </a:r>
        </a:p>
      </xdr:txBody>
    </xdr:sp>
    <xdr:clientData/>
  </xdr:twoCellAnchor>
  <xdr:twoCellAnchor>
    <xdr:from>
      <xdr:col>10</xdr:col>
      <xdr:colOff>428625</xdr:colOff>
      <xdr:row>35</xdr:row>
      <xdr:rowOff>0</xdr:rowOff>
    </xdr:from>
    <xdr:to>
      <xdr:col>12</xdr:col>
      <xdr:colOff>476250</xdr:colOff>
      <xdr:row>36</xdr:row>
      <xdr:rowOff>19050</xdr:rowOff>
    </xdr:to>
    <xdr:sp macro="" textlink="">
      <xdr:nvSpPr>
        <xdr:cNvPr id="16" name="Text Box 152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 txBox="1">
          <a:spLocks noChangeArrowheads="1"/>
        </xdr:cNvSpPr>
      </xdr:nvSpPr>
      <xdr:spPr bwMode="auto">
        <a:xfrm>
          <a:off x="14963775" y="13763625"/>
          <a:ext cx="137160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41148" rIns="45720" bIns="41148" anchor="ctr" upright="1"/>
        <a:lstStyle/>
        <a:p>
          <a:pPr algn="ctr" rtl="0">
            <a:defRPr sz="1000"/>
          </a:pPr>
          <a:r>
            <a:rPr lang="it-IT" sz="2000" b="1" i="0" strike="noStrike">
              <a:solidFill>
                <a:srgbClr val="000000"/>
              </a:solidFill>
              <a:latin typeface="Futura Lt BT"/>
            </a:rPr>
            <a:t>Giallo</a:t>
          </a:r>
        </a:p>
      </xdr:txBody>
    </xdr:sp>
    <xdr:clientData/>
  </xdr:twoCellAnchor>
  <xdr:twoCellAnchor>
    <xdr:from>
      <xdr:col>11</xdr:col>
      <xdr:colOff>0</xdr:colOff>
      <xdr:row>31</xdr:row>
      <xdr:rowOff>114300</xdr:rowOff>
    </xdr:from>
    <xdr:to>
      <xdr:col>12</xdr:col>
      <xdr:colOff>504825</xdr:colOff>
      <xdr:row>33</xdr:row>
      <xdr:rowOff>0</xdr:rowOff>
    </xdr:to>
    <xdr:sp macro="" textlink="">
      <xdr:nvSpPr>
        <xdr:cNvPr id="17" name="Text Box 153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 txBox="1">
          <a:spLocks noChangeArrowheads="1"/>
        </xdr:cNvSpPr>
      </xdr:nvSpPr>
      <xdr:spPr bwMode="auto">
        <a:xfrm>
          <a:off x="15144750" y="12553950"/>
          <a:ext cx="1219200" cy="628650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vertOverflow="clip" wrap="square" lIns="45720" tIns="41148" rIns="45720" bIns="41148" anchor="ctr" upright="1"/>
        <a:lstStyle/>
        <a:p>
          <a:pPr algn="ctr" rtl="0">
            <a:defRPr sz="1000"/>
          </a:pPr>
          <a:r>
            <a:rPr lang="it-IT" sz="2000" b="1" i="0" strike="noStrike">
              <a:solidFill>
                <a:srgbClr val="000000"/>
              </a:solidFill>
              <a:latin typeface="Futura Lt BT"/>
            </a:rPr>
            <a:t>Rosso</a:t>
          </a:r>
        </a:p>
      </xdr:txBody>
    </xdr:sp>
    <xdr:clientData/>
  </xdr:twoCellAnchor>
  <xdr:twoCellAnchor>
    <xdr:from>
      <xdr:col>17</xdr:col>
      <xdr:colOff>409575</xdr:colOff>
      <xdr:row>32</xdr:row>
      <xdr:rowOff>28575</xdr:rowOff>
    </xdr:from>
    <xdr:to>
      <xdr:col>17</xdr:col>
      <xdr:colOff>571500</xdr:colOff>
      <xdr:row>33</xdr:row>
      <xdr:rowOff>57150</xdr:rowOff>
    </xdr:to>
    <xdr:sp macro="" textlink="">
      <xdr:nvSpPr>
        <xdr:cNvPr id="4375265" name="Freeform 154">
          <a:extLst>
            <a:ext uri="{FF2B5EF4-FFF2-40B4-BE49-F238E27FC236}">
              <a16:creationId xmlns="" xmlns:a16="http://schemas.microsoft.com/office/drawing/2014/main" id="{00000000-0008-0000-0A00-0000E1C24200}"/>
            </a:ext>
          </a:extLst>
        </xdr:cNvPr>
        <xdr:cNvSpPr>
          <a:spLocks/>
        </xdr:cNvSpPr>
      </xdr:nvSpPr>
      <xdr:spPr bwMode="auto">
        <a:xfrm>
          <a:off x="21088350" y="12820650"/>
          <a:ext cx="161925" cy="419100"/>
        </a:xfrm>
        <a:custGeom>
          <a:avLst/>
          <a:gdLst>
            <a:gd name="T0" fmla="*/ 0 w 20"/>
            <a:gd name="T1" fmla="*/ 2147483647 h 31"/>
            <a:gd name="T2" fmla="*/ 2147483647 w 20"/>
            <a:gd name="T3" fmla="*/ 2147483647 h 31"/>
            <a:gd name="T4" fmla="*/ 2147483647 w 20"/>
            <a:gd name="T5" fmla="*/ 2147483647 h 31"/>
            <a:gd name="T6" fmla="*/ 2147483647 w 20"/>
            <a:gd name="T7" fmla="*/ 2147483647 h 31"/>
            <a:gd name="T8" fmla="*/ 2147483647 w 20"/>
            <a:gd name="T9" fmla="*/ 2147483647 h 3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1"/>
            <a:gd name="T17" fmla="*/ 20 w 20"/>
            <a:gd name="T18" fmla="*/ 31 h 3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1">
              <a:moveTo>
                <a:pt x="0" y="31"/>
              </a:moveTo>
              <a:cubicBezTo>
                <a:pt x="0" y="21"/>
                <a:pt x="0" y="12"/>
                <a:pt x="2" y="7"/>
              </a:cubicBezTo>
              <a:cubicBezTo>
                <a:pt x="4" y="2"/>
                <a:pt x="9" y="0"/>
                <a:pt x="12" y="1"/>
              </a:cubicBezTo>
              <a:cubicBezTo>
                <a:pt x="15" y="2"/>
                <a:pt x="18" y="7"/>
                <a:pt x="19" y="12"/>
              </a:cubicBezTo>
              <a:cubicBezTo>
                <a:pt x="20" y="17"/>
                <a:pt x="19" y="26"/>
                <a:pt x="19" y="29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409575</xdr:colOff>
      <xdr:row>48</xdr:row>
      <xdr:rowOff>152400</xdr:rowOff>
    </xdr:from>
    <xdr:to>
      <xdr:col>17</xdr:col>
      <xdr:colOff>571500</xdr:colOff>
      <xdr:row>49</xdr:row>
      <xdr:rowOff>180975</xdr:rowOff>
    </xdr:to>
    <xdr:sp macro="" textlink="">
      <xdr:nvSpPr>
        <xdr:cNvPr id="4375266" name="Freeform 155">
          <a:extLst>
            <a:ext uri="{FF2B5EF4-FFF2-40B4-BE49-F238E27FC236}">
              <a16:creationId xmlns="" xmlns:a16="http://schemas.microsoft.com/office/drawing/2014/main" id="{00000000-0008-0000-0A00-0000E2C24200}"/>
            </a:ext>
          </a:extLst>
        </xdr:cNvPr>
        <xdr:cNvSpPr>
          <a:spLocks/>
        </xdr:cNvSpPr>
      </xdr:nvSpPr>
      <xdr:spPr bwMode="auto">
        <a:xfrm rot="10800000">
          <a:off x="21088350" y="18488025"/>
          <a:ext cx="161925" cy="266700"/>
        </a:xfrm>
        <a:custGeom>
          <a:avLst/>
          <a:gdLst>
            <a:gd name="T0" fmla="*/ 0 w 20"/>
            <a:gd name="T1" fmla="*/ 2147483647 h 31"/>
            <a:gd name="T2" fmla="*/ 2147483647 w 20"/>
            <a:gd name="T3" fmla="*/ 2147483647 h 31"/>
            <a:gd name="T4" fmla="*/ 2147483647 w 20"/>
            <a:gd name="T5" fmla="*/ 2147483647 h 31"/>
            <a:gd name="T6" fmla="*/ 2147483647 w 20"/>
            <a:gd name="T7" fmla="*/ 2147483647 h 31"/>
            <a:gd name="T8" fmla="*/ 2147483647 w 20"/>
            <a:gd name="T9" fmla="*/ 2147483647 h 3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1"/>
            <a:gd name="T17" fmla="*/ 20 w 20"/>
            <a:gd name="T18" fmla="*/ 31 h 3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1">
              <a:moveTo>
                <a:pt x="0" y="31"/>
              </a:moveTo>
              <a:cubicBezTo>
                <a:pt x="0" y="21"/>
                <a:pt x="0" y="12"/>
                <a:pt x="2" y="7"/>
              </a:cubicBezTo>
              <a:cubicBezTo>
                <a:pt x="4" y="2"/>
                <a:pt x="9" y="0"/>
                <a:pt x="12" y="1"/>
              </a:cubicBezTo>
              <a:cubicBezTo>
                <a:pt x="15" y="2"/>
                <a:pt x="18" y="7"/>
                <a:pt x="19" y="12"/>
              </a:cubicBezTo>
              <a:cubicBezTo>
                <a:pt x="20" y="17"/>
                <a:pt x="19" y="26"/>
                <a:pt x="19" y="29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409575</xdr:colOff>
      <xdr:row>33</xdr:row>
      <xdr:rowOff>28575</xdr:rowOff>
    </xdr:from>
    <xdr:to>
      <xdr:col>17</xdr:col>
      <xdr:colOff>409575</xdr:colOff>
      <xdr:row>39</xdr:row>
      <xdr:rowOff>85725</xdr:rowOff>
    </xdr:to>
    <xdr:sp macro="" textlink="">
      <xdr:nvSpPr>
        <xdr:cNvPr id="4375267" name="Line 156">
          <a:extLst>
            <a:ext uri="{FF2B5EF4-FFF2-40B4-BE49-F238E27FC236}">
              <a16:creationId xmlns="" xmlns:a16="http://schemas.microsoft.com/office/drawing/2014/main" id="{00000000-0008-0000-0A00-0000E3C24200}"/>
            </a:ext>
          </a:extLst>
        </xdr:cNvPr>
        <xdr:cNvSpPr>
          <a:spLocks noChangeShapeType="1"/>
        </xdr:cNvSpPr>
      </xdr:nvSpPr>
      <xdr:spPr bwMode="auto">
        <a:xfrm>
          <a:off x="21088350" y="13211175"/>
          <a:ext cx="0" cy="2428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581025</xdr:colOff>
      <xdr:row>33</xdr:row>
      <xdr:rowOff>38100</xdr:rowOff>
    </xdr:from>
    <xdr:to>
      <xdr:col>17</xdr:col>
      <xdr:colOff>581025</xdr:colOff>
      <xdr:row>39</xdr:row>
      <xdr:rowOff>95250</xdr:rowOff>
    </xdr:to>
    <xdr:sp macro="" textlink="">
      <xdr:nvSpPr>
        <xdr:cNvPr id="4375268" name="Line 157">
          <a:extLst>
            <a:ext uri="{FF2B5EF4-FFF2-40B4-BE49-F238E27FC236}">
              <a16:creationId xmlns="" xmlns:a16="http://schemas.microsoft.com/office/drawing/2014/main" id="{00000000-0008-0000-0A00-0000E4C24200}"/>
            </a:ext>
          </a:extLst>
        </xdr:cNvPr>
        <xdr:cNvSpPr>
          <a:spLocks noChangeShapeType="1"/>
        </xdr:cNvSpPr>
      </xdr:nvSpPr>
      <xdr:spPr bwMode="auto">
        <a:xfrm>
          <a:off x="21250275" y="13220700"/>
          <a:ext cx="0" cy="2428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419100</xdr:colOff>
      <xdr:row>42</xdr:row>
      <xdr:rowOff>161925</xdr:rowOff>
    </xdr:from>
    <xdr:to>
      <xdr:col>17</xdr:col>
      <xdr:colOff>419100</xdr:colOff>
      <xdr:row>48</xdr:row>
      <xdr:rowOff>219075</xdr:rowOff>
    </xdr:to>
    <xdr:sp macro="" textlink="">
      <xdr:nvSpPr>
        <xdr:cNvPr id="4375269" name="Line 158">
          <a:extLst>
            <a:ext uri="{FF2B5EF4-FFF2-40B4-BE49-F238E27FC236}">
              <a16:creationId xmlns="" xmlns:a16="http://schemas.microsoft.com/office/drawing/2014/main" id="{00000000-0008-0000-0A00-0000E5C24200}"/>
            </a:ext>
          </a:extLst>
        </xdr:cNvPr>
        <xdr:cNvSpPr>
          <a:spLocks noChangeShapeType="1"/>
        </xdr:cNvSpPr>
      </xdr:nvSpPr>
      <xdr:spPr bwMode="auto">
        <a:xfrm>
          <a:off x="21097875" y="16602075"/>
          <a:ext cx="0" cy="1952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571500</xdr:colOff>
      <xdr:row>42</xdr:row>
      <xdr:rowOff>142875</xdr:rowOff>
    </xdr:from>
    <xdr:to>
      <xdr:col>17</xdr:col>
      <xdr:colOff>571500</xdr:colOff>
      <xdr:row>48</xdr:row>
      <xdr:rowOff>200025</xdr:rowOff>
    </xdr:to>
    <xdr:sp macro="" textlink="">
      <xdr:nvSpPr>
        <xdr:cNvPr id="4375270" name="Line 159">
          <a:extLst>
            <a:ext uri="{FF2B5EF4-FFF2-40B4-BE49-F238E27FC236}">
              <a16:creationId xmlns="" xmlns:a16="http://schemas.microsoft.com/office/drawing/2014/main" id="{00000000-0008-0000-0A00-0000E6C24200}"/>
            </a:ext>
          </a:extLst>
        </xdr:cNvPr>
        <xdr:cNvSpPr>
          <a:spLocks noChangeShapeType="1"/>
        </xdr:cNvSpPr>
      </xdr:nvSpPr>
      <xdr:spPr bwMode="auto">
        <a:xfrm>
          <a:off x="21250275" y="16583025"/>
          <a:ext cx="0" cy="1952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409575</xdr:colOff>
      <xdr:row>39</xdr:row>
      <xdr:rowOff>85725</xdr:rowOff>
    </xdr:from>
    <xdr:to>
      <xdr:col>17</xdr:col>
      <xdr:colOff>571500</xdr:colOff>
      <xdr:row>42</xdr:row>
      <xdr:rowOff>161925</xdr:rowOff>
    </xdr:to>
    <xdr:sp macro="" textlink="">
      <xdr:nvSpPr>
        <xdr:cNvPr id="4375271" name="Line 160">
          <a:extLst>
            <a:ext uri="{FF2B5EF4-FFF2-40B4-BE49-F238E27FC236}">
              <a16:creationId xmlns="" xmlns:a16="http://schemas.microsoft.com/office/drawing/2014/main" id="{00000000-0008-0000-0A00-0000E7C24200}"/>
            </a:ext>
          </a:extLst>
        </xdr:cNvPr>
        <xdr:cNvSpPr>
          <a:spLocks noChangeShapeType="1"/>
        </xdr:cNvSpPr>
      </xdr:nvSpPr>
      <xdr:spPr bwMode="auto">
        <a:xfrm>
          <a:off x="21088350" y="15640050"/>
          <a:ext cx="161925" cy="962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495300</xdr:colOff>
      <xdr:row>39</xdr:row>
      <xdr:rowOff>66675</xdr:rowOff>
    </xdr:from>
    <xdr:to>
      <xdr:col>17</xdr:col>
      <xdr:colOff>571500</xdr:colOff>
      <xdr:row>40</xdr:row>
      <xdr:rowOff>180975</xdr:rowOff>
    </xdr:to>
    <xdr:sp macro="" textlink="">
      <xdr:nvSpPr>
        <xdr:cNvPr id="4375272" name="Line 161">
          <a:extLst>
            <a:ext uri="{FF2B5EF4-FFF2-40B4-BE49-F238E27FC236}">
              <a16:creationId xmlns="" xmlns:a16="http://schemas.microsoft.com/office/drawing/2014/main" id="{00000000-0008-0000-0A00-0000E8C24200}"/>
            </a:ext>
          </a:extLst>
        </xdr:cNvPr>
        <xdr:cNvSpPr>
          <a:spLocks noChangeShapeType="1"/>
        </xdr:cNvSpPr>
      </xdr:nvSpPr>
      <xdr:spPr bwMode="auto">
        <a:xfrm flipH="1">
          <a:off x="21174075" y="15621000"/>
          <a:ext cx="762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419100</xdr:colOff>
      <xdr:row>41</xdr:row>
      <xdr:rowOff>28575</xdr:rowOff>
    </xdr:from>
    <xdr:to>
      <xdr:col>17</xdr:col>
      <xdr:colOff>466725</xdr:colOff>
      <xdr:row>42</xdr:row>
      <xdr:rowOff>161925</xdr:rowOff>
    </xdr:to>
    <xdr:sp macro="" textlink="">
      <xdr:nvSpPr>
        <xdr:cNvPr id="4375273" name="Line 162">
          <a:extLst>
            <a:ext uri="{FF2B5EF4-FFF2-40B4-BE49-F238E27FC236}">
              <a16:creationId xmlns="" xmlns:a16="http://schemas.microsoft.com/office/drawing/2014/main" id="{00000000-0008-0000-0A00-0000E9C24200}"/>
            </a:ext>
          </a:extLst>
        </xdr:cNvPr>
        <xdr:cNvSpPr>
          <a:spLocks noChangeShapeType="1"/>
        </xdr:cNvSpPr>
      </xdr:nvSpPr>
      <xdr:spPr bwMode="auto">
        <a:xfrm flipV="1">
          <a:off x="21097875" y="16192500"/>
          <a:ext cx="47625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742950</xdr:colOff>
      <xdr:row>49</xdr:row>
      <xdr:rowOff>0</xdr:rowOff>
    </xdr:from>
    <xdr:to>
      <xdr:col>17</xdr:col>
      <xdr:colOff>381000</xdr:colOff>
      <xdr:row>50</xdr:row>
      <xdr:rowOff>104775</xdr:rowOff>
    </xdr:to>
    <xdr:sp macro="" textlink="">
      <xdr:nvSpPr>
        <xdr:cNvPr id="27" name="Text Box 163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 txBox="1">
          <a:spLocks noChangeArrowheads="1"/>
        </xdr:cNvSpPr>
      </xdr:nvSpPr>
      <xdr:spPr bwMode="auto">
        <a:xfrm>
          <a:off x="19564350" y="18573750"/>
          <a:ext cx="2295525" cy="342900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vertOverflow="clip" wrap="square" lIns="45720" tIns="41148" rIns="45720" bIns="41148" anchor="ctr" upright="1"/>
        <a:lstStyle/>
        <a:p>
          <a:pPr algn="ctr" rtl="0">
            <a:defRPr sz="1000"/>
          </a:pPr>
          <a:r>
            <a:rPr lang="it-IT" sz="2000" b="1" i="0" strike="noStrike">
              <a:solidFill>
                <a:srgbClr val="000000"/>
              </a:solidFill>
              <a:latin typeface="Futura Lt BT"/>
            </a:rPr>
            <a:t>Bianco</a:t>
          </a:r>
        </a:p>
      </xdr:txBody>
    </xdr:sp>
    <xdr:clientData/>
  </xdr:twoCellAnchor>
  <xdr:twoCellAnchor>
    <xdr:from>
      <xdr:col>16</xdr:col>
      <xdr:colOff>276225</xdr:colOff>
      <xdr:row>31</xdr:row>
      <xdr:rowOff>171450</xdr:rowOff>
    </xdr:from>
    <xdr:to>
      <xdr:col>17</xdr:col>
      <xdr:colOff>342900</xdr:colOff>
      <xdr:row>33</xdr:row>
      <xdr:rowOff>85725</xdr:rowOff>
    </xdr:to>
    <xdr:sp macro="" textlink="">
      <xdr:nvSpPr>
        <xdr:cNvPr id="28" name="Text Box 164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 txBox="1">
          <a:spLocks noChangeArrowheads="1"/>
        </xdr:cNvSpPr>
      </xdr:nvSpPr>
      <xdr:spPr bwMode="auto">
        <a:xfrm>
          <a:off x="20021550" y="12611100"/>
          <a:ext cx="1800225" cy="657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it-IT" sz="1400" b="1" i="0" strike="noStrike">
              <a:solidFill>
                <a:srgbClr val="000000"/>
              </a:solidFill>
              <a:latin typeface="Times New Roman"/>
              <a:cs typeface="Times New Roman"/>
            </a:rPr>
            <a:t>Rosso</a:t>
          </a:r>
          <a:endParaRPr lang="it-IT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endParaRPr lang="it-IT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12</xdr:col>
      <xdr:colOff>257175</xdr:colOff>
      <xdr:row>33</xdr:row>
      <xdr:rowOff>161925</xdr:rowOff>
    </xdr:from>
    <xdr:to>
      <xdr:col>15</xdr:col>
      <xdr:colOff>57150</xdr:colOff>
      <xdr:row>51</xdr:row>
      <xdr:rowOff>85725</xdr:rowOff>
    </xdr:to>
    <xdr:grpSp>
      <xdr:nvGrpSpPr>
        <xdr:cNvPr id="4375276" name="Group 165">
          <a:extLst>
            <a:ext uri="{FF2B5EF4-FFF2-40B4-BE49-F238E27FC236}">
              <a16:creationId xmlns="" xmlns:a16="http://schemas.microsoft.com/office/drawing/2014/main" id="{00000000-0008-0000-0A00-0000ECC24200}"/>
            </a:ext>
          </a:extLst>
        </xdr:cNvPr>
        <xdr:cNvGrpSpPr>
          <a:grpSpLocks/>
        </xdr:cNvGrpSpPr>
      </xdr:nvGrpSpPr>
      <xdr:grpSpPr bwMode="auto">
        <a:xfrm>
          <a:off x="16068675" y="13092113"/>
          <a:ext cx="2776538" cy="6067425"/>
          <a:chOff x="788" y="869"/>
          <a:chExt cx="204" cy="442"/>
        </a:xfrm>
      </xdr:grpSpPr>
      <xdr:grpSp>
        <xdr:nvGrpSpPr>
          <xdr:cNvPr id="4375487" name="Group 166">
            <a:extLst>
              <a:ext uri="{FF2B5EF4-FFF2-40B4-BE49-F238E27FC236}">
                <a16:creationId xmlns="" xmlns:a16="http://schemas.microsoft.com/office/drawing/2014/main" id="{00000000-0008-0000-0A00-0000BFC34200}"/>
              </a:ext>
            </a:extLst>
          </xdr:cNvPr>
          <xdr:cNvGrpSpPr>
            <a:grpSpLocks/>
          </xdr:cNvGrpSpPr>
        </xdr:nvGrpSpPr>
        <xdr:grpSpPr bwMode="auto">
          <a:xfrm>
            <a:off x="838" y="915"/>
            <a:ext cx="99" cy="351"/>
            <a:chOff x="421" y="99"/>
            <a:chExt cx="99" cy="351"/>
          </a:xfrm>
        </xdr:grpSpPr>
        <xdr:sp macro="" textlink="">
          <xdr:nvSpPr>
            <xdr:cNvPr id="4375544" name="Line 167">
              <a:extLst>
                <a:ext uri="{FF2B5EF4-FFF2-40B4-BE49-F238E27FC236}">
                  <a16:creationId xmlns="" xmlns:a16="http://schemas.microsoft.com/office/drawing/2014/main" id="{00000000-0008-0000-0A00-0000F8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40" y="450"/>
              <a:ext cx="6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5545" name="Line 168">
              <a:extLst>
                <a:ext uri="{FF2B5EF4-FFF2-40B4-BE49-F238E27FC236}">
                  <a16:creationId xmlns="" xmlns:a16="http://schemas.microsoft.com/office/drawing/2014/main" id="{00000000-0008-0000-0A00-0000F9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33" y="383"/>
              <a:ext cx="86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5546" name="Line 169">
              <a:extLst>
                <a:ext uri="{FF2B5EF4-FFF2-40B4-BE49-F238E27FC236}">
                  <a16:creationId xmlns="" xmlns:a16="http://schemas.microsoft.com/office/drawing/2014/main" id="{00000000-0008-0000-0A00-0000FA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28" y="309"/>
              <a:ext cx="92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5547" name="Line 170">
              <a:extLst>
                <a:ext uri="{FF2B5EF4-FFF2-40B4-BE49-F238E27FC236}">
                  <a16:creationId xmlns="" xmlns:a16="http://schemas.microsoft.com/office/drawing/2014/main" id="{00000000-0008-0000-0A00-0000FB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21" y="242"/>
              <a:ext cx="96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5548" name="Line 171">
              <a:extLst>
                <a:ext uri="{FF2B5EF4-FFF2-40B4-BE49-F238E27FC236}">
                  <a16:creationId xmlns="" xmlns:a16="http://schemas.microsoft.com/office/drawing/2014/main" id="{00000000-0008-0000-0A00-0000FC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28" y="169"/>
              <a:ext cx="88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5549" name="Line 172">
              <a:extLst>
                <a:ext uri="{FF2B5EF4-FFF2-40B4-BE49-F238E27FC236}">
                  <a16:creationId xmlns="" xmlns:a16="http://schemas.microsoft.com/office/drawing/2014/main" id="{00000000-0008-0000-0A00-0000FD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37" y="99"/>
              <a:ext cx="68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375488" name="Group 173">
            <a:extLst>
              <a:ext uri="{FF2B5EF4-FFF2-40B4-BE49-F238E27FC236}">
                <a16:creationId xmlns="" xmlns:a16="http://schemas.microsoft.com/office/drawing/2014/main" id="{00000000-0008-0000-0A00-0000C0C34200}"/>
              </a:ext>
            </a:extLst>
          </xdr:cNvPr>
          <xdr:cNvGrpSpPr>
            <a:grpSpLocks/>
          </xdr:cNvGrpSpPr>
        </xdr:nvGrpSpPr>
        <xdr:grpSpPr bwMode="auto">
          <a:xfrm>
            <a:off x="788" y="1125"/>
            <a:ext cx="68" cy="184"/>
            <a:chOff x="371" y="309"/>
            <a:chExt cx="68" cy="184"/>
          </a:xfrm>
        </xdr:grpSpPr>
        <xdr:grpSp>
          <xdr:nvGrpSpPr>
            <xdr:cNvPr id="4375531" name="Group 174">
              <a:extLst>
                <a:ext uri="{FF2B5EF4-FFF2-40B4-BE49-F238E27FC236}">
                  <a16:creationId xmlns="" xmlns:a16="http://schemas.microsoft.com/office/drawing/2014/main" id="{00000000-0008-0000-0A00-0000EBC34200}"/>
                </a:ext>
              </a:extLst>
            </xdr:cNvPr>
            <xdr:cNvGrpSpPr>
              <a:grpSpLocks/>
            </xdr:cNvGrpSpPr>
          </xdr:nvGrpSpPr>
          <xdr:grpSpPr bwMode="auto">
            <a:xfrm rot="10800000">
              <a:off x="371" y="461"/>
              <a:ext cx="51" cy="32"/>
              <a:chOff x="557" y="246"/>
              <a:chExt cx="51" cy="32"/>
            </a:xfrm>
          </xdr:grpSpPr>
          <xdr:sp macro="" textlink="">
            <xdr:nvSpPr>
              <xdr:cNvPr id="4375541" name="Arc 175">
                <a:extLst>
                  <a:ext uri="{FF2B5EF4-FFF2-40B4-BE49-F238E27FC236}">
                    <a16:creationId xmlns="" xmlns:a16="http://schemas.microsoft.com/office/drawing/2014/main" id="{00000000-0008-0000-0A00-0000F5C3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569" y="258"/>
                <a:ext cx="27" cy="18"/>
              </a:xfrm>
              <a:custGeom>
                <a:avLst/>
                <a:gdLst>
                  <a:gd name="T0" fmla="*/ 0 w 42977"/>
                  <a:gd name="T1" fmla="*/ 0 h 21600"/>
                  <a:gd name="T2" fmla="*/ 0 w 42977"/>
                  <a:gd name="T3" fmla="*/ 0 h 21600"/>
                  <a:gd name="T4" fmla="*/ 0 w 42977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7"/>
                  <a:gd name="T10" fmla="*/ 0 h 21600"/>
                  <a:gd name="T11" fmla="*/ 42977 w 42977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7" h="21600" fill="none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</a:path>
                  <a:path w="42977" h="21600" stroke="0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  <a:lnTo>
                      <a:pt x="21377" y="21600"/>
                    </a:lnTo>
                    <a:lnTo>
                      <a:pt x="-1" y="18506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42" name="Arc 176">
                <a:extLst>
                  <a:ext uri="{FF2B5EF4-FFF2-40B4-BE49-F238E27FC236}">
                    <a16:creationId xmlns="" xmlns:a16="http://schemas.microsoft.com/office/drawing/2014/main" id="{00000000-0008-0000-0A00-0000F6C3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563" y="251"/>
                <a:ext cx="39" cy="25"/>
              </a:xfrm>
              <a:custGeom>
                <a:avLst/>
                <a:gdLst>
                  <a:gd name="T0" fmla="*/ 0 w 43076"/>
                  <a:gd name="T1" fmla="*/ 0 h 21600"/>
                  <a:gd name="T2" fmla="*/ 0 w 43076"/>
                  <a:gd name="T3" fmla="*/ 0 h 21600"/>
                  <a:gd name="T4" fmla="*/ 0 w 43076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3076"/>
                  <a:gd name="T10" fmla="*/ 0 h 21600"/>
                  <a:gd name="T11" fmla="*/ 43076 w 43076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3076" h="21600" fill="none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</a:path>
                  <a:path w="43076" h="21600" stroke="0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  <a:lnTo>
                      <a:pt x="21476" y="21600"/>
                    </a:lnTo>
                    <a:lnTo>
                      <a:pt x="0" y="1928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43" name="Arc 177">
                <a:extLst>
                  <a:ext uri="{FF2B5EF4-FFF2-40B4-BE49-F238E27FC236}">
                    <a16:creationId xmlns="" xmlns:a16="http://schemas.microsoft.com/office/drawing/2014/main" id="{00000000-0008-0000-0A00-0000F7C3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557" y="246"/>
                <a:ext cx="51" cy="32"/>
              </a:xfrm>
              <a:custGeom>
                <a:avLst/>
                <a:gdLst>
                  <a:gd name="T0" fmla="*/ 0 w 42973"/>
                  <a:gd name="T1" fmla="*/ 0 h 21600"/>
                  <a:gd name="T2" fmla="*/ 0 w 42973"/>
                  <a:gd name="T3" fmla="*/ 0 h 21600"/>
                  <a:gd name="T4" fmla="*/ 0 w 42973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3"/>
                  <a:gd name="T10" fmla="*/ 0 h 21600"/>
                  <a:gd name="T11" fmla="*/ 42973 w 42973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3" h="21600" fill="none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</a:path>
                  <a:path w="42973" h="21600" stroke="0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  <a:lnTo>
                      <a:pt x="21392" y="21600"/>
                    </a:lnTo>
                    <a:lnTo>
                      <a:pt x="0" y="1860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375532" name="Group 178">
              <a:extLst>
                <a:ext uri="{FF2B5EF4-FFF2-40B4-BE49-F238E27FC236}">
                  <a16:creationId xmlns="" xmlns:a16="http://schemas.microsoft.com/office/drawing/2014/main" id="{00000000-0008-0000-0A00-0000ECC3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71" y="309"/>
              <a:ext cx="68" cy="157"/>
              <a:chOff x="371" y="309"/>
              <a:chExt cx="68" cy="157"/>
            </a:xfrm>
          </xdr:grpSpPr>
          <xdr:sp macro="" textlink="">
            <xdr:nvSpPr>
              <xdr:cNvPr id="4375533" name="Line 179">
                <a:extLst>
                  <a:ext uri="{FF2B5EF4-FFF2-40B4-BE49-F238E27FC236}">
                    <a16:creationId xmlns="" xmlns:a16="http://schemas.microsoft.com/office/drawing/2014/main" id="{00000000-0008-0000-0A00-0000EDC3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416" y="398"/>
                <a:ext cx="0" cy="64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34" name="Line 180">
                <a:extLst>
                  <a:ext uri="{FF2B5EF4-FFF2-40B4-BE49-F238E27FC236}">
                    <a16:creationId xmlns="" xmlns:a16="http://schemas.microsoft.com/office/drawing/2014/main" id="{00000000-0008-0000-0A00-0000EEC3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409" y="323"/>
                <a:ext cx="0" cy="13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35" name="Line 181">
                <a:extLst>
                  <a:ext uri="{FF2B5EF4-FFF2-40B4-BE49-F238E27FC236}">
                    <a16:creationId xmlns="" xmlns:a16="http://schemas.microsoft.com/office/drawing/2014/main" id="{00000000-0008-0000-0A00-0000EFC3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381" y="375"/>
                <a:ext cx="0" cy="8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36" name="Line 182">
                <a:extLst>
                  <a:ext uri="{FF2B5EF4-FFF2-40B4-BE49-F238E27FC236}">
                    <a16:creationId xmlns="" xmlns:a16="http://schemas.microsoft.com/office/drawing/2014/main" id="{00000000-0008-0000-0A00-0000F0C3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376" y="403"/>
                <a:ext cx="0" cy="62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37" name="Line 183">
                <a:extLst>
                  <a:ext uri="{FF2B5EF4-FFF2-40B4-BE49-F238E27FC236}">
                    <a16:creationId xmlns="" xmlns:a16="http://schemas.microsoft.com/office/drawing/2014/main" id="{00000000-0008-0000-0A00-0000F1C3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371" y="423"/>
                <a:ext cx="0" cy="4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38" name="Arc 184">
                <a:extLst>
                  <a:ext uri="{FF2B5EF4-FFF2-40B4-BE49-F238E27FC236}">
                    <a16:creationId xmlns="" xmlns:a16="http://schemas.microsoft.com/office/drawing/2014/main" id="{00000000-0008-0000-0A00-0000F2C3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411" y="309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39" name="Arc 185">
                <a:extLst>
                  <a:ext uri="{FF2B5EF4-FFF2-40B4-BE49-F238E27FC236}">
                    <a16:creationId xmlns="" xmlns:a16="http://schemas.microsoft.com/office/drawing/2014/main" id="{00000000-0008-0000-0A00-0000F3C3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417" y="383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40" name="Arc 186">
                <a:extLst>
                  <a:ext uri="{FF2B5EF4-FFF2-40B4-BE49-F238E27FC236}">
                    <a16:creationId xmlns="" xmlns:a16="http://schemas.microsoft.com/office/drawing/2014/main" id="{00000000-0008-0000-0A00-0000F4C3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424" y="450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grpSp>
        <xdr:nvGrpSpPr>
          <xdr:cNvPr id="4375489" name="Group 187">
            <a:extLst>
              <a:ext uri="{FF2B5EF4-FFF2-40B4-BE49-F238E27FC236}">
                <a16:creationId xmlns="" xmlns:a16="http://schemas.microsoft.com/office/drawing/2014/main" id="{00000000-0008-0000-0A00-0000C1C34200}"/>
              </a:ext>
            </a:extLst>
          </xdr:cNvPr>
          <xdr:cNvGrpSpPr>
            <a:grpSpLocks/>
          </xdr:cNvGrpSpPr>
        </xdr:nvGrpSpPr>
        <xdr:grpSpPr bwMode="auto">
          <a:xfrm>
            <a:off x="789" y="869"/>
            <a:ext cx="67" cy="190"/>
            <a:chOff x="372" y="53"/>
            <a:chExt cx="67" cy="190"/>
          </a:xfrm>
        </xdr:grpSpPr>
        <xdr:grpSp>
          <xdr:nvGrpSpPr>
            <xdr:cNvPr id="4375518" name="Group 188">
              <a:extLst>
                <a:ext uri="{FF2B5EF4-FFF2-40B4-BE49-F238E27FC236}">
                  <a16:creationId xmlns="" xmlns:a16="http://schemas.microsoft.com/office/drawing/2014/main" id="{00000000-0008-0000-0A00-0000DEC3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72" y="53"/>
              <a:ext cx="51" cy="32"/>
              <a:chOff x="557" y="246"/>
              <a:chExt cx="51" cy="32"/>
            </a:xfrm>
          </xdr:grpSpPr>
          <xdr:sp macro="" textlink="">
            <xdr:nvSpPr>
              <xdr:cNvPr id="4375528" name="Arc 189">
                <a:extLst>
                  <a:ext uri="{FF2B5EF4-FFF2-40B4-BE49-F238E27FC236}">
                    <a16:creationId xmlns="" xmlns:a16="http://schemas.microsoft.com/office/drawing/2014/main" id="{00000000-0008-0000-0A00-0000E8C3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569" y="258"/>
                <a:ext cx="27" cy="18"/>
              </a:xfrm>
              <a:custGeom>
                <a:avLst/>
                <a:gdLst>
                  <a:gd name="T0" fmla="*/ 0 w 42977"/>
                  <a:gd name="T1" fmla="*/ 0 h 21600"/>
                  <a:gd name="T2" fmla="*/ 0 w 42977"/>
                  <a:gd name="T3" fmla="*/ 0 h 21600"/>
                  <a:gd name="T4" fmla="*/ 0 w 42977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7"/>
                  <a:gd name="T10" fmla="*/ 0 h 21600"/>
                  <a:gd name="T11" fmla="*/ 42977 w 42977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7" h="21600" fill="none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</a:path>
                  <a:path w="42977" h="21600" stroke="0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  <a:lnTo>
                      <a:pt x="21377" y="21600"/>
                    </a:lnTo>
                    <a:lnTo>
                      <a:pt x="-1" y="18506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29" name="Arc 190">
                <a:extLst>
                  <a:ext uri="{FF2B5EF4-FFF2-40B4-BE49-F238E27FC236}">
                    <a16:creationId xmlns="" xmlns:a16="http://schemas.microsoft.com/office/drawing/2014/main" id="{00000000-0008-0000-0A00-0000E9C3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563" y="251"/>
                <a:ext cx="39" cy="25"/>
              </a:xfrm>
              <a:custGeom>
                <a:avLst/>
                <a:gdLst>
                  <a:gd name="T0" fmla="*/ 0 w 43076"/>
                  <a:gd name="T1" fmla="*/ 0 h 21600"/>
                  <a:gd name="T2" fmla="*/ 0 w 43076"/>
                  <a:gd name="T3" fmla="*/ 0 h 21600"/>
                  <a:gd name="T4" fmla="*/ 0 w 43076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3076"/>
                  <a:gd name="T10" fmla="*/ 0 h 21600"/>
                  <a:gd name="T11" fmla="*/ 43076 w 43076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3076" h="21600" fill="none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</a:path>
                  <a:path w="43076" h="21600" stroke="0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  <a:lnTo>
                      <a:pt x="21476" y="21600"/>
                    </a:lnTo>
                    <a:lnTo>
                      <a:pt x="0" y="1928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30" name="Arc 191">
                <a:extLst>
                  <a:ext uri="{FF2B5EF4-FFF2-40B4-BE49-F238E27FC236}">
                    <a16:creationId xmlns="" xmlns:a16="http://schemas.microsoft.com/office/drawing/2014/main" id="{00000000-0008-0000-0A00-0000EAC34200}"/>
                  </a:ext>
                </a:extLst>
              </xdr:cNvPr>
              <xdr:cNvSpPr>
                <a:spLocks/>
              </xdr:cNvSpPr>
            </xdr:nvSpPr>
            <xdr:spPr bwMode="auto">
              <a:xfrm flipH="1">
                <a:off x="557" y="246"/>
                <a:ext cx="51" cy="32"/>
              </a:xfrm>
              <a:custGeom>
                <a:avLst/>
                <a:gdLst>
                  <a:gd name="T0" fmla="*/ 0 w 42973"/>
                  <a:gd name="T1" fmla="*/ 0 h 21600"/>
                  <a:gd name="T2" fmla="*/ 0 w 42973"/>
                  <a:gd name="T3" fmla="*/ 0 h 21600"/>
                  <a:gd name="T4" fmla="*/ 0 w 42973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3"/>
                  <a:gd name="T10" fmla="*/ 0 h 21600"/>
                  <a:gd name="T11" fmla="*/ 42973 w 42973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3" h="21600" fill="none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</a:path>
                  <a:path w="42973" h="21600" stroke="0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  <a:lnTo>
                      <a:pt x="21392" y="21600"/>
                    </a:lnTo>
                    <a:lnTo>
                      <a:pt x="0" y="1860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375519" name="Group 192">
              <a:extLst>
                <a:ext uri="{FF2B5EF4-FFF2-40B4-BE49-F238E27FC236}">
                  <a16:creationId xmlns="" xmlns:a16="http://schemas.microsoft.com/office/drawing/2014/main" id="{00000000-0008-0000-0A00-0000DFC3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72" y="81"/>
              <a:ext cx="67" cy="162"/>
              <a:chOff x="372" y="81"/>
              <a:chExt cx="67" cy="162"/>
            </a:xfrm>
          </xdr:grpSpPr>
          <xdr:sp macro="" textlink="">
            <xdr:nvSpPr>
              <xdr:cNvPr id="4375520" name="Line 193">
                <a:extLst>
                  <a:ext uri="{FF2B5EF4-FFF2-40B4-BE49-F238E27FC236}">
                    <a16:creationId xmlns="" xmlns:a16="http://schemas.microsoft.com/office/drawing/2014/main" id="{00000000-0008-0000-0A00-0000E0C3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72" y="84"/>
                <a:ext cx="0" cy="4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21" name="Line 194">
                <a:extLst>
                  <a:ext uri="{FF2B5EF4-FFF2-40B4-BE49-F238E27FC236}">
                    <a16:creationId xmlns="" xmlns:a16="http://schemas.microsoft.com/office/drawing/2014/main" id="{00000000-0008-0000-0A00-0000E1C3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77" y="83"/>
                <a:ext cx="0" cy="6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22" name="Line 195">
                <a:extLst>
                  <a:ext uri="{FF2B5EF4-FFF2-40B4-BE49-F238E27FC236}">
                    <a16:creationId xmlns="" xmlns:a16="http://schemas.microsoft.com/office/drawing/2014/main" id="{00000000-0008-0000-0A00-0000E2C3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84" y="83"/>
                <a:ext cx="0" cy="92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23" name="Line 196">
                <a:extLst>
                  <a:ext uri="{FF2B5EF4-FFF2-40B4-BE49-F238E27FC236}">
                    <a16:creationId xmlns="" xmlns:a16="http://schemas.microsoft.com/office/drawing/2014/main" id="{00000000-0008-0000-0A00-0000E3C3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11" y="81"/>
                <a:ext cx="0" cy="14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24" name="Line 197">
                <a:extLst>
                  <a:ext uri="{FF2B5EF4-FFF2-40B4-BE49-F238E27FC236}">
                    <a16:creationId xmlns="" xmlns:a16="http://schemas.microsoft.com/office/drawing/2014/main" id="{00000000-0008-0000-0A00-0000E4C3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417" y="82"/>
                <a:ext cx="0" cy="8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25" name="Arc 198">
                <a:extLst>
                  <a:ext uri="{FF2B5EF4-FFF2-40B4-BE49-F238E27FC236}">
                    <a16:creationId xmlns="" xmlns:a16="http://schemas.microsoft.com/office/drawing/2014/main" id="{00000000-0008-0000-0A00-0000E5C34200}"/>
                  </a:ext>
                </a:extLst>
              </xdr:cNvPr>
              <xdr:cNvSpPr>
                <a:spLocks/>
              </xdr:cNvSpPr>
            </xdr:nvSpPr>
            <xdr:spPr bwMode="auto">
              <a:xfrm rot="15712194" flipH="1">
                <a:off x="412" y="228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26" name="Arc 199">
                <a:extLst>
                  <a:ext uri="{FF2B5EF4-FFF2-40B4-BE49-F238E27FC236}">
                    <a16:creationId xmlns="" xmlns:a16="http://schemas.microsoft.com/office/drawing/2014/main" id="{00000000-0008-0000-0A00-0000E6C34200}"/>
                  </a:ext>
                </a:extLst>
              </xdr:cNvPr>
              <xdr:cNvSpPr>
                <a:spLocks/>
              </xdr:cNvSpPr>
            </xdr:nvSpPr>
            <xdr:spPr bwMode="auto">
              <a:xfrm rot="16200000" flipH="1">
                <a:off x="417" y="155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27" name="Arc 200">
                <a:extLst>
                  <a:ext uri="{FF2B5EF4-FFF2-40B4-BE49-F238E27FC236}">
                    <a16:creationId xmlns="" xmlns:a16="http://schemas.microsoft.com/office/drawing/2014/main" id="{00000000-0008-0000-0A00-0000E7C34200}"/>
                  </a:ext>
                </a:extLst>
              </xdr:cNvPr>
              <xdr:cNvSpPr>
                <a:spLocks/>
              </xdr:cNvSpPr>
            </xdr:nvSpPr>
            <xdr:spPr bwMode="auto">
              <a:xfrm rot="16200000" flipH="1">
                <a:off x="424" y="84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grpSp>
        <xdr:nvGrpSpPr>
          <xdr:cNvPr id="4375490" name="Group 201">
            <a:extLst>
              <a:ext uri="{FF2B5EF4-FFF2-40B4-BE49-F238E27FC236}">
                <a16:creationId xmlns="" xmlns:a16="http://schemas.microsoft.com/office/drawing/2014/main" id="{00000000-0008-0000-0A00-0000C2C34200}"/>
              </a:ext>
            </a:extLst>
          </xdr:cNvPr>
          <xdr:cNvGrpSpPr>
            <a:grpSpLocks/>
          </xdr:cNvGrpSpPr>
        </xdr:nvGrpSpPr>
        <xdr:grpSpPr bwMode="auto">
          <a:xfrm>
            <a:off x="922" y="869"/>
            <a:ext cx="67" cy="190"/>
            <a:chOff x="505" y="53"/>
            <a:chExt cx="67" cy="190"/>
          </a:xfrm>
        </xdr:grpSpPr>
        <xdr:grpSp>
          <xdr:nvGrpSpPr>
            <xdr:cNvPr id="4375505" name="Group 202">
              <a:extLst>
                <a:ext uri="{FF2B5EF4-FFF2-40B4-BE49-F238E27FC236}">
                  <a16:creationId xmlns="" xmlns:a16="http://schemas.microsoft.com/office/drawing/2014/main" id="{00000000-0008-0000-0A00-0000D1C34200}"/>
                </a:ext>
              </a:extLst>
            </xdr:cNvPr>
            <xdr:cNvGrpSpPr>
              <a:grpSpLocks noChangeAspect="1"/>
            </xdr:cNvGrpSpPr>
          </xdr:nvGrpSpPr>
          <xdr:grpSpPr bwMode="auto">
            <a:xfrm flipH="1">
              <a:off x="521" y="53"/>
              <a:ext cx="51" cy="32"/>
              <a:chOff x="557" y="246"/>
              <a:chExt cx="51" cy="32"/>
            </a:xfrm>
          </xdr:grpSpPr>
          <xdr:sp macro="" textlink="">
            <xdr:nvSpPr>
              <xdr:cNvPr id="4375515" name="Arc 203">
                <a:extLst>
                  <a:ext uri="{FF2B5EF4-FFF2-40B4-BE49-F238E27FC236}">
                    <a16:creationId xmlns="" xmlns:a16="http://schemas.microsoft.com/office/drawing/2014/main" id="{00000000-0008-0000-0A00-0000DBC3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flipH="1">
                <a:off x="569" y="258"/>
                <a:ext cx="27" cy="18"/>
              </a:xfrm>
              <a:custGeom>
                <a:avLst/>
                <a:gdLst>
                  <a:gd name="T0" fmla="*/ 0 w 42977"/>
                  <a:gd name="T1" fmla="*/ 0 h 21600"/>
                  <a:gd name="T2" fmla="*/ 0 w 42977"/>
                  <a:gd name="T3" fmla="*/ 0 h 21600"/>
                  <a:gd name="T4" fmla="*/ 0 w 42977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7"/>
                  <a:gd name="T10" fmla="*/ 0 h 21600"/>
                  <a:gd name="T11" fmla="*/ 42977 w 42977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7" h="21600" fill="none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</a:path>
                  <a:path w="42977" h="21600" stroke="0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  <a:lnTo>
                      <a:pt x="21377" y="21600"/>
                    </a:lnTo>
                    <a:lnTo>
                      <a:pt x="-1" y="18506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16" name="Arc 204">
                <a:extLst>
                  <a:ext uri="{FF2B5EF4-FFF2-40B4-BE49-F238E27FC236}">
                    <a16:creationId xmlns="" xmlns:a16="http://schemas.microsoft.com/office/drawing/2014/main" id="{00000000-0008-0000-0A00-0000DCC3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flipH="1">
                <a:off x="563" y="251"/>
                <a:ext cx="39" cy="25"/>
              </a:xfrm>
              <a:custGeom>
                <a:avLst/>
                <a:gdLst>
                  <a:gd name="T0" fmla="*/ 0 w 43076"/>
                  <a:gd name="T1" fmla="*/ 0 h 21600"/>
                  <a:gd name="T2" fmla="*/ 0 w 43076"/>
                  <a:gd name="T3" fmla="*/ 0 h 21600"/>
                  <a:gd name="T4" fmla="*/ 0 w 43076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3076"/>
                  <a:gd name="T10" fmla="*/ 0 h 21600"/>
                  <a:gd name="T11" fmla="*/ 43076 w 43076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3076" h="21600" fill="none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</a:path>
                  <a:path w="43076" h="21600" stroke="0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  <a:lnTo>
                      <a:pt x="21476" y="21600"/>
                    </a:lnTo>
                    <a:lnTo>
                      <a:pt x="0" y="1928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17" name="Arc 205">
                <a:extLst>
                  <a:ext uri="{FF2B5EF4-FFF2-40B4-BE49-F238E27FC236}">
                    <a16:creationId xmlns="" xmlns:a16="http://schemas.microsoft.com/office/drawing/2014/main" id="{00000000-0008-0000-0A00-0000DDC3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flipH="1">
                <a:off x="557" y="246"/>
                <a:ext cx="51" cy="32"/>
              </a:xfrm>
              <a:custGeom>
                <a:avLst/>
                <a:gdLst>
                  <a:gd name="T0" fmla="*/ 0 w 42973"/>
                  <a:gd name="T1" fmla="*/ 0 h 21600"/>
                  <a:gd name="T2" fmla="*/ 0 w 42973"/>
                  <a:gd name="T3" fmla="*/ 0 h 21600"/>
                  <a:gd name="T4" fmla="*/ 0 w 42973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3"/>
                  <a:gd name="T10" fmla="*/ 0 h 21600"/>
                  <a:gd name="T11" fmla="*/ 42973 w 42973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3" h="21600" fill="none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</a:path>
                  <a:path w="42973" h="21600" stroke="0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  <a:lnTo>
                      <a:pt x="21392" y="21600"/>
                    </a:lnTo>
                    <a:lnTo>
                      <a:pt x="0" y="1860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375506" name="Group 206">
              <a:extLst>
                <a:ext uri="{FF2B5EF4-FFF2-40B4-BE49-F238E27FC236}">
                  <a16:creationId xmlns="" xmlns:a16="http://schemas.microsoft.com/office/drawing/2014/main" id="{00000000-0008-0000-0A00-0000D2C3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05" y="81"/>
              <a:ext cx="67" cy="162"/>
              <a:chOff x="505" y="81"/>
              <a:chExt cx="67" cy="162"/>
            </a:xfrm>
          </xdr:grpSpPr>
          <xdr:sp macro="" textlink="">
            <xdr:nvSpPr>
              <xdr:cNvPr id="4375507" name="Line 207">
                <a:extLst>
                  <a:ext uri="{FF2B5EF4-FFF2-40B4-BE49-F238E27FC236}">
                    <a16:creationId xmlns="" xmlns:a16="http://schemas.microsoft.com/office/drawing/2014/main" id="{00000000-0008-0000-0A00-0000D3C3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>
                <a:off x="572" y="84"/>
                <a:ext cx="0" cy="4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08" name="Line 208">
                <a:extLst>
                  <a:ext uri="{FF2B5EF4-FFF2-40B4-BE49-F238E27FC236}">
                    <a16:creationId xmlns="" xmlns:a16="http://schemas.microsoft.com/office/drawing/2014/main" id="{00000000-0008-0000-0A00-0000D4C3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>
                <a:off x="567" y="83"/>
                <a:ext cx="0" cy="38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09" name="Line 209">
                <a:extLst>
                  <a:ext uri="{FF2B5EF4-FFF2-40B4-BE49-F238E27FC236}">
                    <a16:creationId xmlns="" xmlns:a16="http://schemas.microsoft.com/office/drawing/2014/main" id="{00000000-0008-0000-0A00-0000D5C3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>
                <a:off x="560" y="83"/>
                <a:ext cx="0" cy="38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10" name="Line 210">
                <a:extLst>
                  <a:ext uri="{FF2B5EF4-FFF2-40B4-BE49-F238E27FC236}">
                    <a16:creationId xmlns="" xmlns:a16="http://schemas.microsoft.com/office/drawing/2014/main" id="{00000000-0008-0000-0A00-0000D6C3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>
                <a:off x="533" y="81"/>
                <a:ext cx="0" cy="14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11" name="Line 211">
                <a:extLst>
                  <a:ext uri="{FF2B5EF4-FFF2-40B4-BE49-F238E27FC236}">
                    <a16:creationId xmlns="" xmlns:a16="http://schemas.microsoft.com/office/drawing/2014/main" id="{00000000-0008-0000-0A00-0000D7C3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>
                <a:off x="527" y="82"/>
                <a:ext cx="0" cy="8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12" name="Arc 212">
                <a:extLst>
                  <a:ext uri="{FF2B5EF4-FFF2-40B4-BE49-F238E27FC236}">
                    <a16:creationId xmlns="" xmlns:a16="http://schemas.microsoft.com/office/drawing/2014/main" id="{00000000-0008-0000-0A00-0000D8C3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rot="5887806">
                <a:off x="517" y="228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13" name="Arc 213">
                <a:extLst>
                  <a:ext uri="{FF2B5EF4-FFF2-40B4-BE49-F238E27FC236}">
                    <a16:creationId xmlns="" xmlns:a16="http://schemas.microsoft.com/office/drawing/2014/main" id="{00000000-0008-0000-0A00-0000D9C3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rot="5400000">
                <a:off x="512" y="155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14" name="Arc 214">
                <a:extLst>
                  <a:ext uri="{FF2B5EF4-FFF2-40B4-BE49-F238E27FC236}">
                    <a16:creationId xmlns="" xmlns:a16="http://schemas.microsoft.com/office/drawing/2014/main" id="{00000000-0008-0000-0A00-0000DAC3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rot="5400000">
                <a:off x="505" y="84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grpSp>
        <xdr:nvGrpSpPr>
          <xdr:cNvPr id="4375491" name="Group 215">
            <a:extLst>
              <a:ext uri="{FF2B5EF4-FFF2-40B4-BE49-F238E27FC236}">
                <a16:creationId xmlns="" xmlns:a16="http://schemas.microsoft.com/office/drawing/2014/main" id="{00000000-0008-0000-0A00-0000C3C34200}"/>
              </a:ext>
            </a:extLst>
          </xdr:cNvPr>
          <xdr:cNvGrpSpPr>
            <a:grpSpLocks/>
          </xdr:cNvGrpSpPr>
        </xdr:nvGrpSpPr>
        <xdr:grpSpPr bwMode="auto">
          <a:xfrm>
            <a:off x="924" y="1127"/>
            <a:ext cx="68" cy="184"/>
            <a:chOff x="507" y="311"/>
            <a:chExt cx="68" cy="184"/>
          </a:xfrm>
        </xdr:grpSpPr>
        <xdr:grpSp>
          <xdr:nvGrpSpPr>
            <xdr:cNvPr id="4375492" name="Group 216">
              <a:extLst>
                <a:ext uri="{FF2B5EF4-FFF2-40B4-BE49-F238E27FC236}">
                  <a16:creationId xmlns="" xmlns:a16="http://schemas.microsoft.com/office/drawing/2014/main" id="{00000000-0008-0000-0A00-0000C4C34200}"/>
                </a:ext>
              </a:extLst>
            </xdr:cNvPr>
            <xdr:cNvGrpSpPr>
              <a:grpSpLocks noChangeAspect="1"/>
            </xdr:cNvGrpSpPr>
          </xdr:nvGrpSpPr>
          <xdr:grpSpPr bwMode="auto">
            <a:xfrm rot="10800000" flipH="1">
              <a:off x="524" y="463"/>
              <a:ext cx="51" cy="32"/>
              <a:chOff x="557" y="246"/>
              <a:chExt cx="51" cy="32"/>
            </a:xfrm>
          </xdr:grpSpPr>
          <xdr:sp macro="" textlink="">
            <xdr:nvSpPr>
              <xdr:cNvPr id="4375502" name="Arc 217">
                <a:extLst>
                  <a:ext uri="{FF2B5EF4-FFF2-40B4-BE49-F238E27FC236}">
                    <a16:creationId xmlns="" xmlns:a16="http://schemas.microsoft.com/office/drawing/2014/main" id="{00000000-0008-0000-0A00-0000CEC3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flipH="1">
                <a:off x="569" y="258"/>
                <a:ext cx="27" cy="18"/>
              </a:xfrm>
              <a:custGeom>
                <a:avLst/>
                <a:gdLst>
                  <a:gd name="T0" fmla="*/ 0 w 42977"/>
                  <a:gd name="T1" fmla="*/ 0 h 21600"/>
                  <a:gd name="T2" fmla="*/ 0 w 42977"/>
                  <a:gd name="T3" fmla="*/ 0 h 21600"/>
                  <a:gd name="T4" fmla="*/ 0 w 42977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7"/>
                  <a:gd name="T10" fmla="*/ 0 h 21600"/>
                  <a:gd name="T11" fmla="*/ 42977 w 42977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7" h="21600" fill="none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</a:path>
                  <a:path w="42977" h="21600" stroke="0" extrusionOk="0">
                    <a:moveTo>
                      <a:pt x="-1" y="18506"/>
                    </a:moveTo>
                    <a:cubicBezTo>
                      <a:pt x="1536" y="7883"/>
                      <a:pt x="10642" y="-1"/>
                      <a:pt x="21377" y="0"/>
                    </a:cubicBezTo>
                    <a:cubicBezTo>
                      <a:pt x="33306" y="0"/>
                      <a:pt x="42977" y="9670"/>
                      <a:pt x="42977" y="21600"/>
                    </a:cubicBezTo>
                    <a:lnTo>
                      <a:pt x="21377" y="21600"/>
                    </a:lnTo>
                    <a:lnTo>
                      <a:pt x="-1" y="18506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03" name="Arc 218">
                <a:extLst>
                  <a:ext uri="{FF2B5EF4-FFF2-40B4-BE49-F238E27FC236}">
                    <a16:creationId xmlns="" xmlns:a16="http://schemas.microsoft.com/office/drawing/2014/main" id="{00000000-0008-0000-0A00-0000CFC3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flipH="1">
                <a:off x="563" y="251"/>
                <a:ext cx="39" cy="25"/>
              </a:xfrm>
              <a:custGeom>
                <a:avLst/>
                <a:gdLst>
                  <a:gd name="T0" fmla="*/ 0 w 43076"/>
                  <a:gd name="T1" fmla="*/ 0 h 21600"/>
                  <a:gd name="T2" fmla="*/ 0 w 43076"/>
                  <a:gd name="T3" fmla="*/ 0 h 21600"/>
                  <a:gd name="T4" fmla="*/ 0 w 43076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3076"/>
                  <a:gd name="T10" fmla="*/ 0 h 21600"/>
                  <a:gd name="T11" fmla="*/ 43076 w 43076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3076" h="21600" fill="none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</a:path>
                  <a:path w="43076" h="21600" stroke="0" extrusionOk="0">
                    <a:moveTo>
                      <a:pt x="0" y="19288"/>
                    </a:moveTo>
                    <a:cubicBezTo>
                      <a:pt x="1181" y="8316"/>
                      <a:pt x="10441" y="-1"/>
                      <a:pt x="21476" y="0"/>
                    </a:cubicBezTo>
                    <a:cubicBezTo>
                      <a:pt x="33405" y="0"/>
                      <a:pt x="43076" y="9670"/>
                      <a:pt x="43076" y="21600"/>
                    </a:cubicBezTo>
                    <a:lnTo>
                      <a:pt x="21476" y="21600"/>
                    </a:lnTo>
                    <a:lnTo>
                      <a:pt x="0" y="1928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04" name="Arc 219">
                <a:extLst>
                  <a:ext uri="{FF2B5EF4-FFF2-40B4-BE49-F238E27FC236}">
                    <a16:creationId xmlns="" xmlns:a16="http://schemas.microsoft.com/office/drawing/2014/main" id="{00000000-0008-0000-0A00-0000D0C3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 flipH="1">
                <a:off x="557" y="246"/>
                <a:ext cx="51" cy="32"/>
              </a:xfrm>
              <a:custGeom>
                <a:avLst/>
                <a:gdLst>
                  <a:gd name="T0" fmla="*/ 0 w 42973"/>
                  <a:gd name="T1" fmla="*/ 0 h 21600"/>
                  <a:gd name="T2" fmla="*/ 0 w 42973"/>
                  <a:gd name="T3" fmla="*/ 0 h 21600"/>
                  <a:gd name="T4" fmla="*/ 0 w 42973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42973"/>
                  <a:gd name="T10" fmla="*/ 0 h 21600"/>
                  <a:gd name="T11" fmla="*/ 42973 w 42973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42973" h="21600" fill="none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</a:path>
                  <a:path w="42973" h="21600" stroke="0" extrusionOk="0">
                    <a:moveTo>
                      <a:pt x="0" y="18608"/>
                    </a:moveTo>
                    <a:cubicBezTo>
                      <a:pt x="1492" y="7938"/>
                      <a:pt x="10618" y="-1"/>
                      <a:pt x="21392" y="0"/>
                    </a:cubicBezTo>
                    <a:cubicBezTo>
                      <a:pt x="32968" y="0"/>
                      <a:pt x="42486" y="9126"/>
                      <a:pt x="42972" y="20692"/>
                    </a:cubicBezTo>
                    <a:lnTo>
                      <a:pt x="21392" y="21600"/>
                    </a:lnTo>
                    <a:lnTo>
                      <a:pt x="0" y="18608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375493" name="Group 220">
              <a:extLst>
                <a:ext uri="{FF2B5EF4-FFF2-40B4-BE49-F238E27FC236}">
                  <a16:creationId xmlns="" xmlns:a16="http://schemas.microsoft.com/office/drawing/2014/main" id="{00000000-0008-0000-0A00-0000C5C3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07" y="311"/>
              <a:ext cx="68" cy="157"/>
              <a:chOff x="507" y="311"/>
              <a:chExt cx="68" cy="157"/>
            </a:xfrm>
          </xdr:grpSpPr>
          <xdr:sp macro="" textlink="">
            <xdr:nvSpPr>
              <xdr:cNvPr id="4375494" name="Line 221">
                <a:extLst>
                  <a:ext uri="{FF2B5EF4-FFF2-40B4-BE49-F238E27FC236}">
                    <a16:creationId xmlns="" xmlns:a16="http://schemas.microsoft.com/office/drawing/2014/main" id="{00000000-0008-0000-0A00-0000C6C3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 flipV="1">
                <a:off x="528" y="395"/>
                <a:ext cx="0" cy="68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495" name="Line 222">
                <a:extLst>
                  <a:ext uri="{FF2B5EF4-FFF2-40B4-BE49-F238E27FC236}">
                    <a16:creationId xmlns="" xmlns:a16="http://schemas.microsoft.com/office/drawing/2014/main" id="{00000000-0008-0000-0A00-0000C7C3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 flipV="1">
                <a:off x="535" y="325"/>
                <a:ext cx="0" cy="13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496" name="Line 223">
                <a:extLst>
                  <a:ext uri="{FF2B5EF4-FFF2-40B4-BE49-F238E27FC236}">
                    <a16:creationId xmlns="" xmlns:a16="http://schemas.microsoft.com/office/drawing/2014/main" id="{00000000-0008-0000-0A00-0000C8C3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 flipV="1">
                <a:off x="563" y="428"/>
                <a:ext cx="0" cy="38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497" name="Line 224">
                <a:extLst>
                  <a:ext uri="{FF2B5EF4-FFF2-40B4-BE49-F238E27FC236}">
                    <a16:creationId xmlns="" xmlns:a16="http://schemas.microsoft.com/office/drawing/2014/main" id="{00000000-0008-0000-0A00-0000C9C3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 flipV="1">
                <a:off x="568" y="428"/>
                <a:ext cx="0" cy="3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498" name="Line 225">
                <a:extLst>
                  <a:ext uri="{FF2B5EF4-FFF2-40B4-BE49-F238E27FC236}">
                    <a16:creationId xmlns="" xmlns:a16="http://schemas.microsoft.com/office/drawing/2014/main" id="{00000000-0008-0000-0A00-0000CAC34200}"/>
                  </a:ext>
                </a:extLst>
              </xdr:cNvPr>
              <xdr:cNvSpPr>
                <a:spLocks noChangeAspect="1" noChangeShapeType="1"/>
              </xdr:cNvSpPr>
            </xdr:nvSpPr>
            <xdr:spPr bwMode="auto">
              <a:xfrm flipH="1" flipV="1">
                <a:off x="575" y="429"/>
                <a:ext cx="0" cy="3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499" name="Arc 226">
                <a:extLst>
                  <a:ext uri="{FF2B5EF4-FFF2-40B4-BE49-F238E27FC236}">
                    <a16:creationId xmlns="" xmlns:a16="http://schemas.microsoft.com/office/drawing/2014/main" id="{00000000-0008-0000-0A00-0000CBC3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>
                <a:off x="520" y="311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00" name="Arc 227">
                <a:extLst>
                  <a:ext uri="{FF2B5EF4-FFF2-40B4-BE49-F238E27FC236}">
                    <a16:creationId xmlns="" xmlns:a16="http://schemas.microsoft.com/office/drawing/2014/main" id="{00000000-0008-0000-0A00-0000CCC3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>
                <a:off x="513" y="383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501" name="Arc 228">
                <a:extLst>
                  <a:ext uri="{FF2B5EF4-FFF2-40B4-BE49-F238E27FC236}">
                    <a16:creationId xmlns="" xmlns:a16="http://schemas.microsoft.com/office/drawing/2014/main" id="{00000000-0008-0000-0A00-0000CDC34200}"/>
                  </a:ext>
                </a:extLst>
              </xdr:cNvPr>
              <xdr:cNvSpPr>
                <a:spLocks noChangeAspect="1"/>
              </xdr:cNvSpPr>
            </xdr:nvSpPr>
            <xdr:spPr bwMode="auto">
              <a:xfrm>
                <a:off x="507" y="450"/>
                <a:ext cx="15" cy="15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lnTo>
                      <a:pt x="-1" y="0"/>
                    </a:lnTo>
                    <a:close/>
                  </a:path>
                </a:pathLst>
              </a:cu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</xdr:grpSp>
    <xdr:clientData/>
  </xdr:twoCellAnchor>
  <xdr:twoCellAnchor>
    <xdr:from>
      <xdr:col>13</xdr:col>
      <xdr:colOff>19050</xdr:colOff>
      <xdr:row>42</xdr:row>
      <xdr:rowOff>76200</xdr:rowOff>
    </xdr:from>
    <xdr:to>
      <xdr:col>14</xdr:col>
      <xdr:colOff>342900</xdr:colOff>
      <xdr:row>42</xdr:row>
      <xdr:rowOff>76200</xdr:rowOff>
    </xdr:to>
    <xdr:sp macro="" textlink="">
      <xdr:nvSpPr>
        <xdr:cNvPr id="4375277" name="Line 229">
          <a:extLst>
            <a:ext uri="{FF2B5EF4-FFF2-40B4-BE49-F238E27FC236}">
              <a16:creationId xmlns="" xmlns:a16="http://schemas.microsoft.com/office/drawing/2014/main" id="{00000000-0008-0000-0A00-0000EDC24200}"/>
            </a:ext>
          </a:extLst>
        </xdr:cNvPr>
        <xdr:cNvSpPr>
          <a:spLocks noChangeShapeType="1"/>
        </xdr:cNvSpPr>
      </xdr:nvSpPr>
      <xdr:spPr bwMode="auto">
        <a:xfrm>
          <a:off x="16773525" y="16516350"/>
          <a:ext cx="1343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438150</xdr:colOff>
      <xdr:row>35</xdr:row>
      <xdr:rowOff>123825</xdr:rowOff>
    </xdr:from>
    <xdr:to>
      <xdr:col>12</xdr:col>
      <xdr:colOff>552450</xdr:colOff>
      <xdr:row>36</xdr:row>
      <xdr:rowOff>47625</xdr:rowOff>
    </xdr:to>
    <xdr:sp macro="" textlink="">
      <xdr:nvSpPr>
        <xdr:cNvPr id="4375278" name="Arc 230">
          <a:extLst>
            <a:ext uri="{FF2B5EF4-FFF2-40B4-BE49-F238E27FC236}">
              <a16:creationId xmlns="" xmlns:a16="http://schemas.microsoft.com/office/drawing/2014/main" id="{00000000-0008-0000-0A00-0000EEC24200}"/>
            </a:ext>
          </a:extLst>
        </xdr:cNvPr>
        <xdr:cNvSpPr>
          <a:spLocks/>
        </xdr:cNvSpPr>
      </xdr:nvSpPr>
      <xdr:spPr bwMode="auto">
        <a:xfrm flipH="1">
          <a:off x="16297275" y="13887450"/>
          <a:ext cx="114300" cy="266700"/>
        </a:xfrm>
        <a:custGeom>
          <a:avLst/>
          <a:gdLst>
            <a:gd name="T0" fmla="*/ 0 w 41584"/>
            <a:gd name="T1" fmla="*/ 2147483647 h 21600"/>
            <a:gd name="T2" fmla="*/ 2147483647 w 41584"/>
            <a:gd name="T3" fmla="*/ 2147483647 h 21600"/>
            <a:gd name="T4" fmla="*/ 2147483647 w 41584"/>
            <a:gd name="T5" fmla="*/ 2147483647 h 21600"/>
            <a:gd name="T6" fmla="*/ 0 60000 65536"/>
            <a:gd name="T7" fmla="*/ 0 60000 65536"/>
            <a:gd name="T8" fmla="*/ 0 60000 65536"/>
            <a:gd name="T9" fmla="*/ 0 w 41584"/>
            <a:gd name="T10" fmla="*/ 0 h 21600"/>
            <a:gd name="T11" fmla="*/ 41584 w 41584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1584" h="21600" fill="none" extrusionOk="0">
              <a:moveTo>
                <a:pt x="-1" y="18506"/>
              </a:moveTo>
              <a:cubicBezTo>
                <a:pt x="1536" y="7883"/>
                <a:pt x="10642" y="-1"/>
                <a:pt x="21377" y="0"/>
              </a:cubicBezTo>
              <a:cubicBezTo>
                <a:pt x="30362" y="0"/>
                <a:pt x="38409" y="5562"/>
                <a:pt x="41583" y="13968"/>
              </a:cubicBezTo>
            </a:path>
            <a:path w="41584" h="21600" stroke="0" extrusionOk="0">
              <a:moveTo>
                <a:pt x="-1" y="18506"/>
              </a:moveTo>
              <a:cubicBezTo>
                <a:pt x="1536" y="7883"/>
                <a:pt x="10642" y="-1"/>
                <a:pt x="21377" y="0"/>
              </a:cubicBezTo>
              <a:cubicBezTo>
                <a:pt x="30362" y="0"/>
                <a:pt x="38409" y="5562"/>
                <a:pt x="41583" y="13968"/>
              </a:cubicBezTo>
              <a:lnTo>
                <a:pt x="21377" y="21600"/>
              </a:lnTo>
              <a:lnTo>
                <a:pt x="-1" y="18506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447675</xdr:colOff>
      <xdr:row>35</xdr:row>
      <xdr:rowOff>266700</xdr:rowOff>
    </xdr:from>
    <xdr:to>
      <xdr:col>12</xdr:col>
      <xdr:colOff>457200</xdr:colOff>
      <xdr:row>39</xdr:row>
      <xdr:rowOff>219075</xdr:rowOff>
    </xdr:to>
    <xdr:sp macro="" textlink="">
      <xdr:nvSpPr>
        <xdr:cNvPr id="4375279" name="Line 231">
          <a:extLst>
            <a:ext uri="{FF2B5EF4-FFF2-40B4-BE49-F238E27FC236}">
              <a16:creationId xmlns="" xmlns:a16="http://schemas.microsoft.com/office/drawing/2014/main" id="{00000000-0008-0000-0A00-0000EFC24200}"/>
            </a:ext>
          </a:extLst>
        </xdr:cNvPr>
        <xdr:cNvSpPr>
          <a:spLocks noChangeShapeType="1"/>
        </xdr:cNvSpPr>
      </xdr:nvSpPr>
      <xdr:spPr bwMode="auto">
        <a:xfrm>
          <a:off x="16306800" y="14030325"/>
          <a:ext cx="9525" cy="1743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257175</xdr:colOff>
      <xdr:row>36</xdr:row>
      <xdr:rowOff>38100</xdr:rowOff>
    </xdr:from>
    <xdr:to>
      <xdr:col>12</xdr:col>
      <xdr:colOff>276225</xdr:colOff>
      <xdr:row>41</xdr:row>
      <xdr:rowOff>238125</xdr:rowOff>
    </xdr:to>
    <xdr:sp macro="" textlink="">
      <xdr:nvSpPr>
        <xdr:cNvPr id="4375280" name="Line 232">
          <a:extLst>
            <a:ext uri="{FF2B5EF4-FFF2-40B4-BE49-F238E27FC236}">
              <a16:creationId xmlns="" xmlns:a16="http://schemas.microsoft.com/office/drawing/2014/main" id="{00000000-0008-0000-0A00-0000F0C24200}"/>
            </a:ext>
          </a:extLst>
        </xdr:cNvPr>
        <xdr:cNvSpPr>
          <a:spLocks noChangeShapeType="1"/>
        </xdr:cNvSpPr>
      </xdr:nvSpPr>
      <xdr:spPr bwMode="auto">
        <a:xfrm flipH="1">
          <a:off x="16116300" y="14144625"/>
          <a:ext cx="19050" cy="2257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542925</xdr:colOff>
      <xdr:row>41</xdr:row>
      <xdr:rowOff>190500</xdr:rowOff>
    </xdr:from>
    <xdr:to>
      <xdr:col>13</xdr:col>
      <xdr:colOff>38100</xdr:colOff>
      <xdr:row>42</xdr:row>
      <xdr:rowOff>85725</xdr:rowOff>
    </xdr:to>
    <xdr:sp macro="" textlink="">
      <xdr:nvSpPr>
        <xdr:cNvPr id="4375281" name="Arc 233">
          <a:extLst>
            <a:ext uri="{FF2B5EF4-FFF2-40B4-BE49-F238E27FC236}">
              <a16:creationId xmlns="" xmlns:a16="http://schemas.microsoft.com/office/drawing/2014/main" id="{00000000-0008-0000-0A00-0000F1C24200}"/>
            </a:ext>
          </a:extLst>
        </xdr:cNvPr>
        <xdr:cNvSpPr>
          <a:spLocks/>
        </xdr:cNvSpPr>
      </xdr:nvSpPr>
      <xdr:spPr bwMode="auto">
        <a:xfrm rot="15712194" flipH="1">
          <a:off x="16511588" y="16244887"/>
          <a:ext cx="171450" cy="390525"/>
        </a:xfrm>
        <a:custGeom>
          <a:avLst/>
          <a:gdLst>
            <a:gd name="T0" fmla="*/ 2147483647 w 21335"/>
            <a:gd name="T1" fmla="*/ 0 h 20984"/>
            <a:gd name="T2" fmla="*/ 2147483647 w 21335"/>
            <a:gd name="T3" fmla="*/ 2147483647 h 20984"/>
            <a:gd name="T4" fmla="*/ 0 w 21335"/>
            <a:gd name="T5" fmla="*/ 2147483647 h 20984"/>
            <a:gd name="T6" fmla="*/ 0 60000 65536"/>
            <a:gd name="T7" fmla="*/ 0 60000 65536"/>
            <a:gd name="T8" fmla="*/ 0 60000 65536"/>
            <a:gd name="T9" fmla="*/ 0 w 21335"/>
            <a:gd name="T10" fmla="*/ 0 h 20984"/>
            <a:gd name="T11" fmla="*/ 21335 w 21335"/>
            <a:gd name="T12" fmla="*/ 20984 h 209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335" h="20984" fill="none" extrusionOk="0">
              <a:moveTo>
                <a:pt x="5121" y="0"/>
              </a:moveTo>
              <a:cubicBezTo>
                <a:pt x="13583" y="2065"/>
                <a:pt x="19976" y="9010"/>
                <a:pt x="21335" y="17612"/>
              </a:cubicBezTo>
            </a:path>
            <a:path w="21335" h="20984" stroke="0" extrusionOk="0">
              <a:moveTo>
                <a:pt x="5121" y="0"/>
              </a:moveTo>
              <a:cubicBezTo>
                <a:pt x="13583" y="2065"/>
                <a:pt x="19976" y="9010"/>
                <a:pt x="21335" y="17612"/>
              </a:cubicBezTo>
              <a:lnTo>
                <a:pt x="0" y="20984"/>
              </a:lnTo>
              <a:lnTo>
                <a:pt x="5121" y="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476250</xdr:colOff>
      <xdr:row>35</xdr:row>
      <xdr:rowOff>9525</xdr:rowOff>
    </xdr:from>
    <xdr:to>
      <xdr:col>14</xdr:col>
      <xdr:colOff>609600</xdr:colOff>
      <xdr:row>36</xdr:row>
      <xdr:rowOff>95250</xdr:rowOff>
    </xdr:to>
    <xdr:sp macro="" textlink="">
      <xdr:nvSpPr>
        <xdr:cNvPr id="4375282" name="Arc 234">
          <a:extLst>
            <a:ext uri="{FF2B5EF4-FFF2-40B4-BE49-F238E27FC236}">
              <a16:creationId xmlns="" xmlns:a16="http://schemas.microsoft.com/office/drawing/2014/main" id="{00000000-0008-0000-0A00-0000F2C24200}"/>
            </a:ext>
          </a:extLst>
        </xdr:cNvPr>
        <xdr:cNvSpPr>
          <a:spLocks noChangeAspect="1"/>
        </xdr:cNvSpPr>
      </xdr:nvSpPr>
      <xdr:spPr bwMode="auto">
        <a:xfrm>
          <a:off x="18249900" y="13773150"/>
          <a:ext cx="133350" cy="428625"/>
        </a:xfrm>
        <a:custGeom>
          <a:avLst/>
          <a:gdLst>
            <a:gd name="T0" fmla="*/ 0 w 41135"/>
            <a:gd name="T1" fmla="*/ 2147483647 h 21600"/>
            <a:gd name="T2" fmla="*/ 2147483647 w 41135"/>
            <a:gd name="T3" fmla="*/ 2147483647 h 21600"/>
            <a:gd name="T4" fmla="*/ 2147483647 w 41135"/>
            <a:gd name="T5" fmla="*/ 2147483647 h 21600"/>
            <a:gd name="T6" fmla="*/ 0 60000 65536"/>
            <a:gd name="T7" fmla="*/ 0 60000 65536"/>
            <a:gd name="T8" fmla="*/ 0 60000 65536"/>
            <a:gd name="T9" fmla="*/ 0 w 41135"/>
            <a:gd name="T10" fmla="*/ 0 h 21600"/>
            <a:gd name="T11" fmla="*/ 41135 w 41135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1135" h="21600" fill="none" extrusionOk="0">
              <a:moveTo>
                <a:pt x="-1" y="18506"/>
              </a:moveTo>
              <a:cubicBezTo>
                <a:pt x="1536" y="7883"/>
                <a:pt x="10642" y="-1"/>
                <a:pt x="21377" y="0"/>
              </a:cubicBezTo>
              <a:cubicBezTo>
                <a:pt x="29930" y="0"/>
                <a:pt x="37678" y="5047"/>
                <a:pt x="41135" y="12871"/>
              </a:cubicBezTo>
            </a:path>
            <a:path w="41135" h="21600" stroke="0" extrusionOk="0">
              <a:moveTo>
                <a:pt x="-1" y="18506"/>
              </a:moveTo>
              <a:cubicBezTo>
                <a:pt x="1536" y="7883"/>
                <a:pt x="10642" y="-1"/>
                <a:pt x="21377" y="0"/>
              </a:cubicBezTo>
              <a:cubicBezTo>
                <a:pt x="29930" y="0"/>
                <a:pt x="37678" y="5047"/>
                <a:pt x="41135" y="12871"/>
              </a:cubicBezTo>
              <a:lnTo>
                <a:pt x="21377" y="21600"/>
              </a:lnTo>
              <a:lnTo>
                <a:pt x="-1" y="18506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609600</xdr:colOff>
      <xdr:row>35</xdr:row>
      <xdr:rowOff>219075</xdr:rowOff>
    </xdr:from>
    <xdr:to>
      <xdr:col>14</xdr:col>
      <xdr:colOff>609600</xdr:colOff>
      <xdr:row>37</xdr:row>
      <xdr:rowOff>0</xdr:rowOff>
    </xdr:to>
    <xdr:sp macro="" textlink="">
      <xdr:nvSpPr>
        <xdr:cNvPr id="4375283" name="Line 235">
          <a:extLst>
            <a:ext uri="{FF2B5EF4-FFF2-40B4-BE49-F238E27FC236}">
              <a16:creationId xmlns="" xmlns:a16="http://schemas.microsoft.com/office/drawing/2014/main" id="{00000000-0008-0000-0A00-0000F3C24200}"/>
            </a:ext>
          </a:extLst>
        </xdr:cNvPr>
        <xdr:cNvSpPr>
          <a:spLocks noChangeAspect="1" noChangeShapeType="1"/>
        </xdr:cNvSpPr>
      </xdr:nvSpPr>
      <xdr:spPr bwMode="auto">
        <a:xfrm flipH="1">
          <a:off x="18383250" y="13982700"/>
          <a:ext cx="0" cy="561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476250</xdr:colOff>
      <xdr:row>36</xdr:row>
      <xdr:rowOff>57150</xdr:rowOff>
    </xdr:from>
    <xdr:to>
      <xdr:col>14</xdr:col>
      <xdr:colOff>476250</xdr:colOff>
      <xdr:row>41</xdr:row>
      <xdr:rowOff>257175</xdr:rowOff>
    </xdr:to>
    <xdr:sp macro="" textlink="">
      <xdr:nvSpPr>
        <xdr:cNvPr id="4375284" name="Line 236">
          <a:extLst>
            <a:ext uri="{FF2B5EF4-FFF2-40B4-BE49-F238E27FC236}">
              <a16:creationId xmlns="" xmlns:a16="http://schemas.microsoft.com/office/drawing/2014/main" id="{00000000-0008-0000-0A00-0000F4C24200}"/>
            </a:ext>
          </a:extLst>
        </xdr:cNvPr>
        <xdr:cNvSpPr>
          <a:spLocks noChangeAspect="1" noChangeShapeType="1"/>
        </xdr:cNvSpPr>
      </xdr:nvSpPr>
      <xdr:spPr bwMode="auto">
        <a:xfrm flipH="1">
          <a:off x="18249900" y="14163675"/>
          <a:ext cx="0" cy="2257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266700</xdr:colOff>
      <xdr:row>41</xdr:row>
      <xdr:rowOff>133350</xdr:rowOff>
    </xdr:from>
    <xdr:to>
      <xdr:col>14</xdr:col>
      <xdr:colOff>476250</xdr:colOff>
      <xdr:row>42</xdr:row>
      <xdr:rowOff>95250</xdr:rowOff>
    </xdr:to>
    <xdr:sp macro="" textlink="">
      <xdr:nvSpPr>
        <xdr:cNvPr id="4375285" name="Arc 237">
          <a:extLst>
            <a:ext uri="{FF2B5EF4-FFF2-40B4-BE49-F238E27FC236}">
              <a16:creationId xmlns="" xmlns:a16="http://schemas.microsoft.com/office/drawing/2014/main" id="{00000000-0008-0000-0A00-0000F5C24200}"/>
            </a:ext>
          </a:extLst>
        </xdr:cNvPr>
        <xdr:cNvSpPr>
          <a:spLocks noChangeAspect="1"/>
        </xdr:cNvSpPr>
      </xdr:nvSpPr>
      <xdr:spPr bwMode="auto">
        <a:xfrm rot="5887806">
          <a:off x="18026062" y="16311563"/>
          <a:ext cx="238125" cy="209550"/>
        </a:xfrm>
        <a:custGeom>
          <a:avLst/>
          <a:gdLst>
            <a:gd name="T0" fmla="*/ 2147483647 w 21600"/>
            <a:gd name="T1" fmla="*/ 0 h 18971"/>
            <a:gd name="T2" fmla="*/ 2147483647 w 21600"/>
            <a:gd name="T3" fmla="*/ 2147483647 h 18971"/>
            <a:gd name="T4" fmla="*/ 0 w 21600"/>
            <a:gd name="T5" fmla="*/ 2147483647 h 18971"/>
            <a:gd name="T6" fmla="*/ 0 60000 65536"/>
            <a:gd name="T7" fmla="*/ 0 60000 65536"/>
            <a:gd name="T8" fmla="*/ 0 60000 65536"/>
            <a:gd name="T9" fmla="*/ 0 w 21600"/>
            <a:gd name="T10" fmla="*/ 0 h 18971"/>
            <a:gd name="T11" fmla="*/ 21600 w 21600"/>
            <a:gd name="T12" fmla="*/ 18971 h 18971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18971" fill="none" extrusionOk="0">
              <a:moveTo>
                <a:pt x="10327" y="-1"/>
              </a:moveTo>
              <a:cubicBezTo>
                <a:pt x="17275" y="3782"/>
                <a:pt x="21600" y="11060"/>
                <a:pt x="21600" y="18971"/>
              </a:cubicBezTo>
            </a:path>
            <a:path w="21600" h="18971" stroke="0" extrusionOk="0">
              <a:moveTo>
                <a:pt x="10327" y="-1"/>
              </a:moveTo>
              <a:cubicBezTo>
                <a:pt x="17275" y="3782"/>
                <a:pt x="21600" y="11060"/>
                <a:pt x="21600" y="18971"/>
              </a:cubicBezTo>
              <a:lnTo>
                <a:pt x="0" y="18971"/>
              </a:lnTo>
              <a:lnTo>
                <a:pt x="10327" y="-1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57150</xdr:colOff>
      <xdr:row>10</xdr:row>
      <xdr:rowOff>114300</xdr:rowOff>
    </xdr:from>
    <xdr:to>
      <xdr:col>31</xdr:col>
      <xdr:colOff>19050</xdr:colOff>
      <xdr:row>11</xdr:row>
      <xdr:rowOff>76200</xdr:rowOff>
    </xdr:to>
    <xdr:sp macro="" textlink="">
      <xdr:nvSpPr>
        <xdr:cNvPr id="4375286" name="Rectangle 257">
          <a:extLst>
            <a:ext uri="{FF2B5EF4-FFF2-40B4-BE49-F238E27FC236}">
              <a16:creationId xmlns="" xmlns:a16="http://schemas.microsoft.com/office/drawing/2014/main" id="{00000000-0008-0000-0A00-0000F6C24200}"/>
            </a:ext>
          </a:extLst>
        </xdr:cNvPr>
        <xdr:cNvSpPr>
          <a:spLocks noChangeArrowheads="1"/>
        </xdr:cNvSpPr>
      </xdr:nvSpPr>
      <xdr:spPr bwMode="auto">
        <a:xfrm>
          <a:off x="28727400" y="4248150"/>
          <a:ext cx="624840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38100</xdr:colOff>
      <xdr:row>8</xdr:row>
      <xdr:rowOff>381000</xdr:rowOff>
    </xdr:from>
    <xdr:to>
      <xdr:col>31</xdr:col>
      <xdr:colOff>0</xdr:colOff>
      <xdr:row>9</xdr:row>
      <xdr:rowOff>152400</xdr:rowOff>
    </xdr:to>
    <xdr:grpSp>
      <xdr:nvGrpSpPr>
        <xdr:cNvPr id="4375287" name="Group 265">
          <a:extLst>
            <a:ext uri="{FF2B5EF4-FFF2-40B4-BE49-F238E27FC236}">
              <a16:creationId xmlns="" xmlns:a16="http://schemas.microsoft.com/office/drawing/2014/main" id="{00000000-0008-0000-0A00-0000F7C24200}"/>
            </a:ext>
          </a:extLst>
        </xdr:cNvPr>
        <xdr:cNvGrpSpPr>
          <a:grpSpLocks/>
        </xdr:cNvGrpSpPr>
      </xdr:nvGrpSpPr>
      <xdr:grpSpPr bwMode="auto">
        <a:xfrm>
          <a:off x="28708350" y="3690938"/>
          <a:ext cx="6224588" cy="152400"/>
          <a:chOff x="2020" y="383"/>
          <a:chExt cx="656" cy="22"/>
        </a:xfrm>
      </xdr:grpSpPr>
      <xdr:sp macro="" textlink="">
        <xdr:nvSpPr>
          <xdr:cNvPr id="4375484" name="Line 258">
            <a:extLst>
              <a:ext uri="{FF2B5EF4-FFF2-40B4-BE49-F238E27FC236}">
                <a16:creationId xmlns="" xmlns:a16="http://schemas.microsoft.com/office/drawing/2014/main" id="{00000000-0008-0000-0A00-0000BCC3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5485" name="Line 259">
            <a:extLst>
              <a:ext uri="{FF2B5EF4-FFF2-40B4-BE49-F238E27FC236}">
                <a16:creationId xmlns="" xmlns:a16="http://schemas.microsoft.com/office/drawing/2014/main" id="{00000000-0008-0000-0A00-0000BDC342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4375486" name="Line 260">
            <a:extLst>
              <a:ext uri="{FF2B5EF4-FFF2-40B4-BE49-F238E27FC236}">
                <a16:creationId xmlns="" xmlns:a16="http://schemas.microsoft.com/office/drawing/2014/main" id="{00000000-0008-0000-0A00-0000BEC342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18</xdr:col>
      <xdr:colOff>600075</xdr:colOff>
      <xdr:row>8</xdr:row>
      <xdr:rowOff>381000</xdr:rowOff>
    </xdr:from>
    <xdr:to>
      <xdr:col>24</xdr:col>
      <xdr:colOff>476250</xdr:colOff>
      <xdr:row>9</xdr:row>
      <xdr:rowOff>123825</xdr:rowOff>
    </xdr:to>
    <xdr:grpSp>
      <xdr:nvGrpSpPr>
        <xdr:cNvPr id="4375288" name="Group 270">
          <a:extLst>
            <a:ext uri="{FF2B5EF4-FFF2-40B4-BE49-F238E27FC236}">
              <a16:creationId xmlns="" xmlns:a16="http://schemas.microsoft.com/office/drawing/2014/main" id="{00000000-0008-0000-0A00-0000F8C24200}"/>
            </a:ext>
          </a:extLst>
        </xdr:cNvPr>
        <xdr:cNvGrpSpPr>
          <a:grpSpLocks/>
        </xdr:cNvGrpSpPr>
      </xdr:nvGrpSpPr>
      <xdr:grpSpPr bwMode="auto">
        <a:xfrm>
          <a:off x="21817013" y="3690938"/>
          <a:ext cx="5448300" cy="123825"/>
          <a:chOff x="2020" y="383"/>
          <a:chExt cx="656" cy="22"/>
        </a:xfrm>
      </xdr:grpSpPr>
      <xdr:sp macro="" textlink="">
        <xdr:nvSpPr>
          <xdr:cNvPr id="4375481" name="Line 271">
            <a:extLst>
              <a:ext uri="{FF2B5EF4-FFF2-40B4-BE49-F238E27FC236}">
                <a16:creationId xmlns="" xmlns:a16="http://schemas.microsoft.com/office/drawing/2014/main" id="{00000000-0008-0000-0A00-0000B9C3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5482" name="Line 272">
            <a:extLst>
              <a:ext uri="{FF2B5EF4-FFF2-40B4-BE49-F238E27FC236}">
                <a16:creationId xmlns="" xmlns:a16="http://schemas.microsoft.com/office/drawing/2014/main" id="{00000000-0008-0000-0A00-0000BAC342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4375483" name="Line 273">
            <a:extLst>
              <a:ext uri="{FF2B5EF4-FFF2-40B4-BE49-F238E27FC236}">
                <a16:creationId xmlns="" xmlns:a16="http://schemas.microsoft.com/office/drawing/2014/main" id="{00000000-0008-0000-0A00-0000BBC342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18</xdr:col>
      <xdr:colOff>600075</xdr:colOff>
      <xdr:row>10</xdr:row>
      <xdr:rowOff>114300</xdr:rowOff>
    </xdr:from>
    <xdr:to>
      <xdr:col>24</xdr:col>
      <xdr:colOff>476250</xdr:colOff>
      <xdr:row>11</xdr:row>
      <xdr:rowOff>76200</xdr:rowOff>
    </xdr:to>
    <xdr:sp macro="" textlink="">
      <xdr:nvSpPr>
        <xdr:cNvPr id="4375289" name="Rectangle 274">
          <a:extLst>
            <a:ext uri="{FF2B5EF4-FFF2-40B4-BE49-F238E27FC236}">
              <a16:creationId xmlns="" xmlns:a16="http://schemas.microsoft.com/office/drawing/2014/main" id="{00000000-0008-0000-0A00-0000F9C24200}"/>
            </a:ext>
          </a:extLst>
        </xdr:cNvPr>
        <xdr:cNvSpPr>
          <a:spLocks noChangeArrowheads="1"/>
        </xdr:cNvSpPr>
      </xdr:nvSpPr>
      <xdr:spPr bwMode="auto">
        <a:xfrm>
          <a:off x="21850350" y="4248150"/>
          <a:ext cx="542925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0</xdr:colOff>
      <xdr:row>23</xdr:row>
      <xdr:rowOff>190500</xdr:rowOff>
    </xdr:from>
    <xdr:to>
      <xdr:col>31</xdr:col>
      <xdr:colOff>47625</xdr:colOff>
      <xdr:row>24</xdr:row>
      <xdr:rowOff>171450</xdr:rowOff>
    </xdr:to>
    <xdr:sp macro="" textlink="">
      <xdr:nvSpPr>
        <xdr:cNvPr id="4375290" name="Rectangle 280">
          <a:extLst>
            <a:ext uri="{FF2B5EF4-FFF2-40B4-BE49-F238E27FC236}">
              <a16:creationId xmlns="" xmlns:a16="http://schemas.microsoft.com/office/drawing/2014/main" id="{00000000-0008-0000-0A00-0000FAC24200}"/>
            </a:ext>
          </a:extLst>
        </xdr:cNvPr>
        <xdr:cNvSpPr>
          <a:spLocks noChangeArrowheads="1"/>
        </xdr:cNvSpPr>
      </xdr:nvSpPr>
      <xdr:spPr bwMode="auto">
        <a:xfrm>
          <a:off x="28670250" y="9401175"/>
          <a:ext cx="6334125" cy="3714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38100</xdr:colOff>
      <xdr:row>22</xdr:row>
      <xdr:rowOff>76200</xdr:rowOff>
    </xdr:from>
    <xdr:to>
      <xdr:col>31</xdr:col>
      <xdr:colOff>0</xdr:colOff>
      <xdr:row>23</xdr:row>
      <xdr:rowOff>47625</xdr:rowOff>
    </xdr:to>
    <xdr:grpSp>
      <xdr:nvGrpSpPr>
        <xdr:cNvPr id="4375291" name="Group 281">
          <a:extLst>
            <a:ext uri="{FF2B5EF4-FFF2-40B4-BE49-F238E27FC236}">
              <a16:creationId xmlns="" xmlns:a16="http://schemas.microsoft.com/office/drawing/2014/main" id="{00000000-0008-0000-0A00-0000FBC24200}"/>
            </a:ext>
          </a:extLst>
        </xdr:cNvPr>
        <xdr:cNvGrpSpPr>
          <a:grpSpLocks/>
        </xdr:cNvGrpSpPr>
      </xdr:nvGrpSpPr>
      <xdr:grpSpPr bwMode="auto">
        <a:xfrm>
          <a:off x="28708350" y="8720138"/>
          <a:ext cx="6224588" cy="352425"/>
          <a:chOff x="2020" y="383"/>
          <a:chExt cx="656" cy="22"/>
        </a:xfrm>
      </xdr:grpSpPr>
      <xdr:sp macro="" textlink="">
        <xdr:nvSpPr>
          <xdr:cNvPr id="4375478" name="Line 282">
            <a:extLst>
              <a:ext uri="{FF2B5EF4-FFF2-40B4-BE49-F238E27FC236}">
                <a16:creationId xmlns="" xmlns:a16="http://schemas.microsoft.com/office/drawing/2014/main" id="{00000000-0008-0000-0A00-0000B6C3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5479" name="Line 283">
            <a:extLst>
              <a:ext uri="{FF2B5EF4-FFF2-40B4-BE49-F238E27FC236}">
                <a16:creationId xmlns="" xmlns:a16="http://schemas.microsoft.com/office/drawing/2014/main" id="{00000000-0008-0000-0A00-0000B7C342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4375480" name="Line 284">
            <a:extLst>
              <a:ext uri="{FF2B5EF4-FFF2-40B4-BE49-F238E27FC236}">
                <a16:creationId xmlns="" xmlns:a16="http://schemas.microsoft.com/office/drawing/2014/main" id="{00000000-0008-0000-0A00-0000B8C342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10</xdr:col>
      <xdr:colOff>180975</xdr:colOff>
      <xdr:row>9</xdr:row>
      <xdr:rowOff>152400</xdr:rowOff>
    </xdr:from>
    <xdr:to>
      <xdr:col>17</xdr:col>
      <xdr:colOff>438150</xdr:colOff>
      <xdr:row>21</xdr:row>
      <xdr:rowOff>47625</xdr:rowOff>
    </xdr:to>
    <xdr:grpSp>
      <xdr:nvGrpSpPr>
        <xdr:cNvPr id="4375292" name="Gruppo 306">
          <a:extLst>
            <a:ext uri="{FF2B5EF4-FFF2-40B4-BE49-F238E27FC236}">
              <a16:creationId xmlns="" xmlns:a16="http://schemas.microsoft.com/office/drawing/2014/main" id="{00000000-0008-0000-0A00-0000FCC24200}"/>
            </a:ext>
          </a:extLst>
        </xdr:cNvPr>
        <xdr:cNvGrpSpPr>
          <a:grpSpLocks/>
        </xdr:cNvGrpSpPr>
      </xdr:nvGrpSpPr>
      <xdr:grpSpPr bwMode="auto">
        <a:xfrm>
          <a:off x="14658975" y="3843338"/>
          <a:ext cx="6424613" cy="4467225"/>
          <a:chOff x="76998908" y="5662612"/>
          <a:chExt cx="6688423" cy="4630511"/>
        </a:xfrm>
      </xdr:grpSpPr>
      <xdr:sp macro="" textlink="">
        <xdr:nvSpPr>
          <xdr:cNvPr id="4375446" name="Line 37">
            <a:extLst>
              <a:ext uri="{FF2B5EF4-FFF2-40B4-BE49-F238E27FC236}">
                <a16:creationId xmlns="" xmlns:a16="http://schemas.microsoft.com/office/drawing/2014/main" id="{00000000-0008-0000-0A00-000096C3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77355882" y="5662612"/>
            <a:ext cx="0" cy="8166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5447" name="Line 38">
            <a:extLst>
              <a:ext uri="{FF2B5EF4-FFF2-40B4-BE49-F238E27FC236}">
                <a16:creationId xmlns="" xmlns:a16="http://schemas.microsoft.com/office/drawing/2014/main" id="{00000000-0008-0000-0A00-000097C3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83687331" y="5662612"/>
            <a:ext cx="0" cy="81664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5448" name="Line 40">
            <a:extLst>
              <a:ext uri="{FF2B5EF4-FFF2-40B4-BE49-F238E27FC236}">
                <a16:creationId xmlns="" xmlns:a16="http://schemas.microsoft.com/office/drawing/2014/main" id="{00000000-0008-0000-0A00-000098C34200}"/>
              </a:ext>
            </a:extLst>
          </xdr:cNvPr>
          <xdr:cNvSpPr>
            <a:spLocks noChangeShapeType="1"/>
          </xdr:cNvSpPr>
        </xdr:nvSpPr>
        <xdr:spPr bwMode="auto">
          <a:xfrm>
            <a:off x="77355882" y="7110147"/>
            <a:ext cx="0" cy="31829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5449" name="Line 41">
            <a:extLst>
              <a:ext uri="{FF2B5EF4-FFF2-40B4-BE49-F238E27FC236}">
                <a16:creationId xmlns="" xmlns:a16="http://schemas.microsoft.com/office/drawing/2014/main" id="{00000000-0008-0000-0A00-000099C3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76998908" y="7843201"/>
            <a:ext cx="60995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5450" name="Line 42">
            <a:extLst>
              <a:ext uri="{FF2B5EF4-FFF2-40B4-BE49-F238E27FC236}">
                <a16:creationId xmlns="" xmlns:a16="http://schemas.microsoft.com/office/drawing/2014/main" id="{00000000-0008-0000-0A00-00009AC34200}"/>
              </a:ext>
            </a:extLst>
          </xdr:cNvPr>
          <xdr:cNvSpPr>
            <a:spLocks noChangeShapeType="1"/>
          </xdr:cNvSpPr>
        </xdr:nvSpPr>
        <xdr:spPr bwMode="auto">
          <a:xfrm>
            <a:off x="77355882" y="8228302"/>
            <a:ext cx="79765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5451" name="Line 43">
            <a:extLst>
              <a:ext uri="{FF2B5EF4-FFF2-40B4-BE49-F238E27FC236}">
                <a16:creationId xmlns="" xmlns:a16="http://schemas.microsoft.com/office/drawing/2014/main" id="{00000000-0008-0000-0A00-00009BC34200}"/>
              </a:ext>
            </a:extLst>
          </xdr:cNvPr>
          <xdr:cNvSpPr>
            <a:spLocks noChangeShapeType="1"/>
          </xdr:cNvSpPr>
        </xdr:nvSpPr>
        <xdr:spPr bwMode="auto">
          <a:xfrm>
            <a:off x="77355882" y="8631979"/>
            <a:ext cx="17857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5452" name="Line 44">
            <a:extLst>
              <a:ext uri="{FF2B5EF4-FFF2-40B4-BE49-F238E27FC236}">
                <a16:creationId xmlns="" xmlns:a16="http://schemas.microsoft.com/office/drawing/2014/main" id="{00000000-0008-0000-0A00-00009CC3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7355882" y="9026368"/>
            <a:ext cx="297251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5453" name="Line 45">
            <a:extLst>
              <a:ext uri="{FF2B5EF4-FFF2-40B4-BE49-F238E27FC236}">
                <a16:creationId xmlns="" xmlns:a16="http://schemas.microsoft.com/office/drawing/2014/main" id="{00000000-0008-0000-0A00-00009DC34200}"/>
              </a:ext>
            </a:extLst>
          </xdr:cNvPr>
          <xdr:cNvSpPr>
            <a:spLocks noChangeShapeType="1"/>
          </xdr:cNvSpPr>
        </xdr:nvSpPr>
        <xdr:spPr bwMode="auto">
          <a:xfrm>
            <a:off x="77355882" y="9411470"/>
            <a:ext cx="420347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75454" name="Group 46">
            <a:extLst>
              <a:ext uri="{FF2B5EF4-FFF2-40B4-BE49-F238E27FC236}">
                <a16:creationId xmlns="" xmlns:a16="http://schemas.microsoft.com/office/drawing/2014/main" id="{00000000-0008-0000-0A00-00009EC34200}"/>
              </a:ext>
            </a:extLst>
          </xdr:cNvPr>
          <xdr:cNvGrpSpPr>
            <a:grpSpLocks/>
          </xdr:cNvGrpSpPr>
        </xdr:nvGrpSpPr>
        <xdr:grpSpPr bwMode="auto">
          <a:xfrm>
            <a:off x="77472886" y="6725044"/>
            <a:ext cx="540989" cy="1192456"/>
            <a:chOff x="515" y="439"/>
            <a:chExt cx="49" cy="76"/>
          </a:xfrm>
        </xdr:grpSpPr>
        <xdr:sp macro="" textlink="">
          <xdr:nvSpPr>
            <xdr:cNvPr id="4375476" name="Line 47">
              <a:extLst>
                <a:ext uri="{FF2B5EF4-FFF2-40B4-BE49-F238E27FC236}">
                  <a16:creationId xmlns="" xmlns:a16="http://schemas.microsoft.com/office/drawing/2014/main" id="{00000000-0008-0000-0A00-0000B4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15" y="439"/>
              <a:ext cx="0" cy="7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5477" name="Line 48">
              <a:extLst>
                <a:ext uri="{FF2B5EF4-FFF2-40B4-BE49-F238E27FC236}">
                  <a16:creationId xmlns="" xmlns:a16="http://schemas.microsoft.com/office/drawing/2014/main" id="{00000000-0008-0000-0A00-0000B5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54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375455" name="Group 49">
            <a:extLst>
              <a:ext uri="{FF2B5EF4-FFF2-40B4-BE49-F238E27FC236}">
                <a16:creationId xmlns="" xmlns:a16="http://schemas.microsoft.com/office/drawing/2014/main" id="{00000000-0008-0000-0A00-00009FC34200}"/>
              </a:ext>
            </a:extLst>
          </xdr:cNvPr>
          <xdr:cNvGrpSpPr>
            <a:grpSpLocks/>
          </xdr:cNvGrpSpPr>
        </xdr:nvGrpSpPr>
        <xdr:grpSpPr bwMode="auto">
          <a:xfrm>
            <a:off x="78086555" y="6725044"/>
            <a:ext cx="110407" cy="1558983"/>
            <a:chOff x="680" y="439"/>
            <a:chExt cx="10" cy="98"/>
          </a:xfrm>
        </xdr:grpSpPr>
        <xdr:sp macro="" textlink="">
          <xdr:nvSpPr>
            <xdr:cNvPr id="4375474" name="Line 50">
              <a:extLst>
                <a:ext uri="{FF2B5EF4-FFF2-40B4-BE49-F238E27FC236}">
                  <a16:creationId xmlns="" xmlns:a16="http://schemas.microsoft.com/office/drawing/2014/main" id="{00000000-0008-0000-0A00-0000B2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85" y="439"/>
              <a:ext cx="0" cy="9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5475" name="Line 51">
              <a:extLst>
                <a:ext uri="{FF2B5EF4-FFF2-40B4-BE49-F238E27FC236}">
                  <a16:creationId xmlns="" xmlns:a16="http://schemas.microsoft.com/office/drawing/2014/main" id="{00000000-0008-0000-0A00-0000B3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80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375456" name="Group 52">
            <a:extLst>
              <a:ext uri="{FF2B5EF4-FFF2-40B4-BE49-F238E27FC236}">
                <a16:creationId xmlns="" xmlns:a16="http://schemas.microsoft.com/office/drawing/2014/main" id="{00000000-0008-0000-0A00-0000A0C34200}"/>
              </a:ext>
            </a:extLst>
          </xdr:cNvPr>
          <xdr:cNvGrpSpPr>
            <a:grpSpLocks/>
          </xdr:cNvGrpSpPr>
        </xdr:nvGrpSpPr>
        <xdr:grpSpPr bwMode="auto">
          <a:xfrm>
            <a:off x="79045265" y="6715756"/>
            <a:ext cx="110407" cy="1934797"/>
            <a:chOff x="759" y="438"/>
            <a:chExt cx="10" cy="121"/>
          </a:xfrm>
        </xdr:grpSpPr>
        <xdr:sp macro="" textlink="">
          <xdr:nvSpPr>
            <xdr:cNvPr id="4375472" name="Line 53">
              <a:extLst>
                <a:ext uri="{FF2B5EF4-FFF2-40B4-BE49-F238E27FC236}">
                  <a16:creationId xmlns="" xmlns:a16="http://schemas.microsoft.com/office/drawing/2014/main" id="{00000000-0008-0000-0A00-0000B0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64" y="438"/>
              <a:ext cx="0" cy="12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5473" name="Line 54">
              <a:extLst>
                <a:ext uri="{FF2B5EF4-FFF2-40B4-BE49-F238E27FC236}">
                  <a16:creationId xmlns="" xmlns:a16="http://schemas.microsoft.com/office/drawing/2014/main" id="{00000000-0008-0000-0A00-0000B1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59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375457" name="Group 55">
            <a:extLst>
              <a:ext uri="{FF2B5EF4-FFF2-40B4-BE49-F238E27FC236}">
                <a16:creationId xmlns="" xmlns:a16="http://schemas.microsoft.com/office/drawing/2014/main" id="{00000000-0008-0000-0A00-0000A1C34200}"/>
              </a:ext>
            </a:extLst>
          </xdr:cNvPr>
          <xdr:cNvGrpSpPr>
            <a:grpSpLocks/>
          </xdr:cNvGrpSpPr>
        </xdr:nvGrpSpPr>
        <xdr:grpSpPr bwMode="auto">
          <a:xfrm>
            <a:off x="80338386" y="6715756"/>
            <a:ext cx="110407" cy="2338474"/>
            <a:chOff x="842" y="438"/>
            <a:chExt cx="10" cy="147"/>
          </a:xfrm>
        </xdr:grpSpPr>
        <xdr:sp macro="" textlink="">
          <xdr:nvSpPr>
            <xdr:cNvPr id="4375470" name="Line 56">
              <a:extLst>
                <a:ext uri="{FF2B5EF4-FFF2-40B4-BE49-F238E27FC236}">
                  <a16:creationId xmlns="" xmlns:a16="http://schemas.microsoft.com/office/drawing/2014/main" id="{00000000-0008-0000-0A00-0000AE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47" y="438"/>
              <a:ext cx="0" cy="147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5471" name="Line 57">
              <a:extLst>
                <a:ext uri="{FF2B5EF4-FFF2-40B4-BE49-F238E27FC236}">
                  <a16:creationId xmlns="" xmlns:a16="http://schemas.microsoft.com/office/drawing/2014/main" id="{00000000-0008-0000-0A00-0000AF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42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375458" name="Group 58">
            <a:extLst>
              <a:ext uri="{FF2B5EF4-FFF2-40B4-BE49-F238E27FC236}">
                <a16:creationId xmlns="" xmlns:a16="http://schemas.microsoft.com/office/drawing/2014/main" id="{00000000-0008-0000-0A00-0000A2C34200}"/>
              </a:ext>
            </a:extLst>
          </xdr:cNvPr>
          <xdr:cNvGrpSpPr>
            <a:grpSpLocks/>
          </xdr:cNvGrpSpPr>
        </xdr:nvGrpSpPr>
        <xdr:grpSpPr bwMode="auto">
          <a:xfrm>
            <a:off x="81450924" y="6715756"/>
            <a:ext cx="124170" cy="2723576"/>
            <a:chOff x="912" y="438"/>
            <a:chExt cx="11" cy="175"/>
          </a:xfrm>
        </xdr:grpSpPr>
        <xdr:sp macro="" textlink="">
          <xdr:nvSpPr>
            <xdr:cNvPr id="4375468" name="Line 59">
              <a:extLst>
                <a:ext uri="{FF2B5EF4-FFF2-40B4-BE49-F238E27FC236}">
                  <a16:creationId xmlns="" xmlns:a16="http://schemas.microsoft.com/office/drawing/2014/main" id="{00000000-0008-0000-0A00-0000AC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5469" name="Line 60">
              <a:extLst>
                <a:ext uri="{FF2B5EF4-FFF2-40B4-BE49-F238E27FC236}">
                  <a16:creationId xmlns="" xmlns:a16="http://schemas.microsoft.com/office/drawing/2014/main" id="{00000000-0008-0000-0A00-0000AD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75459" name="Rectangle 61">
            <a:extLst>
              <a:ext uri="{FF2B5EF4-FFF2-40B4-BE49-F238E27FC236}">
                <a16:creationId xmlns="" xmlns:a16="http://schemas.microsoft.com/office/drawing/2014/main" id="{00000000-0008-0000-0A00-0000A3C34200}"/>
              </a:ext>
            </a:extLst>
          </xdr:cNvPr>
          <xdr:cNvSpPr>
            <a:spLocks noChangeArrowheads="1"/>
          </xdr:cNvSpPr>
        </xdr:nvSpPr>
        <xdr:spPr bwMode="auto">
          <a:xfrm>
            <a:off x="77355882" y="6650745"/>
            <a:ext cx="6309367" cy="394390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75460" name="Line 62">
            <a:extLst>
              <a:ext uri="{FF2B5EF4-FFF2-40B4-BE49-F238E27FC236}">
                <a16:creationId xmlns="" xmlns:a16="http://schemas.microsoft.com/office/drawing/2014/main" id="{00000000-0008-0000-0A00-0000A4C34200}"/>
              </a:ext>
            </a:extLst>
          </xdr:cNvPr>
          <xdr:cNvSpPr>
            <a:spLocks noChangeShapeType="1"/>
          </xdr:cNvSpPr>
        </xdr:nvSpPr>
        <xdr:spPr bwMode="auto">
          <a:xfrm>
            <a:off x="83576924" y="6715756"/>
            <a:ext cx="0" cy="353093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5461" name="Line 63">
            <a:extLst>
              <a:ext uri="{FF2B5EF4-FFF2-40B4-BE49-F238E27FC236}">
                <a16:creationId xmlns="" xmlns:a16="http://schemas.microsoft.com/office/drawing/2014/main" id="{00000000-0008-0000-0A00-0000A5C34200}"/>
              </a:ext>
            </a:extLst>
          </xdr:cNvPr>
          <xdr:cNvSpPr>
            <a:spLocks noChangeShapeType="1"/>
          </xdr:cNvSpPr>
        </xdr:nvSpPr>
        <xdr:spPr bwMode="auto">
          <a:xfrm>
            <a:off x="83334029" y="6752906"/>
            <a:ext cx="29809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5462" name="Line 64">
            <a:extLst>
              <a:ext uri="{FF2B5EF4-FFF2-40B4-BE49-F238E27FC236}">
                <a16:creationId xmlns="" xmlns:a16="http://schemas.microsoft.com/office/drawing/2014/main" id="{00000000-0008-0000-0A00-0000A6C3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77355882" y="9805860"/>
            <a:ext cx="52771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5463" name="Line 65">
            <a:extLst>
              <a:ext uri="{FF2B5EF4-FFF2-40B4-BE49-F238E27FC236}">
                <a16:creationId xmlns="" xmlns:a16="http://schemas.microsoft.com/office/drawing/2014/main" id="{00000000-0008-0000-0A00-0000A7C3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77344841" y="10209537"/>
            <a:ext cx="626520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75464" name="Group 66">
            <a:extLst>
              <a:ext uri="{FF2B5EF4-FFF2-40B4-BE49-F238E27FC236}">
                <a16:creationId xmlns="" xmlns:a16="http://schemas.microsoft.com/office/drawing/2014/main" id="{00000000-0008-0000-0A00-0000A8C34200}"/>
              </a:ext>
            </a:extLst>
          </xdr:cNvPr>
          <xdr:cNvGrpSpPr>
            <a:grpSpLocks/>
          </xdr:cNvGrpSpPr>
        </xdr:nvGrpSpPr>
        <xdr:grpSpPr bwMode="auto">
          <a:xfrm>
            <a:off x="82485945" y="6715756"/>
            <a:ext cx="121448" cy="3136541"/>
            <a:chOff x="912" y="438"/>
            <a:chExt cx="11" cy="175"/>
          </a:xfrm>
        </xdr:grpSpPr>
        <xdr:sp macro="" textlink="">
          <xdr:nvSpPr>
            <xdr:cNvPr id="4375466" name="Line 67">
              <a:extLst>
                <a:ext uri="{FF2B5EF4-FFF2-40B4-BE49-F238E27FC236}">
                  <a16:creationId xmlns="" xmlns:a16="http://schemas.microsoft.com/office/drawing/2014/main" id="{00000000-0008-0000-0A00-0000AA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5467" name="Line 68">
              <a:extLst>
                <a:ext uri="{FF2B5EF4-FFF2-40B4-BE49-F238E27FC236}">
                  <a16:creationId xmlns="" xmlns:a16="http://schemas.microsoft.com/office/drawing/2014/main" id="{00000000-0008-0000-0A00-0000AB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75465" name="Line 293">
            <a:extLst>
              <a:ext uri="{FF2B5EF4-FFF2-40B4-BE49-F238E27FC236}">
                <a16:creationId xmlns="" xmlns:a16="http://schemas.microsoft.com/office/drawing/2014/main" id="{00000000-0008-0000-0A00-0000A9C34200}"/>
              </a:ext>
            </a:extLst>
          </xdr:cNvPr>
          <xdr:cNvSpPr>
            <a:spLocks noChangeShapeType="1"/>
          </xdr:cNvSpPr>
        </xdr:nvSpPr>
        <xdr:spPr bwMode="auto">
          <a:xfrm>
            <a:off x="77333801" y="5982702"/>
            <a:ext cx="635353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</xdr:grpSp>
    <xdr:clientData/>
  </xdr:twoCellAnchor>
  <xdr:twoCellAnchor>
    <xdr:from>
      <xdr:col>4</xdr:col>
      <xdr:colOff>657225</xdr:colOff>
      <xdr:row>24</xdr:row>
      <xdr:rowOff>238125</xdr:rowOff>
    </xdr:from>
    <xdr:to>
      <xdr:col>4</xdr:col>
      <xdr:colOff>657225</xdr:colOff>
      <xdr:row>28</xdr:row>
      <xdr:rowOff>295275</xdr:rowOff>
    </xdr:to>
    <xdr:sp macro="" textlink="">
      <xdr:nvSpPr>
        <xdr:cNvPr id="4375293" name="Line 1">
          <a:extLst>
            <a:ext uri="{FF2B5EF4-FFF2-40B4-BE49-F238E27FC236}">
              <a16:creationId xmlns="" xmlns:a16="http://schemas.microsoft.com/office/drawing/2014/main" id="{00000000-0008-0000-0A00-0000FDC24200}"/>
            </a:ext>
          </a:extLst>
        </xdr:cNvPr>
        <xdr:cNvSpPr>
          <a:spLocks noChangeShapeType="1"/>
        </xdr:cNvSpPr>
      </xdr:nvSpPr>
      <xdr:spPr bwMode="auto">
        <a:xfrm flipV="1">
          <a:off x="10277475" y="9839325"/>
          <a:ext cx="0" cy="1619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657225</xdr:colOff>
      <xdr:row>24</xdr:row>
      <xdr:rowOff>219075</xdr:rowOff>
    </xdr:from>
    <xdr:to>
      <xdr:col>7</xdr:col>
      <xdr:colOff>657225</xdr:colOff>
      <xdr:row>28</xdr:row>
      <xdr:rowOff>285750</xdr:rowOff>
    </xdr:to>
    <xdr:sp macro="" textlink="">
      <xdr:nvSpPr>
        <xdr:cNvPr id="4375294" name="Line 2">
          <a:extLst>
            <a:ext uri="{FF2B5EF4-FFF2-40B4-BE49-F238E27FC236}">
              <a16:creationId xmlns="" xmlns:a16="http://schemas.microsoft.com/office/drawing/2014/main" id="{00000000-0008-0000-0A00-0000FEC24200}"/>
            </a:ext>
          </a:extLst>
        </xdr:cNvPr>
        <xdr:cNvSpPr>
          <a:spLocks noChangeShapeType="1"/>
        </xdr:cNvSpPr>
      </xdr:nvSpPr>
      <xdr:spPr bwMode="auto">
        <a:xfrm flipV="1">
          <a:off x="13115925" y="9820275"/>
          <a:ext cx="0" cy="1628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809625</xdr:colOff>
      <xdr:row>32</xdr:row>
      <xdr:rowOff>190500</xdr:rowOff>
    </xdr:from>
    <xdr:to>
      <xdr:col>4</xdr:col>
      <xdr:colOff>809625</xdr:colOff>
      <xdr:row>45</xdr:row>
      <xdr:rowOff>66675</xdr:rowOff>
    </xdr:to>
    <xdr:sp macro="" textlink="">
      <xdr:nvSpPr>
        <xdr:cNvPr id="4375295" name="Line 30">
          <a:extLst>
            <a:ext uri="{FF2B5EF4-FFF2-40B4-BE49-F238E27FC236}">
              <a16:creationId xmlns="" xmlns:a16="http://schemas.microsoft.com/office/drawing/2014/main" id="{00000000-0008-0000-0A00-0000FFC24200}"/>
            </a:ext>
          </a:extLst>
        </xdr:cNvPr>
        <xdr:cNvSpPr>
          <a:spLocks noChangeShapeType="1"/>
        </xdr:cNvSpPr>
      </xdr:nvSpPr>
      <xdr:spPr bwMode="auto">
        <a:xfrm>
          <a:off x="10429875" y="12982575"/>
          <a:ext cx="0" cy="4619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504825</xdr:colOff>
      <xdr:row>32</xdr:row>
      <xdr:rowOff>228600</xdr:rowOff>
    </xdr:from>
    <xdr:to>
      <xdr:col>7</xdr:col>
      <xdr:colOff>504825</xdr:colOff>
      <xdr:row>45</xdr:row>
      <xdr:rowOff>76200</xdr:rowOff>
    </xdr:to>
    <xdr:sp macro="" textlink="">
      <xdr:nvSpPr>
        <xdr:cNvPr id="4375296" name="Line 31">
          <a:extLst>
            <a:ext uri="{FF2B5EF4-FFF2-40B4-BE49-F238E27FC236}">
              <a16:creationId xmlns="" xmlns:a16="http://schemas.microsoft.com/office/drawing/2014/main" id="{00000000-0008-0000-0A00-000000C34200}"/>
            </a:ext>
          </a:extLst>
        </xdr:cNvPr>
        <xdr:cNvSpPr>
          <a:spLocks noChangeShapeType="1"/>
        </xdr:cNvSpPr>
      </xdr:nvSpPr>
      <xdr:spPr bwMode="auto">
        <a:xfrm>
          <a:off x="12963525" y="13020675"/>
          <a:ext cx="0" cy="459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41</xdr:row>
      <xdr:rowOff>57150</xdr:rowOff>
    </xdr:from>
    <xdr:to>
      <xdr:col>7</xdr:col>
      <xdr:colOff>323850</xdr:colOff>
      <xdr:row>41</xdr:row>
      <xdr:rowOff>57150</xdr:rowOff>
    </xdr:to>
    <xdr:sp macro="" textlink="">
      <xdr:nvSpPr>
        <xdr:cNvPr id="4375297" name="Line 32">
          <a:extLst>
            <a:ext uri="{FF2B5EF4-FFF2-40B4-BE49-F238E27FC236}">
              <a16:creationId xmlns="" xmlns:a16="http://schemas.microsoft.com/office/drawing/2014/main" id="{00000000-0008-0000-0A00-000001C34200}"/>
            </a:ext>
          </a:extLst>
        </xdr:cNvPr>
        <xdr:cNvSpPr>
          <a:spLocks noChangeShapeType="1"/>
        </xdr:cNvSpPr>
      </xdr:nvSpPr>
      <xdr:spPr bwMode="auto">
        <a:xfrm flipV="1">
          <a:off x="10439400" y="16221075"/>
          <a:ext cx="2343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35</xdr:row>
      <xdr:rowOff>266700</xdr:rowOff>
    </xdr:from>
    <xdr:to>
      <xdr:col>7</xdr:col>
      <xdr:colOff>342900</xdr:colOff>
      <xdr:row>35</xdr:row>
      <xdr:rowOff>266700</xdr:rowOff>
    </xdr:to>
    <xdr:sp macro="" textlink="">
      <xdr:nvSpPr>
        <xdr:cNvPr id="4375298" name="Line 33">
          <a:extLst>
            <a:ext uri="{FF2B5EF4-FFF2-40B4-BE49-F238E27FC236}">
              <a16:creationId xmlns="" xmlns:a16="http://schemas.microsoft.com/office/drawing/2014/main" id="{00000000-0008-0000-0A00-000002C34200}"/>
            </a:ext>
          </a:extLst>
        </xdr:cNvPr>
        <xdr:cNvSpPr>
          <a:spLocks noChangeShapeType="1"/>
        </xdr:cNvSpPr>
      </xdr:nvSpPr>
      <xdr:spPr bwMode="auto">
        <a:xfrm flipV="1">
          <a:off x="10439400" y="14030325"/>
          <a:ext cx="2362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44</xdr:row>
      <xdr:rowOff>171450</xdr:rowOff>
    </xdr:from>
    <xdr:to>
      <xdr:col>7</xdr:col>
      <xdr:colOff>314325</xdr:colOff>
      <xdr:row>44</xdr:row>
      <xdr:rowOff>171450</xdr:rowOff>
    </xdr:to>
    <xdr:sp macro="" textlink="">
      <xdr:nvSpPr>
        <xdr:cNvPr id="4375299" name="Line 69">
          <a:extLst>
            <a:ext uri="{FF2B5EF4-FFF2-40B4-BE49-F238E27FC236}">
              <a16:creationId xmlns="" xmlns:a16="http://schemas.microsoft.com/office/drawing/2014/main" id="{00000000-0008-0000-0A00-000003C34200}"/>
            </a:ext>
          </a:extLst>
        </xdr:cNvPr>
        <xdr:cNvSpPr>
          <a:spLocks noChangeShapeType="1"/>
        </xdr:cNvSpPr>
      </xdr:nvSpPr>
      <xdr:spPr bwMode="auto">
        <a:xfrm>
          <a:off x="10439400" y="17468850"/>
          <a:ext cx="2333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32</xdr:row>
      <xdr:rowOff>266700</xdr:rowOff>
    </xdr:from>
    <xdr:to>
      <xdr:col>7</xdr:col>
      <xdr:colOff>323850</xdr:colOff>
      <xdr:row>32</xdr:row>
      <xdr:rowOff>266700</xdr:rowOff>
    </xdr:to>
    <xdr:sp macro="" textlink="">
      <xdr:nvSpPr>
        <xdr:cNvPr id="4375300" name="Line 70">
          <a:extLst>
            <a:ext uri="{FF2B5EF4-FFF2-40B4-BE49-F238E27FC236}">
              <a16:creationId xmlns="" xmlns:a16="http://schemas.microsoft.com/office/drawing/2014/main" id="{00000000-0008-0000-0A00-000004C34200}"/>
            </a:ext>
          </a:extLst>
        </xdr:cNvPr>
        <xdr:cNvSpPr>
          <a:spLocks noChangeShapeType="1"/>
        </xdr:cNvSpPr>
      </xdr:nvSpPr>
      <xdr:spPr bwMode="auto">
        <a:xfrm>
          <a:off x="10439400" y="13058775"/>
          <a:ext cx="2343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314325</xdr:colOff>
      <xdr:row>44</xdr:row>
      <xdr:rowOff>171450</xdr:rowOff>
    </xdr:from>
    <xdr:to>
      <xdr:col>7</xdr:col>
      <xdr:colOff>657225</xdr:colOff>
      <xdr:row>44</xdr:row>
      <xdr:rowOff>171450</xdr:rowOff>
    </xdr:to>
    <xdr:sp macro="" textlink="">
      <xdr:nvSpPr>
        <xdr:cNvPr id="4375301" name="Line 71">
          <a:extLst>
            <a:ext uri="{FF2B5EF4-FFF2-40B4-BE49-F238E27FC236}">
              <a16:creationId xmlns="" xmlns:a16="http://schemas.microsoft.com/office/drawing/2014/main" id="{00000000-0008-0000-0A00-000005C34200}"/>
            </a:ext>
          </a:extLst>
        </xdr:cNvPr>
        <xdr:cNvSpPr>
          <a:spLocks noChangeShapeType="1"/>
        </xdr:cNvSpPr>
      </xdr:nvSpPr>
      <xdr:spPr bwMode="auto">
        <a:xfrm>
          <a:off x="12773025" y="1746885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314325</xdr:colOff>
      <xdr:row>32</xdr:row>
      <xdr:rowOff>266700</xdr:rowOff>
    </xdr:from>
    <xdr:to>
      <xdr:col>7</xdr:col>
      <xdr:colOff>457200</xdr:colOff>
      <xdr:row>32</xdr:row>
      <xdr:rowOff>266700</xdr:rowOff>
    </xdr:to>
    <xdr:sp macro="" textlink="">
      <xdr:nvSpPr>
        <xdr:cNvPr id="4375302" name="Line 72">
          <a:extLst>
            <a:ext uri="{FF2B5EF4-FFF2-40B4-BE49-F238E27FC236}">
              <a16:creationId xmlns="" xmlns:a16="http://schemas.microsoft.com/office/drawing/2014/main" id="{00000000-0008-0000-0A00-000006C34200}"/>
            </a:ext>
          </a:extLst>
        </xdr:cNvPr>
        <xdr:cNvSpPr>
          <a:spLocks noChangeShapeType="1"/>
        </xdr:cNvSpPr>
      </xdr:nvSpPr>
      <xdr:spPr bwMode="auto">
        <a:xfrm>
          <a:off x="12773025" y="1305877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876300</xdr:colOff>
      <xdr:row>32</xdr:row>
      <xdr:rowOff>276225</xdr:rowOff>
    </xdr:from>
    <xdr:to>
      <xdr:col>4</xdr:col>
      <xdr:colOff>876300</xdr:colOff>
      <xdr:row>35</xdr:row>
      <xdr:rowOff>142875</xdr:rowOff>
    </xdr:to>
    <xdr:sp macro="" textlink="">
      <xdr:nvSpPr>
        <xdr:cNvPr id="4375303" name="Line 73">
          <a:extLst>
            <a:ext uri="{FF2B5EF4-FFF2-40B4-BE49-F238E27FC236}">
              <a16:creationId xmlns="" xmlns:a16="http://schemas.microsoft.com/office/drawing/2014/main" id="{00000000-0008-0000-0A00-000007C34200}"/>
            </a:ext>
          </a:extLst>
        </xdr:cNvPr>
        <xdr:cNvSpPr>
          <a:spLocks noChangeShapeType="1"/>
        </xdr:cNvSpPr>
      </xdr:nvSpPr>
      <xdr:spPr bwMode="auto">
        <a:xfrm>
          <a:off x="10496550" y="13068300"/>
          <a:ext cx="0" cy="838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38100</xdr:colOff>
      <xdr:row>32</xdr:row>
      <xdr:rowOff>276225</xdr:rowOff>
    </xdr:from>
    <xdr:to>
      <xdr:col>5</xdr:col>
      <xdr:colOff>38100</xdr:colOff>
      <xdr:row>34</xdr:row>
      <xdr:rowOff>238125</xdr:rowOff>
    </xdr:to>
    <xdr:sp macro="" textlink="">
      <xdr:nvSpPr>
        <xdr:cNvPr id="4375304" name="Line 74">
          <a:extLst>
            <a:ext uri="{FF2B5EF4-FFF2-40B4-BE49-F238E27FC236}">
              <a16:creationId xmlns="" xmlns:a16="http://schemas.microsoft.com/office/drawing/2014/main" id="{00000000-0008-0000-0A00-000008C34200}"/>
            </a:ext>
          </a:extLst>
        </xdr:cNvPr>
        <xdr:cNvSpPr>
          <a:spLocks noChangeShapeType="1"/>
        </xdr:cNvSpPr>
      </xdr:nvSpPr>
      <xdr:spPr bwMode="auto">
        <a:xfrm>
          <a:off x="10620375" y="13068300"/>
          <a:ext cx="0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104775</xdr:colOff>
      <xdr:row>32</xdr:row>
      <xdr:rowOff>276225</xdr:rowOff>
    </xdr:from>
    <xdr:to>
      <xdr:col>5</xdr:col>
      <xdr:colOff>104775</xdr:colOff>
      <xdr:row>34</xdr:row>
      <xdr:rowOff>19050</xdr:rowOff>
    </xdr:to>
    <xdr:sp macro="" textlink="">
      <xdr:nvSpPr>
        <xdr:cNvPr id="4375305" name="Line 75">
          <a:extLst>
            <a:ext uri="{FF2B5EF4-FFF2-40B4-BE49-F238E27FC236}">
              <a16:creationId xmlns="" xmlns:a16="http://schemas.microsoft.com/office/drawing/2014/main" id="{00000000-0008-0000-0A00-000009C34200}"/>
            </a:ext>
          </a:extLst>
        </xdr:cNvPr>
        <xdr:cNvSpPr>
          <a:spLocks noChangeShapeType="1"/>
        </xdr:cNvSpPr>
      </xdr:nvSpPr>
      <xdr:spPr bwMode="auto">
        <a:xfrm>
          <a:off x="10687050" y="13068300"/>
          <a:ext cx="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161925</xdr:colOff>
      <xdr:row>32</xdr:row>
      <xdr:rowOff>276225</xdr:rowOff>
    </xdr:from>
    <xdr:to>
      <xdr:col>5</xdr:col>
      <xdr:colOff>161925</xdr:colOff>
      <xdr:row>33</xdr:row>
      <xdr:rowOff>123825</xdr:rowOff>
    </xdr:to>
    <xdr:sp macro="" textlink="">
      <xdr:nvSpPr>
        <xdr:cNvPr id="4375306" name="Line 76">
          <a:extLst>
            <a:ext uri="{FF2B5EF4-FFF2-40B4-BE49-F238E27FC236}">
              <a16:creationId xmlns="" xmlns:a16="http://schemas.microsoft.com/office/drawing/2014/main" id="{00000000-0008-0000-0A00-00000AC34200}"/>
            </a:ext>
          </a:extLst>
        </xdr:cNvPr>
        <xdr:cNvSpPr>
          <a:spLocks noChangeShapeType="1"/>
        </xdr:cNvSpPr>
      </xdr:nvSpPr>
      <xdr:spPr bwMode="auto">
        <a:xfrm>
          <a:off x="10744200" y="13068300"/>
          <a:ext cx="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33</xdr:row>
      <xdr:rowOff>47625</xdr:rowOff>
    </xdr:from>
    <xdr:to>
      <xdr:col>5</xdr:col>
      <xdr:colOff>219075</xdr:colOff>
      <xdr:row>33</xdr:row>
      <xdr:rowOff>47625</xdr:rowOff>
    </xdr:to>
    <xdr:sp macro="" textlink="">
      <xdr:nvSpPr>
        <xdr:cNvPr id="4375307" name="Line 77">
          <a:extLst>
            <a:ext uri="{FF2B5EF4-FFF2-40B4-BE49-F238E27FC236}">
              <a16:creationId xmlns="" xmlns:a16="http://schemas.microsoft.com/office/drawing/2014/main" id="{00000000-0008-0000-0A00-00000BC34200}"/>
            </a:ext>
          </a:extLst>
        </xdr:cNvPr>
        <xdr:cNvSpPr>
          <a:spLocks noChangeShapeType="1"/>
        </xdr:cNvSpPr>
      </xdr:nvSpPr>
      <xdr:spPr bwMode="auto">
        <a:xfrm>
          <a:off x="10439400" y="13230225"/>
          <a:ext cx="361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809625</xdr:colOff>
      <xdr:row>33</xdr:row>
      <xdr:rowOff>123825</xdr:rowOff>
    </xdr:from>
    <xdr:to>
      <xdr:col>5</xdr:col>
      <xdr:colOff>142875</xdr:colOff>
      <xdr:row>33</xdr:row>
      <xdr:rowOff>123825</xdr:rowOff>
    </xdr:to>
    <xdr:sp macro="" textlink="">
      <xdr:nvSpPr>
        <xdr:cNvPr id="4375308" name="Line 78">
          <a:extLst>
            <a:ext uri="{FF2B5EF4-FFF2-40B4-BE49-F238E27FC236}">
              <a16:creationId xmlns="" xmlns:a16="http://schemas.microsoft.com/office/drawing/2014/main" id="{00000000-0008-0000-0A00-00000CC34200}"/>
            </a:ext>
          </a:extLst>
        </xdr:cNvPr>
        <xdr:cNvSpPr>
          <a:spLocks noChangeShapeType="1"/>
        </xdr:cNvSpPr>
      </xdr:nvSpPr>
      <xdr:spPr bwMode="auto">
        <a:xfrm>
          <a:off x="10429875" y="1330642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34</xdr:row>
      <xdr:rowOff>19050</xdr:rowOff>
    </xdr:from>
    <xdr:to>
      <xdr:col>5</xdr:col>
      <xdr:colOff>85725</xdr:colOff>
      <xdr:row>34</xdr:row>
      <xdr:rowOff>19050</xdr:rowOff>
    </xdr:to>
    <xdr:sp macro="" textlink="">
      <xdr:nvSpPr>
        <xdr:cNvPr id="4375309" name="Line 79">
          <a:extLst>
            <a:ext uri="{FF2B5EF4-FFF2-40B4-BE49-F238E27FC236}">
              <a16:creationId xmlns="" xmlns:a16="http://schemas.microsoft.com/office/drawing/2014/main" id="{00000000-0008-0000-0A00-00000DC34200}"/>
            </a:ext>
          </a:extLst>
        </xdr:cNvPr>
        <xdr:cNvSpPr>
          <a:spLocks noChangeShapeType="1"/>
        </xdr:cNvSpPr>
      </xdr:nvSpPr>
      <xdr:spPr bwMode="auto">
        <a:xfrm>
          <a:off x="10439400" y="135064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657225</xdr:colOff>
      <xdr:row>32</xdr:row>
      <xdr:rowOff>200025</xdr:rowOff>
    </xdr:from>
    <xdr:to>
      <xdr:col>4</xdr:col>
      <xdr:colOff>657225</xdr:colOff>
      <xdr:row>45</xdr:row>
      <xdr:rowOff>66675</xdr:rowOff>
    </xdr:to>
    <xdr:sp macro="" textlink="">
      <xdr:nvSpPr>
        <xdr:cNvPr id="4375310" name="Line 80">
          <a:extLst>
            <a:ext uri="{FF2B5EF4-FFF2-40B4-BE49-F238E27FC236}">
              <a16:creationId xmlns="" xmlns:a16="http://schemas.microsoft.com/office/drawing/2014/main" id="{00000000-0008-0000-0A00-00000EC34200}"/>
            </a:ext>
          </a:extLst>
        </xdr:cNvPr>
        <xdr:cNvSpPr>
          <a:spLocks noChangeShapeType="1"/>
        </xdr:cNvSpPr>
      </xdr:nvSpPr>
      <xdr:spPr bwMode="auto">
        <a:xfrm>
          <a:off x="10277475" y="12992100"/>
          <a:ext cx="0" cy="4610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828675</xdr:colOff>
      <xdr:row>32</xdr:row>
      <xdr:rowOff>190500</xdr:rowOff>
    </xdr:from>
    <xdr:to>
      <xdr:col>7</xdr:col>
      <xdr:colOff>352425</xdr:colOff>
      <xdr:row>32</xdr:row>
      <xdr:rowOff>266700</xdr:rowOff>
    </xdr:to>
    <xdr:grpSp>
      <xdr:nvGrpSpPr>
        <xdr:cNvPr id="4375311" name="Group 81">
          <a:extLst>
            <a:ext uri="{FF2B5EF4-FFF2-40B4-BE49-F238E27FC236}">
              <a16:creationId xmlns="" xmlns:a16="http://schemas.microsoft.com/office/drawing/2014/main" id="{00000000-0008-0000-0A00-00000FC34200}"/>
            </a:ext>
          </a:extLst>
        </xdr:cNvPr>
        <xdr:cNvGrpSpPr>
          <a:grpSpLocks/>
        </xdr:cNvGrpSpPr>
      </xdr:nvGrpSpPr>
      <xdr:grpSpPr bwMode="auto">
        <a:xfrm>
          <a:off x="10448925" y="12739688"/>
          <a:ext cx="2333625" cy="76200"/>
          <a:chOff x="89" y="756"/>
          <a:chExt cx="186" cy="8"/>
        </a:xfrm>
      </xdr:grpSpPr>
      <xdr:grpSp>
        <xdr:nvGrpSpPr>
          <xdr:cNvPr id="4375418" name="Group 82">
            <a:extLst>
              <a:ext uri="{FF2B5EF4-FFF2-40B4-BE49-F238E27FC236}">
                <a16:creationId xmlns="" xmlns:a16="http://schemas.microsoft.com/office/drawing/2014/main" id="{00000000-0008-0000-0A00-00007AC34200}"/>
              </a:ext>
            </a:extLst>
          </xdr:cNvPr>
          <xdr:cNvGrpSpPr>
            <a:grpSpLocks/>
          </xdr:cNvGrpSpPr>
        </xdr:nvGrpSpPr>
        <xdr:grpSpPr bwMode="auto">
          <a:xfrm>
            <a:off x="89" y="756"/>
            <a:ext cx="86" cy="8"/>
            <a:chOff x="89" y="756"/>
            <a:chExt cx="86" cy="8"/>
          </a:xfrm>
        </xdr:grpSpPr>
        <xdr:grpSp>
          <xdr:nvGrpSpPr>
            <xdr:cNvPr id="4375434" name="Group 83">
              <a:extLst>
                <a:ext uri="{FF2B5EF4-FFF2-40B4-BE49-F238E27FC236}">
                  <a16:creationId xmlns="" xmlns:a16="http://schemas.microsoft.com/office/drawing/2014/main" id="{00000000-0008-0000-0A00-00008AC3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4375441" name="Oval 84">
                <a:extLst>
                  <a:ext uri="{FF2B5EF4-FFF2-40B4-BE49-F238E27FC236}">
                    <a16:creationId xmlns="" xmlns:a16="http://schemas.microsoft.com/office/drawing/2014/main" id="{00000000-0008-0000-0A00-000091C3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442" name="Oval 85">
                <a:extLst>
                  <a:ext uri="{FF2B5EF4-FFF2-40B4-BE49-F238E27FC236}">
                    <a16:creationId xmlns="" xmlns:a16="http://schemas.microsoft.com/office/drawing/2014/main" id="{00000000-0008-0000-0A00-000092C3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5443" name="Group 86">
                <a:extLst>
                  <a:ext uri="{FF2B5EF4-FFF2-40B4-BE49-F238E27FC236}">
                    <a16:creationId xmlns="" xmlns:a16="http://schemas.microsoft.com/office/drawing/2014/main" id="{00000000-0008-0000-0A00-000093C3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5444" name="Oval 87">
                  <a:extLst>
                    <a:ext uri="{FF2B5EF4-FFF2-40B4-BE49-F238E27FC236}">
                      <a16:creationId xmlns="" xmlns:a16="http://schemas.microsoft.com/office/drawing/2014/main" id="{00000000-0008-0000-0A00-000094C3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5445" name="Oval 88">
                  <a:extLst>
                    <a:ext uri="{FF2B5EF4-FFF2-40B4-BE49-F238E27FC236}">
                      <a16:creationId xmlns="" xmlns:a16="http://schemas.microsoft.com/office/drawing/2014/main" id="{00000000-0008-0000-0A00-000095C3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4375435" name="Group 89">
              <a:extLst>
                <a:ext uri="{FF2B5EF4-FFF2-40B4-BE49-F238E27FC236}">
                  <a16:creationId xmlns="" xmlns:a16="http://schemas.microsoft.com/office/drawing/2014/main" id="{00000000-0008-0000-0A00-00008BC3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4375436" name="Oval 90">
                <a:extLst>
                  <a:ext uri="{FF2B5EF4-FFF2-40B4-BE49-F238E27FC236}">
                    <a16:creationId xmlns="" xmlns:a16="http://schemas.microsoft.com/office/drawing/2014/main" id="{00000000-0008-0000-0A00-00008CC3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437" name="Oval 91">
                <a:extLst>
                  <a:ext uri="{FF2B5EF4-FFF2-40B4-BE49-F238E27FC236}">
                    <a16:creationId xmlns="" xmlns:a16="http://schemas.microsoft.com/office/drawing/2014/main" id="{00000000-0008-0000-0A00-00008DC3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5438" name="Group 92">
                <a:extLst>
                  <a:ext uri="{FF2B5EF4-FFF2-40B4-BE49-F238E27FC236}">
                    <a16:creationId xmlns="" xmlns:a16="http://schemas.microsoft.com/office/drawing/2014/main" id="{00000000-0008-0000-0A00-00008EC3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5439" name="Oval 93">
                  <a:extLst>
                    <a:ext uri="{FF2B5EF4-FFF2-40B4-BE49-F238E27FC236}">
                      <a16:creationId xmlns="" xmlns:a16="http://schemas.microsoft.com/office/drawing/2014/main" id="{00000000-0008-0000-0A00-00008FC3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5440" name="Oval 94">
                  <a:extLst>
                    <a:ext uri="{FF2B5EF4-FFF2-40B4-BE49-F238E27FC236}">
                      <a16:creationId xmlns="" xmlns:a16="http://schemas.microsoft.com/office/drawing/2014/main" id="{00000000-0008-0000-0A00-000090C3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5419" name="Group 95">
            <a:extLst>
              <a:ext uri="{FF2B5EF4-FFF2-40B4-BE49-F238E27FC236}">
                <a16:creationId xmlns="" xmlns:a16="http://schemas.microsoft.com/office/drawing/2014/main" id="{00000000-0008-0000-0A00-00007BC34200}"/>
              </a:ext>
            </a:extLst>
          </xdr:cNvPr>
          <xdr:cNvGrpSpPr>
            <a:grpSpLocks/>
          </xdr:cNvGrpSpPr>
        </xdr:nvGrpSpPr>
        <xdr:grpSpPr bwMode="auto">
          <a:xfrm>
            <a:off x="170" y="756"/>
            <a:ext cx="86" cy="8"/>
            <a:chOff x="89" y="756"/>
            <a:chExt cx="86" cy="8"/>
          </a:xfrm>
        </xdr:grpSpPr>
        <xdr:grpSp>
          <xdr:nvGrpSpPr>
            <xdr:cNvPr id="4375422" name="Group 96">
              <a:extLst>
                <a:ext uri="{FF2B5EF4-FFF2-40B4-BE49-F238E27FC236}">
                  <a16:creationId xmlns="" xmlns:a16="http://schemas.microsoft.com/office/drawing/2014/main" id="{00000000-0008-0000-0A00-00007EC3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4375429" name="Oval 97">
                <a:extLst>
                  <a:ext uri="{FF2B5EF4-FFF2-40B4-BE49-F238E27FC236}">
                    <a16:creationId xmlns="" xmlns:a16="http://schemas.microsoft.com/office/drawing/2014/main" id="{00000000-0008-0000-0A00-000085C3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430" name="Oval 98">
                <a:extLst>
                  <a:ext uri="{FF2B5EF4-FFF2-40B4-BE49-F238E27FC236}">
                    <a16:creationId xmlns="" xmlns:a16="http://schemas.microsoft.com/office/drawing/2014/main" id="{00000000-0008-0000-0A00-000086C3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5431" name="Group 99">
                <a:extLst>
                  <a:ext uri="{FF2B5EF4-FFF2-40B4-BE49-F238E27FC236}">
                    <a16:creationId xmlns="" xmlns:a16="http://schemas.microsoft.com/office/drawing/2014/main" id="{00000000-0008-0000-0A00-000087C3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5432" name="Oval 100">
                  <a:extLst>
                    <a:ext uri="{FF2B5EF4-FFF2-40B4-BE49-F238E27FC236}">
                      <a16:creationId xmlns="" xmlns:a16="http://schemas.microsoft.com/office/drawing/2014/main" id="{00000000-0008-0000-0A00-000088C3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5433" name="Oval 101">
                  <a:extLst>
                    <a:ext uri="{FF2B5EF4-FFF2-40B4-BE49-F238E27FC236}">
                      <a16:creationId xmlns="" xmlns:a16="http://schemas.microsoft.com/office/drawing/2014/main" id="{00000000-0008-0000-0A00-000089C3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4375423" name="Group 102">
              <a:extLst>
                <a:ext uri="{FF2B5EF4-FFF2-40B4-BE49-F238E27FC236}">
                  <a16:creationId xmlns="" xmlns:a16="http://schemas.microsoft.com/office/drawing/2014/main" id="{00000000-0008-0000-0A00-00007FC3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4375424" name="Oval 103">
                <a:extLst>
                  <a:ext uri="{FF2B5EF4-FFF2-40B4-BE49-F238E27FC236}">
                    <a16:creationId xmlns="" xmlns:a16="http://schemas.microsoft.com/office/drawing/2014/main" id="{00000000-0008-0000-0A00-000080C3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425" name="Oval 104">
                <a:extLst>
                  <a:ext uri="{FF2B5EF4-FFF2-40B4-BE49-F238E27FC236}">
                    <a16:creationId xmlns="" xmlns:a16="http://schemas.microsoft.com/office/drawing/2014/main" id="{00000000-0008-0000-0A00-000081C3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5426" name="Group 105">
                <a:extLst>
                  <a:ext uri="{FF2B5EF4-FFF2-40B4-BE49-F238E27FC236}">
                    <a16:creationId xmlns="" xmlns:a16="http://schemas.microsoft.com/office/drawing/2014/main" id="{00000000-0008-0000-0A00-000082C3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5427" name="Oval 106">
                  <a:extLst>
                    <a:ext uri="{FF2B5EF4-FFF2-40B4-BE49-F238E27FC236}">
                      <a16:creationId xmlns="" xmlns:a16="http://schemas.microsoft.com/office/drawing/2014/main" id="{00000000-0008-0000-0A00-000083C3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5428" name="Oval 107">
                  <a:extLst>
                    <a:ext uri="{FF2B5EF4-FFF2-40B4-BE49-F238E27FC236}">
                      <a16:creationId xmlns="" xmlns:a16="http://schemas.microsoft.com/office/drawing/2014/main" id="{00000000-0008-0000-0A00-000084C3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75420" name="Oval 108">
            <a:extLst>
              <a:ext uri="{FF2B5EF4-FFF2-40B4-BE49-F238E27FC236}">
                <a16:creationId xmlns="" xmlns:a16="http://schemas.microsoft.com/office/drawing/2014/main" id="{00000000-0008-0000-0A00-00007CC34200}"/>
              </a:ext>
            </a:extLst>
          </xdr:cNvPr>
          <xdr:cNvSpPr>
            <a:spLocks noChangeArrowheads="1"/>
          </xdr:cNvSpPr>
        </xdr:nvSpPr>
        <xdr:spPr bwMode="auto">
          <a:xfrm>
            <a:off x="25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5421" name="Oval 109">
            <a:extLst>
              <a:ext uri="{FF2B5EF4-FFF2-40B4-BE49-F238E27FC236}">
                <a16:creationId xmlns="" xmlns:a16="http://schemas.microsoft.com/office/drawing/2014/main" id="{00000000-0008-0000-0A00-00007DC34200}"/>
              </a:ext>
            </a:extLst>
          </xdr:cNvPr>
          <xdr:cNvSpPr>
            <a:spLocks noChangeArrowheads="1"/>
          </xdr:cNvSpPr>
        </xdr:nvSpPr>
        <xdr:spPr bwMode="auto">
          <a:xfrm>
            <a:off x="26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809625</xdr:colOff>
      <xdr:row>44</xdr:row>
      <xdr:rowOff>171450</xdr:rowOff>
    </xdr:from>
    <xdr:to>
      <xdr:col>7</xdr:col>
      <xdr:colOff>333375</xdr:colOff>
      <xdr:row>45</xdr:row>
      <xdr:rowOff>66675</xdr:rowOff>
    </xdr:to>
    <xdr:grpSp>
      <xdr:nvGrpSpPr>
        <xdr:cNvPr id="4375312" name="Group 110">
          <a:extLst>
            <a:ext uri="{FF2B5EF4-FFF2-40B4-BE49-F238E27FC236}">
              <a16:creationId xmlns="" xmlns:a16="http://schemas.microsoft.com/office/drawing/2014/main" id="{00000000-0008-0000-0A00-000010C34200}"/>
            </a:ext>
          </a:extLst>
        </xdr:cNvPr>
        <xdr:cNvGrpSpPr>
          <a:grpSpLocks/>
        </xdr:cNvGrpSpPr>
      </xdr:nvGrpSpPr>
      <xdr:grpSpPr bwMode="auto">
        <a:xfrm>
          <a:off x="10429875" y="17221200"/>
          <a:ext cx="2333625" cy="133350"/>
          <a:chOff x="89" y="756"/>
          <a:chExt cx="186" cy="8"/>
        </a:xfrm>
      </xdr:grpSpPr>
      <xdr:grpSp>
        <xdr:nvGrpSpPr>
          <xdr:cNvPr id="4375390" name="Group 111">
            <a:extLst>
              <a:ext uri="{FF2B5EF4-FFF2-40B4-BE49-F238E27FC236}">
                <a16:creationId xmlns="" xmlns:a16="http://schemas.microsoft.com/office/drawing/2014/main" id="{00000000-0008-0000-0A00-00005EC34200}"/>
              </a:ext>
            </a:extLst>
          </xdr:cNvPr>
          <xdr:cNvGrpSpPr>
            <a:grpSpLocks/>
          </xdr:cNvGrpSpPr>
        </xdr:nvGrpSpPr>
        <xdr:grpSpPr bwMode="auto">
          <a:xfrm>
            <a:off x="89" y="756"/>
            <a:ext cx="86" cy="8"/>
            <a:chOff x="89" y="756"/>
            <a:chExt cx="86" cy="8"/>
          </a:xfrm>
        </xdr:grpSpPr>
        <xdr:grpSp>
          <xdr:nvGrpSpPr>
            <xdr:cNvPr id="4375406" name="Group 112">
              <a:extLst>
                <a:ext uri="{FF2B5EF4-FFF2-40B4-BE49-F238E27FC236}">
                  <a16:creationId xmlns="" xmlns:a16="http://schemas.microsoft.com/office/drawing/2014/main" id="{00000000-0008-0000-0A00-00006EC3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4375413" name="Oval 113">
                <a:extLst>
                  <a:ext uri="{FF2B5EF4-FFF2-40B4-BE49-F238E27FC236}">
                    <a16:creationId xmlns="" xmlns:a16="http://schemas.microsoft.com/office/drawing/2014/main" id="{00000000-0008-0000-0A00-000075C3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414" name="Oval 114">
                <a:extLst>
                  <a:ext uri="{FF2B5EF4-FFF2-40B4-BE49-F238E27FC236}">
                    <a16:creationId xmlns="" xmlns:a16="http://schemas.microsoft.com/office/drawing/2014/main" id="{00000000-0008-0000-0A00-000076C3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5415" name="Group 115">
                <a:extLst>
                  <a:ext uri="{FF2B5EF4-FFF2-40B4-BE49-F238E27FC236}">
                    <a16:creationId xmlns="" xmlns:a16="http://schemas.microsoft.com/office/drawing/2014/main" id="{00000000-0008-0000-0A00-000077C3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5416" name="Oval 116">
                  <a:extLst>
                    <a:ext uri="{FF2B5EF4-FFF2-40B4-BE49-F238E27FC236}">
                      <a16:creationId xmlns="" xmlns:a16="http://schemas.microsoft.com/office/drawing/2014/main" id="{00000000-0008-0000-0A00-000078C3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5417" name="Oval 117">
                  <a:extLst>
                    <a:ext uri="{FF2B5EF4-FFF2-40B4-BE49-F238E27FC236}">
                      <a16:creationId xmlns="" xmlns:a16="http://schemas.microsoft.com/office/drawing/2014/main" id="{00000000-0008-0000-0A00-000079C3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4375407" name="Group 118">
              <a:extLst>
                <a:ext uri="{FF2B5EF4-FFF2-40B4-BE49-F238E27FC236}">
                  <a16:creationId xmlns="" xmlns:a16="http://schemas.microsoft.com/office/drawing/2014/main" id="{00000000-0008-0000-0A00-00006FC3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4375408" name="Oval 119">
                <a:extLst>
                  <a:ext uri="{FF2B5EF4-FFF2-40B4-BE49-F238E27FC236}">
                    <a16:creationId xmlns="" xmlns:a16="http://schemas.microsoft.com/office/drawing/2014/main" id="{00000000-0008-0000-0A00-000070C3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409" name="Oval 120">
                <a:extLst>
                  <a:ext uri="{FF2B5EF4-FFF2-40B4-BE49-F238E27FC236}">
                    <a16:creationId xmlns="" xmlns:a16="http://schemas.microsoft.com/office/drawing/2014/main" id="{00000000-0008-0000-0A00-000071C3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5410" name="Group 121">
                <a:extLst>
                  <a:ext uri="{FF2B5EF4-FFF2-40B4-BE49-F238E27FC236}">
                    <a16:creationId xmlns="" xmlns:a16="http://schemas.microsoft.com/office/drawing/2014/main" id="{00000000-0008-0000-0A00-000072C3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5411" name="Oval 122">
                  <a:extLst>
                    <a:ext uri="{FF2B5EF4-FFF2-40B4-BE49-F238E27FC236}">
                      <a16:creationId xmlns="" xmlns:a16="http://schemas.microsoft.com/office/drawing/2014/main" id="{00000000-0008-0000-0A00-000073C3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5412" name="Oval 123">
                  <a:extLst>
                    <a:ext uri="{FF2B5EF4-FFF2-40B4-BE49-F238E27FC236}">
                      <a16:creationId xmlns="" xmlns:a16="http://schemas.microsoft.com/office/drawing/2014/main" id="{00000000-0008-0000-0A00-000074C3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5391" name="Group 124">
            <a:extLst>
              <a:ext uri="{FF2B5EF4-FFF2-40B4-BE49-F238E27FC236}">
                <a16:creationId xmlns="" xmlns:a16="http://schemas.microsoft.com/office/drawing/2014/main" id="{00000000-0008-0000-0A00-00005FC34200}"/>
              </a:ext>
            </a:extLst>
          </xdr:cNvPr>
          <xdr:cNvGrpSpPr>
            <a:grpSpLocks/>
          </xdr:cNvGrpSpPr>
        </xdr:nvGrpSpPr>
        <xdr:grpSpPr bwMode="auto">
          <a:xfrm>
            <a:off x="170" y="756"/>
            <a:ext cx="86" cy="8"/>
            <a:chOff x="89" y="756"/>
            <a:chExt cx="86" cy="8"/>
          </a:xfrm>
        </xdr:grpSpPr>
        <xdr:grpSp>
          <xdr:nvGrpSpPr>
            <xdr:cNvPr id="4375394" name="Group 125">
              <a:extLst>
                <a:ext uri="{FF2B5EF4-FFF2-40B4-BE49-F238E27FC236}">
                  <a16:creationId xmlns="" xmlns:a16="http://schemas.microsoft.com/office/drawing/2014/main" id="{00000000-0008-0000-0A00-000062C3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4375401" name="Oval 126">
                <a:extLst>
                  <a:ext uri="{FF2B5EF4-FFF2-40B4-BE49-F238E27FC236}">
                    <a16:creationId xmlns="" xmlns:a16="http://schemas.microsoft.com/office/drawing/2014/main" id="{00000000-0008-0000-0A00-000069C3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402" name="Oval 127">
                <a:extLst>
                  <a:ext uri="{FF2B5EF4-FFF2-40B4-BE49-F238E27FC236}">
                    <a16:creationId xmlns="" xmlns:a16="http://schemas.microsoft.com/office/drawing/2014/main" id="{00000000-0008-0000-0A00-00006AC3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5403" name="Group 128">
                <a:extLst>
                  <a:ext uri="{FF2B5EF4-FFF2-40B4-BE49-F238E27FC236}">
                    <a16:creationId xmlns="" xmlns:a16="http://schemas.microsoft.com/office/drawing/2014/main" id="{00000000-0008-0000-0A00-00006BC3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5404" name="Oval 129">
                  <a:extLst>
                    <a:ext uri="{FF2B5EF4-FFF2-40B4-BE49-F238E27FC236}">
                      <a16:creationId xmlns="" xmlns:a16="http://schemas.microsoft.com/office/drawing/2014/main" id="{00000000-0008-0000-0A00-00006CC3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5405" name="Oval 130">
                  <a:extLst>
                    <a:ext uri="{FF2B5EF4-FFF2-40B4-BE49-F238E27FC236}">
                      <a16:creationId xmlns="" xmlns:a16="http://schemas.microsoft.com/office/drawing/2014/main" id="{00000000-0008-0000-0A00-00006DC3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4375395" name="Group 131">
              <a:extLst>
                <a:ext uri="{FF2B5EF4-FFF2-40B4-BE49-F238E27FC236}">
                  <a16:creationId xmlns="" xmlns:a16="http://schemas.microsoft.com/office/drawing/2014/main" id="{00000000-0008-0000-0A00-000063C3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4375396" name="Oval 132">
                <a:extLst>
                  <a:ext uri="{FF2B5EF4-FFF2-40B4-BE49-F238E27FC236}">
                    <a16:creationId xmlns="" xmlns:a16="http://schemas.microsoft.com/office/drawing/2014/main" id="{00000000-0008-0000-0A00-000064C3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5397" name="Oval 133">
                <a:extLst>
                  <a:ext uri="{FF2B5EF4-FFF2-40B4-BE49-F238E27FC236}">
                    <a16:creationId xmlns="" xmlns:a16="http://schemas.microsoft.com/office/drawing/2014/main" id="{00000000-0008-0000-0A00-000065C3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5398" name="Group 134">
                <a:extLst>
                  <a:ext uri="{FF2B5EF4-FFF2-40B4-BE49-F238E27FC236}">
                    <a16:creationId xmlns="" xmlns:a16="http://schemas.microsoft.com/office/drawing/2014/main" id="{00000000-0008-0000-0A00-000066C3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5399" name="Oval 135">
                  <a:extLst>
                    <a:ext uri="{FF2B5EF4-FFF2-40B4-BE49-F238E27FC236}">
                      <a16:creationId xmlns="" xmlns:a16="http://schemas.microsoft.com/office/drawing/2014/main" id="{00000000-0008-0000-0A00-000067C3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5400" name="Oval 136">
                  <a:extLst>
                    <a:ext uri="{FF2B5EF4-FFF2-40B4-BE49-F238E27FC236}">
                      <a16:creationId xmlns="" xmlns:a16="http://schemas.microsoft.com/office/drawing/2014/main" id="{00000000-0008-0000-0A00-000068C3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75392" name="Oval 137">
            <a:extLst>
              <a:ext uri="{FF2B5EF4-FFF2-40B4-BE49-F238E27FC236}">
                <a16:creationId xmlns="" xmlns:a16="http://schemas.microsoft.com/office/drawing/2014/main" id="{00000000-0008-0000-0A00-000060C34200}"/>
              </a:ext>
            </a:extLst>
          </xdr:cNvPr>
          <xdr:cNvSpPr>
            <a:spLocks noChangeArrowheads="1"/>
          </xdr:cNvSpPr>
        </xdr:nvSpPr>
        <xdr:spPr bwMode="auto">
          <a:xfrm>
            <a:off x="25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5393" name="Oval 138">
            <a:extLst>
              <a:ext uri="{FF2B5EF4-FFF2-40B4-BE49-F238E27FC236}">
                <a16:creationId xmlns="" xmlns:a16="http://schemas.microsoft.com/office/drawing/2014/main" id="{00000000-0008-0000-0A00-000061C34200}"/>
              </a:ext>
            </a:extLst>
          </xdr:cNvPr>
          <xdr:cNvSpPr>
            <a:spLocks noChangeArrowheads="1"/>
          </xdr:cNvSpPr>
        </xdr:nvSpPr>
        <xdr:spPr bwMode="auto">
          <a:xfrm>
            <a:off x="26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133350</xdr:colOff>
      <xdr:row>45</xdr:row>
      <xdr:rowOff>66675</xdr:rowOff>
    </xdr:from>
    <xdr:to>
      <xdr:col>8</xdr:col>
      <xdr:colOff>704850</xdr:colOff>
      <xdr:row>45</xdr:row>
      <xdr:rowOff>66675</xdr:rowOff>
    </xdr:to>
    <xdr:sp macro="" textlink="">
      <xdr:nvSpPr>
        <xdr:cNvPr id="4375313" name="Line 239">
          <a:extLst>
            <a:ext uri="{FF2B5EF4-FFF2-40B4-BE49-F238E27FC236}">
              <a16:creationId xmlns="" xmlns:a16="http://schemas.microsoft.com/office/drawing/2014/main" id="{00000000-0008-0000-0A00-000011C34200}"/>
            </a:ext>
          </a:extLst>
        </xdr:cNvPr>
        <xdr:cNvSpPr>
          <a:spLocks noChangeShapeType="1"/>
        </xdr:cNvSpPr>
      </xdr:nvSpPr>
      <xdr:spPr bwMode="auto">
        <a:xfrm>
          <a:off x="13315950" y="17602200"/>
          <a:ext cx="571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123825</xdr:colOff>
      <xdr:row>29</xdr:row>
      <xdr:rowOff>152400</xdr:rowOff>
    </xdr:from>
    <xdr:to>
      <xdr:col>8</xdr:col>
      <xdr:colOff>704850</xdr:colOff>
      <xdr:row>29</xdr:row>
      <xdr:rowOff>152400</xdr:rowOff>
    </xdr:to>
    <xdr:sp macro="" textlink="">
      <xdr:nvSpPr>
        <xdr:cNvPr id="4375314" name="Line 240">
          <a:extLst>
            <a:ext uri="{FF2B5EF4-FFF2-40B4-BE49-F238E27FC236}">
              <a16:creationId xmlns="" xmlns:a16="http://schemas.microsoft.com/office/drawing/2014/main" id="{00000000-0008-0000-0A00-000012C34200}"/>
            </a:ext>
          </a:extLst>
        </xdr:cNvPr>
        <xdr:cNvSpPr>
          <a:spLocks noChangeShapeType="1"/>
        </xdr:cNvSpPr>
      </xdr:nvSpPr>
      <xdr:spPr bwMode="auto">
        <a:xfrm>
          <a:off x="13306425" y="11706225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657225</xdr:colOff>
      <xdr:row>24</xdr:row>
      <xdr:rowOff>371475</xdr:rowOff>
    </xdr:from>
    <xdr:to>
      <xdr:col>7</xdr:col>
      <xdr:colOff>657225</xdr:colOff>
      <xdr:row>26</xdr:row>
      <xdr:rowOff>371475</xdr:rowOff>
    </xdr:to>
    <xdr:grpSp>
      <xdr:nvGrpSpPr>
        <xdr:cNvPr id="4375315" name="Group 289">
          <a:extLst>
            <a:ext uri="{FF2B5EF4-FFF2-40B4-BE49-F238E27FC236}">
              <a16:creationId xmlns="" xmlns:a16="http://schemas.microsoft.com/office/drawing/2014/main" id="{00000000-0008-0000-0A00-000013C34200}"/>
            </a:ext>
          </a:extLst>
        </xdr:cNvPr>
        <xdr:cNvGrpSpPr>
          <a:grpSpLocks/>
        </xdr:cNvGrpSpPr>
      </xdr:nvGrpSpPr>
      <xdr:grpSpPr bwMode="auto">
        <a:xfrm>
          <a:off x="10277475" y="9777413"/>
          <a:ext cx="2809875" cy="762000"/>
          <a:chOff x="2020" y="383"/>
          <a:chExt cx="656" cy="22"/>
        </a:xfrm>
      </xdr:grpSpPr>
      <xdr:sp macro="" textlink="">
        <xdr:nvSpPr>
          <xdr:cNvPr id="4375387" name="Line 290">
            <a:extLst>
              <a:ext uri="{FF2B5EF4-FFF2-40B4-BE49-F238E27FC236}">
                <a16:creationId xmlns="" xmlns:a16="http://schemas.microsoft.com/office/drawing/2014/main" id="{00000000-0008-0000-0A00-00005BC3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5388" name="Line 291">
            <a:extLst>
              <a:ext uri="{FF2B5EF4-FFF2-40B4-BE49-F238E27FC236}">
                <a16:creationId xmlns="" xmlns:a16="http://schemas.microsoft.com/office/drawing/2014/main" id="{00000000-0008-0000-0A00-00005CC342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4375389" name="Line 292">
            <a:extLst>
              <a:ext uri="{FF2B5EF4-FFF2-40B4-BE49-F238E27FC236}">
                <a16:creationId xmlns="" xmlns:a16="http://schemas.microsoft.com/office/drawing/2014/main" id="{00000000-0008-0000-0A00-00005DC342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542925</xdr:colOff>
      <xdr:row>29</xdr:row>
      <xdr:rowOff>152400</xdr:rowOff>
    </xdr:from>
    <xdr:to>
      <xdr:col>8</xdr:col>
      <xdr:colOff>542925</xdr:colOff>
      <xdr:row>45</xdr:row>
      <xdr:rowOff>38100</xdr:rowOff>
    </xdr:to>
    <xdr:sp macro="" textlink="">
      <xdr:nvSpPr>
        <xdr:cNvPr id="4375316" name="Line 298">
          <a:extLst>
            <a:ext uri="{FF2B5EF4-FFF2-40B4-BE49-F238E27FC236}">
              <a16:creationId xmlns="" xmlns:a16="http://schemas.microsoft.com/office/drawing/2014/main" id="{00000000-0008-0000-0A00-000014C34200}"/>
            </a:ext>
          </a:extLst>
        </xdr:cNvPr>
        <xdr:cNvSpPr>
          <a:spLocks noChangeShapeType="1"/>
        </xdr:cNvSpPr>
      </xdr:nvSpPr>
      <xdr:spPr bwMode="auto">
        <a:xfrm>
          <a:off x="13725525" y="11706225"/>
          <a:ext cx="0" cy="5867400"/>
        </a:xfrm>
        <a:prstGeom prst="line">
          <a:avLst/>
        </a:prstGeom>
        <a:noFill/>
        <a:ln w="9525">
          <a:solidFill>
            <a:srgbClr val="000000"/>
          </a:solidFill>
          <a:round/>
          <a:headEnd type="stealth" w="med" len="lg"/>
          <a:tailEnd type="stealth" w="med" len="lg"/>
        </a:ln>
      </xdr:spPr>
    </xdr:sp>
    <xdr:clientData/>
  </xdr:twoCellAnchor>
  <xdr:twoCellAnchor>
    <xdr:from>
      <xdr:col>4</xdr:col>
      <xdr:colOff>666750</xdr:colOff>
      <xdr:row>29</xdr:row>
      <xdr:rowOff>142875</xdr:rowOff>
    </xdr:from>
    <xdr:to>
      <xdr:col>7</xdr:col>
      <xdr:colOff>666750</xdr:colOff>
      <xdr:row>30</xdr:row>
      <xdr:rowOff>171450</xdr:rowOff>
    </xdr:to>
    <xdr:sp macro="" textlink="">
      <xdr:nvSpPr>
        <xdr:cNvPr id="4375317" name="Rectangle 300">
          <a:extLst>
            <a:ext uri="{FF2B5EF4-FFF2-40B4-BE49-F238E27FC236}">
              <a16:creationId xmlns="" xmlns:a16="http://schemas.microsoft.com/office/drawing/2014/main" id="{00000000-0008-0000-0A00-000015C34200}"/>
            </a:ext>
          </a:extLst>
        </xdr:cNvPr>
        <xdr:cNvSpPr>
          <a:spLocks noChangeArrowheads="1"/>
        </xdr:cNvSpPr>
      </xdr:nvSpPr>
      <xdr:spPr bwMode="auto">
        <a:xfrm>
          <a:off x="10287000" y="11696700"/>
          <a:ext cx="2838450" cy="419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657225</xdr:colOff>
      <xdr:row>32</xdr:row>
      <xdr:rowOff>161925</xdr:rowOff>
    </xdr:from>
    <xdr:to>
      <xdr:col>7</xdr:col>
      <xdr:colOff>657225</xdr:colOff>
      <xdr:row>45</xdr:row>
      <xdr:rowOff>85725</xdr:rowOff>
    </xdr:to>
    <xdr:sp macro="" textlink="">
      <xdr:nvSpPr>
        <xdr:cNvPr id="4375318" name="Rectangle 302">
          <a:extLst>
            <a:ext uri="{FF2B5EF4-FFF2-40B4-BE49-F238E27FC236}">
              <a16:creationId xmlns="" xmlns:a16="http://schemas.microsoft.com/office/drawing/2014/main" id="{00000000-0008-0000-0A00-000016C34200}"/>
            </a:ext>
          </a:extLst>
        </xdr:cNvPr>
        <xdr:cNvSpPr>
          <a:spLocks noChangeArrowheads="1"/>
        </xdr:cNvSpPr>
      </xdr:nvSpPr>
      <xdr:spPr bwMode="auto">
        <a:xfrm>
          <a:off x="10277475" y="12954000"/>
          <a:ext cx="2838450" cy="46672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428625</xdr:colOff>
      <xdr:row>32</xdr:row>
      <xdr:rowOff>209550</xdr:rowOff>
    </xdr:from>
    <xdr:to>
      <xdr:col>4</xdr:col>
      <xdr:colOff>485775</xdr:colOff>
      <xdr:row>32</xdr:row>
      <xdr:rowOff>209550</xdr:rowOff>
    </xdr:to>
    <xdr:sp macro="" textlink="">
      <xdr:nvSpPr>
        <xdr:cNvPr id="4375319" name="Line 305">
          <a:extLst>
            <a:ext uri="{FF2B5EF4-FFF2-40B4-BE49-F238E27FC236}">
              <a16:creationId xmlns="" xmlns:a16="http://schemas.microsoft.com/office/drawing/2014/main" id="{00000000-0008-0000-0A00-000017C34200}"/>
            </a:ext>
          </a:extLst>
        </xdr:cNvPr>
        <xdr:cNvSpPr>
          <a:spLocks noChangeShapeType="1"/>
        </xdr:cNvSpPr>
      </xdr:nvSpPr>
      <xdr:spPr bwMode="auto">
        <a:xfrm>
          <a:off x="9534525" y="13001625"/>
          <a:ext cx="571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32</xdr:row>
      <xdr:rowOff>180975</xdr:rowOff>
    </xdr:from>
    <xdr:to>
      <xdr:col>4</xdr:col>
      <xdr:colOff>9525</xdr:colOff>
      <xdr:row>45</xdr:row>
      <xdr:rowOff>38100</xdr:rowOff>
    </xdr:to>
    <xdr:sp macro="" textlink="">
      <xdr:nvSpPr>
        <xdr:cNvPr id="4375320" name="Line 306">
          <a:extLst>
            <a:ext uri="{FF2B5EF4-FFF2-40B4-BE49-F238E27FC236}">
              <a16:creationId xmlns="" xmlns:a16="http://schemas.microsoft.com/office/drawing/2014/main" id="{00000000-0008-0000-0A00-000018C34200}"/>
            </a:ext>
          </a:extLst>
        </xdr:cNvPr>
        <xdr:cNvSpPr>
          <a:spLocks noChangeShapeType="1"/>
        </xdr:cNvSpPr>
      </xdr:nvSpPr>
      <xdr:spPr bwMode="auto">
        <a:xfrm>
          <a:off x="9629775" y="12973050"/>
          <a:ext cx="0" cy="4600575"/>
        </a:xfrm>
        <a:prstGeom prst="line">
          <a:avLst/>
        </a:prstGeom>
        <a:noFill/>
        <a:ln w="9525">
          <a:solidFill>
            <a:srgbClr val="000000"/>
          </a:solidFill>
          <a:round/>
          <a:headEnd type="stealth" w="med" len="lg"/>
          <a:tailEnd type="stealth" w="med" len="lg"/>
        </a:ln>
      </xdr:spPr>
    </xdr:sp>
    <xdr:clientData/>
  </xdr:twoCellAnchor>
  <xdr:twoCellAnchor>
    <xdr:from>
      <xdr:col>3</xdr:col>
      <xdr:colOff>428625</xdr:colOff>
      <xdr:row>45</xdr:row>
      <xdr:rowOff>57150</xdr:rowOff>
    </xdr:from>
    <xdr:to>
      <xdr:col>4</xdr:col>
      <xdr:colOff>485775</xdr:colOff>
      <xdr:row>45</xdr:row>
      <xdr:rowOff>57150</xdr:rowOff>
    </xdr:to>
    <xdr:sp macro="" textlink="">
      <xdr:nvSpPr>
        <xdr:cNvPr id="4375321" name="Line 307">
          <a:extLst>
            <a:ext uri="{FF2B5EF4-FFF2-40B4-BE49-F238E27FC236}">
              <a16:creationId xmlns="" xmlns:a16="http://schemas.microsoft.com/office/drawing/2014/main" id="{00000000-0008-0000-0A00-000019C34200}"/>
            </a:ext>
          </a:extLst>
        </xdr:cNvPr>
        <xdr:cNvSpPr>
          <a:spLocks noChangeShapeType="1"/>
        </xdr:cNvSpPr>
      </xdr:nvSpPr>
      <xdr:spPr bwMode="auto">
        <a:xfrm>
          <a:off x="9534525" y="17592675"/>
          <a:ext cx="571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12</xdr:col>
      <xdr:colOff>476250</xdr:colOff>
      <xdr:row>5</xdr:row>
      <xdr:rowOff>190500</xdr:rowOff>
    </xdr:from>
    <xdr:to>
      <xdr:col>15</xdr:col>
      <xdr:colOff>304800</xdr:colOff>
      <xdr:row>7</xdr:row>
      <xdr:rowOff>190500</xdr:rowOff>
    </xdr:to>
    <xdr:grpSp>
      <xdr:nvGrpSpPr>
        <xdr:cNvPr id="4375322" name="Group 310">
          <a:extLst>
            <a:ext uri="{FF2B5EF4-FFF2-40B4-BE49-F238E27FC236}">
              <a16:creationId xmlns="" xmlns:a16="http://schemas.microsoft.com/office/drawing/2014/main" id="{00000000-0008-0000-0A00-00001AC34200}"/>
            </a:ext>
          </a:extLst>
        </xdr:cNvPr>
        <xdr:cNvGrpSpPr>
          <a:grpSpLocks/>
        </xdr:cNvGrpSpPr>
      </xdr:nvGrpSpPr>
      <xdr:grpSpPr bwMode="auto">
        <a:xfrm>
          <a:off x="16287750" y="2357438"/>
          <a:ext cx="2805113" cy="762000"/>
          <a:chOff x="358" y="540"/>
          <a:chExt cx="293" cy="139"/>
        </a:xfrm>
      </xdr:grpSpPr>
      <xdr:sp macro="" textlink="">
        <xdr:nvSpPr>
          <xdr:cNvPr id="4375328" name="Line 311">
            <a:extLst>
              <a:ext uri="{FF2B5EF4-FFF2-40B4-BE49-F238E27FC236}">
                <a16:creationId xmlns="" xmlns:a16="http://schemas.microsoft.com/office/drawing/2014/main" id="{00000000-0008-0000-0A00-000020C342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75329" name="Group 312">
            <a:extLst>
              <a:ext uri="{FF2B5EF4-FFF2-40B4-BE49-F238E27FC236}">
                <a16:creationId xmlns="" xmlns:a16="http://schemas.microsoft.com/office/drawing/2014/main" id="{00000000-0008-0000-0A00-000021C342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375385" name="Line 313">
              <a:extLst>
                <a:ext uri="{FF2B5EF4-FFF2-40B4-BE49-F238E27FC236}">
                  <a16:creationId xmlns="" xmlns:a16="http://schemas.microsoft.com/office/drawing/2014/main" id="{00000000-0008-0000-0A00-000059C3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5386" name="Line 314">
              <a:extLst>
                <a:ext uri="{FF2B5EF4-FFF2-40B4-BE49-F238E27FC236}">
                  <a16:creationId xmlns="" xmlns:a16="http://schemas.microsoft.com/office/drawing/2014/main" id="{00000000-0008-0000-0A00-00005AC3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75330" name="Line 315">
            <a:extLst>
              <a:ext uri="{FF2B5EF4-FFF2-40B4-BE49-F238E27FC236}">
                <a16:creationId xmlns="" xmlns:a16="http://schemas.microsoft.com/office/drawing/2014/main" id="{00000000-0008-0000-0A00-000022C3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5331" name="Line 316">
            <a:extLst>
              <a:ext uri="{FF2B5EF4-FFF2-40B4-BE49-F238E27FC236}">
                <a16:creationId xmlns="" xmlns:a16="http://schemas.microsoft.com/office/drawing/2014/main" id="{00000000-0008-0000-0A00-000023C3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5332" name="Line 317">
            <a:extLst>
              <a:ext uri="{FF2B5EF4-FFF2-40B4-BE49-F238E27FC236}">
                <a16:creationId xmlns="" xmlns:a16="http://schemas.microsoft.com/office/drawing/2014/main" id="{00000000-0008-0000-0A00-000024C3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5333" name="Line 318">
            <a:extLst>
              <a:ext uri="{FF2B5EF4-FFF2-40B4-BE49-F238E27FC236}">
                <a16:creationId xmlns="" xmlns:a16="http://schemas.microsoft.com/office/drawing/2014/main" id="{00000000-0008-0000-0A00-000025C342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75334" name="Line 319">
            <a:extLst>
              <a:ext uri="{FF2B5EF4-FFF2-40B4-BE49-F238E27FC236}">
                <a16:creationId xmlns="" xmlns:a16="http://schemas.microsoft.com/office/drawing/2014/main" id="{00000000-0008-0000-0A00-000026C342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75335" name="Group 320">
            <a:extLst>
              <a:ext uri="{FF2B5EF4-FFF2-40B4-BE49-F238E27FC236}">
                <a16:creationId xmlns="" xmlns:a16="http://schemas.microsoft.com/office/drawing/2014/main" id="{00000000-0008-0000-0A00-000027C342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375379" name="Line 321">
              <a:extLst>
                <a:ext uri="{FF2B5EF4-FFF2-40B4-BE49-F238E27FC236}">
                  <a16:creationId xmlns="" xmlns:a16="http://schemas.microsoft.com/office/drawing/2014/main" id="{00000000-0008-0000-0A00-000053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5380" name="Group 322">
              <a:extLst>
                <a:ext uri="{FF2B5EF4-FFF2-40B4-BE49-F238E27FC236}">
                  <a16:creationId xmlns="" xmlns:a16="http://schemas.microsoft.com/office/drawing/2014/main" id="{00000000-0008-0000-0A00-000054C3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5381" name="Line 323">
                <a:extLst>
                  <a:ext uri="{FF2B5EF4-FFF2-40B4-BE49-F238E27FC236}">
                    <a16:creationId xmlns="" xmlns:a16="http://schemas.microsoft.com/office/drawing/2014/main" id="{00000000-0008-0000-0A00-000055C3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5382" name="Group 324">
                <a:extLst>
                  <a:ext uri="{FF2B5EF4-FFF2-40B4-BE49-F238E27FC236}">
                    <a16:creationId xmlns="" xmlns:a16="http://schemas.microsoft.com/office/drawing/2014/main" id="{00000000-0008-0000-0A00-000056C3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5383" name="Line 325">
                  <a:extLst>
                    <a:ext uri="{FF2B5EF4-FFF2-40B4-BE49-F238E27FC236}">
                      <a16:creationId xmlns="" xmlns:a16="http://schemas.microsoft.com/office/drawing/2014/main" id="{00000000-0008-0000-0A00-000057C3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5384" name="Line 326">
                  <a:extLst>
                    <a:ext uri="{FF2B5EF4-FFF2-40B4-BE49-F238E27FC236}">
                      <a16:creationId xmlns="" xmlns:a16="http://schemas.microsoft.com/office/drawing/2014/main" id="{00000000-0008-0000-0A00-000058C3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5336" name="Group 327">
            <a:extLst>
              <a:ext uri="{FF2B5EF4-FFF2-40B4-BE49-F238E27FC236}">
                <a16:creationId xmlns="" xmlns:a16="http://schemas.microsoft.com/office/drawing/2014/main" id="{00000000-0008-0000-0A00-000028C342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375373" name="Line 328">
              <a:extLst>
                <a:ext uri="{FF2B5EF4-FFF2-40B4-BE49-F238E27FC236}">
                  <a16:creationId xmlns="" xmlns:a16="http://schemas.microsoft.com/office/drawing/2014/main" id="{00000000-0008-0000-0A00-00004D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5374" name="Group 329">
              <a:extLst>
                <a:ext uri="{FF2B5EF4-FFF2-40B4-BE49-F238E27FC236}">
                  <a16:creationId xmlns="" xmlns:a16="http://schemas.microsoft.com/office/drawing/2014/main" id="{00000000-0008-0000-0A00-00004EC3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5375" name="Line 330">
                <a:extLst>
                  <a:ext uri="{FF2B5EF4-FFF2-40B4-BE49-F238E27FC236}">
                    <a16:creationId xmlns="" xmlns:a16="http://schemas.microsoft.com/office/drawing/2014/main" id="{00000000-0008-0000-0A00-00004FC3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5376" name="Group 331">
                <a:extLst>
                  <a:ext uri="{FF2B5EF4-FFF2-40B4-BE49-F238E27FC236}">
                    <a16:creationId xmlns="" xmlns:a16="http://schemas.microsoft.com/office/drawing/2014/main" id="{00000000-0008-0000-0A00-000050C3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5377" name="Line 332">
                  <a:extLst>
                    <a:ext uri="{FF2B5EF4-FFF2-40B4-BE49-F238E27FC236}">
                      <a16:creationId xmlns="" xmlns:a16="http://schemas.microsoft.com/office/drawing/2014/main" id="{00000000-0008-0000-0A00-000051C3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5378" name="Line 333">
                  <a:extLst>
                    <a:ext uri="{FF2B5EF4-FFF2-40B4-BE49-F238E27FC236}">
                      <a16:creationId xmlns="" xmlns:a16="http://schemas.microsoft.com/office/drawing/2014/main" id="{00000000-0008-0000-0A00-000052C3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5337" name="Group 334">
            <a:extLst>
              <a:ext uri="{FF2B5EF4-FFF2-40B4-BE49-F238E27FC236}">
                <a16:creationId xmlns="" xmlns:a16="http://schemas.microsoft.com/office/drawing/2014/main" id="{00000000-0008-0000-0A00-000029C342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375367" name="Line 335">
              <a:extLst>
                <a:ext uri="{FF2B5EF4-FFF2-40B4-BE49-F238E27FC236}">
                  <a16:creationId xmlns="" xmlns:a16="http://schemas.microsoft.com/office/drawing/2014/main" id="{00000000-0008-0000-0A00-000047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5368" name="Group 336">
              <a:extLst>
                <a:ext uri="{FF2B5EF4-FFF2-40B4-BE49-F238E27FC236}">
                  <a16:creationId xmlns="" xmlns:a16="http://schemas.microsoft.com/office/drawing/2014/main" id="{00000000-0008-0000-0A00-000048C3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5369" name="Line 337">
                <a:extLst>
                  <a:ext uri="{FF2B5EF4-FFF2-40B4-BE49-F238E27FC236}">
                    <a16:creationId xmlns="" xmlns:a16="http://schemas.microsoft.com/office/drawing/2014/main" id="{00000000-0008-0000-0A00-000049C3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5370" name="Group 338">
                <a:extLst>
                  <a:ext uri="{FF2B5EF4-FFF2-40B4-BE49-F238E27FC236}">
                    <a16:creationId xmlns="" xmlns:a16="http://schemas.microsoft.com/office/drawing/2014/main" id="{00000000-0008-0000-0A00-00004AC3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5371" name="Line 339">
                  <a:extLst>
                    <a:ext uri="{FF2B5EF4-FFF2-40B4-BE49-F238E27FC236}">
                      <a16:creationId xmlns="" xmlns:a16="http://schemas.microsoft.com/office/drawing/2014/main" id="{00000000-0008-0000-0A00-00004BC3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5372" name="Line 340">
                  <a:extLst>
                    <a:ext uri="{FF2B5EF4-FFF2-40B4-BE49-F238E27FC236}">
                      <a16:creationId xmlns="" xmlns:a16="http://schemas.microsoft.com/office/drawing/2014/main" id="{00000000-0008-0000-0A00-00004CC3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5338" name="Group 341">
            <a:extLst>
              <a:ext uri="{FF2B5EF4-FFF2-40B4-BE49-F238E27FC236}">
                <a16:creationId xmlns="" xmlns:a16="http://schemas.microsoft.com/office/drawing/2014/main" id="{00000000-0008-0000-0A00-00002AC342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375361" name="Line 342">
              <a:extLst>
                <a:ext uri="{FF2B5EF4-FFF2-40B4-BE49-F238E27FC236}">
                  <a16:creationId xmlns="" xmlns:a16="http://schemas.microsoft.com/office/drawing/2014/main" id="{00000000-0008-0000-0A00-000041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5362" name="Group 343">
              <a:extLst>
                <a:ext uri="{FF2B5EF4-FFF2-40B4-BE49-F238E27FC236}">
                  <a16:creationId xmlns="" xmlns:a16="http://schemas.microsoft.com/office/drawing/2014/main" id="{00000000-0008-0000-0A00-000042C3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5363" name="Line 344">
                <a:extLst>
                  <a:ext uri="{FF2B5EF4-FFF2-40B4-BE49-F238E27FC236}">
                    <a16:creationId xmlns="" xmlns:a16="http://schemas.microsoft.com/office/drawing/2014/main" id="{00000000-0008-0000-0A00-000043C3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5364" name="Group 345">
                <a:extLst>
                  <a:ext uri="{FF2B5EF4-FFF2-40B4-BE49-F238E27FC236}">
                    <a16:creationId xmlns="" xmlns:a16="http://schemas.microsoft.com/office/drawing/2014/main" id="{00000000-0008-0000-0A00-000044C3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5365" name="Line 346">
                  <a:extLst>
                    <a:ext uri="{FF2B5EF4-FFF2-40B4-BE49-F238E27FC236}">
                      <a16:creationId xmlns="" xmlns:a16="http://schemas.microsoft.com/office/drawing/2014/main" id="{00000000-0008-0000-0A00-000045C3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5366" name="Line 347">
                  <a:extLst>
                    <a:ext uri="{FF2B5EF4-FFF2-40B4-BE49-F238E27FC236}">
                      <a16:creationId xmlns="" xmlns:a16="http://schemas.microsoft.com/office/drawing/2014/main" id="{00000000-0008-0000-0A00-000046C3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5339" name="Group 348">
            <a:extLst>
              <a:ext uri="{FF2B5EF4-FFF2-40B4-BE49-F238E27FC236}">
                <a16:creationId xmlns="" xmlns:a16="http://schemas.microsoft.com/office/drawing/2014/main" id="{00000000-0008-0000-0A00-00002BC342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375355" name="Line 349">
              <a:extLst>
                <a:ext uri="{FF2B5EF4-FFF2-40B4-BE49-F238E27FC236}">
                  <a16:creationId xmlns="" xmlns:a16="http://schemas.microsoft.com/office/drawing/2014/main" id="{00000000-0008-0000-0A00-00003B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5356" name="Group 350">
              <a:extLst>
                <a:ext uri="{FF2B5EF4-FFF2-40B4-BE49-F238E27FC236}">
                  <a16:creationId xmlns="" xmlns:a16="http://schemas.microsoft.com/office/drawing/2014/main" id="{00000000-0008-0000-0A00-00003CC3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5357" name="Line 351">
                <a:extLst>
                  <a:ext uri="{FF2B5EF4-FFF2-40B4-BE49-F238E27FC236}">
                    <a16:creationId xmlns="" xmlns:a16="http://schemas.microsoft.com/office/drawing/2014/main" id="{00000000-0008-0000-0A00-00003DC3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5358" name="Group 352">
                <a:extLst>
                  <a:ext uri="{FF2B5EF4-FFF2-40B4-BE49-F238E27FC236}">
                    <a16:creationId xmlns="" xmlns:a16="http://schemas.microsoft.com/office/drawing/2014/main" id="{00000000-0008-0000-0A00-00003EC3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5359" name="Line 353">
                  <a:extLst>
                    <a:ext uri="{FF2B5EF4-FFF2-40B4-BE49-F238E27FC236}">
                      <a16:creationId xmlns="" xmlns:a16="http://schemas.microsoft.com/office/drawing/2014/main" id="{00000000-0008-0000-0A00-00003FC3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5360" name="Line 354">
                  <a:extLst>
                    <a:ext uri="{FF2B5EF4-FFF2-40B4-BE49-F238E27FC236}">
                      <a16:creationId xmlns="" xmlns:a16="http://schemas.microsoft.com/office/drawing/2014/main" id="{00000000-0008-0000-0A00-000040C3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5340" name="Group 355">
            <a:extLst>
              <a:ext uri="{FF2B5EF4-FFF2-40B4-BE49-F238E27FC236}">
                <a16:creationId xmlns="" xmlns:a16="http://schemas.microsoft.com/office/drawing/2014/main" id="{00000000-0008-0000-0A00-00002CC342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375349" name="Line 356">
              <a:extLst>
                <a:ext uri="{FF2B5EF4-FFF2-40B4-BE49-F238E27FC236}">
                  <a16:creationId xmlns="" xmlns:a16="http://schemas.microsoft.com/office/drawing/2014/main" id="{00000000-0008-0000-0A00-000035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5350" name="Group 357">
              <a:extLst>
                <a:ext uri="{FF2B5EF4-FFF2-40B4-BE49-F238E27FC236}">
                  <a16:creationId xmlns="" xmlns:a16="http://schemas.microsoft.com/office/drawing/2014/main" id="{00000000-0008-0000-0A00-000036C3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5351" name="Line 358">
                <a:extLst>
                  <a:ext uri="{FF2B5EF4-FFF2-40B4-BE49-F238E27FC236}">
                    <a16:creationId xmlns="" xmlns:a16="http://schemas.microsoft.com/office/drawing/2014/main" id="{00000000-0008-0000-0A00-000037C3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5352" name="Group 359">
                <a:extLst>
                  <a:ext uri="{FF2B5EF4-FFF2-40B4-BE49-F238E27FC236}">
                    <a16:creationId xmlns="" xmlns:a16="http://schemas.microsoft.com/office/drawing/2014/main" id="{00000000-0008-0000-0A00-000038C3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5353" name="Line 360">
                  <a:extLst>
                    <a:ext uri="{FF2B5EF4-FFF2-40B4-BE49-F238E27FC236}">
                      <a16:creationId xmlns="" xmlns:a16="http://schemas.microsoft.com/office/drawing/2014/main" id="{00000000-0008-0000-0A00-000039C3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5354" name="Line 361">
                  <a:extLst>
                    <a:ext uri="{FF2B5EF4-FFF2-40B4-BE49-F238E27FC236}">
                      <a16:creationId xmlns="" xmlns:a16="http://schemas.microsoft.com/office/drawing/2014/main" id="{00000000-0008-0000-0A00-00003AC3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5341" name="Group 362">
            <a:extLst>
              <a:ext uri="{FF2B5EF4-FFF2-40B4-BE49-F238E27FC236}">
                <a16:creationId xmlns="" xmlns:a16="http://schemas.microsoft.com/office/drawing/2014/main" id="{00000000-0008-0000-0A00-00002DC342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375343" name="Line 363">
              <a:extLst>
                <a:ext uri="{FF2B5EF4-FFF2-40B4-BE49-F238E27FC236}">
                  <a16:creationId xmlns="" xmlns:a16="http://schemas.microsoft.com/office/drawing/2014/main" id="{00000000-0008-0000-0A00-00002FC3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5344" name="Group 364">
              <a:extLst>
                <a:ext uri="{FF2B5EF4-FFF2-40B4-BE49-F238E27FC236}">
                  <a16:creationId xmlns="" xmlns:a16="http://schemas.microsoft.com/office/drawing/2014/main" id="{00000000-0008-0000-0A00-000030C3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5345" name="Line 365">
                <a:extLst>
                  <a:ext uri="{FF2B5EF4-FFF2-40B4-BE49-F238E27FC236}">
                    <a16:creationId xmlns="" xmlns:a16="http://schemas.microsoft.com/office/drawing/2014/main" id="{00000000-0008-0000-0A00-000031C3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5346" name="Group 366">
                <a:extLst>
                  <a:ext uri="{FF2B5EF4-FFF2-40B4-BE49-F238E27FC236}">
                    <a16:creationId xmlns="" xmlns:a16="http://schemas.microsoft.com/office/drawing/2014/main" id="{00000000-0008-0000-0A00-000032C3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5347" name="Line 367">
                  <a:extLst>
                    <a:ext uri="{FF2B5EF4-FFF2-40B4-BE49-F238E27FC236}">
                      <a16:creationId xmlns="" xmlns:a16="http://schemas.microsoft.com/office/drawing/2014/main" id="{00000000-0008-0000-0A00-000033C3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5348" name="Line 368">
                  <a:extLst>
                    <a:ext uri="{FF2B5EF4-FFF2-40B4-BE49-F238E27FC236}">
                      <a16:creationId xmlns="" xmlns:a16="http://schemas.microsoft.com/office/drawing/2014/main" id="{00000000-0008-0000-0A00-000034C3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75342" name="Line 369">
            <a:extLst>
              <a:ext uri="{FF2B5EF4-FFF2-40B4-BE49-F238E27FC236}">
                <a16:creationId xmlns="" xmlns:a16="http://schemas.microsoft.com/office/drawing/2014/main" id="{00000000-0008-0000-0A00-00002EC342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19</xdr:col>
      <xdr:colOff>0</xdr:colOff>
      <xdr:row>23</xdr:row>
      <xdr:rowOff>190500</xdr:rowOff>
    </xdr:from>
    <xdr:to>
      <xdr:col>24</xdr:col>
      <xdr:colOff>47625</xdr:colOff>
      <xdr:row>24</xdr:row>
      <xdr:rowOff>171450</xdr:rowOff>
    </xdr:to>
    <xdr:sp macro="" textlink="">
      <xdr:nvSpPr>
        <xdr:cNvPr id="4375323" name="Rectangle 280">
          <a:extLst>
            <a:ext uri="{FF2B5EF4-FFF2-40B4-BE49-F238E27FC236}">
              <a16:creationId xmlns="" xmlns:a16="http://schemas.microsoft.com/office/drawing/2014/main" id="{00000000-0008-0000-0A00-00001BC34200}"/>
            </a:ext>
          </a:extLst>
        </xdr:cNvPr>
        <xdr:cNvSpPr>
          <a:spLocks noChangeArrowheads="1"/>
        </xdr:cNvSpPr>
      </xdr:nvSpPr>
      <xdr:spPr bwMode="auto">
        <a:xfrm>
          <a:off x="21859875" y="9401175"/>
          <a:ext cx="4991100" cy="3714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38100</xdr:colOff>
      <xdr:row>22</xdr:row>
      <xdr:rowOff>76200</xdr:rowOff>
    </xdr:from>
    <xdr:to>
      <xdr:col>24</xdr:col>
      <xdr:colOff>0</xdr:colOff>
      <xdr:row>23</xdr:row>
      <xdr:rowOff>47625</xdr:rowOff>
    </xdr:to>
    <xdr:grpSp>
      <xdr:nvGrpSpPr>
        <xdr:cNvPr id="4375324" name="Group 281">
          <a:extLst>
            <a:ext uri="{FF2B5EF4-FFF2-40B4-BE49-F238E27FC236}">
              <a16:creationId xmlns="" xmlns:a16="http://schemas.microsoft.com/office/drawing/2014/main" id="{00000000-0008-0000-0A00-00001CC34200}"/>
            </a:ext>
          </a:extLst>
        </xdr:cNvPr>
        <xdr:cNvGrpSpPr>
          <a:grpSpLocks/>
        </xdr:cNvGrpSpPr>
      </xdr:nvGrpSpPr>
      <xdr:grpSpPr bwMode="auto">
        <a:xfrm>
          <a:off x="21874163" y="8720138"/>
          <a:ext cx="4914900" cy="352425"/>
          <a:chOff x="2020" y="383"/>
          <a:chExt cx="656" cy="22"/>
        </a:xfrm>
      </xdr:grpSpPr>
      <xdr:sp macro="" textlink="">
        <xdr:nvSpPr>
          <xdr:cNvPr id="4375325" name="Line 282">
            <a:extLst>
              <a:ext uri="{FF2B5EF4-FFF2-40B4-BE49-F238E27FC236}">
                <a16:creationId xmlns="" xmlns:a16="http://schemas.microsoft.com/office/drawing/2014/main" id="{00000000-0008-0000-0A00-00001DC3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5326" name="Line 283">
            <a:extLst>
              <a:ext uri="{FF2B5EF4-FFF2-40B4-BE49-F238E27FC236}">
                <a16:creationId xmlns="" xmlns:a16="http://schemas.microsoft.com/office/drawing/2014/main" id="{00000000-0008-0000-0A00-00001EC342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4375327" name="Line 284">
            <a:extLst>
              <a:ext uri="{FF2B5EF4-FFF2-40B4-BE49-F238E27FC236}">
                <a16:creationId xmlns="" xmlns:a16="http://schemas.microsoft.com/office/drawing/2014/main" id="{00000000-0008-0000-0A00-00001FC342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48</xdr:row>
      <xdr:rowOff>0</xdr:rowOff>
    </xdr:from>
    <xdr:to>
      <xdr:col>4</xdr:col>
      <xdr:colOff>352425</xdr:colOff>
      <xdr:row>55</xdr:row>
      <xdr:rowOff>0</xdr:rowOff>
    </xdr:to>
    <xdr:sp macro="" textlink="">
      <xdr:nvSpPr>
        <xdr:cNvPr id="4376103" name="Line 29">
          <a:extLst>
            <a:ext uri="{FF2B5EF4-FFF2-40B4-BE49-F238E27FC236}">
              <a16:creationId xmlns="" xmlns:a16="http://schemas.microsoft.com/office/drawing/2014/main" id="{00000000-0008-0000-0B00-000027C64200}"/>
            </a:ext>
          </a:extLst>
        </xdr:cNvPr>
        <xdr:cNvSpPr>
          <a:spLocks noChangeShapeType="1"/>
        </xdr:cNvSpPr>
      </xdr:nvSpPr>
      <xdr:spPr bwMode="auto">
        <a:xfrm>
          <a:off x="866775" y="17716500"/>
          <a:ext cx="0" cy="2066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0</xdr:colOff>
      <xdr:row>15</xdr:row>
      <xdr:rowOff>238125</xdr:rowOff>
    </xdr:from>
    <xdr:to>
      <xdr:col>31</xdr:col>
      <xdr:colOff>47625</xdr:colOff>
      <xdr:row>15</xdr:row>
      <xdr:rowOff>495300</xdr:rowOff>
    </xdr:to>
    <xdr:sp macro="" textlink="">
      <xdr:nvSpPr>
        <xdr:cNvPr id="4376104" name="Rectangle 139">
          <a:extLst>
            <a:ext uri="{FF2B5EF4-FFF2-40B4-BE49-F238E27FC236}">
              <a16:creationId xmlns="" xmlns:a16="http://schemas.microsoft.com/office/drawing/2014/main" id="{00000000-0008-0000-0B00-000028C64200}"/>
            </a:ext>
          </a:extLst>
        </xdr:cNvPr>
        <xdr:cNvSpPr>
          <a:spLocks noChangeArrowheads="1"/>
        </xdr:cNvSpPr>
      </xdr:nvSpPr>
      <xdr:spPr bwMode="auto">
        <a:xfrm>
          <a:off x="21212175" y="6324600"/>
          <a:ext cx="6334125" cy="1524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266700</xdr:colOff>
      <xdr:row>37</xdr:row>
      <xdr:rowOff>38100</xdr:rowOff>
    </xdr:from>
    <xdr:to>
      <xdr:col>12</xdr:col>
      <xdr:colOff>352425</xdr:colOff>
      <xdr:row>38</xdr:row>
      <xdr:rowOff>161925</xdr:rowOff>
    </xdr:to>
    <xdr:sp macro="" textlink="">
      <xdr:nvSpPr>
        <xdr:cNvPr id="4376105" name="Text Box 150">
          <a:extLst>
            <a:ext uri="{FF2B5EF4-FFF2-40B4-BE49-F238E27FC236}">
              <a16:creationId xmlns="" xmlns:a16="http://schemas.microsoft.com/office/drawing/2014/main" id="{00000000-0008-0000-0B00-000029C64200}"/>
            </a:ext>
          </a:extLst>
        </xdr:cNvPr>
        <xdr:cNvSpPr txBox="1">
          <a:spLocks noChangeArrowheads="1"/>
        </xdr:cNvSpPr>
      </xdr:nvSpPr>
      <xdr:spPr bwMode="auto">
        <a:xfrm>
          <a:off x="6305550" y="14363700"/>
          <a:ext cx="800100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26</xdr:col>
      <xdr:colOff>57150</xdr:colOff>
      <xdr:row>10</xdr:row>
      <xdr:rowOff>114300</xdr:rowOff>
    </xdr:from>
    <xdr:to>
      <xdr:col>31</xdr:col>
      <xdr:colOff>19050</xdr:colOff>
      <xdr:row>11</xdr:row>
      <xdr:rowOff>76200</xdr:rowOff>
    </xdr:to>
    <xdr:sp macro="" textlink="">
      <xdr:nvSpPr>
        <xdr:cNvPr id="4376106" name="Rectangle 257">
          <a:extLst>
            <a:ext uri="{FF2B5EF4-FFF2-40B4-BE49-F238E27FC236}">
              <a16:creationId xmlns="" xmlns:a16="http://schemas.microsoft.com/office/drawing/2014/main" id="{00000000-0008-0000-0B00-00002AC64200}"/>
            </a:ext>
          </a:extLst>
        </xdr:cNvPr>
        <xdr:cNvSpPr>
          <a:spLocks noChangeArrowheads="1"/>
        </xdr:cNvSpPr>
      </xdr:nvSpPr>
      <xdr:spPr bwMode="auto">
        <a:xfrm>
          <a:off x="21269325" y="4248150"/>
          <a:ext cx="624840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38100</xdr:colOff>
      <xdr:row>8</xdr:row>
      <xdr:rowOff>381000</xdr:rowOff>
    </xdr:from>
    <xdr:to>
      <xdr:col>31</xdr:col>
      <xdr:colOff>0</xdr:colOff>
      <xdr:row>9</xdr:row>
      <xdr:rowOff>152400</xdr:rowOff>
    </xdr:to>
    <xdr:grpSp>
      <xdr:nvGrpSpPr>
        <xdr:cNvPr id="4376107" name="Group 265">
          <a:extLst>
            <a:ext uri="{FF2B5EF4-FFF2-40B4-BE49-F238E27FC236}">
              <a16:creationId xmlns="" xmlns:a16="http://schemas.microsoft.com/office/drawing/2014/main" id="{00000000-0008-0000-0B00-00002BC64200}"/>
            </a:ext>
          </a:extLst>
        </xdr:cNvPr>
        <xdr:cNvGrpSpPr>
          <a:grpSpLocks/>
        </xdr:cNvGrpSpPr>
      </xdr:nvGrpSpPr>
      <xdr:grpSpPr bwMode="auto">
        <a:xfrm>
          <a:off x="21255038" y="3690938"/>
          <a:ext cx="6224587" cy="152400"/>
          <a:chOff x="2020" y="383"/>
          <a:chExt cx="656" cy="22"/>
        </a:xfrm>
      </xdr:grpSpPr>
      <xdr:sp macro="" textlink="">
        <xdr:nvSpPr>
          <xdr:cNvPr id="4376309" name="Line 258">
            <a:extLst>
              <a:ext uri="{FF2B5EF4-FFF2-40B4-BE49-F238E27FC236}">
                <a16:creationId xmlns="" xmlns:a16="http://schemas.microsoft.com/office/drawing/2014/main" id="{00000000-0008-0000-0B00-0000F5C6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6310" name="Line 259">
            <a:extLst>
              <a:ext uri="{FF2B5EF4-FFF2-40B4-BE49-F238E27FC236}">
                <a16:creationId xmlns="" xmlns:a16="http://schemas.microsoft.com/office/drawing/2014/main" id="{00000000-0008-0000-0B00-0000F6C642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4376311" name="Line 260">
            <a:extLst>
              <a:ext uri="{FF2B5EF4-FFF2-40B4-BE49-F238E27FC236}">
                <a16:creationId xmlns="" xmlns:a16="http://schemas.microsoft.com/office/drawing/2014/main" id="{00000000-0008-0000-0B00-0000F7C642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26</xdr:col>
      <xdr:colOff>38100</xdr:colOff>
      <xdr:row>15</xdr:row>
      <xdr:rowOff>0</xdr:rowOff>
    </xdr:from>
    <xdr:to>
      <xdr:col>31</xdr:col>
      <xdr:colOff>0</xdr:colOff>
      <xdr:row>15</xdr:row>
      <xdr:rowOff>95250</xdr:rowOff>
    </xdr:to>
    <xdr:grpSp>
      <xdr:nvGrpSpPr>
        <xdr:cNvPr id="4376108" name="Group 266">
          <a:extLst>
            <a:ext uri="{FF2B5EF4-FFF2-40B4-BE49-F238E27FC236}">
              <a16:creationId xmlns="" xmlns:a16="http://schemas.microsoft.com/office/drawing/2014/main" id="{00000000-0008-0000-0B00-00002CC64200}"/>
            </a:ext>
          </a:extLst>
        </xdr:cNvPr>
        <xdr:cNvGrpSpPr>
          <a:grpSpLocks/>
        </xdr:cNvGrpSpPr>
      </xdr:nvGrpSpPr>
      <xdr:grpSpPr bwMode="auto">
        <a:xfrm>
          <a:off x="21255038" y="5976938"/>
          <a:ext cx="6224587" cy="95250"/>
          <a:chOff x="2020" y="383"/>
          <a:chExt cx="656" cy="22"/>
        </a:xfrm>
      </xdr:grpSpPr>
      <xdr:sp macro="" textlink="">
        <xdr:nvSpPr>
          <xdr:cNvPr id="4376306" name="Line 267">
            <a:extLst>
              <a:ext uri="{FF2B5EF4-FFF2-40B4-BE49-F238E27FC236}">
                <a16:creationId xmlns="" xmlns:a16="http://schemas.microsoft.com/office/drawing/2014/main" id="{00000000-0008-0000-0B00-0000F2C6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6307" name="Line 268">
            <a:extLst>
              <a:ext uri="{FF2B5EF4-FFF2-40B4-BE49-F238E27FC236}">
                <a16:creationId xmlns="" xmlns:a16="http://schemas.microsoft.com/office/drawing/2014/main" id="{00000000-0008-0000-0B00-0000F3C642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4376308" name="Line 269">
            <a:extLst>
              <a:ext uri="{FF2B5EF4-FFF2-40B4-BE49-F238E27FC236}">
                <a16:creationId xmlns="" xmlns:a16="http://schemas.microsoft.com/office/drawing/2014/main" id="{00000000-0008-0000-0B00-0000F4C642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18</xdr:col>
      <xdr:colOff>600075</xdr:colOff>
      <xdr:row>8</xdr:row>
      <xdr:rowOff>381000</xdr:rowOff>
    </xdr:from>
    <xdr:to>
      <xdr:col>24</xdr:col>
      <xdr:colOff>476250</xdr:colOff>
      <xdr:row>9</xdr:row>
      <xdr:rowOff>123825</xdr:rowOff>
    </xdr:to>
    <xdr:grpSp>
      <xdr:nvGrpSpPr>
        <xdr:cNvPr id="4376109" name="Group 270">
          <a:extLst>
            <a:ext uri="{FF2B5EF4-FFF2-40B4-BE49-F238E27FC236}">
              <a16:creationId xmlns="" xmlns:a16="http://schemas.microsoft.com/office/drawing/2014/main" id="{00000000-0008-0000-0B00-00002DC64200}"/>
            </a:ext>
          </a:extLst>
        </xdr:cNvPr>
        <xdr:cNvGrpSpPr>
          <a:grpSpLocks/>
        </xdr:cNvGrpSpPr>
      </xdr:nvGrpSpPr>
      <xdr:grpSpPr bwMode="auto">
        <a:xfrm>
          <a:off x="14363700" y="3690938"/>
          <a:ext cx="5448300" cy="123825"/>
          <a:chOff x="2020" y="383"/>
          <a:chExt cx="656" cy="22"/>
        </a:xfrm>
      </xdr:grpSpPr>
      <xdr:sp macro="" textlink="">
        <xdr:nvSpPr>
          <xdr:cNvPr id="4376303" name="Line 271">
            <a:extLst>
              <a:ext uri="{FF2B5EF4-FFF2-40B4-BE49-F238E27FC236}">
                <a16:creationId xmlns="" xmlns:a16="http://schemas.microsoft.com/office/drawing/2014/main" id="{00000000-0008-0000-0B00-0000EFC6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6304" name="Line 272">
            <a:extLst>
              <a:ext uri="{FF2B5EF4-FFF2-40B4-BE49-F238E27FC236}">
                <a16:creationId xmlns="" xmlns:a16="http://schemas.microsoft.com/office/drawing/2014/main" id="{00000000-0008-0000-0B00-0000F0C642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4376305" name="Line 273">
            <a:extLst>
              <a:ext uri="{FF2B5EF4-FFF2-40B4-BE49-F238E27FC236}">
                <a16:creationId xmlns="" xmlns:a16="http://schemas.microsoft.com/office/drawing/2014/main" id="{00000000-0008-0000-0B00-0000F1C642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18</xdr:col>
      <xdr:colOff>600075</xdr:colOff>
      <xdr:row>10</xdr:row>
      <xdr:rowOff>114300</xdr:rowOff>
    </xdr:from>
    <xdr:to>
      <xdr:col>24</xdr:col>
      <xdr:colOff>476250</xdr:colOff>
      <xdr:row>11</xdr:row>
      <xdr:rowOff>76200</xdr:rowOff>
    </xdr:to>
    <xdr:sp macro="" textlink="">
      <xdr:nvSpPr>
        <xdr:cNvPr id="4376110" name="Rectangle 274">
          <a:extLst>
            <a:ext uri="{FF2B5EF4-FFF2-40B4-BE49-F238E27FC236}">
              <a16:creationId xmlns="" xmlns:a16="http://schemas.microsoft.com/office/drawing/2014/main" id="{00000000-0008-0000-0B00-00002EC64200}"/>
            </a:ext>
          </a:extLst>
        </xdr:cNvPr>
        <xdr:cNvSpPr>
          <a:spLocks noChangeArrowheads="1"/>
        </xdr:cNvSpPr>
      </xdr:nvSpPr>
      <xdr:spPr bwMode="auto">
        <a:xfrm>
          <a:off x="14392275" y="4248150"/>
          <a:ext cx="542925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600075</xdr:colOff>
      <xdr:row>22</xdr:row>
      <xdr:rowOff>28575</xdr:rowOff>
    </xdr:from>
    <xdr:to>
      <xdr:col>24</xdr:col>
      <xdr:colOff>476250</xdr:colOff>
      <xdr:row>22</xdr:row>
      <xdr:rowOff>209550</xdr:rowOff>
    </xdr:to>
    <xdr:grpSp>
      <xdr:nvGrpSpPr>
        <xdr:cNvPr id="4376111" name="Group 275">
          <a:extLst>
            <a:ext uri="{FF2B5EF4-FFF2-40B4-BE49-F238E27FC236}">
              <a16:creationId xmlns="" xmlns:a16="http://schemas.microsoft.com/office/drawing/2014/main" id="{00000000-0008-0000-0B00-00002FC64200}"/>
            </a:ext>
          </a:extLst>
        </xdr:cNvPr>
        <xdr:cNvGrpSpPr>
          <a:grpSpLocks/>
        </xdr:cNvGrpSpPr>
      </xdr:nvGrpSpPr>
      <xdr:grpSpPr bwMode="auto">
        <a:xfrm>
          <a:off x="14363700" y="8672513"/>
          <a:ext cx="5448300" cy="180975"/>
          <a:chOff x="2020" y="383"/>
          <a:chExt cx="656" cy="22"/>
        </a:xfrm>
      </xdr:grpSpPr>
      <xdr:sp macro="" textlink="">
        <xdr:nvSpPr>
          <xdr:cNvPr id="4376300" name="Line 276">
            <a:extLst>
              <a:ext uri="{FF2B5EF4-FFF2-40B4-BE49-F238E27FC236}">
                <a16:creationId xmlns="" xmlns:a16="http://schemas.microsoft.com/office/drawing/2014/main" id="{00000000-0008-0000-0B00-0000ECC6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6301" name="Line 277">
            <a:extLst>
              <a:ext uri="{FF2B5EF4-FFF2-40B4-BE49-F238E27FC236}">
                <a16:creationId xmlns="" xmlns:a16="http://schemas.microsoft.com/office/drawing/2014/main" id="{00000000-0008-0000-0B00-0000EDC642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4376302" name="Line 278">
            <a:extLst>
              <a:ext uri="{FF2B5EF4-FFF2-40B4-BE49-F238E27FC236}">
                <a16:creationId xmlns="" xmlns:a16="http://schemas.microsoft.com/office/drawing/2014/main" id="{00000000-0008-0000-0B00-0000EEC642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18</xdr:col>
      <xdr:colOff>600075</xdr:colOff>
      <xdr:row>23</xdr:row>
      <xdr:rowOff>238125</xdr:rowOff>
    </xdr:from>
    <xdr:to>
      <xdr:col>24</xdr:col>
      <xdr:colOff>476250</xdr:colOff>
      <xdr:row>24</xdr:row>
      <xdr:rowOff>200025</xdr:rowOff>
    </xdr:to>
    <xdr:sp macro="" textlink="">
      <xdr:nvSpPr>
        <xdr:cNvPr id="4376112" name="Rectangle 279">
          <a:extLst>
            <a:ext uri="{FF2B5EF4-FFF2-40B4-BE49-F238E27FC236}">
              <a16:creationId xmlns="" xmlns:a16="http://schemas.microsoft.com/office/drawing/2014/main" id="{00000000-0008-0000-0B00-000030C64200}"/>
            </a:ext>
          </a:extLst>
        </xdr:cNvPr>
        <xdr:cNvSpPr>
          <a:spLocks noChangeArrowheads="1"/>
        </xdr:cNvSpPr>
      </xdr:nvSpPr>
      <xdr:spPr bwMode="auto">
        <a:xfrm>
          <a:off x="14392275" y="9448800"/>
          <a:ext cx="542925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0</xdr:colOff>
      <xdr:row>23</xdr:row>
      <xdr:rowOff>190500</xdr:rowOff>
    </xdr:from>
    <xdr:to>
      <xdr:col>31</xdr:col>
      <xdr:colOff>47625</xdr:colOff>
      <xdr:row>24</xdr:row>
      <xdr:rowOff>171450</xdr:rowOff>
    </xdr:to>
    <xdr:sp macro="" textlink="">
      <xdr:nvSpPr>
        <xdr:cNvPr id="4376113" name="Rectangle 280">
          <a:extLst>
            <a:ext uri="{FF2B5EF4-FFF2-40B4-BE49-F238E27FC236}">
              <a16:creationId xmlns="" xmlns:a16="http://schemas.microsoft.com/office/drawing/2014/main" id="{00000000-0008-0000-0B00-000031C64200}"/>
            </a:ext>
          </a:extLst>
        </xdr:cNvPr>
        <xdr:cNvSpPr>
          <a:spLocks noChangeArrowheads="1"/>
        </xdr:cNvSpPr>
      </xdr:nvSpPr>
      <xdr:spPr bwMode="auto">
        <a:xfrm>
          <a:off x="21212175" y="9401175"/>
          <a:ext cx="6334125" cy="3714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38100</xdr:colOff>
      <xdr:row>22</xdr:row>
      <xdr:rowOff>76200</xdr:rowOff>
    </xdr:from>
    <xdr:to>
      <xdr:col>31</xdr:col>
      <xdr:colOff>0</xdr:colOff>
      <xdr:row>23</xdr:row>
      <xdr:rowOff>47625</xdr:rowOff>
    </xdr:to>
    <xdr:grpSp>
      <xdr:nvGrpSpPr>
        <xdr:cNvPr id="4376114" name="Group 281">
          <a:extLst>
            <a:ext uri="{FF2B5EF4-FFF2-40B4-BE49-F238E27FC236}">
              <a16:creationId xmlns="" xmlns:a16="http://schemas.microsoft.com/office/drawing/2014/main" id="{00000000-0008-0000-0B00-000032C64200}"/>
            </a:ext>
          </a:extLst>
        </xdr:cNvPr>
        <xdr:cNvGrpSpPr>
          <a:grpSpLocks/>
        </xdr:cNvGrpSpPr>
      </xdr:nvGrpSpPr>
      <xdr:grpSpPr bwMode="auto">
        <a:xfrm>
          <a:off x="21255038" y="8720138"/>
          <a:ext cx="6224587" cy="352425"/>
          <a:chOff x="2020" y="383"/>
          <a:chExt cx="656" cy="22"/>
        </a:xfrm>
      </xdr:grpSpPr>
      <xdr:sp macro="" textlink="">
        <xdr:nvSpPr>
          <xdr:cNvPr id="4376297" name="Line 282">
            <a:extLst>
              <a:ext uri="{FF2B5EF4-FFF2-40B4-BE49-F238E27FC236}">
                <a16:creationId xmlns="" xmlns:a16="http://schemas.microsoft.com/office/drawing/2014/main" id="{00000000-0008-0000-0B00-0000E9C6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6298" name="Line 283">
            <a:extLst>
              <a:ext uri="{FF2B5EF4-FFF2-40B4-BE49-F238E27FC236}">
                <a16:creationId xmlns="" xmlns:a16="http://schemas.microsoft.com/office/drawing/2014/main" id="{00000000-0008-0000-0B00-0000EAC642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4376299" name="Line 284">
            <a:extLst>
              <a:ext uri="{FF2B5EF4-FFF2-40B4-BE49-F238E27FC236}">
                <a16:creationId xmlns="" xmlns:a16="http://schemas.microsoft.com/office/drawing/2014/main" id="{00000000-0008-0000-0B00-0000EBC642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10</xdr:col>
      <xdr:colOff>133350</xdr:colOff>
      <xdr:row>9</xdr:row>
      <xdr:rowOff>161925</xdr:rowOff>
    </xdr:from>
    <xdr:to>
      <xdr:col>17</xdr:col>
      <xdr:colOff>95250</xdr:colOff>
      <xdr:row>21</xdr:row>
      <xdr:rowOff>57150</xdr:rowOff>
    </xdr:to>
    <xdr:grpSp>
      <xdr:nvGrpSpPr>
        <xdr:cNvPr id="4376115" name="Group 370">
          <a:extLst>
            <a:ext uri="{FF2B5EF4-FFF2-40B4-BE49-F238E27FC236}">
              <a16:creationId xmlns="" xmlns:a16="http://schemas.microsoft.com/office/drawing/2014/main" id="{00000000-0008-0000-0B00-000033C64200}"/>
            </a:ext>
          </a:extLst>
        </xdr:cNvPr>
        <xdr:cNvGrpSpPr>
          <a:grpSpLocks/>
        </xdr:cNvGrpSpPr>
      </xdr:nvGrpSpPr>
      <xdr:grpSpPr bwMode="auto">
        <a:xfrm>
          <a:off x="5514975" y="3852863"/>
          <a:ext cx="7462838" cy="4467225"/>
          <a:chOff x="1540" y="414"/>
          <a:chExt cx="619" cy="481"/>
        </a:xfrm>
      </xdr:grpSpPr>
      <xdr:sp macro="" textlink="">
        <xdr:nvSpPr>
          <xdr:cNvPr id="4376265" name="Line 37">
            <a:extLst>
              <a:ext uri="{FF2B5EF4-FFF2-40B4-BE49-F238E27FC236}">
                <a16:creationId xmlns="" xmlns:a16="http://schemas.microsoft.com/office/drawing/2014/main" id="{00000000-0008-0000-0B00-0000C9C6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588" y="414"/>
            <a:ext cx="0" cy="8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6266" name="Line 38">
            <a:extLst>
              <a:ext uri="{FF2B5EF4-FFF2-40B4-BE49-F238E27FC236}">
                <a16:creationId xmlns="" xmlns:a16="http://schemas.microsoft.com/office/drawing/2014/main" id="{00000000-0008-0000-0B00-0000CAC6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159" y="414"/>
            <a:ext cx="0" cy="8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6267" name="Line 40">
            <a:extLst>
              <a:ext uri="{FF2B5EF4-FFF2-40B4-BE49-F238E27FC236}">
                <a16:creationId xmlns="" xmlns:a16="http://schemas.microsoft.com/office/drawing/2014/main" id="{00000000-0008-0000-0B00-0000CBC64200}"/>
              </a:ext>
            </a:extLst>
          </xdr:cNvPr>
          <xdr:cNvSpPr>
            <a:spLocks noChangeShapeType="1"/>
          </xdr:cNvSpPr>
        </xdr:nvSpPr>
        <xdr:spPr bwMode="auto">
          <a:xfrm>
            <a:off x="1588" y="564"/>
            <a:ext cx="0" cy="33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6268" name="Line 41">
            <a:extLst>
              <a:ext uri="{FF2B5EF4-FFF2-40B4-BE49-F238E27FC236}">
                <a16:creationId xmlns="" xmlns:a16="http://schemas.microsoft.com/office/drawing/2014/main" id="{00000000-0008-0000-0B00-0000CCC6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540" y="640"/>
            <a:ext cx="5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6269" name="Line 42">
            <a:extLst>
              <a:ext uri="{FF2B5EF4-FFF2-40B4-BE49-F238E27FC236}">
                <a16:creationId xmlns="" xmlns:a16="http://schemas.microsoft.com/office/drawing/2014/main" id="{00000000-0008-0000-0B00-0000CDC64200}"/>
              </a:ext>
            </a:extLst>
          </xdr:cNvPr>
          <xdr:cNvSpPr>
            <a:spLocks noChangeShapeType="1"/>
          </xdr:cNvSpPr>
        </xdr:nvSpPr>
        <xdr:spPr bwMode="auto">
          <a:xfrm>
            <a:off x="1588" y="680"/>
            <a:ext cx="7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6270" name="Line 43">
            <a:extLst>
              <a:ext uri="{FF2B5EF4-FFF2-40B4-BE49-F238E27FC236}">
                <a16:creationId xmlns="" xmlns:a16="http://schemas.microsoft.com/office/drawing/2014/main" id="{00000000-0008-0000-0B00-0000CEC64200}"/>
              </a:ext>
            </a:extLst>
          </xdr:cNvPr>
          <xdr:cNvSpPr>
            <a:spLocks noChangeShapeType="1"/>
          </xdr:cNvSpPr>
        </xdr:nvSpPr>
        <xdr:spPr bwMode="auto">
          <a:xfrm>
            <a:off x="1588" y="722"/>
            <a:ext cx="1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6271" name="Line 44">
            <a:extLst>
              <a:ext uri="{FF2B5EF4-FFF2-40B4-BE49-F238E27FC236}">
                <a16:creationId xmlns="" xmlns:a16="http://schemas.microsoft.com/office/drawing/2014/main" id="{00000000-0008-0000-0B00-0000CFC6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588" y="763"/>
            <a:ext cx="26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6272" name="Line 45">
            <a:extLst>
              <a:ext uri="{FF2B5EF4-FFF2-40B4-BE49-F238E27FC236}">
                <a16:creationId xmlns="" xmlns:a16="http://schemas.microsoft.com/office/drawing/2014/main" id="{00000000-0008-0000-0B00-0000D0C64200}"/>
              </a:ext>
            </a:extLst>
          </xdr:cNvPr>
          <xdr:cNvSpPr>
            <a:spLocks noChangeShapeType="1"/>
          </xdr:cNvSpPr>
        </xdr:nvSpPr>
        <xdr:spPr bwMode="auto">
          <a:xfrm>
            <a:off x="1588" y="803"/>
            <a:ext cx="3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76273" name="Group 46">
            <a:extLst>
              <a:ext uri="{FF2B5EF4-FFF2-40B4-BE49-F238E27FC236}">
                <a16:creationId xmlns="" xmlns:a16="http://schemas.microsoft.com/office/drawing/2014/main" id="{00000000-0008-0000-0B00-0000D1C64200}"/>
              </a:ext>
            </a:extLst>
          </xdr:cNvPr>
          <xdr:cNvGrpSpPr>
            <a:grpSpLocks/>
          </xdr:cNvGrpSpPr>
        </xdr:nvGrpSpPr>
        <xdr:grpSpPr bwMode="auto">
          <a:xfrm>
            <a:off x="1590" y="524"/>
            <a:ext cx="6" cy="124"/>
            <a:chOff x="554" y="439"/>
            <a:chExt cx="10" cy="76"/>
          </a:xfrm>
        </xdr:grpSpPr>
        <xdr:sp macro="" textlink="">
          <xdr:nvSpPr>
            <xdr:cNvPr id="4376295" name="Line 47">
              <a:extLst>
                <a:ext uri="{FF2B5EF4-FFF2-40B4-BE49-F238E27FC236}">
                  <a16:creationId xmlns="" xmlns:a16="http://schemas.microsoft.com/office/drawing/2014/main" id="{00000000-0008-0000-0B00-0000E7C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58" y="439"/>
              <a:ext cx="0" cy="7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6296" name="Line 48">
              <a:extLst>
                <a:ext uri="{FF2B5EF4-FFF2-40B4-BE49-F238E27FC236}">
                  <a16:creationId xmlns="" xmlns:a16="http://schemas.microsoft.com/office/drawing/2014/main" id="{00000000-0008-0000-0B00-0000E8C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54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376274" name="Group 49">
            <a:extLst>
              <a:ext uri="{FF2B5EF4-FFF2-40B4-BE49-F238E27FC236}">
                <a16:creationId xmlns="" xmlns:a16="http://schemas.microsoft.com/office/drawing/2014/main" id="{00000000-0008-0000-0B00-0000D2C64200}"/>
              </a:ext>
            </a:extLst>
          </xdr:cNvPr>
          <xdr:cNvGrpSpPr>
            <a:grpSpLocks/>
          </xdr:cNvGrpSpPr>
        </xdr:nvGrpSpPr>
        <xdr:grpSpPr bwMode="auto">
          <a:xfrm>
            <a:off x="1657" y="524"/>
            <a:ext cx="12" cy="162"/>
            <a:chOff x="680" y="439"/>
            <a:chExt cx="10" cy="98"/>
          </a:xfrm>
        </xdr:grpSpPr>
        <xdr:sp macro="" textlink="">
          <xdr:nvSpPr>
            <xdr:cNvPr id="4376293" name="Line 50">
              <a:extLst>
                <a:ext uri="{FF2B5EF4-FFF2-40B4-BE49-F238E27FC236}">
                  <a16:creationId xmlns="" xmlns:a16="http://schemas.microsoft.com/office/drawing/2014/main" id="{00000000-0008-0000-0B00-0000E5C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85" y="439"/>
              <a:ext cx="0" cy="9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6294" name="Line 51">
              <a:extLst>
                <a:ext uri="{FF2B5EF4-FFF2-40B4-BE49-F238E27FC236}">
                  <a16:creationId xmlns="" xmlns:a16="http://schemas.microsoft.com/office/drawing/2014/main" id="{00000000-0008-0000-0B00-0000E6C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80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376275" name="Group 52">
            <a:extLst>
              <a:ext uri="{FF2B5EF4-FFF2-40B4-BE49-F238E27FC236}">
                <a16:creationId xmlns="" xmlns:a16="http://schemas.microsoft.com/office/drawing/2014/main" id="{00000000-0008-0000-0B00-0000D3C64200}"/>
              </a:ext>
            </a:extLst>
          </xdr:cNvPr>
          <xdr:cNvGrpSpPr>
            <a:grpSpLocks/>
          </xdr:cNvGrpSpPr>
        </xdr:nvGrpSpPr>
        <xdr:grpSpPr bwMode="auto">
          <a:xfrm>
            <a:off x="1731" y="523"/>
            <a:ext cx="19" cy="201"/>
            <a:chOff x="759" y="438"/>
            <a:chExt cx="10" cy="121"/>
          </a:xfrm>
        </xdr:grpSpPr>
        <xdr:sp macro="" textlink="">
          <xdr:nvSpPr>
            <xdr:cNvPr id="4376291" name="Line 53">
              <a:extLst>
                <a:ext uri="{FF2B5EF4-FFF2-40B4-BE49-F238E27FC236}">
                  <a16:creationId xmlns="" xmlns:a16="http://schemas.microsoft.com/office/drawing/2014/main" id="{00000000-0008-0000-0B00-0000E3C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64" y="438"/>
              <a:ext cx="0" cy="12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6292" name="Line 54">
              <a:extLst>
                <a:ext uri="{FF2B5EF4-FFF2-40B4-BE49-F238E27FC236}">
                  <a16:creationId xmlns="" xmlns:a16="http://schemas.microsoft.com/office/drawing/2014/main" id="{00000000-0008-0000-0B00-0000E4C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59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376276" name="Group 55">
            <a:extLst>
              <a:ext uri="{FF2B5EF4-FFF2-40B4-BE49-F238E27FC236}">
                <a16:creationId xmlns="" xmlns:a16="http://schemas.microsoft.com/office/drawing/2014/main" id="{00000000-0008-0000-0B00-0000D4C64200}"/>
              </a:ext>
            </a:extLst>
          </xdr:cNvPr>
          <xdr:cNvGrpSpPr>
            <a:grpSpLocks/>
          </xdr:cNvGrpSpPr>
        </xdr:nvGrpSpPr>
        <xdr:grpSpPr bwMode="auto">
          <a:xfrm>
            <a:off x="1812" y="523"/>
            <a:ext cx="45" cy="243"/>
            <a:chOff x="842" y="438"/>
            <a:chExt cx="10" cy="147"/>
          </a:xfrm>
        </xdr:grpSpPr>
        <xdr:sp macro="" textlink="">
          <xdr:nvSpPr>
            <xdr:cNvPr id="4376289" name="Line 56">
              <a:extLst>
                <a:ext uri="{FF2B5EF4-FFF2-40B4-BE49-F238E27FC236}">
                  <a16:creationId xmlns="" xmlns:a16="http://schemas.microsoft.com/office/drawing/2014/main" id="{00000000-0008-0000-0B00-0000E1C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47" y="438"/>
              <a:ext cx="0" cy="147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6290" name="Line 57">
              <a:extLst>
                <a:ext uri="{FF2B5EF4-FFF2-40B4-BE49-F238E27FC236}">
                  <a16:creationId xmlns="" xmlns:a16="http://schemas.microsoft.com/office/drawing/2014/main" id="{00000000-0008-0000-0B00-0000E2C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42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376277" name="Group 58">
            <a:extLst>
              <a:ext uri="{FF2B5EF4-FFF2-40B4-BE49-F238E27FC236}">
                <a16:creationId xmlns="" xmlns:a16="http://schemas.microsoft.com/office/drawing/2014/main" id="{00000000-0008-0000-0B00-0000D5C64200}"/>
              </a:ext>
            </a:extLst>
          </xdr:cNvPr>
          <xdr:cNvGrpSpPr>
            <a:grpSpLocks/>
          </xdr:cNvGrpSpPr>
        </xdr:nvGrpSpPr>
        <xdr:grpSpPr bwMode="auto">
          <a:xfrm>
            <a:off x="1919" y="523"/>
            <a:ext cx="50" cy="283"/>
            <a:chOff x="912" y="438"/>
            <a:chExt cx="11" cy="175"/>
          </a:xfrm>
        </xdr:grpSpPr>
        <xdr:sp macro="" textlink="">
          <xdr:nvSpPr>
            <xdr:cNvPr id="4376287" name="Line 59">
              <a:extLst>
                <a:ext uri="{FF2B5EF4-FFF2-40B4-BE49-F238E27FC236}">
                  <a16:creationId xmlns="" xmlns:a16="http://schemas.microsoft.com/office/drawing/2014/main" id="{00000000-0008-0000-0B00-0000DFC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6288" name="Line 60">
              <a:extLst>
                <a:ext uri="{FF2B5EF4-FFF2-40B4-BE49-F238E27FC236}">
                  <a16:creationId xmlns="" xmlns:a16="http://schemas.microsoft.com/office/drawing/2014/main" id="{00000000-0008-0000-0B00-0000E0C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76278" name="Rectangle 61">
            <a:extLst>
              <a:ext uri="{FF2B5EF4-FFF2-40B4-BE49-F238E27FC236}">
                <a16:creationId xmlns="" xmlns:a16="http://schemas.microsoft.com/office/drawing/2014/main" id="{00000000-0008-0000-0B00-0000D6C64200}"/>
              </a:ext>
            </a:extLst>
          </xdr:cNvPr>
          <xdr:cNvSpPr>
            <a:spLocks noChangeArrowheads="1"/>
          </xdr:cNvSpPr>
        </xdr:nvSpPr>
        <xdr:spPr bwMode="auto">
          <a:xfrm>
            <a:off x="1588" y="516"/>
            <a:ext cx="569" cy="41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76279" name="Line 62">
            <a:extLst>
              <a:ext uri="{FF2B5EF4-FFF2-40B4-BE49-F238E27FC236}">
                <a16:creationId xmlns="" xmlns:a16="http://schemas.microsoft.com/office/drawing/2014/main" id="{00000000-0008-0000-0B00-0000D7C64200}"/>
              </a:ext>
            </a:extLst>
          </xdr:cNvPr>
          <xdr:cNvSpPr>
            <a:spLocks noChangeShapeType="1"/>
          </xdr:cNvSpPr>
        </xdr:nvSpPr>
        <xdr:spPr bwMode="auto">
          <a:xfrm>
            <a:off x="2149" y="523"/>
            <a:ext cx="0" cy="36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6280" name="Line 63">
            <a:extLst>
              <a:ext uri="{FF2B5EF4-FFF2-40B4-BE49-F238E27FC236}">
                <a16:creationId xmlns="" xmlns:a16="http://schemas.microsoft.com/office/drawing/2014/main" id="{00000000-0008-0000-0B00-0000D8C64200}"/>
              </a:ext>
            </a:extLst>
          </xdr:cNvPr>
          <xdr:cNvSpPr>
            <a:spLocks noChangeShapeType="1"/>
          </xdr:cNvSpPr>
        </xdr:nvSpPr>
        <xdr:spPr bwMode="auto">
          <a:xfrm>
            <a:off x="2127" y="527"/>
            <a:ext cx="2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6281" name="Line 64">
            <a:extLst>
              <a:ext uri="{FF2B5EF4-FFF2-40B4-BE49-F238E27FC236}">
                <a16:creationId xmlns="" xmlns:a16="http://schemas.microsoft.com/office/drawing/2014/main" id="{00000000-0008-0000-0B00-0000D9C6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588" y="844"/>
            <a:ext cx="47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6282" name="Line 65">
            <a:extLst>
              <a:ext uri="{FF2B5EF4-FFF2-40B4-BE49-F238E27FC236}">
                <a16:creationId xmlns="" xmlns:a16="http://schemas.microsoft.com/office/drawing/2014/main" id="{00000000-0008-0000-0B00-0000DAC6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587" y="886"/>
            <a:ext cx="56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76283" name="Group 66">
            <a:extLst>
              <a:ext uri="{FF2B5EF4-FFF2-40B4-BE49-F238E27FC236}">
                <a16:creationId xmlns="" xmlns:a16="http://schemas.microsoft.com/office/drawing/2014/main" id="{00000000-0008-0000-0B00-0000DBC64200}"/>
              </a:ext>
            </a:extLst>
          </xdr:cNvPr>
          <xdr:cNvGrpSpPr>
            <a:grpSpLocks/>
          </xdr:cNvGrpSpPr>
        </xdr:nvGrpSpPr>
        <xdr:grpSpPr bwMode="auto">
          <a:xfrm>
            <a:off x="2029" y="523"/>
            <a:ext cx="36" cy="326"/>
            <a:chOff x="912" y="438"/>
            <a:chExt cx="11" cy="175"/>
          </a:xfrm>
        </xdr:grpSpPr>
        <xdr:sp macro="" textlink="">
          <xdr:nvSpPr>
            <xdr:cNvPr id="4376285" name="Line 67">
              <a:extLst>
                <a:ext uri="{FF2B5EF4-FFF2-40B4-BE49-F238E27FC236}">
                  <a16:creationId xmlns="" xmlns:a16="http://schemas.microsoft.com/office/drawing/2014/main" id="{00000000-0008-0000-0B00-0000DDC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6286" name="Line 68">
              <a:extLst>
                <a:ext uri="{FF2B5EF4-FFF2-40B4-BE49-F238E27FC236}">
                  <a16:creationId xmlns="" xmlns:a16="http://schemas.microsoft.com/office/drawing/2014/main" id="{00000000-0008-0000-0B00-0000DEC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76284" name="Line 293">
            <a:extLst>
              <a:ext uri="{FF2B5EF4-FFF2-40B4-BE49-F238E27FC236}">
                <a16:creationId xmlns="" xmlns:a16="http://schemas.microsoft.com/office/drawing/2014/main" id="{00000000-0008-0000-0B00-0000DCC64200}"/>
              </a:ext>
            </a:extLst>
          </xdr:cNvPr>
          <xdr:cNvSpPr>
            <a:spLocks noChangeShapeType="1"/>
          </xdr:cNvSpPr>
        </xdr:nvSpPr>
        <xdr:spPr bwMode="auto">
          <a:xfrm>
            <a:off x="1586" y="447"/>
            <a:ext cx="57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</xdr:grpSp>
    <xdr:clientData/>
  </xdr:twoCellAnchor>
  <xdr:twoCellAnchor>
    <xdr:from>
      <xdr:col>4</xdr:col>
      <xdr:colOff>657225</xdr:colOff>
      <xdr:row>24</xdr:row>
      <xdr:rowOff>238125</xdr:rowOff>
    </xdr:from>
    <xdr:to>
      <xdr:col>4</xdr:col>
      <xdr:colOff>657225</xdr:colOff>
      <xdr:row>28</xdr:row>
      <xdr:rowOff>295275</xdr:rowOff>
    </xdr:to>
    <xdr:sp macro="" textlink="">
      <xdr:nvSpPr>
        <xdr:cNvPr id="4376116" name="Line 1">
          <a:extLst>
            <a:ext uri="{FF2B5EF4-FFF2-40B4-BE49-F238E27FC236}">
              <a16:creationId xmlns="" xmlns:a16="http://schemas.microsoft.com/office/drawing/2014/main" id="{00000000-0008-0000-0B00-000034C64200}"/>
            </a:ext>
          </a:extLst>
        </xdr:cNvPr>
        <xdr:cNvSpPr>
          <a:spLocks noChangeShapeType="1"/>
        </xdr:cNvSpPr>
      </xdr:nvSpPr>
      <xdr:spPr bwMode="auto">
        <a:xfrm flipV="1">
          <a:off x="1171575" y="9839325"/>
          <a:ext cx="0" cy="1619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657225</xdr:colOff>
      <xdr:row>24</xdr:row>
      <xdr:rowOff>219075</xdr:rowOff>
    </xdr:from>
    <xdr:to>
      <xdr:col>7</xdr:col>
      <xdr:colOff>657225</xdr:colOff>
      <xdr:row>28</xdr:row>
      <xdr:rowOff>285750</xdr:rowOff>
    </xdr:to>
    <xdr:sp macro="" textlink="">
      <xdr:nvSpPr>
        <xdr:cNvPr id="4376117" name="Line 2">
          <a:extLst>
            <a:ext uri="{FF2B5EF4-FFF2-40B4-BE49-F238E27FC236}">
              <a16:creationId xmlns="" xmlns:a16="http://schemas.microsoft.com/office/drawing/2014/main" id="{00000000-0008-0000-0B00-000035C64200}"/>
            </a:ext>
          </a:extLst>
        </xdr:cNvPr>
        <xdr:cNvSpPr>
          <a:spLocks noChangeShapeType="1"/>
        </xdr:cNvSpPr>
      </xdr:nvSpPr>
      <xdr:spPr bwMode="auto">
        <a:xfrm flipV="1">
          <a:off x="4010025" y="9820275"/>
          <a:ext cx="0" cy="1628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809625</xdr:colOff>
      <xdr:row>32</xdr:row>
      <xdr:rowOff>190500</xdr:rowOff>
    </xdr:from>
    <xdr:to>
      <xdr:col>4</xdr:col>
      <xdr:colOff>809625</xdr:colOff>
      <xdr:row>45</xdr:row>
      <xdr:rowOff>66675</xdr:rowOff>
    </xdr:to>
    <xdr:sp macro="" textlink="">
      <xdr:nvSpPr>
        <xdr:cNvPr id="4376118" name="Line 30">
          <a:extLst>
            <a:ext uri="{FF2B5EF4-FFF2-40B4-BE49-F238E27FC236}">
              <a16:creationId xmlns="" xmlns:a16="http://schemas.microsoft.com/office/drawing/2014/main" id="{00000000-0008-0000-0B00-000036C64200}"/>
            </a:ext>
          </a:extLst>
        </xdr:cNvPr>
        <xdr:cNvSpPr>
          <a:spLocks noChangeShapeType="1"/>
        </xdr:cNvSpPr>
      </xdr:nvSpPr>
      <xdr:spPr bwMode="auto">
        <a:xfrm>
          <a:off x="1323975" y="12982575"/>
          <a:ext cx="0" cy="400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504825</xdr:colOff>
      <xdr:row>32</xdr:row>
      <xdr:rowOff>228600</xdr:rowOff>
    </xdr:from>
    <xdr:to>
      <xdr:col>7</xdr:col>
      <xdr:colOff>504825</xdr:colOff>
      <xdr:row>45</xdr:row>
      <xdr:rowOff>76200</xdr:rowOff>
    </xdr:to>
    <xdr:sp macro="" textlink="">
      <xdr:nvSpPr>
        <xdr:cNvPr id="4376119" name="Line 31">
          <a:extLst>
            <a:ext uri="{FF2B5EF4-FFF2-40B4-BE49-F238E27FC236}">
              <a16:creationId xmlns="" xmlns:a16="http://schemas.microsoft.com/office/drawing/2014/main" id="{00000000-0008-0000-0B00-000037C64200}"/>
            </a:ext>
          </a:extLst>
        </xdr:cNvPr>
        <xdr:cNvSpPr>
          <a:spLocks noChangeShapeType="1"/>
        </xdr:cNvSpPr>
      </xdr:nvSpPr>
      <xdr:spPr bwMode="auto">
        <a:xfrm>
          <a:off x="3857625" y="13020675"/>
          <a:ext cx="0" cy="397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41</xdr:row>
      <xdr:rowOff>57150</xdr:rowOff>
    </xdr:from>
    <xdr:to>
      <xdr:col>7</xdr:col>
      <xdr:colOff>323850</xdr:colOff>
      <xdr:row>41</xdr:row>
      <xdr:rowOff>57150</xdr:rowOff>
    </xdr:to>
    <xdr:sp macro="" textlink="">
      <xdr:nvSpPr>
        <xdr:cNvPr id="4376120" name="Line 32">
          <a:extLst>
            <a:ext uri="{FF2B5EF4-FFF2-40B4-BE49-F238E27FC236}">
              <a16:creationId xmlns="" xmlns:a16="http://schemas.microsoft.com/office/drawing/2014/main" id="{00000000-0008-0000-0B00-000038C64200}"/>
            </a:ext>
          </a:extLst>
        </xdr:cNvPr>
        <xdr:cNvSpPr>
          <a:spLocks noChangeShapeType="1"/>
        </xdr:cNvSpPr>
      </xdr:nvSpPr>
      <xdr:spPr bwMode="auto">
        <a:xfrm flipV="1">
          <a:off x="1333500" y="15601950"/>
          <a:ext cx="2343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35</xdr:row>
      <xdr:rowOff>266700</xdr:rowOff>
    </xdr:from>
    <xdr:to>
      <xdr:col>7</xdr:col>
      <xdr:colOff>342900</xdr:colOff>
      <xdr:row>35</xdr:row>
      <xdr:rowOff>266700</xdr:rowOff>
    </xdr:to>
    <xdr:sp macro="" textlink="">
      <xdr:nvSpPr>
        <xdr:cNvPr id="4376121" name="Line 33">
          <a:extLst>
            <a:ext uri="{FF2B5EF4-FFF2-40B4-BE49-F238E27FC236}">
              <a16:creationId xmlns="" xmlns:a16="http://schemas.microsoft.com/office/drawing/2014/main" id="{00000000-0008-0000-0B00-000039C64200}"/>
            </a:ext>
          </a:extLst>
        </xdr:cNvPr>
        <xdr:cNvSpPr>
          <a:spLocks noChangeShapeType="1"/>
        </xdr:cNvSpPr>
      </xdr:nvSpPr>
      <xdr:spPr bwMode="auto">
        <a:xfrm flipV="1">
          <a:off x="1333500" y="13944600"/>
          <a:ext cx="2362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44</xdr:row>
      <xdr:rowOff>171450</xdr:rowOff>
    </xdr:from>
    <xdr:to>
      <xdr:col>7</xdr:col>
      <xdr:colOff>314325</xdr:colOff>
      <xdr:row>44</xdr:row>
      <xdr:rowOff>171450</xdr:rowOff>
    </xdr:to>
    <xdr:sp macro="" textlink="">
      <xdr:nvSpPr>
        <xdr:cNvPr id="4376122" name="Line 69">
          <a:extLst>
            <a:ext uri="{FF2B5EF4-FFF2-40B4-BE49-F238E27FC236}">
              <a16:creationId xmlns="" xmlns:a16="http://schemas.microsoft.com/office/drawing/2014/main" id="{00000000-0008-0000-0B00-00003AC64200}"/>
            </a:ext>
          </a:extLst>
        </xdr:cNvPr>
        <xdr:cNvSpPr>
          <a:spLocks noChangeShapeType="1"/>
        </xdr:cNvSpPr>
      </xdr:nvSpPr>
      <xdr:spPr bwMode="auto">
        <a:xfrm>
          <a:off x="1333500" y="16849725"/>
          <a:ext cx="2333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32</xdr:row>
      <xdr:rowOff>266700</xdr:rowOff>
    </xdr:from>
    <xdr:to>
      <xdr:col>7</xdr:col>
      <xdr:colOff>323850</xdr:colOff>
      <xdr:row>32</xdr:row>
      <xdr:rowOff>266700</xdr:rowOff>
    </xdr:to>
    <xdr:sp macro="" textlink="">
      <xdr:nvSpPr>
        <xdr:cNvPr id="4376123" name="Line 70">
          <a:extLst>
            <a:ext uri="{FF2B5EF4-FFF2-40B4-BE49-F238E27FC236}">
              <a16:creationId xmlns="" xmlns:a16="http://schemas.microsoft.com/office/drawing/2014/main" id="{00000000-0008-0000-0B00-00003BC64200}"/>
            </a:ext>
          </a:extLst>
        </xdr:cNvPr>
        <xdr:cNvSpPr>
          <a:spLocks noChangeShapeType="1"/>
        </xdr:cNvSpPr>
      </xdr:nvSpPr>
      <xdr:spPr bwMode="auto">
        <a:xfrm>
          <a:off x="1333500" y="13058775"/>
          <a:ext cx="2343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314325</xdr:colOff>
      <xdr:row>44</xdr:row>
      <xdr:rowOff>171450</xdr:rowOff>
    </xdr:from>
    <xdr:to>
      <xdr:col>7</xdr:col>
      <xdr:colOff>657225</xdr:colOff>
      <xdr:row>44</xdr:row>
      <xdr:rowOff>171450</xdr:rowOff>
    </xdr:to>
    <xdr:sp macro="" textlink="">
      <xdr:nvSpPr>
        <xdr:cNvPr id="4376124" name="Line 71">
          <a:extLst>
            <a:ext uri="{FF2B5EF4-FFF2-40B4-BE49-F238E27FC236}">
              <a16:creationId xmlns="" xmlns:a16="http://schemas.microsoft.com/office/drawing/2014/main" id="{00000000-0008-0000-0B00-00003CC64200}"/>
            </a:ext>
          </a:extLst>
        </xdr:cNvPr>
        <xdr:cNvSpPr>
          <a:spLocks noChangeShapeType="1"/>
        </xdr:cNvSpPr>
      </xdr:nvSpPr>
      <xdr:spPr bwMode="auto">
        <a:xfrm>
          <a:off x="3667125" y="16849725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314325</xdr:colOff>
      <xdr:row>32</xdr:row>
      <xdr:rowOff>266700</xdr:rowOff>
    </xdr:from>
    <xdr:to>
      <xdr:col>7</xdr:col>
      <xdr:colOff>457200</xdr:colOff>
      <xdr:row>32</xdr:row>
      <xdr:rowOff>266700</xdr:rowOff>
    </xdr:to>
    <xdr:sp macro="" textlink="">
      <xdr:nvSpPr>
        <xdr:cNvPr id="4376125" name="Line 72">
          <a:extLst>
            <a:ext uri="{FF2B5EF4-FFF2-40B4-BE49-F238E27FC236}">
              <a16:creationId xmlns="" xmlns:a16="http://schemas.microsoft.com/office/drawing/2014/main" id="{00000000-0008-0000-0B00-00003DC64200}"/>
            </a:ext>
          </a:extLst>
        </xdr:cNvPr>
        <xdr:cNvSpPr>
          <a:spLocks noChangeShapeType="1"/>
        </xdr:cNvSpPr>
      </xdr:nvSpPr>
      <xdr:spPr bwMode="auto">
        <a:xfrm>
          <a:off x="3667125" y="1305877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876300</xdr:colOff>
      <xdr:row>32</xdr:row>
      <xdr:rowOff>276225</xdr:rowOff>
    </xdr:from>
    <xdr:to>
      <xdr:col>4</xdr:col>
      <xdr:colOff>876300</xdr:colOff>
      <xdr:row>35</xdr:row>
      <xdr:rowOff>142875</xdr:rowOff>
    </xdr:to>
    <xdr:sp macro="" textlink="">
      <xdr:nvSpPr>
        <xdr:cNvPr id="4376126" name="Line 73">
          <a:extLst>
            <a:ext uri="{FF2B5EF4-FFF2-40B4-BE49-F238E27FC236}">
              <a16:creationId xmlns="" xmlns:a16="http://schemas.microsoft.com/office/drawing/2014/main" id="{00000000-0008-0000-0B00-00003EC64200}"/>
            </a:ext>
          </a:extLst>
        </xdr:cNvPr>
        <xdr:cNvSpPr>
          <a:spLocks noChangeShapeType="1"/>
        </xdr:cNvSpPr>
      </xdr:nvSpPr>
      <xdr:spPr bwMode="auto">
        <a:xfrm>
          <a:off x="1390650" y="13068300"/>
          <a:ext cx="0" cy="752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38100</xdr:colOff>
      <xdr:row>32</xdr:row>
      <xdr:rowOff>276225</xdr:rowOff>
    </xdr:from>
    <xdr:to>
      <xdr:col>5</xdr:col>
      <xdr:colOff>38100</xdr:colOff>
      <xdr:row>34</xdr:row>
      <xdr:rowOff>238125</xdr:rowOff>
    </xdr:to>
    <xdr:sp macro="" textlink="">
      <xdr:nvSpPr>
        <xdr:cNvPr id="4376127" name="Line 74">
          <a:extLst>
            <a:ext uri="{FF2B5EF4-FFF2-40B4-BE49-F238E27FC236}">
              <a16:creationId xmlns="" xmlns:a16="http://schemas.microsoft.com/office/drawing/2014/main" id="{00000000-0008-0000-0B00-00003FC64200}"/>
            </a:ext>
          </a:extLst>
        </xdr:cNvPr>
        <xdr:cNvSpPr>
          <a:spLocks noChangeShapeType="1"/>
        </xdr:cNvSpPr>
      </xdr:nvSpPr>
      <xdr:spPr bwMode="auto">
        <a:xfrm>
          <a:off x="1514475" y="13068300"/>
          <a:ext cx="0" cy="571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104775</xdr:colOff>
      <xdr:row>32</xdr:row>
      <xdr:rowOff>276225</xdr:rowOff>
    </xdr:from>
    <xdr:to>
      <xdr:col>5</xdr:col>
      <xdr:colOff>104775</xdr:colOff>
      <xdr:row>34</xdr:row>
      <xdr:rowOff>19050</xdr:rowOff>
    </xdr:to>
    <xdr:sp macro="" textlink="">
      <xdr:nvSpPr>
        <xdr:cNvPr id="4376128" name="Line 75">
          <a:extLst>
            <a:ext uri="{FF2B5EF4-FFF2-40B4-BE49-F238E27FC236}">
              <a16:creationId xmlns="" xmlns:a16="http://schemas.microsoft.com/office/drawing/2014/main" id="{00000000-0008-0000-0B00-000040C64200}"/>
            </a:ext>
          </a:extLst>
        </xdr:cNvPr>
        <xdr:cNvSpPr>
          <a:spLocks noChangeShapeType="1"/>
        </xdr:cNvSpPr>
      </xdr:nvSpPr>
      <xdr:spPr bwMode="auto">
        <a:xfrm>
          <a:off x="1581150" y="13068300"/>
          <a:ext cx="0" cy="352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161925</xdr:colOff>
      <xdr:row>32</xdr:row>
      <xdr:rowOff>276225</xdr:rowOff>
    </xdr:from>
    <xdr:to>
      <xdr:col>5</xdr:col>
      <xdr:colOff>161925</xdr:colOff>
      <xdr:row>33</xdr:row>
      <xdr:rowOff>123825</xdr:rowOff>
    </xdr:to>
    <xdr:sp macro="" textlink="">
      <xdr:nvSpPr>
        <xdr:cNvPr id="4376129" name="Line 76">
          <a:extLst>
            <a:ext uri="{FF2B5EF4-FFF2-40B4-BE49-F238E27FC236}">
              <a16:creationId xmlns="" xmlns:a16="http://schemas.microsoft.com/office/drawing/2014/main" id="{00000000-0008-0000-0B00-000041C64200}"/>
            </a:ext>
          </a:extLst>
        </xdr:cNvPr>
        <xdr:cNvSpPr>
          <a:spLocks noChangeShapeType="1"/>
        </xdr:cNvSpPr>
      </xdr:nvSpPr>
      <xdr:spPr bwMode="auto">
        <a:xfrm>
          <a:off x="1638300" y="1306830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33</xdr:row>
      <xdr:rowOff>47625</xdr:rowOff>
    </xdr:from>
    <xdr:to>
      <xdr:col>5</xdr:col>
      <xdr:colOff>219075</xdr:colOff>
      <xdr:row>33</xdr:row>
      <xdr:rowOff>47625</xdr:rowOff>
    </xdr:to>
    <xdr:sp macro="" textlink="">
      <xdr:nvSpPr>
        <xdr:cNvPr id="4376130" name="Line 77">
          <a:extLst>
            <a:ext uri="{FF2B5EF4-FFF2-40B4-BE49-F238E27FC236}">
              <a16:creationId xmlns="" xmlns:a16="http://schemas.microsoft.com/office/drawing/2014/main" id="{00000000-0008-0000-0B00-000042C64200}"/>
            </a:ext>
          </a:extLst>
        </xdr:cNvPr>
        <xdr:cNvSpPr>
          <a:spLocks noChangeShapeType="1"/>
        </xdr:cNvSpPr>
      </xdr:nvSpPr>
      <xdr:spPr bwMode="auto">
        <a:xfrm>
          <a:off x="1333500" y="13144500"/>
          <a:ext cx="361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809625</xdr:colOff>
      <xdr:row>33</xdr:row>
      <xdr:rowOff>123825</xdr:rowOff>
    </xdr:from>
    <xdr:to>
      <xdr:col>5</xdr:col>
      <xdr:colOff>142875</xdr:colOff>
      <xdr:row>33</xdr:row>
      <xdr:rowOff>123825</xdr:rowOff>
    </xdr:to>
    <xdr:sp macro="" textlink="">
      <xdr:nvSpPr>
        <xdr:cNvPr id="4376131" name="Line 78">
          <a:extLst>
            <a:ext uri="{FF2B5EF4-FFF2-40B4-BE49-F238E27FC236}">
              <a16:creationId xmlns="" xmlns:a16="http://schemas.microsoft.com/office/drawing/2014/main" id="{00000000-0008-0000-0B00-000043C64200}"/>
            </a:ext>
          </a:extLst>
        </xdr:cNvPr>
        <xdr:cNvSpPr>
          <a:spLocks noChangeShapeType="1"/>
        </xdr:cNvSpPr>
      </xdr:nvSpPr>
      <xdr:spPr bwMode="auto">
        <a:xfrm>
          <a:off x="1323975" y="13220700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34</xdr:row>
      <xdr:rowOff>19050</xdr:rowOff>
    </xdr:from>
    <xdr:to>
      <xdr:col>5</xdr:col>
      <xdr:colOff>85725</xdr:colOff>
      <xdr:row>34</xdr:row>
      <xdr:rowOff>19050</xdr:rowOff>
    </xdr:to>
    <xdr:sp macro="" textlink="">
      <xdr:nvSpPr>
        <xdr:cNvPr id="4376132" name="Line 79">
          <a:extLst>
            <a:ext uri="{FF2B5EF4-FFF2-40B4-BE49-F238E27FC236}">
              <a16:creationId xmlns="" xmlns:a16="http://schemas.microsoft.com/office/drawing/2014/main" id="{00000000-0008-0000-0B00-000044C64200}"/>
            </a:ext>
          </a:extLst>
        </xdr:cNvPr>
        <xdr:cNvSpPr>
          <a:spLocks noChangeShapeType="1"/>
        </xdr:cNvSpPr>
      </xdr:nvSpPr>
      <xdr:spPr bwMode="auto">
        <a:xfrm>
          <a:off x="1333500" y="1342072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657225</xdr:colOff>
      <xdr:row>32</xdr:row>
      <xdr:rowOff>200025</xdr:rowOff>
    </xdr:from>
    <xdr:to>
      <xdr:col>4</xdr:col>
      <xdr:colOff>657225</xdr:colOff>
      <xdr:row>45</xdr:row>
      <xdr:rowOff>66675</xdr:rowOff>
    </xdr:to>
    <xdr:sp macro="" textlink="">
      <xdr:nvSpPr>
        <xdr:cNvPr id="4376133" name="Line 80">
          <a:extLst>
            <a:ext uri="{FF2B5EF4-FFF2-40B4-BE49-F238E27FC236}">
              <a16:creationId xmlns="" xmlns:a16="http://schemas.microsoft.com/office/drawing/2014/main" id="{00000000-0008-0000-0B00-000045C64200}"/>
            </a:ext>
          </a:extLst>
        </xdr:cNvPr>
        <xdr:cNvSpPr>
          <a:spLocks noChangeShapeType="1"/>
        </xdr:cNvSpPr>
      </xdr:nvSpPr>
      <xdr:spPr bwMode="auto">
        <a:xfrm>
          <a:off x="1171575" y="12992100"/>
          <a:ext cx="0" cy="399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828675</xdr:colOff>
      <xdr:row>32</xdr:row>
      <xdr:rowOff>190500</xdr:rowOff>
    </xdr:from>
    <xdr:to>
      <xdr:col>7</xdr:col>
      <xdr:colOff>352425</xdr:colOff>
      <xdr:row>32</xdr:row>
      <xdr:rowOff>266700</xdr:rowOff>
    </xdr:to>
    <xdr:grpSp>
      <xdr:nvGrpSpPr>
        <xdr:cNvPr id="4376134" name="Group 81">
          <a:extLst>
            <a:ext uri="{FF2B5EF4-FFF2-40B4-BE49-F238E27FC236}">
              <a16:creationId xmlns="" xmlns:a16="http://schemas.microsoft.com/office/drawing/2014/main" id="{00000000-0008-0000-0B00-000046C64200}"/>
            </a:ext>
          </a:extLst>
        </xdr:cNvPr>
        <xdr:cNvGrpSpPr>
          <a:grpSpLocks/>
        </xdr:cNvGrpSpPr>
      </xdr:nvGrpSpPr>
      <xdr:grpSpPr bwMode="auto">
        <a:xfrm>
          <a:off x="1352550" y="12739688"/>
          <a:ext cx="2333625" cy="76200"/>
          <a:chOff x="89" y="756"/>
          <a:chExt cx="186" cy="8"/>
        </a:xfrm>
      </xdr:grpSpPr>
      <xdr:grpSp>
        <xdr:nvGrpSpPr>
          <xdr:cNvPr id="4376237" name="Group 82">
            <a:extLst>
              <a:ext uri="{FF2B5EF4-FFF2-40B4-BE49-F238E27FC236}">
                <a16:creationId xmlns="" xmlns:a16="http://schemas.microsoft.com/office/drawing/2014/main" id="{00000000-0008-0000-0B00-0000ADC64200}"/>
              </a:ext>
            </a:extLst>
          </xdr:cNvPr>
          <xdr:cNvGrpSpPr>
            <a:grpSpLocks/>
          </xdr:cNvGrpSpPr>
        </xdr:nvGrpSpPr>
        <xdr:grpSpPr bwMode="auto">
          <a:xfrm>
            <a:off x="89" y="756"/>
            <a:ext cx="86" cy="8"/>
            <a:chOff x="89" y="756"/>
            <a:chExt cx="86" cy="8"/>
          </a:xfrm>
        </xdr:grpSpPr>
        <xdr:grpSp>
          <xdr:nvGrpSpPr>
            <xdr:cNvPr id="4376253" name="Group 83">
              <a:extLst>
                <a:ext uri="{FF2B5EF4-FFF2-40B4-BE49-F238E27FC236}">
                  <a16:creationId xmlns="" xmlns:a16="http://schemas.microsoft.com/office/drawing/2014/main" id="{00000000-0008-0000-0B00-0000BDC6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4376260" name="Oval 84">
                <a:extLst>
                  <a:ext uri="{FF2B5EF4-FFF2-40B4-BE49-F238E27FC236}">
                    <a16:creationId xmlns="" xmlns:a16="http://schemas.microsoft.com/office/drawing/2014/main" id="{00000000-0008-0000-0B00-0000C4C6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6261" name="Oval 85">
                <a:extLst>
                  <a:ext uri="{FF2B5EF4-FFF2-40B4-BE49-F238E27FC236}">
                    <a16:creationId xmlns="" xmlns:a16="http://schemas.microsoft.com/office/drawing/2014/main" id="{00000000-0008-0000-0B00-0000C5C6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6262" name="Group 86">
                <a:extLst>
                  <a:ext uri="{FF2B5EF4-FFF2-40B4-BE49-F238E27FC236}">
                    <a16:creationId xmlns="" xmlns:a16="http://schemas.microsoft.com/office/drawing/2014/main" id="{00000000-0008-0000-0B00-0000C6C6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6263" name="Oval 87">
                  <a:extLst>
                    <a:ext uri="{FF2B5EF4-FFF2-40B4-BE49-F238E27FC236}">
                      <a16:creationId xmlns="" xmlns:a16="http://schemas.microsoft.com/office/drawing/2014/main" id="{00000000-0008-0000-0B00-0000C7C6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6264" name="Oval 88">
                  <a:extLst>
                    <a:ext uri="{FF2B5EF4-FFF2-40B4-BE49-F238E27FC236}">
                      <a16:creationId xmlns="" xmlns:a16="http://schemas.microsoft.com/office/drawing/2014/main" id="{00000000-0008-0000-0B00-0000C8C6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4376254" name="Group 89">
              <a:extLst>
                <a:ext uri="{FF2B5EF4-FFF2-40B4-BE49-F238E27FC236}">
                  <a16:creationId xmlns="" xmlns:a16="http://schemas.microsoft.com/office/drawing/2014/main" id="{00000000-0008-0000-0B00-0000BEC6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4376255" name="Oval 90">
                <a:extLst>
                  <a:ext uri="{FF2B5EF4-FFF2-40B4-BE49-F238E27FC236}">
                    <a16:creationId xmlns="" xmlns:a16="http://schemas.microsoft.com/office/drawing/2014/main" id="{00000000-0008-0000-0B00-0000BFC6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6256" name="Oval 91">
                <a:extLst>
                  <a:ext uri="{FF2B5EF4-FFF2-40B4-BE49-F238E27FC236}">
                    <a16:creationId xmlns="" xmlns:a16="http://schemas.microsoft.com/office/drawing/2014/main" id="{00000000-0008-0000-0B00-0000C0C6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6257" name="Group 92">
                <a:extLst>
                  <a:ext uri="{FF2B5EF4-FFF2-40B4-BE49-F238E27FC236}">
                    <a16:creationId xmlns="" xmlns:a16="http://schemas.microsoft.com/office/drawing/2014/main" id="{00000000-0008-0000-0B00-0000C1C6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6258" name="Oval 93">
                  <a:extLst>
                    <a:ext uri="{FF2B5EF4-FFF2-40B4-BE49-F238E27FC236}">
                      <a16:creationId xmlns="" xmlns:a16="http://schemas.microsoft.com/office/drawing/2014/main" id="{00000000-0008-0000-0B00-0000C2C6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6259" name="Oval 94">
                  <a:extLst>
                    <a:ext uri="{FF2B5EF4-FFF2-40B4-BE49-F238E27FC236}">
                      <a16:creationId xmlns="" xmlns:a16="http://schemas.microsoft.com/office/drawing/2014/main" id="{00000000-0008-0000-0B00-0000C3C6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6238" name="Group 95">
            <a:extLst>
              <a:ext uri="{FF2B5EF4-FFF2-40B4-BE49-F238E27FC236}">
                <a16:creationId xmlns="" xmlns:a16="http://schemas.microsoft.com/office/drawing/2014/main" id="{00000000-0008-0000-0B00-0000AEC64200}"/>
              </a:ext>
            </a:extLst>
          </xdr:cNvPr>
          <xdr:cNvGrpSpPr>
            <a:grpSpLocks/>
          </xdr:cNvGrpSpPr>
        </xdr:nvGrpSpPr>
        <xdr:grpSpPr bwMode="auto">
          <a:xfrm>
            <a:off x="170" y="756"/>
            <a:ext cx="86" cy="8"/>
            <a:chOff x="89" y="756"/>
            <a:chExt cx="86" cy="8"/>
          </a:xfrm>
        </xdr:grpSpPr>
        <xdr:grpSp>
          <xdr:nvGrpSpPr>
            <xdr:cNvPr id="4376241" name="Group 96">
              <a:extLst>
                <a:ext uri="{FF2B5EF4-FFF2-40B4-BE49-F238E27FC236}">
                  <a16:creationId xmlns="" xmlns:a16="http://schemas.microsoft.com/office/drawing/2014/main" id="{00000000-0008-0000-0B00-0000B1C6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4376248" name="Oval 97">
                <a:extLst>
                  <a:ext uri="{FF2B5EF4-FFF2-40B4-BE49-F238E27FC236}">
                    <a16:creationId xmlns="" xmlns:a16="http://schemas.microsoft.com/office/drawing/2014/main" id="{00000000-0008-0000-0B00-0000B8C6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6249" name="Oval 98">
                <a:extLst>
                  <a:ext uri="{FF2B5EF4-FFF2-40B4-BE49-F238E27FC236}">
                    <a16:creationId xmlns="" xmlns:a16="http://schemas.microsoft.com/office/drawing/2014/main" id="{00000000-0008-0000-0B00-0000B9C6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6250" name="Group 99">
                <a:extLst>
                  <a:ext uri="{FF2B5EF4-FFF2-40B4-BE49-F238E27FC236}">
                    <a16:creationId xmlns="" xmlns:a16="http://schemas.microsoft.com/office/drawing/2014/main" id="{00000000-0008-0000-0B00-0000BAC6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6251" name="Oval 100">
                  <a:extLst>
                    <a:ext uri="{FF2B5EF4-FFF2-40B4-BE49-F238E27FC236}">
                      <a16:creationId xmlns="" xmlns:a16="http://schemas.microsoft.com/office/drawing/2014/main" id="{00000000-0008-0000-0B00-0000BBC6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6252" name="Oval 101">
                  <a:extLst>
                    <a:ext uri="{FF2B5EF4-FFF2-40B4-BE49-F238E27FC236}">
                      <a16:creationId xmlns="" xmlns:a16="http://schemas.microsoft.com/office/drawing/2014/main" id="{00000000-0008-0000-0B00-0000BCC6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4376242" name="Group 102">
              <a:extLst>
                <a:ext uri="{FF2B5EF4-FFF2-40B4-BE49-F238E27FC236}">
                  <a16:creationId xmlns="" xmlns:a16="http://schemas.microsoft.com/office/drawing/2014/main" id="{00000000-0008-0000-0B00-0000B2C6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4376243" name="Oval 103">
                <a:extLst>
                  <a:ext uri="{FF2B5EF4-FFF2-40B4-BE49-F238E27FC236}">
                    <a16:creationId xmlns="" xmlns:a16="http://schemas.microsoft.com/office/drawing/2014/main" id="{00000000-0008-0000-0B00-0000B3C6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6244" name="Oval 104">
                <a:extLst>
                  <a:ext uri="{FF2B5EF4-FFF2-40B4-BE49-F238E27FC236}">
                    <a16:creationId xmlns="" xmlns:a16="http://schemas.microsoft.com/office/drawing/2014/main" id="{00000000-0008-0000-0B00-0000B4C6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6245" name="Group 105">
                <a:extLst>
                  <a:ext uri="{FF2B5EF4-FFF2-40B4-BE49-F238E27FC236}">
                    <a16:creationId xmlns="" xmlns:a16="http://schemas.microsoft.com/office/drawing/2014/main" id="{00000000-0008-0000-0B00-0000B5C6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6246" name="Oval 106">
                  <a:extLst>
                    <a:ext uri="{FF2B5EF4-FFF2-40B4-BE49-F238E27FC236}">
                      <a16:creationId xmlns="" xmlns:a16="http://schemas.microsoft.com/office/drawing/2014/main" id="{00000000-0008-0000-0B00-0000B6C6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6247" name="Oval 107">
                  <a:extLst>
                    <a:ext uri="{FF2B5EF4-FFF2-40B4-BE49-F238E27FC236}">
                      <a16:creationId xmlns="" xmlns:a16="http://schemas.microsoft.com/office/drawing/2014/main" id="{00000000-0008-0000-0B00-0000B7C6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76239" name="Oval 108">
            <a:extLst>
              <a:ext uri="{FF2B5EF4-FFF2-40B4-BE49-F238E27FC236}">
                <a16:creationId xmlns="" xmlns:a16="http://schemas.microsoft.com/office/drawing/2014/main" id="{00000000-0008-0000-0B00-0000AFC64200}"/>
              </a:ext>
            </a:extLst>
          </xdr:cNvPr>
          <xdr:cNvSpPr>
            <a:spLocks noChangeArrowheads="1"/>
          </xdr:cNvSpPr>
        </xdr:nvSpPr>
        <xdr:spPr bwMode="auto">
          <a:xfrm>
            <a:off x="25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6240" name="Oval 109">
            <a:extLst>
              <a:ext uri="{FF2B5EF4-FFF2-40B4-BE49-F238E27FC236}">
                <a16:creationId xmlns="" xmlns:a16="http://schemas.microsoft.com/office/drawing/2014/main" id="{00000000-0008-0000-0B00-0000B0C64200}"/>
              </a:ext>
            </a:extLst>
          </xdr:cNvPr>
          <xdr:cNvSpPr>
            <a:spLocks noChangeArrowheads="1"/>
          </xdr:cNvSpPr>
        </xdr:nvSpPr>
        <xdr:spPr bwMode="auto">
          <a:xfrm>
            <a:off x="26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809625</xdr:colOff>
      <xdr:row>44</xdr:row>
      <xdr:rowOff>171450</xdr:rowOff>
    </xdr:from>
    <xdr:to>
      <xdr:col>7</xdr:col>
      <xdr:colOff>333375</xdr:colOff>
      <xdr:row>45</xdr:row>
      <xdr:rowOff>66675</xdr:rowOff>
    </xdr:to>
    <xdr:grpSp>
      <xdr:nvGrpSpPr>
        <xdr:cNvPr id="4376135" name="Group 110">
          <a:extLst>
            <a:ext uri="{FF2B5EF4-FFF2-40B4-BE49-F238E27FC236}">
              <a16:creationId xmlns="" xmlns:a16="http://schemas.microsoft.com/office/drawing/2014/main" id="{00000000-0008-0000-0B00-000047C64200}"/>
            </a:ext>
          </a:extLst>
        </xdr:cNvPr>
        <xdr:cNvGrpSpPr>
          <a:grpSpLocks/>
        </xdr:cNvGrpSpPr>
      </xdr:nvGrpSpPr>
      <xdr:grpSpPr bwMode="auto">
        <a:xfrm>
          <a:off x="1333500" y="16649700"/>
          <a:ext cx="2333625" cy="133350"/>
          <a:chOff x="89" y="756"/>
          <a:chExt cx="186" cy="8"/>
        </a:xfrm>
      </xdr:grpSpPr>
      <xdr:grpSp>
        <xdr:nvGrpSpPr>
          <xdr:cNvPr id="4376209" name="Group 111">
            <a:extLst>
              <a:ext uri="{FF2B5EF4-FFF2-40B4-BE49-F238E27FC236}">
                <a16:creationId xmlns="" xmlns:a16="http://schemas.microsoft.com/office/drawing/2014/main" id="{00000000-0008-0000-0B00-000091C64200}"/>
              </a:ext>
            </a:extLst>
          </xdr:cNvPr>
          <xdr:cNvGrpSpPr>
            <a:grpSpLocks/>
          </xdr:cNvGrpSpPr>
        </xdr:nvGrpSpPr>
        <xdr:grpSpPr bwMode="auto">
          <a:xfrm>
            <a:off x="89" y="756"/>
            <a:ext cx="86" cy="8"/>
            <a:chOff x="89" y="756"/>
            <a:chExt cx="86" cy="8"/>
          </a:xfrm>
        </xdr:grpSpPr>
        <xdr:grpSp>
          <xdr:nvGrpSpPr>
            <xdr:cNvPr id="4376225" name="Group 112">
              <a:extLst>
                <a:ext uri="{FF2B5EF4-FFF2-40B4-BE49-F238E27FC236}">
                  <a16:creationId xmlns="" xmlns:a16="http://schemas.microsoft.com/office/drawing/2014/main" id="{00000000-0008-0000-0B00-0000A1C6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4376232" name="Oval 113">
                <a:extLst>
                  <a:ext uri="{FF2B5EF4-FFF2-40B4-BE49-F238E27FC236}">
                    <a16:creationId xmlns="" xmlns:a16="http://schemas.microsoft.com/office/drawing/2014/main" id="{00000000-0008-0000-0B00-0000A8C6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6233" name="Oval 114">
                <a:extLst>
                  <a:ext uri="{FF2B5EF4-FFF2-40B4-BE49-F238E27FC236}">
                    <a16:creationId xmlns="" xmlns:a16="http://schemas.microsoft.com/office/drawing/2014/main" id="{00000000-0008-0000-0B00-0000A9C6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6234" name="Group 115">
                <a:extLst>
                  <a:ext uri="{FF2B5EF4-FFF2-40B4-BE49-F238E27FC236}">
                    <a16:creationId xmlns="" xmlns:a16="http://schemas.microsoft.com/office/drawing/2014/main" id="{00000000-0008-0000-0B00-0000AAC6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6235" name="Oval 116">
                  <a:extLst>
                    <a:ext uri="{FF2B5EF4-FFF2-40B4-BE49-F238E27FC236}">
                      <a16:creationId xmlns="" xmlns:a16="http://schemas.microsoft.com/office/drawing/2014/main" id="{00000000-0008-0000-0B00-0000ABC6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6236" name="Oval 117">
                  <a:extLst>
                    <a:ext uri="{FF2B5EF4-FFF2-40B4-BE49-F238E27FC236}">
                      <a16:creationId xmlns="" xmlns:a16="http://schemas.microsoft.com/office/drawing/2014/main" id="{00000000-0008-0000-0B00-0000ACC6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4376226" name="Group 118">
              <a:extLst>
                <a:ext uri="{FF2B5EF4-FFF2-40B4-BE49-F238E27FC236}">
                  <a16:creationId xmlns="" xmlns:a16="http://schemas.microsoft.com/office/drawing/2014/main" id="{00000000-0008-0000-0B00-0000A2C6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4376227" name="Oval 119">
                <a:extLst>
                  <a:ext uri="{FF2B5EF4-FFF2-40B4-BE49-F238E27FC236}">
                    <a16:creationId xmlns="" xmlns:a16="http://schemas.microsoft.com/office/drawing/2014/main" id="{00000000-0008-0000-0B00-0000A3C6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6228" name="Oval 120">
                <a:extLst>
                  <a:ext uri="{FF2B5EF4-FFF2-40B4-BE49-F238E27FC236}">
                    <a16:creationId xmlns="" xmlns:a16="http://schemas.microsoft.com/office/drawing/2014/main" id="{00000000-0008-0000-0B00-0000A4C6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6229" name="Group 121">
                <a:extLst>
                  <a:ext uri="{FF2B5EF4-FFF2-40B4-BE49-F238E27FC236}">
                    <a16:creationId xmlns="" xmlns:a16="http://schemas.microsoft.com/office/drawing/2014/main" id="{00000000-0008-0000-0B00-0000A5C6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6230" name="Oval 122">
                  <a:extLst>
                    <a:ext uri="{FF2B5EF4-FFF2-40B4-BE49-F238E27FC236}">
                      <a16:creationId xmlns="" xmlns:a16="http://schemas.microsoft.com/office/drawing/2014/main" id="{00000000-0008-0000-0B00-0000A6C6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6231" name="Oval 123">
                  <a:extLst>
                    <a:ext uri="{FF2B5EF4-FFF2-40B4-BE49-F238E27FC236}">
                      <a16:creationId xmlns="" xmlns:a16="http://schemas.microsoft.com/office/drawing/2014/main" id="{00000000-0008-0000-0B00-0000A7C6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6210" name="Group 124">
            <a:extLst>
              <a:ext uri="{FF2B5EF4-FFF2-40B4-BE49-F238E27FC236}">
                <a16:creationId xmlns="" xmlns:a16="http://schemas.microsoft.com/office/drawing/2014/main" id="{00000000-0008-0000-0B00-000092C64200}"/>
              </a:ext>
            </a:extLst>
          </xdr:cNvPr>
          <xdr:cNvGrpSpPr>
            <a:grpSpLocks/>
          </xdr:cNvGrpSpPr>
        </xdr:nvGrpSpPr>
        <xdr:grpSpPr bwMode="auto">
          <a:xfrm>
            <a:off x="170" y="756"/>
            <a:ext cx="86" cy="8"/>
            <a:chOff x="89" y="756"/>
            <a:chExt cx="86" cy="8"/>
          </a:xfrm>
        </xdr:grpSpPr>
        <xdr:grpSp>
          <xdr:nvGrpSpPr>
            <xdr:cNvPr id="4376213" name="Group 125">
              <a:extLst>
                <a:ext uri="{FF2B5EF4-FFF2-40B4-BE49-F238E27FC236}">
                  <a16:creationId xmlns="" xmlns:a16="http://schemas.microsoft.com/office/drawing/2014/main" id="{00000000-0008-0000-0B00-000095C6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4376220" name="Oval 126">
                <a:extLst>
                  <a:ext uri="{FF2B5EF4-FFF2-40B4-BE49-F238E27FC236}">
                    <a16:creationId xmlns="" xmlns:a16="http://schemas.microsoft.com/office/drawing/2014/main" id="{00000000-0008-0000-0B00-00009CC6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6221" name="Oval 127">
                <a:extLst>
                  <a:ext uri="{FF2B5EF4-FFF2-40B4-BE49-F238E27FC236}">
                    <a16:creationId xmlns="" xmlns:a16="http://schemas.microsoft.com/office/drawing/2014/main" id="{00000000-0008-0000-0B00-00009DC6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6222" name="Group 128">
                <a:extLst>
                  <a:ext uri="{FF2B5EF4-FFF2-40B4-BE49-F238E27FC236}">
                    <a16:creationId xmlns="" xmlns:a16="http://schemas.microsoft.com/office/drawing/2014/main" id="{00000000-0008-0000-0B00-00009EC6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6223" name="Oval 129">
                  <a:extLst>
                    <a:ext uri="{FF2B5EF4-FFF2-40B4-BE49-F238E27FC236}">
                      <a16:creationId xmlns="" xmlns:a16="http://schemas.microsoft.com/office/drawing/2014/main" id="{00000000-0008-0000-0B00-00009FC6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6224" name="Oval 130">
                  <a:extLst>
                    <a:ext uri="{FF2B5EF4-FFF2-40B4-BE49-F238E27FC236}">
                      <a16:creationId xmlns="" xmlns:a16="http://schemas.microsoft.com/office/drawing/2014/main" id="{00000000-0008-0000-0B00-0000A0C6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4376214" name="Group 131">
              <a:extLst>
                <a:ext uri="{FF2B5EF4-FFF2-40B4-BE49-F238E27FC236}">
                  <a16:creationId xmlns="" xmlns:a16="http://schemas.microsoft.com/office/drawing/2014/main" id="{00000000-0008-0000-0B00-000096C6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4376215" name="Oval 132">
                <a:extLst>
                  <a:ext uri="{FF2B5EF4-FFF2-40B4-BE49-F238E27FC236}">
                    <a16:creationId xmlns="" xmlns:a16="http://schemas.microsoft.com/office/drawing/2014/main" id="{00000000-0008-0000-0B00-000097C6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76216" name="Oval 133">
                <a:extLst>
                  <a:ext uri="{FF2B5EF4-FFF2-40B4-BE49-F238E27FC236}">
                    <a16:creationId xmlns="" xmlns:a16="http://schemas.microsoft.com/office/drawing/2014/main" id="{00000000-0008-0000-0B00-000098C642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6217" name="Group 134">
                <a:extLst>
                  <a:ext uri="{FF2B5EF4-FFF2-40B4-BE49-F238E27FC236}">
                    <a16:creationId xmlns="" xmlns:a16="http://schemas.microsoft.com/office/drawing/2014/main" id="{00000000-0008-0000-0B00-000099C6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4376218" name="Oval 135">
                  <a:extLst>
                    <a:ext uri="{FF2B5EF4-FFF2-40B4-BE49-F238E27FC236}">
                      <a16:creationId xmlns="" xmlns:a16="http://schemas.microsoft.com/office/drawing/2014/main" id="{00000000-0008-0000-0B00-00009AC6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6219" name="Oval 136">
                  <a:extLst>
                    <a:ext uri="{FF2B5EF4-FFF2-40B4-BE49-F238E27FC236}">
                      <a16:creationId xmlns="" xmlns:a16="http://schemas.microsoft.com/office/drawing/2014/main" id="{00000000-0008-0000-0B00-00009BC642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76211" name="Oval 137">
            <a:extLst>
              <a:ext uri="{FF2B5EF4-FFF2-40B4-BE49-F238E27FC236}">
                <a16:creationId xmlns="" xmlns:a16="http://schemas.microsoft.com/office/drawing/2014/main" id="{00000000-0008-0000-0B00-000093C64200}"/>
              </a:ext>
            </a:extLst>
          </xdr:cNvPr>
          <xdr:cNvSpPr>
            <a:spLocks noChangeArrowheads="1"/>
          </xdr:cNvSpPr>
        </xdr:nvSpPr>
        <xdr:spPr bwMode="auto">
          <a:xfrm>
            <a:off x="25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6212" name="Oval 138">
            <a:extLst>
              <a:ext uri="{FF2B5EF4-FFF2-40B4-BE49-F238E27FC236}">
                <a16:creationId xmlns="" xmlns:a16="http://schemas.microsoft.com/office/drawing/2014/main" id="{00000000-0008-0000-0B00-000094C64200}"/>
              </a:ext>
            </a:extLst>
          </xdr:cNvPr>
          <xdr:cNvSpPr>
            <a:spLocks noChangeArrowheads="1"/>
          </xdr:cNvSpPr>
        </xdr:nvSpPr>
        <xdr:spPr bwMode="auto">
          <a:xfrm>
            <a:off x="26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133350</xdr:colOff>
      <xdr:row>45</xdr:row>
      <xdr:rowOff>66675</xdr:rowOff>
    </xdr:from>
    <xdr:to>
      <xdr:col>8</xdr:col>
      <xdr:colOff>704850</xdr:colOff>
      <xdr:row>45</xdr:row>
      <xdr:rowOff>66675</xdr:rowOff>
    </xdr:to>
    <xdr:sp macro="" textlink="">
      <xdr:nvSpPr>
        <xdr:cNvPr id="4376136" name="Line 239">
          <a:extLst>
            <a:ext uri="{FF2B5EF4-FFF2-40B4-BE49-F238E27FC236}">
              <a16:creationId xmlns="" xmlns:a16="http://schemas.microsoft.com/office/drawing/2014/main" id="{00000000-0008-0000-0B00-000048C64200}"/>
            </a:ext>
          </a:extLst>
        </xdr:cNvPr>
        <xdr:cNvSpPr>
          <a:spLocks noChangeShapeType="1"/>
        </xdr:cNvSpPr>
      </xdr:nvSpPr>
      <xdr:spPr bwMode="auto">
        <a:xfrm>
          <a:off x="4210050" y="16983075"/>
          <a:ext cx="571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123825</xdr:colOff>
      <xdr:row>29</xdr:row>
      <xdr:rowOff>152400</xdr:rowOff>
    </xdr:from>
    <xdr:to>
      <xdr:col>8</xdr:col>
      <xdr:colOff>704850</xdr:colOff>
      <xdr:row>29</xdr:row>
      <xdr:rowOff>152400</xdr:rowOff>
    </xdr:to>
    <xdr:sp macro="" textlink="">
      <xdr:nvSpPr>
        <xdr:cNvPr id="4376137" name="Line 240">
          <a:extLst>
            <a:ext uri="{FF2B5EF4-FFF2-40B4-BE49-F238E27FC236}">
              <a16:creationId xmlns="" xmlns:a16="http://schemas.microsoft.com/office/drawing/2014/main" id="{00000000-0008-0000-0B00-000049C64200}"/>
            </a:ext>
          </a:extLst>
        </xdr:cNvPr>
        <xdr:cNvSpPr>
          <a:spLocks noChangeShapeType="1"/>
        </xdr:cNvSpPr>
      </xdr:nvSpPr>
      <xdr:spPr bwMode="auto">
        <a:xfrm>
          <a:off x="4200525" y="11706225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657225</xdr:colOff>
      <xdr:row>24</xdr:row>
      <xdr:rowOff>371475</xdr:rowOff>
    </xdr:from>
    <xdr:to>
      <xdr:col>7</xdr:col>
      <xdr:colOff>657225</xdr:colOff>
      <xdr:row>26</xdr:row>
      <xdr:rowOff>371475</xdr:rowOff>
    </xdr:to>
    <xdr:grpSp>
      <xdr:nvGrpSpPr>
        <xdr:cNvPr id="4376138" name="Group 289">
          <a:extLst>
            <a:ext uri="{FF2B5EF4-FFF2-40B4-BE49-F238E27FC236}">
              <a16:creationId xmlns="" xmlns:a16="http://schemas.microsoft.com/office/drawing/2014/main" id="{00000000-0008-0000-0B00-00004AC64200}"/>
            </a:ext>
          </a:extLst>
        </xdr:cNvPr>
        <xdr:cNvGrpSpPr>
          <a:grpSpLocks/>
        </xdr:cNvGrpSpPr>
      </xdr:nvGrpSpPr>
      <xdr:grpSpPr bwMode="auto">
        <a:xfrm>
          <a:off x="1181100" y="9777413"/>
          <a:ext cx="2809875" cy="762000"/>
          <a:chOff x="2020" y="383"/>
          <a:chExt cx="656" cy="22"/>
        </a:xfrm>
      </xdr:grpSpPr>
      <xdr:sp macro="" textlink="">
        <xdr:nvSpPr>
          <xdr:cNvPr id="4376206" name="Line 290">
            <a:extLst>
              <a:ext uri="{FF2B5EF4-FFF2-40B4-BE49-F238E27FC236}">
                <a16:creationId xmlns="" xmlns:a16="http://schemas.microsoft.com/office/drawing/2014/main" id="{00000000-0008-0000-0B00-00008EC6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6207" name="Line 291">
            <a:extLst>
              <a:ext uri="{FF2B5EF4-FFF2-40B4-BE49-F238E27FC236}">
                <a16:creationId xmlns="" xmlns:a16="http://schemas.microsoft.com/office/drawing/2014/main" id="{00000000-0008-0000-0B00-00008FC642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4376208" name="Line 292">
            <a:extLst>
              <a:ext uri="{FF2B5EF4-FFF2-40B4-BE49-F238E27FC236}">
                <a16:creationId xmlns="" xmlns:a16="http://schemas.microsoft.com/office/drawing/2014/main" id="{00000000-0008-0000-0B00-000090C642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542925</xdr:colOff>
      <xdr:row>29</xdr:row>
      <xdr:rowOff>152400</xdr:rowOff>
    </xdr:from>
    <xdr:to>
      <xdr:col>8</xdr:col>
      <xdr:colOff>542925</xdr:colOff>
      <xdr:row>45</xdr:row>
      <xdr:rowOff>38100</xdr:rowOff>
    </xdr:to>
    <xdr:sp macro="" textlink="">
      <xdr:nvSpPr>
        <xdr:cNvPr id="4376139" name="Line 298">
          <a:extLst>
            <a:ext uri="{FF2B5EF4-FFF2-40B4-BE49-F238E27FC236}">
              <a16:creationId xmlns="" xmlns:a16="http://schemas.microsoft.com/office/drawing/2014/main" id="{00000000-0008-0000-0B00-00004BC64200}"/>
            </a:ext>
          </a:extLst>
        </xdr:cNvPr>
        <xdr:cNvSpPr>
          <a:spLocks noChangeShapeType="1"/>
        </xdr:cNvSpPr>
      </xdr:nvSpPr>
      <xdr:spPr bwMode="auto">
        <a:xfrm>
          <a:off x="4619625" y="11706225"/>
          <a:ext cx="0" cy="5248275"/>
        </a:xfrm>
        <a:prstGeom prst="line">
          <a:avLst/>
        </a:prstGeom>
        <a:noFill/>
        <a:ln w="9525">
          <a:solidFill>
            <a:srgbClr val="000000"/>
          </a:solidFill>
          <a:round/>
          <a:headEnd type="stealth" w="med" len="lg"/>
          <a:tailEnd type="stealth" w="med" len="lg"/>
        </a:ln>
      </xdr:spPr>
    </xdr:sp>
    <xdr:clientData/>
  </xdr:twoCellAnchor>
  <xdr:twoCellAnchor>
    <xdr:from>
      <xdr:col>4</xdr:col>
      <xdr:colOff>666750</xdr:colOff>
      <xdr:row>29</xdr:row>
      <xdr:rowOff>142875</xdr:rowOff>
    </xdr:from>
    <xdr:to>
      <xdr:col>7</xdr:col>
      <xdr:colOff>666750</xdr:colOff>
      <xdr:row>30</xdr:row>
      <xdr:rowOff>171450</xdr:rowOff>
    </xdr:to>
    <xdr:sp macro="" textlink="">
      <xdr:nvSpPr>
        <xdr:cNvPr id="4376140" name="Rectangle 300">
          <a:extLst>
            <a:ext uri="{FF2B5EF4-FFF2-40B4-BE49-F238E27FC236}">
              <a16:creationId xmlns="" xmlns:a16="http://schemas.microsoft.com/office/drawing/2014/main" id="{00000000-0008-0000-0B00-00004CC64200}"/>
            </a:ext>
          </a:extLst>
        </xdr:cNvPr>
        <xdr:cNvSpPr>
          <a:spLocks noChangeArrowheads="1"/>
        </xdr:cNvSpPr>
      </xdr:nvSpPr>
      <xdr:spPr bwMode="auto">
        <a:xfrm>
          <a:off x="1181100" y="11696700"/>
          <a:ext cx="2838450" cy="419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657225</xdr:colOff>
      <xdr:row>32</xdr:row>
      <xdr:rowOff>161925</xdr:rowOff>
    </xdr:from>
    <xdr:to>
      <xdr:col>7</xdr:col>
      <xdr:colOff>657225</xdr:colOff>
      <xdr:row>45</xdr:row>
      <xdr:rowOff>85725</xdr:rowOff>
    </xdr:to>
    <xdr:sp macro="" textlink="">
      <xdr:nvSpPr>
        <xdr:cNvPr id="4376141" name="Rectangle 302">
          <a:extLst>
            <a:ext uri="{FF2B5EF4-FFF2-40B4-BE49-F238E27FC236}">
              <a16:creationId xmlns="" xmlns:a16="http://schemas.microsoft.com/office/drawing/2014/main" id="{00000000-0008-0000-0B00-00004DC64200}"/>
            </a:ext>
          </a:extLst>
        </xdr:cNvPr>
        <xdr:cNvSpPr>
          <a:spLocks noChangeArrowheads="1"/>
        </xdr:cNvSpPr>
      </xdr:nvSpPr>
      <xdr:spPr bwMode="auto">
        <a:xfrm>
          <a:off x="1171575" y="12954000"/>
          <a:ext cx="2838450" cy="40481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428625</xdr:colOff>
      <xdr:row>32</xdr:row>
      <xdr:rowOff>209550</xdr:rowOff>
    </xdr:from>
    <xdr:to>
      <xdr:col>4</xdr:col>
      <xdr:colOff>485775</xdr:colOff>
      <xdr:row>32</xdr:row>
      <xdr:rowOff>209550</xdr:rowOff>
    </xdr:to>
    <xdr:sp macro="" textlink="">
      <xdr:nvSpPr>
        <xdr:cNvPr id="4376142" name="Line 305">
          <a:extLst>
            <a:ext uri="{FF2B5EF4-FFF2-40B4-BE49-F238E27FC236}">
              <a16:creationId xmlns="" xmlns:a16="http://schemas.microsoft.com/office/drawing/2014/main" id="{00000000-0008-0000-0B00-00004EC64200}"/>
            </a:ext>
          </a:extLst>
        </xdr:cNvPr>
        <xdr:cNvSpPr>
          <a:spLocks noChangeShapeType="1"/>
        </xdr:cNvSpPr>
      </xdr:nvSpPr>
      <xdr:spPr bwMode="auto">
        <a:xfrm>
          <a:off x="428625" y="13001625"/>
          <a:ext cx="571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32</xdr:row>
      <xdr:rowOff>180975</xdr:rowOff>
    </xdr:from>
    <xdr:to>
      <xdr:col>4</xdr:col>
      <xdr:colOff>9525</xdr:colOff>
      <xdr:row>45</xdr:row>
      <xdr:rowOff>38100</xdr:rowOff>
    </xdr:to>
    <xdr:sp macro="" textlink="">
      <xdr:nvSpPr>
        <xdr:cNvPr id="4376143" name="Line 306">
          <a:extLst>
            <a:ext uri="{FF2B5EF4-FFF2-40B4-BE49-F238E27FC236}">
              <a16:creationId xmlns="" xmlns:a16="http://schemas.microsoft.com/office/drawing/2014/main" id="{00000000-0008-0000-0B00-00004FC64200}"/>
            </a:ext>
          </a:extLst>
        </xdr:cNvPr>
        <xdr:cNvSpPr>
          <a:spLocks noChangeShapeType="1"/>
        </xdr:cNvSpPr>
      </xdr:nvSpPr>
      <xdr:spPr bwMode="auto">
        <a:xfrm>
          <a:off x="523875" y="12973050"/>
          <a:ext cx="0" cy="3981450"/>
        </a:xfrm>
        <a:prstGeom prst="line">
          <a:avLst/>
        </a:prstGeom>
        <a:noFill/>
        <a:ln w="9525">
          <a:solidFill>
            <a:srgbClr val="000000"/>
          </a:solidFill>
          <a:round/>
          <a:headEnd type="stealth" w="med" len="lg"/>
          <a:tailEnd type="stealth" w="med" len="lg"/>
        </a:ln>
      </xdr:spPr>
    </xdr:sp>
    <xdr:clientData/>
  </xdr:twoCellAnchor>
  <xdr:twoCellAnchor>
    <xdr:from>
      <xdr:col>3</xdr:col>
      <xdr:colOff>428625</xdr:colOff>
      <xdr:row>45</xdr:row>
      <xdr:rowOff>57150</xdr:rowOff>
    </xdr:from>
    <xdr:to>
      <xdr:col>4</xdr:col>
      <xdr:colOff>485775</xdr:colOff>
      <xdr:row>45</xdr:row>
      <xdr:rowOff>57150</xdr:rowOff>
    </xdr:to>
    <xdr:sp macro="" textlink="">
      <xdr:nvSpPr>
        <xdr:cNvPr id="4376144" name="Line 307">
          <a:extLst>
            <a:ext uri="{FF2B5EF4-FFF2-40B4-BE49-F238E27FC236}">
              <a16:creationId xmlns="" xmlns:a16="http://schemas.microsoft.com/office/drawing/2014/main" id="{00000000-0008-0000-0B00-000050C64200}"/>
            </a:ext>
          </a:extLst>
        </xdr:cNvPr>
        <xdr:cNvSpPr>
          <a:spLocks noChangeShapeType="1"/>
        </xdr:cNvSpPr>
      </xdr:nvSpPr>
      <xdr:spPr bwMode="auto">
        <a:xfrm>
          <a:off x="428625" y="16973550"/>
          <a:ext cx="571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12</xdr:col>
      <xdr:colOff>476250</xdr:colOff>
      <xdr:row>5</xdr:row>
      <xdr:rowOff>190500</xdr:rowOff>
    </xdr:from>
    <xdr:to>
      <xdr:col>15</xdr:col>
      <xdr:colOff>304800</xdr:colOff>
      <xdr:row>8</xdr:row>
      <xdr:rowOff>47625</xdr:rowOff>
    </xdr:to>
    <xdr:grpSp>
      <xdr:nvGrpSpPr>
        <xdr:cNvPr id="4376145" name="Group 310">
          <a:extLst>
            <a:ext uri="{FF2B5EF4-FFF2-40B4-BE49-F238E27FC236}">
              <a16:creationId xmlns="" xmlns:a16="http://schemas.microsoft.com/office/drawing/2014/main" id="{00000000-0008-0000-0B00-000051C64200}"/>
            </a:ext>
          </a:extLst>
        </xdr:cNvPr>
        <xdr:cNvGrpSpPr>
          <a:grpSpLocks/>
        </xdr:cNvGrpSpPr>
      </xdr:nvGrpSpPr>
      <xdr:grpSpPr bwMode="auto">
        <a:xfrm>
          <a:off x="7191375" y="2357438"/>
          <a:ext cx="2805113" cy="1000125"/>
          <a:chOff x="358" y="540"/>
          <a:chExt cx="293" cy="139"/>
        </a:xfrm>
      </xdr:grpSpPr>
      <xdr:sp macro="" textlink="">
        <xdr:nvSpPr>
          <xdr:cNvPr id="4376147" name="Line 311">
            <a:extLst>
              <a:ext uri="{FF2B5EF4-FFF2-40B4-BE49-F238E27FC236}">
                <a16:creationId xmlns="" xmlns:a16="http://schemas.microsoft.com/office/drawing/2014/main" id="{00000000-0008-0000-0B00-000053C642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76148" name="Group 312">
            <a:extLst>
              <a:ext uri="{FF2B5EF4-FFF2-40B4-BE49-F238E27FC236}">
                <a16:creationId xmlns="" xmlns:a16="http://schemas.microsoft.com/office/drawing/2014/main" id="{00000000-0008-0000-0B00-000054C642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376204" name="Line 313">
              <a:extLst>
                <a:ext uri="{FF2B5EF4-FFF2-40B4-BE49-F238E27FC236}">
                  <a16:creationId xmlns="" xmlns:a16="http://schemas.microsoft.com/office/drawing/2014/main" id="{00000000-0008-0000-0B00-00008CC6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6205" name="Line 314">
              <a:extLst>
                <a:ext uri="{FF2B5EF4-FFF2-40B4-BE49-F238E27FC236}">
                  <a16:creationId xmlns="" xmlns:a16="http://schemas.microsoft.com/office/drawing/2014/main" id="{00000000-0008-0000-0B00-00008DC6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76149" name="Line 315">
            <a:extLst>
              <a:ext uri="{FF2B5EF4-FFF2-40B4-BE49-F238E27FC236}">
                <a16:creationId xmlns="" xmlns:a16="http://schemas.microsoft.com/office/drawing/2014/main" id="{00000000-0008-0000-0B00-000055C6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6150" name="Line 316">
            <a:extLst>
              <a:ext uri="{FF2B5EF4-FFF2-40B4-BE49-F238E27FC236}">
                <a16:creationId xmlns="" xmlns:a16="http://schemas.microsoft.com/office/drawing/2014/main" id="{00000000-0008-0000-0B00-000056C6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6151" name="Line 317">
            <a:extLst>
              <a:ext uri="{FF2B5EF4-FFF2-40B4-BE49-F238E27FC236}">
                <a16:creationId xmlns="" xmlns:a16="http://schemas.microsoft.com/office/drawing/2014/main" id="{00000000-0008-0000-0B00-000057C6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6152" name="Line 318">
            <a:extLst>
              <a:ext uri="{FF2B5EF4-FFF2-40B4-BE49-F238E27FC236}">
                <a16:creationId xmlns="" xmlns:a16="http://schemas.microsoft.com/office/drawing/2014/main" id="{00000000-0008-0000-0B00-000058C642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76153" name="Line 319">
            <a:extLst>
              <a:ext uri="{FF2B5EF4-FFF2-40B4-BE49-F238E27FC236}">
                <a16:creationId xmlns="" xmlns:a16="http://schemas.microsoft.com/office/drawing/2014/main" id="{00000000-0008-0000-0B00-000059C642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76154" name="Group 320">
            <a:extLst>
              <a:ext uri="{FF2B5EF4-FFF2-40B4-BE49-F238E27FC236}">
                <a16:creationId xmlns="" xmlns:a16="http://schemas.microsoft.com/office/drawing/2014/main" id="{00000000-0008-0000-0B00-00005AC642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376198" name="Line 321">
              <a:extLst>
                <a:ext uri="{FF2B5EF4-FFF2-40B4-BE49-F238E27FC236}">
                  <a16:creationId xmlns="" xmlns:a16="http://schemas.microsoft.com/office/drawing/2014/main" id="{00000000-0008-0000-0B00-000086C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6199" name="Group 322">
              <a:extLst>
                <a:ext uri="{FF2B5EF4-FFF2-40B4-BE49-F238E27FC236}">
                  <a16:creationId xmlns="" xmlns:a16="http://schemas.microsoft.com/office/drawing/2014/main" id="{00000000-0008-0000-0B00-000087C6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6200" name="Line 323">
                <a:extLst>
                  <a:ext uri="{FF2B5EF4-FFF2-40B4-BE49-F238E27FC236}">
                    <a16:creationId xmlns="" xmlns:a16="http://schemas.microsoft.com/office/drawing/2014/main" id="{00000000-0008-0000-0B00-000088C6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6201" name="Group 324">
                <a:extLst>
                  <a:ext uri="{FF2B5EF4-FFF2-40B4-BE49-F238E27FC236}">
                    <a16:creationId xmlns="" xmlns:a16="http://schemas.microsoft.com/office/drawing/2014/main" id="{00000000-0008-0000-0B00-000089C6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6202" name="Line 325">
                  <a:extLst>
                    <a:ext uri="{FF2B5EF4-FFF2-40B4-BE49-F238E27FC236}">
                      <a16:creationId xmlns="" xmlns:a16="http://schemas.microsoft.com/office/drawing/2014/main" id="{00000000-0008-0000-0B00-00008AC6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6203" name="Line 326">
                  <a:extLst>
                    <a:ext uri="{FF2B5EF4-FFF2-40B4-BE49-F238E27FC236}">
                      <a16:creationId xmlns="" xmlns:a16="http://schemas.microsoft.com/office/drawing/2014/main" id="{00000000-0008-0000-0B00-00008BC6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6155" name="Group 327">
            <a:extLst>
              <a:ext uri="{FF2B5EF4-FFF2-40B4-BE49-F238E27FC236}">
                <a16:creationId xmlns="" xmlns:a16="http://schemas.microsoft.com/office/drawing/2014/main" id="{00000000-0008-0000-0B00-00005BC642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376192" name="Line 328">
              <a:extLst>
                <a:ext uri="{FF2B5EF4-FFF2-40B4-BE49-F238E27FC236}">
                  <a16:creationId xmlns="" xmlns:a16="http://schemas.microsoft.com/office/drawing/2014/main" id="{00000000-0008-0000-0B00-000080C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6193" name="Group 329">
              <a:extLst>
                <a:ext uri="{FF2B5EF4-FFF2-40B4-BE49-F238E27FC236}">
                  <a16:creationId xmlns="" xmlns:a16="http://schemas.microsoft.com/office/drawing/2014/main" id="{00000000-0008-0000-0B00-000081C6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6194" name="Line 330">
                <a:extLst>
                  <a:ext uri="{FF2B5EF4-FFF2-40B4-BE49-F238E27FC236}">
                    <a16:creationId xmlns="" xmlns:a16="http://schemas.microsoft.com/office/drawing/2014/main" id="{00000000-0008-0000-0B00-000082C6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6195" name="Group 331">
                <a:extLst>
                  <a:ext uri="{FF2B5EF4-FFF2-40B4-BE49-F238E27FC236}">
                    <a16:creationId xmlns="" xmlns:a16="http://schemas.microsoft.com/office/drawing/2014/main" id="{00000000-0008-0000-0B00-000083C6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6196" name="Line 332">
                  <a:extLst>
                    <a:ext uri="{FF2B5EF4-FFF2-40B4-BE49-F238E27FC236}">
                      <a16:creationId xmlns="" xmlns:a16="http://schemas.microsoft.com/office/drawing/2014/main" id="{00000000-0008-0000-0B00-000084C6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6197" name="Line 333">
                  <a:extLst>
                    <a:ext uri="{FF2B5EF4-FFF2-40B4-BE49-F238E27FC236}">
                      <a16:creationId xmlns="" xmlns:a16="http://schemas.microsoft.com/office/drawing/2014/main" id="{00000000-0008-0000-0B00-000085C6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6156" name="Group 334">
            <a:extLst>
              <a:ext uri="{FF2B5EF4-FFF2-40B4-BE49-F238E27FC236}">
                <a16:creationId xmlns="" xmlns:a16="http://schemas.microsoft.com/office/drawing/2014/main" id="{00000000-0008-0000-0B00-00005CC642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376186" name="Line 335">
              <a:extLst>
                <a:ext uri="{FF2B5EF4-FFF2-40B4-BE49-F238E27FC236}">
                  <a16:creationId xmlns="" xmlns:a16="http://schemas.microsoft.com/office/drawing/2014/main" id="{00000000-0008-0000-0B00-00007AC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6187" name="Group 336">
              <a:extLst>
                <a:ext uri="{FF2B5EF4-FFF2-40B4-BE49-F238E27FC236}">
                  <a16:creationId xmlns="" xmlns:a16="http://schemas.microsoft.com/office/drawing/2014/main" id="{00000000-0008-0000-0B00-00007BC6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6188" name="Line 337">
                <a:extLst>
                  <a:ext uri="{FF2B5EF4-FFF2-40B4-BE49-F238E27FC236}">
                    <a16:creationId xmlns="" xmlns:a16="http://schemas.microsoft.com/office/drawing/2014/main" id="{00000000-0008-0000-0B00-00007CC6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6189" name="Group 338">
                <a:extLst>
                  <a:ext uri="{FF2B5EF4-FFF2-40B4-BE49-F238E27FC236}">
                    <a16:creationId xmlns="" xmlns:a16="http://schemas.microsoft.com/office/drawing/2014/main" id="{00000000-0008-0000-0B00-00007DC6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6190" name="Line 339">
                  <a:extLst>
                    <a:ext uri="{FF2B5EF4-FFF2-40B4-BE49-F238E27FC236}">
                      <a16:creationId xmlns="" xmlns:a16="http://schemas.microsoft.com/office/drawing/2014/main" id="{00000000-0008-0000-0B00-00007EC6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6191" name="Line 340">
                  <a:extLst>
                    <a:ext uri="{FF2B5EF4-FFF2-40B4-BE49-F238E27FC236}">
                      <a16:creationId xmlns="" xmlns:a16="http://schemas.microsoft.com/office/drawing/2014/main" id="{00000000-0008-0000-0B00-00007FC6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6157" name="Group 341">
            <a:extLst>
              <a:ext uri="{FF2B5EF4-FFF2-40B4-BE49-F238E27FC236}">
                <a16:creationId xmlns="" xmlns:a16="http://schemas.microsoft.com/office/drawing/2014/main" id="{00000000-0008-0000-0B00-00005DC642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376180" name="Line 342">
              <a:extLst>
                <a:ext uri="{FF2B5EF4-FFF2-40B4-BE49-F238E27FC236}">
                  <a16:creationId xmlns="" xmlns:a16="http://schemas.microsoft.com/office/drawing/2014/main" id="{00000000-0008-0000-0B00-000074C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6181" name="Group 343">
              <a:extLst>
                <a:ext uri="{FF2B5EF4-FFF2-40B4-BE49-F238E27FC236}">
                  <a16:creationId xmlns="" xmlns:a16="http://schemas.microsoft.com/office/drawing/2014/main" id="{00000000-0008-0000-0B00-000075C6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6182" name="Line 344">
                <a:extLst>
                  <a:ext uri="{FF2B5EF4-FFF2-40B4-BE49-F238E27FC236}">
                    <a16:creationId xmlns="" xmlns:a16="http://schemas.microsoft.com/office/drawing/2014/main" id="{00000000-0008-0000-0B00-000076C6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6183" name="Group 345">
                <a:extLst>
                  <a:ext uri="{FF2B5EF4-FFF2-40B4-BE49-F238E27FC236}">
                    <a16:creationId xmlns="" xmlns:a16="http://schemas.microsoft.com/office/drawing/2014/main" id="{00000000-0008-0000-0B00-000077C6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6184" name="Line 346">
                  <a:extLst>
                    <a:ext uri="{FF2B5EF4-FFF2-40B4-BE49-F238E27FC236}">
                      <a16:creationId xmlns="" xmlns:a16="http://schemas.microsoft.com/office/drawing/2014/main" id="{00000000-0008-0000-0B00-000078C6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6185" name="Line 347">
                  <a:extLst>
                    <a:ext uri="{FF2B5EF4-FFF2-40B4-BE49-F238E27FC236}">
                      <a16:creationId xmlns="" xmlns:a16="http://schemas.microsoft.com/office/drawing/2014/main" id="{00000000-0008-0000-0B00-000079C6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6158" name="Group 348">
            <a:extLst>
              <a:ext uri="{FF2B5EF4-FFF2-40B4-BE49-F238E27FC236}">
                <a16:creationId xmlns="" xmlns:a16="http://schemas.microsoft.com/office/drawing/2014/main" id="{00000000-0008-0000-0B00-00005EC642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376174" name="Line 349">
              <a:extLst>
                <a:ext uri="{FF2B5EF4-FFF2-40B4-BE49-F238E27FC236}">
                  <a16:creationId xmlns="" xmlns:a16="http://schemas.microsoft.com/office/drawing/2014/main" id="{00000000-0008-0000-0B00-00006EC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6175" name="Group 350">
              <a:extLst>
                <a:ext uri="{FF2B5EF4-FFF2-40B4-BE49-F238E27FC236}">
                  <a16:creationId xmlns="" xmlns:a16="http://schemas.microsoft.com/office/drawing/2014/main" id="{00000000-0008-0000-0B00-00006FC6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6176" name="Line 351">
                <a:extLst>
                  <a:ext uri="{FF2B5EF4-FFF2-40B4-BE49-F238E27FC236}">
                    <a16:creationId xmlns="" xmlns:a16="http://schemas.microsoft.com/office/drawing/2014/main" id="{00000000-0008-0000-0B00-000070C6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6177" name="Group 352">
                <a:extLst>
                  <a:ext uri="{FF2B5EF4-FFF2-40B4-BE49-F238E27FC236}">
                    <a16:creationId xmlns="" xmlns:a16="http://schemas.microsoft.com/office/drawing/2014/main" id="{00000000-0008-0000-0B00-000071C6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6178" name="Line 353">
                  <a:extLst>
                    <a:ext uri="{FF2B5EF4-FFF2-40B4-BE49-F238E27FC236}">
                      <a16:creationId xmlns="" xmlns:a16="http://schemas.microsoft.com/office/drawing/2014/main" id="{00000000-0008-0000-0B00-000072C6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6179" name="Line 354">
                  <a:extLst>
                    <a:ext uri="{FF2B5EF4-FFF2-40B4-BE49-F238E27FC236}">
                      <a16:creationId xmlns="" xmlns:a16="http://schemas.microsoft.com/office/drawing/2014/main" id="{00000000-0008-0000-0B00-000073C6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6159" name="Group 355">
            <a:extLst>
              <a:ext uri="{FF2B5EF4-FFF2-40B4-BE49-F238E27FC236}">
                <a16:creationId xmlns="" xmlns:a16="http://schemas.microsoft.com/office/drawing/2014/main" id="{00000000-0008-0000-0B00-00005FC642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376168" name="Line 356">
              <a:extLst>
                <a:ext uri="{FF2B5EF4-FFF2-40B4-BE49-F238E27FC236}">
                  <a16:creationId xmlns="" xmlns:a16="http://schemas.microsoft.com/office/drawing/2014/main" id="{00000000-0008-0000-0B00-000068C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6169" name="Group 357">
              <a:extLst>
                <a:ext uri="{FF2B5EF4-FFF2-40B4-BE49-F238E27FC236}">
                  <a16:creationId xmlns="" xmlns:a16="http://schemas.microsoft.com/office/drawing/2014/main" id="{00000000-0008-0000-0B00-000069C6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6170" name="Line 358">
                <a:extLst>
                  <a:ext uri="{FF2B5EF4-FFF2-40B4-BE49-F238E27FC236}">
                    <a16:creationId xmlns="" xmlns:a16="http://schemas.microsoft.com/office/drawing/2014/main" id="{00000000-0008-0000-0B00-00006AC6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6171" name="Group 359">
                <a:extLst>
                  <a:ext uri="{FF2B5EF4-FFF2-40B4-BE49-F238E27FC236}">
                    <a16:creationId xmlns="" xmlns:a16="http://schemas.microsoft.com/office/drawing/2014/main" id="{00000000-0008-0000-0B00-00006BC6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6172" name="Line 360">
                  <a:extLst>
                    <a:ext uri="{FF2B5EF4-FFF2-40B4-BE49-F238E27FC236}">
                      <a16:creationId xmlns="" xmlns:a16="http://schemas.microsoft.com/office/drawing/2014/main" id="{00000000-0008-0000-0B00-00006CC6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6173" name="Line 361">
                  <a:extLst>
                    <a:ext uri="{FF2B5EF4-FFF2-40B4-BE49-F238E27FC236}">
                      <a16:creationId xmlns="" xmlns:a16="http://schemas.microsoft.com/office/drawing/2014/main" id="{00000000-0008-0000-0B00-00006DC6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6160" name="Group 362">
            <a:extLst>
              <a:ext uri="{FF2B5EF4-FFF2-40B4-BE49-F238E27FC236}">
                <a16:creationId xmlns="" xmlns:a16="http://schemas.microsoft.com/office/drawing/2014/main" id="{00000000-0008-0000-0B00-000060C642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376162" name="Line 363">
              <a:extLst>
                <a:ext uri="{FF2B5EF4-FFF2-40B4-BE49-F238E27FC236}">
                  <a16:creationId xmlns="" xmlns:a16="http://schemas.microsoft.com/office/drawing/2014/main" id="{00000000-0008-0000-0B00-000062C6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6163" name="Group 364">
              <a:extLst>
                <a:ext uri="{FF2B5EF4-FFF2-40B4-BE49-F238E27FC236}">
                  <a16:creationId xmlns="" xmlns:a16="http://schemas.microsoft.com/office/drawing/2014/main" id="{00000000-0008-0000-0B00-000063C6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6164" name="Line 365">
                <a:extLst>
                  <a:ext uri="{FF2B5EF4-FFF2-40B4-BE49-F238E27FC236}">
                    <a16:creationId xmlns="" xmlns:a16="http://schemas.microsoft.com/office/drawing/2014/main" id="{00000000-0008-0000-0B00-000064C6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6165" name="Group 366">
                <a:extLst>
                  <a:ext uri="{FF2B5EF4-FFF2-40B4-BE49-F238E27FC236}">
                    <a16:creationId xmlns="" xmlns:a16="http://schemas.microsoft.com/office/drawing/2014/main" id="{00000000-0008-0000-0B00-000065C6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6166" name="Line 367">
                  <a:extLst>
                    <a:ext uri="{FF2B5EF4-FFF2-40B4-BE49-F238E27FC236}">
                      <a16:creationId xmlns="" xmlns:a16="http://schemas.microsoft.com/office/drawing/2014/main" id="{00000000-0008-0000-0B00-000066C6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6167" name="Line 368">
                  <a:extLst>
                    <a:ext uri="{FF2B5EF4-FFF2-40B4-BE49-F238E27FC236}">
                      <a16:creationId xmlns="" xmlns:a16="http://schemas.microsoft.com/office/drawing/2014/main" id="{00000000-0008-0000-0B00-000067C6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76161" name="Line 369">
            <a:extLst>
              <a:ext uri="{FF2B5EF4-FFF2-40B4-BE49-F238E27FC236}">
                <a16:creationId xmlns="" xmlns:a16="http://schemas.microsoft.com/office/drawing/2014/main" id="{00000000-0008-0000-0B00-000061C642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12</xdr:col>
      <xdr:colOff>219075</xdr:colOff>
      <xdr:row>40</xdr:row>
      <xdr:rowOff>95250</xdr:rowOff>
    </xdr:from>
    <xdr:to>
      <xdr:col>23</xdr:col>
      <xdr:colOff>590550</xdr:colOff>
      <xdr:row>52</xdr:row>
      <xdr:rowOff>171450</xdr:rowOff>
    </xdr:to>
    <xdr:pic>
      <xdr:nvPicPr>
        <xdr:cNvPr id="4376146" name="Immagine 210" descr="Immagine.bmp">
          <a:extLst>
            <a:ext uri="{FF2B5EF4-FFF2-40B4-BE49-F238E27FC236}">
              <a16:creationId xmlns="" xmlns:a16="http://schemas.microsoft.com/office/drawing/2014/main" id="{00000000-0008-0000-0B00-000052C64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2300" y="15335250"/>
          <a:ext cx="12039600" cy="3800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110</xdr:row>
      <xdr:rowOff>85725</xdr:rowOff>
    </xdr:from>
    <xdr:to>
      <xdr:col>0</xdr:col>
      <xdr:colOff>0</xdr:colOff>
      <xdr:row>111</xdr:row>
      <xdr:rowOff>104775</xdr:rowOff>
    </xdr:to>
    <xdr:sp macro="" textlink="">
      <xdr:nvSpPr>
        <xdr:cNvPr id="4377100" name="Line 1">
          <a:extLst>
            <a:ext uri="{FF2B5EF4-FFF2-40B4-BE49-F238E27FC236}">
              <a16:creationId xmlns="" xmlns:a16="http://schemas.microsoft.com/office/drawing/2014/main" id="{00000000-0008-0000-0C00-00000CCA4200}"/>
            </a:ext>
          </a:extLst>
        </xdr:cNvPr>
        <xdr:cNvSpPr>
          <a:spLocks noChangeShapeType="1"/>
        </xdr:cNvSpPr>
      </xdr:nvSpPr>
      <xdr:spPr bwMode="auto">
        <a:xfrm flipV="1">
          <a:off x="0" y="33013650"/>
          <a:ext cx="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110</xdr:row>
      <xdr:rowOff>85725</xdr:rowOff>
    </xdr:from>
    <xdr:to>
      <xdr:col>0</xdr:col>
      <xdr:colOff>0</xdr:colOff>
      <xdr:row>111</xdr:row>
      <xdr:rowOff>104775</xdr:rowOff>
    </xdr:to>
    <xdr:sp macro="" textlink="">
      <xdr:nvSpPr>
        <xdr:cNvPr id="4377101" name="Line 2">
          <a:extLst>
            <a:ext uri="{FF2B5EF4-FFF2-40B4-BE49-F238E27FC236}">
              <a16:creationId xmlns="" xmlns:a16="http://schemas.microsoft.com/office/drawing/2014/main" id="{00000000-0008-0000-0C00-00000DCA4200}"/>
            </a:ext>
          </a:extLst>
        </xdr:cNvPr>
        <xdr:cNvSpPr>
          <a:spLocks noChangeShapeType="1"/>
        </xdr:cNvSpPr>
      </xdr:nvSpPr>
      <xdr:spPr bwMode="auto">
        <a:xfrm flipV="1">
          <a:off x="0" y="33013650"/>
          <a:ext cx="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0</xdr:colOff>
      <xdr:row>22</xdr:row>
      <xdr:rowOff>85725</xdr:rowOff>
    </xdr:from>
    <xdr:to>
      <xdr:col>2</xdr:col>
      <xdr:colOff>0</xdr:colOff>
      <xdr:row>25</xdr:row>
      <xdr:rowOff>142875</xdr:rowOff>
    </xdr:to>
    <xdr:sp macro="" textlink="">
      <xdr:nvSpPr>
        <xdr:cNvPr id="4377102" name="Line 3">
          <a:extLst>
            <a:ext uri="{FF2B5EF4-FFF2-40B4-BE49-F238E27FC236}">
              <a16:creationId xmlns="" xmlns:a16="http://schemas.microsoft.com/office/drawing/2014/main" id="{00000000-0008-0000-0C00-00000ECA4200}"/>
            </a:ext>
          </a:extLst>
        </xdr:cNvPr>
        <xdr:cNvSpPr>
          <a:spLocks noChangeShapeType="1"/>
        </xdr:cNvSpPr>
      </xdr:nvSpPr>
      <xdr:spPr bwMode="auto">
        <a:xfrm flipV="1">
          <a:off x="1085850" y="8039100"/>
          <a:ext cx="0" cy="1028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22</xdr:row>
      <xdr:rowOff>66675</xdr:rowOff>
    </xdr:from>
    <xdr:to>
      <xdr:col>5</xdr:col>
      <xdr:colOff>0</xdr:colOff>
      <xdr:row>25</xdr:row>
      <xdr:rowOff>133350</xdr:rowOff>
    </xdr:to>
    <xdr:sp macro="" textlink="">
      <xdr:nvSpPr>
        <xdr:cNvPr id="4377103" name="Line 4">
          <a:extLst>
            <a:ext uri="{FF2B5EF4-FFF2-40B4-BE49-F238E27FC236}">
              <a16:creationId xmlns="" xmlns:a16="http://schemas.microsoft.com/office/drawing/2014/main" id="{00000000-0008-0000-0C00-00000FCA4200}"/>
            </a:ext>
          </a:extLst>
        </xdr:cNvPr>
        <xdr:cNvSpPr>
          <a:spLocks noChangeShapeType="1"/>
        </xdr:cNvSpPr>
      </xdr:nvSpPr>
      <xdr:spPr bwMode="auto">
        <a:xfrm flipV="1">
          <a:off x="4086225" y="8020050"/>
          <a:ext cx="0" cy="1038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5</xdr:col>
      <xdr:colOff>0</xdr:colOff>
      <xdr:row>23</xdr:row>
      <xdr:rowOff>0</xdr:rowOff>
    </xdr:to>
    <xdr:sp macro="" textlink="">
      <xdr:nvSpPr>
        <xdr:cNvPr id="4377104" name="Line 5">
          <a:extLst>
            <a:ext uri="{FF2B5EF4-FFF2-40B4-BE49-F238E27FC236}">
              <a16:creationId xmlns="" xmlns:a16="http://schemas.microsoft.com/office/drawing/2014/main" id="{00000000-0008-0000-0C00-000010CA4200}"/>
            </a:ext>
          </a:extLst>
        </xdr:cNvPr>
        <xdr:cNvSpPr>
          <a:spLocks noChangeShapeType="1"/>
        </xdr:cNvSpPr>
      </xdr:nvSpPr>
      <xdr:spPr bwMode="auto">
        <a:xfrm>
          <a:off x="1085850" y="8277225"/>
          <a:ext cx="3000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657225</xdr:colOff>
      <xdr:row>26</xdr:row>
      <xdr:rowOff>9525</xdr:rowOff>
    </xdr:from>
    <xdr:to>
      <xdr:col>4</xdr:col>
      <xdr:colOff>752475</xdr:colOff>
      <xdr:row>27</xdr:row>
      <xdr:rowOff>9525</xdr:rowOff>
    </xdr:to>
    <xdr:sp macro="" textlink="">
      <xdr:nvSpPr>
        <xdr:cNvPr id="4377105" name="Line 6">
          <a:extLst>
            <a:ext uri="{FF2B5EF4-FFF2-40B4-BE49-F238E27FC236}">
              <a16:creationId xmlns="" xmlns:a16="http://schemas.microsoft.com/office/drawing/2014/main" id="{00000000-0008-0000-0C00-000011CA4200}"/>
            </a:ext>
          </a:extLst>
        </xdr:cNvPr>
        <xdr:cNvSpPr>
          <a:spLocks noChangeShapeType="1"/>
        </xdr:cNvSpPr>
      </xdr:nvSpPr>
      <xdr:spPr bwMode="auto">
        <a:xfrm flipH="1" flipV="1">
          <a:off x="3581400" y="9258300"/>
          <a:ext cx="9525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428625</xdr:colOff>
      <xdr:row>26</xdr:row>
      <xdr:rowOff>9525</xdr:rowOff>
    </xdr:from>
    <xdr:to>
      <xdr:col>4</xdr:col>
      <xdr:colOff>504825</xdr:colOff>
      <xdr:row>27</xdr:row>
      <xdr:rowOff>9525</xdr:rowOff>
    </xdr:to>
    <xdr:sp macro="" textlink="">
      <xdr:nvSpPr>
        <xdr:cNvPr id="4377106" name="Line 7">
          <a:extLst>
            <a:ext uri="{FF2B5EF4-FFF2-40B4-BE49-F238E27FC236}">
              <a16:creationId xmlns="" xmlns:a16="http://schemas.microsoft.com/office/drawing/2014/main" id="{00000000-0008-0000-0C00-000012CA4200}"/>
            </a:ext>
          </a:extLst>
        </xdr:cNvPr>
        <xdr:cNvSpPr>
          <a:spLocks noChangeShapeType="1"/>
        </xdr:cNvSpPr>
      </xdr:nvSpPr>
      <xdr:spPr bwMode="auto">
        <a:xfrm flipH="1">
          <a:off x="3352800" y="9258300"/>
          <a:ext cx="7620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342900</xdr:colOff>
      <xdr:row>26</xdr:row>
      <xdr:rowOff>9525</xdr:rowOff>
    </xdr:from>
    <xdr:to>
      <xdr:col>4</xdr:col>
      <xdr:colOff>428625</xdr:colOff>
      <xdr:row>27</xdr:row>
      <xdr:rowOff>9525</xdr:rowOff>
    </xdr:to>
    <xdr:sp macro="" textlink="">
      <xdr:nvSpPr>
        <xdr:cNvPr id="4377107" name="Line 8">
          <a:extLst>
            <a:ext uri="{FF2B5EF4-FFF2-40B4-BE49-F238E27FC236}">
              <a16:creationId xmlns="" xmlns:a16="http://schemas.microsoft.com/office/drawing/2014/main" id="{00000000-0008-0000-0C00-000013CA4200}"/>
            </a:ext>
          </a:extLst>
        </xdr:cNvPr>
        <xdr:cNvSpPr>
          <a:spLocks noChangeShapeType="1"/>
        </xdr:cNvSpPr>
      </xdr:nvSpPr>
      <xdr:spPr bwMode="auto">
        <a:xfrm flipH="1" flipV="1">
          <a:off x="3267075" y="9258300"/>
          <a:ext cx="85725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257175</xdr:colOff>
      <xdr:row>26</xdr:row>
      <xdr:rowOff>9525</xdr:rowOff>
    </xdr:from>
    <xdr:to>
      <xdr:col>4</xdr:col>
      <xdr:colOff>342900</xdr:colOff>
      <xdr:row>27</xdr:row>
      <xdr:rowOff>9525</xdr:rowOff>
    </xdr:to>
    <xdr:sp macro="" textlink="">
      <xdr:nvSpPr>
        <xdr:cNvPr id="4377108" name="Line 9">
          <a:extLst>
            <a:ext uri="{FF2B5EF4-FFF2-40B4-BE49-F238E27FC236}">
              <a16:creationId xmlns="" xmlns:a16="http://schemas.microsoft.com/office/drawing/2014/main" id="{00000000-0008-0000-0C00-000014CA4200}"/>
            </a:ext>
          </a:extLst>
        </xdr:cNvPr>
        <xdr:cNvSpPr>
          <a:spLocks noChangeShapeType="1"/>
        </xdr:cNvSpPr>
      </xdr:nvSpPr>
      <xdr:spPr bwMode="auto">
        <a:xfrm flipH="1">
          <a:off x="3181350" y="9258300"/>
          <a:ext cx="85725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161925</xdr:colOff>
      <xdr:row>26</xdr:row>
      <xdr:rowOff>9525</xdr:rowOff>
    </xdr:from>
    <xdr:to>
      <xdr:col>4</xdr:col>
      <xdr:colOff>257175</xdr:colOff>
      <xdr:row>27</xdr:row>
      <xdr:rowOff>9525</xdr:rowOff>
    </xdr:to>
    <xdr:sp macro="" textlink="">
      <xdr:nvSpPr>
        <xdr:cNvPr id="4377109" name="Line 10">
          <a:extLst>
            <a:ext uri="{FF2B5EF4-FFF2-40B4-BE49-F238E27FC236}">
              <a16:creationId xmlns="" xmlns:a16="http://schemas.microsoft.com/office/drawing/2014/main" id="{00000000-0008-0000-0C00-000015CA4200}"/>
            </a:ext>
          </a:extLst>
        </xdr:cNvPr>
        <xdr:cNvSpPr>
          <a:spLocks noChangeShapeType="1"/>
        </xdr:cNvSpPr>
      </xdr:nvSpPr>
      <xdr:spPr bwMode="auto">
        <a:xfrm flipH="1" flipV="1">
          <a:off x="3086100" y="9258300"/>
          <a:ext cx="9525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85725</xdr:colOff>
      <xdr:row>26</xdr:row>
      <xdr:rowOff>9525</xdr:rowOff>
    </xdr:from>
    <xdr:to>
      <xdr:col>4</xdr:col>
      <xdr:colOff>161925</xdr:colOff>
      <xdr:row>27</xdr:row>
      <xdr:rowOff>9525</xdr:rowOff>
    </xdr:to>
    <xdr:sp macro="" textlink="">
      <xdr:nvSpPr>
        <xdr:cNvPr id="4377110" name="Line 11">
          <a:extLst>
            <a:ext uri="{FF2B5EF4-FFF2-40B4-BE49-F238E27FC236}">
              <a16:creationId xmlns="" xmlns:a16="http://schemas.microsoft.com/office/drawing/2014/main" id="{00000000-0008-0000-0C00-000016CA4200}"/>
            </a:ext>
          </a:extLst>
        </xdr:cNvPr>
        <xdr:cNvSpPr>
          <a:spLocks noChangeShapeType="1"/>
        </xdr:cNvSpPr>
      </xdr:nvSpPr>
      <xdr:spPr bwMode="auto">
        <a:xfrm flipH="1">
          <a:off x="3009900" y="9258300"/>
          <a:ext cx="7620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26</xdr:row>
      <xdr:rowOff>0</xdr:rowOff>
    </xdr:from>
    <xdr:to>
      <xdr:col>4</xdr:col>
      <xdr:colOff>0</xdr:colOff>
      <xdr:row>27</xdr:row>
      <xdr:rowOff>0</xdr:rowOff>
    </xdr:to>
    <xdr:sp macro="" textlink="">
      <xdr:nvSpPr>
        <xdr:cNvPr id="4377111" name="Line 12">
          <a:extLst>
            <a:ext uri="{FF2B5EF4-FFF2-40B4-BE49-F238E27FC236}">
              <a16:creationId xmlns="" xmlns:a16="http://schemas.microsoft.com/office/drawing/2014/main" id="{00000000-0008-0000-0C00-000017CA4200}"/>
            </a:ext>
          </a:extLst>
        </xdr:cNvPr>
        <xdr:cNvSpPr>
          <a:spLocks noChangeShapeType="1"/>
        </xdr:cNvSpPr>
      </xdr:nvSpPr>
      <xdr:spPr bwMode="auto">
        <a:xfrm flipV="1">
          <a:off x="2924175" y="924877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104775</xdr:colOff>
      <xdr:row>30</xdr:row>
      <xdr:rowOff>0</xdr:rowOff>
    </xdr:from>
    <xdr:to>
      <xdr:col>5</xdr:col>
      <xdr:colOff>219075</xdr:colOff>
      <xdr:row>30</xdr:row>
      <xdr:rowOff>0</xdr:rowOff>
    </xdr:to>
    <xdr:sp macro="" textlink="">
      <xdr:nvSpPr>
        <xdr:cNvPr id="4377112" name="Line 13">
          <a:extLst>
            <a:ext uri="{FF2B5EF4-FFF2-40B4-BE49-F238E27FC236}">
              <a16:creationId xmlns="" xmlns:a16="http://schemas.microsoft.com/office/drawing/2014/main" id="{00000000-0008-0000-0C00-000018CA4200}"/>
            </a:ext>
          </a:extLst>
        </xdr:cNvPr>
        <xdr:cNvSpPr>
          <a:spLocks noChangeShapeType="1"/>
        </xdr:cNvSpPr>
      </xdr:nvSpPr>
      <xdr:spPr bwMode="auto">
        <a:xfrm>
          <a:off x="3028950" y="10544175"/>
          <a:ext cx="1276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123825</xdr:colOff>
      <xdr:row>30</xdr:row>
      <xdr:rowOff>0</xdr:rowOff>
    </xdr:from>
    <xdr:to>
      <xdr:col>5</xdr:col>
      <xdr:colOff>123825</xdr:colOff>
      <xdr:row>34</xdr:row>
      <xdr:rowOff>114300</xdr:rowOff>
    </xdr:to>
    <xdr:sp macro="" textlink="">
      <xdr:nvSpPr>
        <xdr:cNvPr id="4377113" name="Line 14">
          <a:extLst>
            <a:ext uri="{FF2B5EF4-FFF2-40B4-BE49-F238E27FC236}">
              <a16:creationId xmlns="" xmlns:a16="http://schemas.microsoft.com/office/drawing/2014/main" id="{00000000-0008-0000-0C00-000019CA4200}"/>
            </a:ext>
          </a:extLst>
        </xdr:cNvPr>
        <xdr:cNvSpPr>
          <a:spLocks noChangeShapeType="1"/>
        </xdr:cNvSpPr>
      </xdr:nvSpPr>
      <xdr:spPr bwMode="auto">
        <a:xfrm>
          <a:off x="4210050" y="10544175"/>
          <a:ext cx="0" cy="1409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123825</xdr:colOff>
      <xdr:row>30</xdr:row>
      <xdr:rowOff>38100</xdr:rowOff>
    </xdr:from>
    <xdr:to>
      <xdr:col>5</xdr:col>
      <xdr:colOff>133350</xdr:colOff>
      <xdr:row>42</xdr:row>
      <xdr:rowOff>0</xdr:rowOff>
    </xdr:to>
    <xdr:sp macro="" textlink="">
      <xdr:nvSpPr>
        <xdr:cNvPr id="4377114" name="Line 15">
          <a:extLst>
            <a:ext uri="{FF2B5EF4-FFF2-40B4-BE49-F238E27FC236}">
              <a16:creationId xmlns="" xmlns:a16="http://schemas.microsoft.com/office/drawing/2014/main" id="{00000000-0008-0000-0C00-00001ACA4200}"/>
            </a:ext>
          </a:extLst>
        </xdr:cNvPr>
        <xdr:cNvSpPr>
          <a:spLocks noChangeShapeType="1"/>
        </xdr:cNvSpPr>
      </xdr:nvSpPr>
      <xdr:spPr bwMode="auto">
        <a:xfrm>
          <a:off x="4210050" y="10582275"/>
          <a:ext cx="9525" cy="384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104775</xdr:colOff>
      <xdr:row>42</xdr:row>
      <xdr:rowOff>0</xdr:rowOff>
    </xdr:from>
    <xdr:to>
      <xdr:col>5</xdr:col>
      <xdr:colOff>266700</xdr:colOff>
      <xdr:row>42</xdr:row>
      <xdr:rowOff>0</xdr:rowOff>
    </xdr:to>
    <xdr:sp macro="" textlink="">
      <xdr:nvSpPr>
        <xdr:cNvPr id="4377115" name="Line 16">
          <a:extLst>
            <a:ext uri="{FF2B5EF4-FFF2-40B4-BE49-F238E27FC236}">
              <a16:creationId xmlns="" xmlns:a16="http://schemas.microsoft.com/office/drawing/2014/main" id="{00000000-0008-0000-0C00-00001BCA4200}"/>
            </a:ext>
          </a:extLst>
        </xdr:cNvPr>
        <xdr:cNvSpPr>
          <a:spLocks noChangeShapeType="1"/>
        </xdr:cNvSpPr>
      </xdr:nvSpPr>
      <xdr:spPr bwMode="auto">
        <a:xfrm>
          <a:off x="3028950" y="14430375"/>
          <a:ext cx="1323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10</xdr:row>
      <xdr:rowOff>104775</xdr:rowOff>
    </xdr:from>
    <xdr:to>
      <xdr:col>18</xdr:col>
      <xdr:colOff>0</xdr:colOff>
      <xdr:row>12</xdr:row>
      <xdr:rowOff>133350</xdr:rowOff>
    </xdr:to>
    <xdr:sp macro="" textlink="">
      <xdr:nvSpPr>
        <xdr:cNvPr id="4377116" name="Line 17">
          <a:extLst>
            <a:ext uri="{FF2B5EF4-FFF2-40B4-BE49-F238E27FC236}">
              <a16:creationId xmlns="" xmlns:a16="http://schemas.microsoft.com/office/drawing/2014/main" id="{00000000-0008-0000-0C00-00001CCA4200}"/>
            </a:ext>
          </a:extLst>
        </xdr:cNvPr>
        <xdr:cNvSpPr>
          <a:spLocks noChangeShapeType="1"/>
        </xdr:cNvSpPr>
      </xdr:nvSpPr>
      <xdr:spPr bwMode="auto">
        <a:xfrm flipV="1">
          <a:off x="16544925" y="4171950"/>
          <a:ext cx="0" cy="676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0</xdr:colOff>
      <xdr:row>10</xdr:row>
      <xdr:rowOff>114300</xdr:rowOff>
    </xdr:from>
    <xdr:to>
      <xdr:col>23</xdr:col>
      <xdr:colOff>0</xdr:colOff>
      <xdr:row>12</xdr:row>
      <xdr:rowOff>142875</xdr:rowOff>
    </xdr:to>
    <xdr:sp macro="" textlink="">
      <xdr:nvSpPr>
        <xdr:cNvPr id="4377117" name="Line 18">
          <a:extLst>
            <a:ext uri="{FF2B5EF4-FFF2-40B4-BE49-F238E27FC236}">
              <a16:creationId xmlns="" xmlns:a16="http://schemas.microsoft.com/office/drawing/2014/main" id="{00000000-0008-0000-0C00-00001DCA4200}"/>
            </a:ext>
          </a:extLst>
        </xdr:cNvPr>
        <xdr:cNvSpPr>
          <a:spLocks noChangeShapeType="1"/>
        </xdr:cNvSpPr>
      </xdr:nvSpPr>
      <xdr:spPr bwMode="auto">
        <a:xfrm flipV="1">
          <a:off x="21717000" y="4181475"/>
          <a:ext cx="0" cy="676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11</xdr:row>
      <xdr:rowOff>0</xdr:rowOff>
    </xdr:from>
    <xdr:to>
      <xdr:col>23</xdr:col>
      <xdr:colOff>0</xdr:colOff>
      <xdr:row>11</xdr:row>
      <xdr:rowOff>0</xdr:rowOff>
    </xdr:to>
    <xdr:sp macro="" textlink="">
      <xdr:nvSpPr>
        <xdr:cNvPr id="4377118" name="Line 19">
          <a:extLst>
            <a:ext uri="{FF2B5EF4-FFF2-40B4-BE49-F238E27FC236}">
              <a16:creationId xmlns="" xmlns:a16="http://schemas.microsoft.com/office/drawing/2014/main" id="{00000000-0008-0000-0C00-00001ECA4200}"/>
            </a:ext>
          </a:extLst>
        </xdr:cNvPr>
        <xdr:cNvSpPr>
          <a:spLocks noChangeShapeType="1"/>
        </xdr:cNvSpPr>
      </xdr:nvSpPr>
      <xdr:spPr bwMode="auto">
        <a:xfrm>
          <a:off x="16544925" y="4391025"/>
          <a:ext cx="5172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19</xdr:row>
      <xdr:rowOff>123825</xdr:rowOff>
    </xdr:from>
    <xdr:to>
      <xdr:col>18</xdr:col>
      <xdr:colOff>0</xdr:colOff>
      <xdr:row>21</xdr:row>
      <xdr:rowOff>161925</xdr:rowOff>
    </xdr:to>
    <xdr:sp macro="" textlink="">
      <xdr:nvSpPr>
        <xdr:cNvPr id="4377119" name="Line 20">
          <a:extLst>
            <a:ext uri="{FF2B5EF4-FFF2-40B4-BE49-F238E27FC236}">
              <a16:creationId xmlns="" xmlns:a16="http://schemas.microsoft.com/office/drawing/2014/main" id="{00000000-0008-0000-0C00-00001FCA4200}"/>
            </a:ext>
          </a:extLst>
        </xdr:cNvPr>
        <xdr:cNvSpPr>
          <a:spLocks noChangeShapeType="1"/>
        </xdr:cNvSpPr>
      </xdr:nvSpPr>
      <xdr:spPr bwMode="auto">
        <a:xfrm flipV="1">
          <a:off x="16544925" y="7105650"/>
          <a:ext cx="0" cy="685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0</xdr:colOff>
      <xdr:row>19</xdr:row>
      <xdr:rowOff>114300</xdr:rowOff>
    </xdr:from>
    <xdr:to>
      <xdr:col>23</xdr:col>
      <xdr:colOff>0</xdr:colOff>
      <xdr:row>21</xdr:row>
      <xdr:rowOff>142875</xdr:rowOff>
    </xdr:to>
    <xdr:sp macro="" textlink="">
      <xdr:nvSpPr>
        <xdr:cNvPr id="4377120" name="Line 21">
          <a:extLst>
            <a:ext uri="{FF2B5EF4-FFF2-40B4-BE49-F238E27FC236}">
              <a16:creationId xmlns="" xmlns:a16="http://schemas.microsoft.com/office/drawing/2014/main" id="{00000000-0008-0000-0C00-000020CA4200}"/>
            </a:ext>
          </a:extLst>
        </xdr:cNvPr>
        <xdr:cNvSpPr>
          <a:spLocks noChangeShapeType="1"/>
        </xdr:cNvSpPr>
      </xdr:nvSpPr>
      <xdr:spPr bwMode="auto">
        <a:xfrm flipV="1">
          <a:off x="21717000" y="7096125"/>
          <a:ext cx="0" cy="676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20</xdr:row>
      <xdr:rowOff>0</xdr:rowOff>
    </xdr:from>
    <xdr:to>
      <xdr:col>23</xdr:col>
      <xdr:colOff>0</xdr:colOff>
      <xdr:row>20</xdr:row>
      <xdr:rowOff>0</xdr:rowOff>
    </xdr:to>
    <xdr:sp macro="" textlink="">
      <xdr:nvSpPr>
        <xdr:cNvPr id="4377121" name="Line 22">
          <a:extLst>
            <a:ext uri="{FF2B5EF4-FFF2-40B4-BE49-F238E27FC236}">
              <a16:creationId xmlns="" xmlns:a16="http://schemas.microsoft.com/office/drawing/2014/main" id="{00000000-0008-0000-0C00-000021CA4200}"/>
            </a:ext>
          </a:extLst>
        </xdr:cNvPr>
        <xdr:cNvSpPr>
          <a:spLocks noChangeShapeType="1"/>
        </xdr:cNvSpPr>
      </xdr:nvSpPr>
      <xdr:spPr bwMode="auto">
        <a:xfrm>
          <a:off x="16544925" y="7305675"/>
          <a:ext cx="5172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19050</xdr:colOff>
      <xdr:row>36</xdr:row>
      <xdr:rowOff>95250</xdr:rowOff>
    </xdr:from>
    <xdr:to>
      <xdr:col>23</xdr:col>
      <xdr:colOff>19050</xdr:colOff>
      <xdr:row>38</xdr:row>
      <xdr:rowOff>123825</xdr:rowOff>
    </xdr:to>
    <xdr:grpSp>
      <xdr:nvGrpSpPr>
        <xdr:cNvPr id="4377122" name="Group 23">
          <a:extLst>
            <a:ext uri="{FF2B5EF4-FFF2-40B4-BE49-F238E27FC236}">
              <a16:creationId xmlns="" xmlns:a16="http://schemas.microsoft.com/office/drawing/2014/main" id="{00000000-0008-0000-0C00-000022CA4200}"/>
            </a:ext>
          </a:extLst>
        </xdr:cNvPr>
        <xdr:cNvGrpSpPr>
          <a:grpSpLocks/>
        </xdr:cNvGrpSpPr>
      </xdr:nvGrpSpPr>
      <xdr:grpSpPr bwMode="auto">
        <a:xfrm>
          <a:off x="16563975" y="12582525"/>
          <a:ext cx="5172075" cy="676275"/>
          <a:chOff x="2047" y="332"/>
          <a:chExt cx="445" cy="63"/>
        </a:xfrm>
      </xdr:grpSpPr>
      <xdr:sp macro="" textlink="">
        <xdr:nvSpPr>
          <xdr:cNvPr id="4377336" name="Line 24">
            <a:extLst>
              <a:ext uri="{FF2B5EF4-FFF2-40B4-BE49-F238E27FC236}">
                <a16:creationId xmlns="" xmlns:a16="http://schemas.microsoft.com/office/drawing/2014/main" id="{00000000-0008-0000-0C00-0000F8CA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47" y="332"/>
            <a:ext cx="0" cy="6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7337" name="Line 25">
            <a:extLst>
              <a:ext uri="{FF2B5EF4-FFF2-40B4-BE49-F238E27FC236}">
                <a16:creationId xmlns="" xmlns:a16="http://schemas.microsoft.com/office/drawing/2014/main" id="{00000000-0008-0000-0C00-0000F9CA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492" y="332"/>
            <a:ext cx="0" cy="6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7338" name="Line 26">
            <a:extLst>
              <a:ext uri="{FF2B5EF4-FFF2-40B4-BE49-F238E27FC236}">
                <a16:creationId xmlns="" xmlns:a16="http://schemas.microsoft.com/office/drawing/2014/main" id="{00000000-0008-0000-0C00-0000FACA4200}"/>
              </a:ext>
            </a:extLst>
          </xdr:cNvPr>
          <xdr:cNvSpPr>
            <a:spLocks noChangeShapeType="1"/>
          </xdr:cNvSpPr>
        </xdr:nvSpPr>
        <xdr:spPr bwMode="auto">
          <a:xfrm>
            <a:off x="2047" y="350"/>
            <a:ext cx="44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838200</xdr:colOff>
      <xdr:row>26</xdr:row>
      <xdr:rowOff>0</xdr:rowOff>
    </xdr:from>
    <xdr:to>
      <xdr:col>4</xdr:col>
      <xdr:colOff>838200</xdr:colOff>
      <xdr:row>27</xdr:row>
      <xdr:rowOff>0</xdr:rowOff>
    </xdr:to>
    <xdr:sp macro="" textlink="">
      <xdr:nvSpPr>
        <xdr:cNvPr id="4377123" name="Line 27">
          <a:extLst>
            <a:ext uri="{FF2B5EF4-FFF2-40B4-BE49-F238E27FC236}">
              <a16:creationId xmlns="" xmlns:a16="http://schemas.microsoft.com/office/drawing/2014/main" id="{00000000-0008-0000-0C00-000023CA4200}"/>
            </a:ext>
          </a:extLst>
        </xdr:cNvPr>
        <xdr:cNvSpPr>
          <a:spLocks noChangeShapeType="1"/>
        </xdr:cNvSpPr>
      </xdr:nvSpPr>
      <xdr:spPr bwMode="auto">
        <a:xfrm flipV="1">
          <a:off x="3762375" y="924877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85725</xdr:colOff>
      <xdr:row>26</xdr:row>
      <xdr:rowOff>0</xdr:rowOff>
    </xdr:from>
    <xdr:to>
      <xdr:col>4</xdr:col>
      <xdr:colOff>85725</xdr:colOff>
      <xdr:row>27</xdr:row>
      <xdr:rowOff>0</xdr:rowOff>
    </xdr:to>
    <xdr:sp macro="" textlink="">
      <xdr:nvSpPr>
        <xdr:cNvPr id="4377124" name="Line 28">
          <a:extLst>
            <a:ext uri="{FF2B5EF4-FFF2-40B4-BE49-F238E27FC236}">
              <a16:creationId xmlns="" xmlns:a16="http://schemas.microsoft.com/office/drawing/2014/main" id="{00000000-0008-0000-0C00-000024CA4200}"/>
            </a:ext>
          </a:extLst>
        </xdr:cNvPr>
        <xdr:cNvSpPr>
          <a:spLocks noChangeShapeType="1"/>
        </xdr:cNvSpPr>
      </xdr:nvSpPr>
      <xdr:spPr bwMode="auto">
        <a:xfrm flipV="1">
          <a:off x="3009900" y="924877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85725</xdr:colOff>
      <xdr:row>30</xdr:row>
      <xdr:rowOff>0</xdr:rowOff>
    </xdr:from>
    <xdr:to>
      <xdr:col>2</xdr:col>
      <xdr:colOff>85725</xdr:colOff>
      <xdr:row>42</xdr:row>
      <xdr:rowOff>0</xdr:rowOff>
    </xdr:to>
    <xdr:sp macro="" textlink="">
      <xdr:nvSpPr>
        <xdr:cNvPr id="4377125" name="Line 29">
          <a:extLst>
            <a:ext uri="{FF2B5EF4-FFF2-40B4-BE49-F238E27FC236}">
              <a16:creationId xmlns="" xmlns:a16="http://schemas.microsoft.com/office/drawing/2014/main" id="{00000000-0008-0000-0C00-000025CA4200}"/>
            </a:ext>
          </a:extLst>
        </xdr:cNvPr>
        <xdr:cNvSpPr>
          <a:spLocks noChangeShapeType="1"/>
        </xdr:cNvSpPr>
      </xdr:nvSpPr>
      <xdr:spPr bwMode="auto">
        <a:xfrm>
          <a:off x="1171575" y="10544175"/>
          <a:ext cx="0" cy="388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133350</xdr:colOff>
      <xdr:row>30</xdr:row>
      <xdr:rowOff>0</xdr:rowOff>
    </xdr:from>
    <xdr:to>
      <xdr:col>4</xdr:col>
      <xdr:colOff>133350</xdr:colOff>
      <xdr:row>42</xdr:row>
      <xdr:rowOff>0</xdr:rowOff>
    </xdr:to>
    <xdr:sp macro="" textlink="">
      <xdr:nvSpPr>
        <xdr:cNvPr id="4377126" name="Line 30">
          <a:extLst>
            <a:ext uri="{FF2B5EF4-FFF2-40B4-BE49-F238E27FC236}">
              <a16:creationId xmlns="" xmlns:a16="http://schemas.microsoft.com/office/drawing/2014/main" id="{00000000-0008-0000-0C00-000026CA4200}"/>
            </a:ext>
          </a:extLst>
        </xdr:cNvPr>
        <xdr:cNvSpPr>
          <a:spLocks noChangeShapeType="1"/>
        </xdr:cNvSpPr>
      </xdr:nvSpPr>
      <xdr:spPr bwMode="auto">
        <a:xfrm>
          <a:off x="3057525" y="10544175"/>
          <a:ext cx="0" cy="388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857250</xdr:colOff>
      <xdr:row>30</xdr:row>
      <xdr:rowOff>0</xdr:rowOff>
    </xdr:from>
    <xdr:to>
      <xdr:col>4</xdr:col>
      <xdr:colOff>857250</xdr:colOff>
      <xdr:row>42</xdr:row>
      <xdr:rowOff>0</xdr:rowOff>
    </xdr:to>
    <xdr:sp macro="" textlink="">
      <xdr:nvSpPr>
        <xdr:cNvPr id="4377127" name="Line 31">
          <a:extLst>
            <a:ext uri="{FF2B5EF4-FFF2-40B4-BE49-F238E27FC236}">
              <a16:creationId xmlns="" xmlns:a16="http://schemas.microsoft.com/office/drawing/2014/main" id="{00000000-0008-0000-0C00-000027CA4200}"/>
            </a:ext>
          </a:extLst>
        </xdr:cNvPr>
        <xdr:cNvSpPr>
          <a:spLocks noChangeShapeType="1"/>
        </xdr:cNvSpPr>
      </xdr:nvSpPr>
      <xdr:spPr bwMode="auto">
        <a:xfrm>
          <a:off x="3781425" y="10544175"/>
          <a:ext cx="0" cy="388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85725</xdr:colOff>
      <xdr:row>30</xdr:row>
      <xdr:rowOff>104775</xdr:rowOff>
    </xdr:from>
    <xdr:to>
      <xdr:col>4</xdr:col>
      <xdr:colOff>866775</xdr:colOff>
      <xdr:row>30</xdr:row>
      <xdr:rowOff>104775</xdr:rowOff>
    </xdr:to>
    <xdr:sp macro="" textlink="">
      <xdr:nvSpPr>
        <xdr:cNvPr id="4377128" name="Line 32">
          <a:extLst>
            <a:ext uri="{FF2B5EF4-FFF2-40B4-BE49-F238E27FC236}">
              <a16:creationId xmlns="" xmlns:a16="http://schemas.microsoft.com/office/drawing/2014/main" id="{00000000-0008-0000-0C00-000028CA4200}"/>
            </a:ext>
          </a:extLst>
        </xdr:cNvPr>
        <xdr:cNvSpPr>
          <a:spLocks noChangeShapeType="1"/>
        </xdr:cNvSpPr>
      </xdr:nvSpPr>
      <xdr:spPr bwMode="auto">
        <a:xfrm>
          <a:off x="3009900" y="10648950"/>
          <a:ext cx="781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866775</xdr:colOff>
      <xdr:row>30</xdr:row>
      <xdr:rowOff>104775</xdr:rowOff>
    </xdr:from>
    <xdr:to>
      <xdr:col>4</xdr:col>
      <xdr:colOff>933450</xdr:colOff>
      <xdr:row>30</xdr:row>
      <xdr:rowOff>200025</xdr:rowOff>
    </xdr:to>
    <xdr:sp macro="" textlink="">
      <xdr:nvSpPr>
        <xdr:cNvPr id="4377129" name="Arc 33">
          <a:extLst>
            <a:ext uri="{FF2B5EF4-FFF2-40B4-BE49-F238E27FC236}">
              <a16:creationId xmlns="" xmlns:a16="http://schemas.microsoft.com/office/drawing/2014/main" id="{00000000-0008-0000-0C00-000029CA4200}"/>
            </a:ext>
          </a:extLst>
        </xdr:cNvPr>
        <xdr:cNvSpPr>
          <a:spLocks/>
        </xdr:cNvSpPr>
      </xdr:nvSpPr>
      <xdr:spPr bwMode="auto">
        <a:xfrm>
          <a:off x="3790950" y="10648950"/>
          <a:ext cx="66675" cy="95250"/>
        </a:xfrm>
        <a:custGeom>
          <a:avLst/>
          <a:gdLst>
            <a:gd name="T0" fmla="*/ 0 w 21600"/>
            <a:gd name="T1" fmla="*/ 0 h 21600"/>
            <a:gd name="T2" fmla="*/ 2147483647 w 21600"/>
            <a:gd name="T3" fmla="*/ 2147483647 h 21600"/>
            <a:gd name="T4" fmla="*/ 0 w 21600"/>
            <a:gd name="T5" fmla="*/ 2147483647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123825</xdr:colOff>
      <xdr:row>41</xdr:row>
      <xdr:rowOff>104775</xdr:rowOff>
    </xdr:from>
    <xdr:to>
      <xdr:col>4</xdr:col>
      <xdr:colOff>838200</xdr:colOff>
      <xdr:row>41</xdr:row>
      <xdr:rowOff>104775</xdr:rowOff>
    </xdr:to>
    <xdr:sp macro="" textlink="">
      <xdr:nvSpPr>
        <xdr:cNvPr id="4377130" name="Line 34">
          <a:extLst>
            <a:ext uri="{FF2B5EF4-FFF2-40B4-BE49-F238E27FC236}">
              <a16:creationId xmlns="" xmlns:a16="http://schemas.microsoft.com/office/drawing/2014/main" id="{00000000-0008-0000-0C00-00002ACA4200}"/>
            </a:ext>
          </a:extLst>
        </xdr:cNvPr>
        <xdr:cNvSpPr>
          <a:spLocks noChangeShapeType="1"/>
        </xdr:cNvSpPr>
      </xdr:nvSpPr>
      <xdr:spPr bwMode="auto">
        <a:xfrm>
          <a:off x="3048000" y="14211300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847725</xdr:colOff>
      <xdr:row>41</xdr:row>
      <xdr:rowOff>9525</xdr:rowOff>
    </xdr:from>
    <xdr:to>
      <xdr:col>4</xdr:col>
      <xdr:colOff>962025</xdr:colOff>
      <xdr:row>41</xdr:row>
      <xdr:rowOff>104775</xdr:rowOff>
    </xdr:to>
    <xdr:sp macro="" textlink="">
      <xdr:nvSpPr>
        <xdr:cNvPr id="4377131" name="Arc 35">
          <a:extLst>
            <a:ext uri="{FF2B5EF4-FFF2-40B4-BE49-F238E27FC236}">
              <a16:creationId xmlns="" xmlns:a16="http://schemas.microsoft.com/office/drawing/2014/main" id="{00000000-0008-0000-0C00-00002BCA4200}"/>
            </a:ext>
          </a:extLst>
        </xdr:cNvPr>
        <xdr:cNvSpPr>
          <a:spLocks/>
        </xdr:cNvSpPr>
      </xdr:nvSpPr>
      <xdr:spPr bwMode="auto">
        <a:xfrm flipV="1">
          <a:off x="3771900" y="14116050"/>
          <a:ext cx="114300" cy="95250"/>
        </a:xfrm>
        <a:custGeom>
          <a:avLst/>
          <a:gdLst>
            <a:gd name="T0" fmla="*/ 0 w 21384"/>
            <a:gd name="T1" fmla="*/ 0 h 21600"/>
            <a:gd name="T2" fmla="*/ 2147483647 w 21384"/>
            <a:gd name="T3" fmla="*/ 2147483647 h 21600"/>
            <a:gd name="T4" fmla="*/ 2147483647 w 21384"/>
            <a:gd name="T5" fmla="*/ 2147483647 h 21600"/>
            <a:gd name="T6" fmla="*/ 0 60000 65536"/>
            <a:gd name="T7" fmla="*/ 0 60000 65536"/>
            <a:gd name="T8" fmla="*/ 0 60000 65536"/>
            <a:gd name="T9" fmla="*/ 0 w 21384"/>
            <a:gd name="T10" fmla="*/ 0 h 21600"/>
            <a:gd name="T11" fmla="*/ 21384 w 21384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384" h="21600" fill="none" extrusionOk="0">
              <a:moveTo>
                <a:pt x="0" y="0"/>
              </a:moveTo>
              <a:cubicBezTo>
                <a:pt x="0" y="0"/>
                <a:pt x="0" y="-1"/>
                <a:pt x="1" y="0"/>
              </a:cubicBezTo>
              <a:cubicBezTo>
                <a:pt x="10750" y="0"/>
                <a:pt x="19863" y="7903"/>
                <a:pt x="21383" y="18545"/>
              </a:cubicBezTo>
            </a:path>
            <a:path w="21384" h="21600" stroke="0" extrusionOk="0">
              <a:moveTo>
                <a:pt x="0" y="0"/>
              </a:moveTo>
              <a:cubicBezTo>
                <a:pt x="0" y="0"/>
                <a:pt x="0" y="-1"/>
                <a:pt x="1" y="0"/>
              </a:cubicBezTo>
              <a:cubicBezTo>
                <a:pt x="10750" y="0"/>
                <a:pt x="19863" y="7903"/>
                <a:pt x="21383" y="18545"/>
              </a:cubicBezTo>
              <a:lnTo>
                <a:pt x="1" y="21600"/>
              </a:lnTo>
              <a:lnTo>
                <a:pt x="0" y="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885825</xdr:colOff>
      <xdr:row>25</xdr:row>
      <xdr:rowOff>0</xdr:rowOff>
    </xdr:from>
    <xdr:to>
      <xdr:col>4</xdr:col>
      <xdr:colOff>47625</xdr:colOff>
      <xdr:row>26</xdr:row>
      <xdr:rowOff>76200</xdr:rowOff>
    </xdr:to>
    <xdr:sp macro="" textlink="">
      <xdr:nvSpPr>
        <xdr:cNvPr id="4377132" name="Line 36">
          <a:extLst>
            <a:ext uri="{FF2B5EF4-FFF2-40B4-BE49-F238E27FC236}">
              <a16:creationId xmlns="" xmlns:a16="http://schemas.microsoft.com/office/drawing/2014/main" id="{00000000-0008-0000-0C00-00002CCA4200}"/>
            </a:ext>
          </a:extLst>
        </xdr:cNvPr>
        <xdr:cNvSpPr>
          <a:spLocks noChangeShapeType="1"/>
        </xdr:cNvSpPr>
      </xdr:nvSpPr>
      <xdr:spPr bwMode="auto">
        <a:xfrm>
          <a:off x="2819400" y="8924925"/>
          <a:ext cx="15240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457200</xdr:colOff>
      <xdr:row>29</xdr:row>
      <xdr:rowOff>28575</xdr:rowOff>
    </xdr:from>
    <xdr:to>
      <xdr:col>2</xdr:col>
      <xdr:colOff>952500</xdr:colOff>
      <xdr:row>29</xdr:row>
      <xdr:rowOff>28575</xdr:rowOff>
    </xdr:to>
    <xdr:sp macro="" textlink="">
      <xdr:nvSpPr>
        <xdr:cNvPr id="4377133" name="Line 37">
          <a:extLst>
            <a:ext uri="{FF2B5EF4-FFF2-40B4-BE49-F238E27FC236}">
              <a16:creationId xmlns="" xmlns:a16="http://schemas.microsoft.com/office/drawing/2014/main" id="{00000000-0008-0000-0C00-00002DCA4200}"/>
            </a:ext>
          </a:extLst>
        </xdr:cNvPr>
        <xdr:cNvSpPr>
          <a:spLocks noChangeShapeType="1"/>
        </xdr:cNvSpPr>
      </xdr:nvSpPr>
      <xdr:spPr bwMode="auto">
        <a:xfrm flipH="1">
          <a:off x="752475" y="10248900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485775</xdr:colOff>
      <xdr:row>26</xdr:row>
      <xdr:rowOff>152400</xdr:rowOff>
    </xdr:from>
    <xdr:to>
      <xdr:col>1</xdr:col>
      <xdr:colOff>942975</xdr:colOff>
      <xdr:row>29</xdr:row>
      <xdr:rowOff>9525</xdr:rowOff>
    </xdr:to>
    <xdr:sp macro="" textlink="">
      <xdr:nvSpPr>
        <xdr:cNvPr id="4377134" name="Line 38">
          <a:extLst>
            <a:ext uri="{FF2B5EF4-FFF2-40B4-BE49-F238E27FC236}">
              <a16:creationId xmlns="" xmlns:a16="http://schemas.microsoft.com/office/drawing/2014/main" id="{00000000-0008-0000-0C00-00002ECA4200}"/>
            </a:ext>
          </a:extLst>
        </xdr:cNvPr>
        <xdr:cNvSpPr>
          <a:spLocks noChangeShapeType="1"/>
        </xdr:cNvSpPr>
      </xdr:nvSpPr>
      <xdr:spPr bwMode="auto">
        <a:xfrm flipV="1">
          <a:off x="781050" y="9401175"/>
          <a:ext cx="304800" cy="828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895350</xdr:colOff>
      <xdr:row>26</xdr:row>
      <xdr:rowOff>142875</xdr:rowOff>
    </xdr:from>
    <xdr:to>
      <xdr:col>5</xdr:col>
      <xdr:colOff>104775</xdr:colOff>
      <xdr:row>29</xdr:row>
      <xdr:rowOff>0</xdr:rowOff>
    </xdr:to>
    <xdr:sp macro="" textlink="">
      <xdr:nvSpPr>
        <xdr:cNvPr id="4377135" name="Line 39">
          <a:extLst>
            <a:ext uri="{FF2B5EF4-FFF2-40B4-BE49-F238E27FC236}">
              <a16:creationId xmlns="" xmlns:a16="http://schemas.microsoft.com/office/drawing/2014/main" id="{00000000-0008-0000-0C00-00002FCA4200}"/>
            </a:ext>
          </a:extLst>
        </xdr:cNvPr>
        <xdr:cNvSpPr>
          <a:spLocks noChangeShapeType="1"/>
        </xdr:cNvSpPr>
      </xdr:nvSpPr>
      <xdr:spPr bwMode="auto">
        <a:xfrm>
          <a:off x="3819525" y="9391650"/>
          <a:ext cx="371475" cy="828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133350</xdr:colOff>
      <xdr:row>29</xdr:row>
      <xdr:rowOff>9525</xdr:rowOff>
    </xdr:from>
    <xdr:to>
      <xdr:col>7</xdr:col>
      <xdr:colOff>0</xdr:colOff>
      <xdr:row>29</xdr:row>
      <xdr:rowOff>9525</xdr:rowOff>
    </xdr:to>
    <xdr:sp macro="" textlink="">
      <xdr:nvSpPr>
        <xdr:cNvPr id="4377136" name="Line 40">
          <a:extLst>
            <a:ext uri="{FF2B5EF4-FFF2-40B4-BE49-F238E27FC236}">
              <a16:creationId xmlns="" xmlns:a16="http://schemas.microsoft.com/office/drawing/2014/main" id="{00000000-0008-0000-0C00-000030CA4200}"/>
            </a:ext>
          </a:extLst>
        </xdr:cNvPr>
        <xdr:cNvSpPr>
          <a:spLocks noChangeShapeType="1"/>
        </xdr:cNvSpPr>
      </xdr:nvSpPr>
      <xdr:spPr bwMode="auto">
        <a:xfrm>
          <a:off x="4219575" y="10229850"/>
          <a:ext cx="1885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66675</xdr:colOff>
      <xdr:row>46</xdr:row>
      <xdr:rowOff>285750</xdr:rowOff>
    </xdr:from>
    <xdr:to>
      <xdr:col>6</xdr:col>
      <xdr:colOff>1114425</xdr:colOff>
      <xdr:row>46</xdr:row>
      <xdr:rowOff>285750</xdr:rowOff>
    </xdr:to>
    <xdr:sp macro="" textlink="">
      <xdr:nvSpPr>
        <xdr:cNvPr id="4377137" name="Line 41">
          <a:extLst>
            <a:ext uri="{FF2B5EF4-FFF2-40B4-BE49-F238E27FC236}">
              <a16:creationId xmlns="" xmlns:a16="http://schemas.microsoft.com/office/drawing/2014/main" id="{00000000-0008-0000-0C00-000031CA4200}"/>
            </a:ext>
          </a:extLst>
        </xdr:cNvPr>
        <xdr:cNvSpPr>
          <a:spLocks noChangeShapeType="1"/>
        </xdr:cNvSpPr>
      </xdr:nvSpPr>
      <xdr:spPr bwMode="auto">
        <a:xfrm flipH="1">
          <a:off x="2990850" y="16011525"/>
          <a:ext cx="3114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66675</xdr:colOff>
      <xdr:row>41</xdr:row>
      <xdr:rowOff>76200</xdr:rowOff>
    </xdr:from>
    <xdr:to>
      <xdr:col>4</xdr:col>
      <xdr:colOff>1057275</xdr:colOff>
      <xdr:row>46</xdr:row>
      <xdr:rowOff>295275</xdr:rowOff>
    </xdr:to>
    <xdr:sp macro="" textlink="">
      <xdr:nvSpPr>
        <xdr:cNvPr id="4377138" name="Line 42">
          <a:extLst>
            <a:ext uri="{FF2B5EF4-FFF2-40B4-BE49-F238E27FC236}">
              <a16:creationId xmlns="" xmlns:a16="http://schemas.microsoft.com/office/drawing/2014/main" id="{00000000-0008-0000-0C00-000032CA4200}"/>
            </a:ext>
          </a:extLst>
        </xdr:cNvPr>
        <xdr:cNvSpPr>
          <a:spLocks noChangeShapeType="1"/>
        </xdr:cNvSpPr>
      </xdr:nvSpPr>
      <xdr:spPr bwMode="auto">
        <a:xfrm flipV="1">
          <a:off x="2990850" y="14182725"/>
          <a:ext cx="990600" cy="183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285750</xdr:colOff>
      <xdr:row>25</xdr:row>
      <xdr:rowOff>0</xdr:rowOff>
    </xdr:from>
    <xdr:to>
      <xdr:col>3</xdr:col>
      <xdr:colOff>904875</xdr:colOff>
      <xdr:row>25</xdr:row>
      <xdr:rowOff>0</xdr:rowOff>
    </xdr:to>
    <xdr:sp macro="" textlink="">
      <xdr:nvSpPr>
        <xdr:cNvPr id="4377139" name="Line 43">
          <a:extLst>
            <a:ext uri="{FF2B5EF4-FFF2-40B4-BE49-F238E27FC236}">
              <a16:creationId xmlns="" xmlns:a16="http://schemas.microsoft.com/office/drawing/2014/main" id="{00000000-0008-0000-0C00-000033CA4200}"/>
            </a:ext>
          </a:extLst>
        </xdr:cNvPr>
        <xdr:cNvSpPr>
          <a:spLocks noChangeShapeType="1"/>
        </xdr:cNvSpPr>
      </xdr:nvSpPr>
      <xdr:spPr bwMode="auto">
        <a:xfrm flipH="1">
          <a:off x="1371600" y="8924925"/>
          <a:ext cx="146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866775</xdr:colOff>
      <xdr:row>30</xdr:row>
      <xdr:rowOff>209550</xdr:rowOff>
    </xdr:from>
    <xdr:to>
      <xdr:col>5</xdr:col>
      <xdr:colOff>0</xdr:colOff>
      <xdr:row>30</xdr:row>
      <xdr:rowOff>276225</xdr:rowOff>
    </xdr:to>
    <xdr:sp macro="" textlink="">
      <xdr:nvSpPr>
        <xdr:cNvPr id="4377140" name="Oval 44">
          <a:extLst>
            <a:ext uri="{FF2B5EF4-FFF2-40B4-BE49-F238E27FC236}">
              <a16:creationId xmlns="" xmlns:a16="http://schemas.microsoft.com/office/drawing/2014/main" id="{00000000-0008-0000-0C00-000034CA4200}"/>
            </a:ext>
          </a:extLst>
        </xdr:cNvPr>
        <xdr:cNvSpPr>
          <a:spLocks noChangeArrowheads="1"/>
        </xdr:cNvSpPr>
      </xdr:nvSpPr>
      <xdr:spPr bwMode="auto">
        <a:xfrm>
          <a:off x="3790950" y="10753725"/>
          <a:ext cx="295275" cy="666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85725</xdr:colOff>
      <xdr:row>32</xdr:row>
      <xdr:rowOff>47625</xdr:rowOff>
    </xdr:from>
    <xdr:to>
      <xdr:col>5</xdr:col>
      <xdr:colOff>9525</xdr:colOff>
      <xdr:row>32</xdr:row>
      <xdr:rowOff>228600</xdr:rowOff>
    </xdr:to>
    <xdr:grpSp>
      <xdr:nvGrpSpPr>
        <xdr:cNvPr id="4377141" name="Group 45">
          <a:extLst>
            <a:ext uri="{FF2B5EF4-FFF2-40B4-BE49-F238E27FC236}">
              <a16:creationId xmlns="" xmlns:a16="http://schemas.microsoft.com/office/drawing/2014/main" id="{00000000-0008-0000-0C00-000035CA4200}"/>
            </a:ext>
          </a:extLst>
        </xdr:cNvPr>
        <xdr:cNvGrpSpPr>
          <a:grpSpLocks/>
        </xdr:cNvGrpSpPr>
      </xdr:nvGrpSpPr>
      <xdr:grpSpPr bwMode="auto">
        <a:xfrm>
          <a:off x="3009900" y="11239500"/>
          <a:ext cx="1085850" cy="180975"/>
          <a:chOff x="274" y="958"/>
          <a:chExt cx="82" cy="19"/>
        </a:xfrm>
      </xdr:grpSpPr>
      <xdr:sp macro="" textlink="">
        <xdr:nvSpPr>
          <xdr:cNvPr id="4377333" name="Line 46">
            <a:extLst>
              <a:ext uri="{FF2B5EF4-FFF2-40B4-BE49-F238E27FC236}">
                <a16:creationId xmlns="" xmlns:a16="http://schemas.microsoft.com/office/drawing/2014/main" id="{00000000-0008-0000-0C00-0000F5CA4200}"/>
              </a:ext>
            </a:extLst>
          </xdr:cNvPr>
          <xdr:cNvSpPr>
            <a:spLocks noChangeShapeType="1"/>
          </xdr:cNvSpPr>
        </xdr:nvSpPr>
        <xdr:spPr bwMode="auto">
          <a:xfrm>
            <a:off x="274" y="958"/>
            <a:ext cx="6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7334" name="Arc 47">
            <a:extLst>
              <a:ext uri="{FF2B5EF4-FFF2-40B4-BE49-F238E27FC236}">
                <a16:creationId xmlns="" xmlns:a16="http://schemas.microsoft.com/office/drawing/2014/main" id="{00000000-0008-0000-0C00-0000F6CA4200}"/>
              </a:ext>
            </a:extLst>
          </xdr:cNvPr>
          <xdr:cNvSpPr>
            <a:spLocks/>
          </xdr:cNvSpPr>
        </xdr:nvSpPr>
        <xdr:spPr bwMode="auto">
          <a:xfrm>
            <a:off x="342" y="958"/>
            <a:ext cx="8" cy="10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7335" name="Oval 48">
            <a:extLst>
              <a:ext uri="{FF2B5EF4-FFF2-40B4-BE49-F238E27FC236}">
                <a16:creationId xmlns="" xmlns:a16="http://schemas.microsoft.com/office/drawing/2014/main" id="{00000000-0008-0000-0C00-0000F7CA4200}"/>
              </a:ext>
            </a:extLst>
          </xdr:cNvPr>
          <xdr:cNvSpPr>
            <a:spLocks noChangeArrowheads="1"/>
          </xdr:cNvSpPr>
        </xdr:nvSpPr>
        <xdr:spPr bwMode="auto">
          <a:xfrm>
            <a:off x="344" y="969"/>
            <a:ext cx="12" cy="8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104775</xdr:colOff>
      <xdr:row>33</xdr:row>
      <xdr:rowOff>228600</xdr:rowOff>
    </xdr:from>
    <xdr:to>
      <xdr:col>5</xdr:col>
      <xdr:colOff>38100</xdr:colOff>
      <xdr:row>34</xdr:row>
      <xdr:rowOff>161925</xdr:rowOff>
    </xdr:to>
    <xdr:grpSp>
      <xdr:nvGrpSpPr>
        <xdr:cNvPr id="4377142" name="Group 49">
          <a:extLst>
            <a:ext uri="{FF2B5EF4-FFF2-40B4-BE49-F238E27FC236}">
              <a16:creationId xmlns="" xmlns:a16="http://schemas.microsoft.com/office/drawing/2014/main" id="{00000000-0008-0000-0C00-000036CA4200}"/>
            </a:ext>
          </a:extLst>
        </xdr:cNvPr>
        <xdr:cNvGrpSpPr>
          <a:grpSpLocks/>
        </xdr:cNvGrpSpPr>
      </xdr:nvGrpSpPr>
      <xdr:grpSpPr bwMode="auto">
        <a:xfrm>
          <a:off x="3028950" y="11744325"/>
          <a:ext cx="1095375" cy="257175"/>
          <a:chOff x="274" y="1019"/>
          <a:chExt cx="83" cy="23"/>
        </a:xfrm>
      </xdr:grpSpPr>
      <xdr:sp macro="" textlink="">
        <xdr:nvSpPr>
          <xdr:cNvPr id="4377330" name="Line 50">
            <a:extLst>
              <a:ext uri="{FF2B5EF4-FFF2-40B4-BE49-F238E27FC236}">
                <a16:creationId xmlns="" xmlns:a16="http://schemas.microsoft.com/office/drawing/2014/main" id="{00000000-0008-0000-0C00-0000F2CA4200}"/>
              </a:ext>
            </a:extLst>
          </xdr:cNvPr>
          <xdr:cNvSpPr>
            <a:spLocks noChangeShapeType="1"/>
          </xdr:cNvSpPr>
        </xdr:nvSpPr>
        <xdr:spPr bwMode="auto">
          <a:xfrm>
            <a:off x="274" y="1019"/>
            <a:ext cx="6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7331" name="Arc 51">
            <a:extLst>
              <a:ext uri="{FF2B5EF4-FFF2-40B4-BE49-F238E27FC236}">
                <a16:creationId xmlns="" xmlns:a16="http://schemas.microsoft.com/office/drawing/2014/main" id="{00000000-0008-0000-0C00-0000F3CA4200}"/>
              </a:ext>
            </a:extLst>
          </xdr:cNvPr>
          <xdr:cNvSpPr>
            <a:spLocks/>
          </xdr:cNvSpPr>
        </xdr:nvSpPr>
        <xdr:spPr bwMode="auto">
          <a:xfrm>
            <a:off x="339" y="1019"/>
            <a:ext cx="14" cy="1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7332" name="Oval 52">
            <a:extLst>
              <a:ext uri="{FF2B5EF4-FFF2-40B4-BE49-F238E27FC236}">
                <a16:creationId xmlns="" xmlns:a16="http://schemas.microsoft.com/office/drawing/2014/main" id="{00000000-0008-0000-0C00-0000F4CA4200}"/>
              </a:ext>
            </a:extLst>
          </xdr:cNvPr>
          <xdr:cNvSpPr>
            <a:spLocks noChangeArrowheads="1"/>
          </xdr:cNvSpPr>
        </xdr:nvSpPr>
        <xdr:spPr bwMode="auto">
          <a:xfrm>
            <a:off x="346" y="1034"/>
            <a:ext cx="11" cy="8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85725</xdr:colOff>
      <xdr:row>39</xdr:row>
      <xdr:rowOff>47625</xdr:rowOff>
    </xdr:from>
    <xdr:to>
      <xdr:col>5</xdr:col>
      <xdr:colOff>0</xdr:colOff>
      <xdr:row>39</xdr:row>
      <xdr:rowOff>209550</xdr:rowOff>
    </xdr:to>
    <xdr:grpSp>
      <xdr:nvGrpSpPr>
        <xdr:cNvPr id="4377143" name="Group 53">
          <a:extLst>
            <a:ext uri="{FF2B5EF4-FFF2-40B4-BE49-F238E27FC236}">
              <a16:creationId xmlns="" xmlns:a16="http://schemas.microsoft.com/office/drawing/2014/main" id="{00000000-0008-0000-0C00-000037CA4200}"/>
            </a:ext>
          </a:extLst>
        </xdr:cNvPr>
        <xdr:cNvGrpSpPr>
          <a:grpSpLocks/>
        </xdr:cNvGrpSpPr>
      </xdr:nvGrpSpPr>
      <xdr:grpSpPr bwMode="auto">
        <a:xfrm>
          <a:off x="3009900" y="13506450"/>
          <a:ext cx="1076325" cy="161925"/>
          <a:chOff x="276" y="1142"/>
          <a:chExt cx="81" cy="17"/>
        </a:xfrm>
      </xdr:grpSpPr>
      <xdr:sp macro="" textlink="">
        <xdr:nvSpPr>
          <xdr:cNvPr id="4377327" name="Line 54">
            <a:extLst>
              <a:ext uri="{FF2B5EF4-FFF2-40B4-BE49-F238E27FC236}">
                <a16:creationId xmlns="" xmlns:a16="http://schemas.microsoft.com/office/drawing/2014/main" id="{00000000-0008-0000-0C00-0000EFCA4200}"/>
              </a:ext>
            </a:extLst>
          </xdr:cNvPr>
          <xdr:cNvSpPr>
            <a:spLocks noChangeShapeType="1"/>
          </xdr:cNvSpPr>
        </xdr:nvSpPr>
        <xdr:spPr bwMode="auto">
          <a:xfrm>
            <a:off x="276" y="1159"/>
            <a:ext cx="6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7328" name="Arc 55">
            <a:extLst>
              <a:ext uri="{FF2B5EF4-FFF2-40B4-BE49-F238E27FC236}">
                <a16:creationId xmlns="" xmlns:a16="http://schemas.microsoft.com/office/drawing/2014/main" id="{00000000-0008-0000-0C00-0000F0CA4200}"/>
              </a:ext>
            </a:extLst>
          </xdr:cNvPr>
          <xdr:cNvSpPr>
            <a:spLocks/>
          </xdr:cNvSpPr>
        </xdr:nvSpPr>
        <xdr:spPr bwMode="auto">
          <a:xfrm flipV="1">
            <a:off x="343" y="1150"/>
            <a:ext cx="11" cy="9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7329" name="Oval 56">
            <a:extLst>
              <a:ext uri="{FF2B5EF4-FFF2-40B4-BE49-F238E27FC236}">
                <a16:creationId xmlns="" xmlns:a16="http://schemas.microsoft.com/office/drawing/2014/main" id="{00000000-0008-0000-0C00-0000F1CA4200}"/>
              </a:ext>
            </a:extLst>
          </xdr:cNvPr>
          <xdr:cNvSpPr>
            <a:spLocks noChangeArrowheads="1"/>
          </xdr:cNvSpPr>
        </xdr:nvSpPr>
        <xdr:spPr bwMode="auto">
          <a:xfrm>
            <a:off x="344" y="1142"/>
            <a:ext cx="13" cy="8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857250</xdr:colOff>
      <xdr:row>40</xdr:row>
      <xdr:rowOff>238125</xdr:rowOff>
    </xdr:from>
    <xdr:to>
      <xdr:col>5</xdr:col>
      <xdr:colOff>0</xdr:colOff>
      <xdr:row>41</xdr:row>
      <xdr:rowOff>19050</xdr:rowOff>
    </xdr:to>
    <xdr:sp macro="" textlink="">
      <xdr:nvSpPr>
        <xdr:cNvPr id="4377144" name="Oval 57">
          <a:extLst>
            <a:ext uri="{FF2B5EF4-FFF2-40B4-BE49-F238E27FC236}">
              <a16:creationId xmlns="" xmlns:a16="http://schemas.microsoft.com/office/drawing/2014/main" id="{00000000-0008-0000-0C00-000038CA4200}"/>
            </a:ext>
          </a:extLst>
        </xdr:cNvPr>
        <xdr:cNvSpPr>
          <a:spLocks noChangeArrowheads="1"/>
        </xdr:cNvSpPr>
      </xdr:nvSpPr>
      <xdr:spPr bwMode="auto">
        <a:xfrm>
          <a:off x="3781425" y="14020800"/>
          <a:ext cx="304800" cy="1047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781050</xdr:colOff>
      <xdr:row>26</xdr:row>
      <xdr:rowOff>9525</xdr:rowOff>
    </xdr:from>
    <xdr:to>
      <xdr:col>4</xdr:col>
      <xdr:colOff>819150</xdr:colOff>
      <xdr:row>27</xdr:row>
      <xdr:rowOff>9525</xdr:rowOff>
    </xdr:to>
    <xdr:sp macro="" textlink="">
      <xdr:nvSpPr>
        <xdr:cNvPr id="4377145" name="Line 58">
          <a:extLst>
            <a:ext uri="{FF2B5EF4-FFF2-40B4-BE49-F238E27FC236}">
              <a16:creationId xmlns="" xmlns:a16="http://schemas.microsoft.com/office/drawing/2014/main" id="{00000000-0008-0000-0C00-000039CA4200}"/>
            </a:ext>
          </a:extLst>
        </xdr:cNvPr>
        <xdr:cNvSpPr>
          <a:spLocks noChangeShapeType="1"/>
        </xdr:cNvSpPr>
      </xdr:nvSpPr>
      <xdr:spPr bwMode="auto">
        <a:xfrm flipH="1">
          <a:off x="3705225" y="9258300"/>
          <a:ext cx="3810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542925</xdr:colOff>
      <xdr:row>26</xdr:row>
      <xdr:rowOff>9525</xdr:rowOff>
    </xdr:from>
    <xdr:to>
      <xdr:col>4</xdr:col>
      <xdr:colOff>628650</xdr:colOff>
      <xdr:row>27</xdr:row>
      <xdr:rowOff>9525</xdr:rowOff>
    </xdr:to>
    <xdr:sp macro="" textlink="">
      <xdr:nvSpPr>
        <xdr:cNvPr id="4377146" name="Line 59">
          <a:extLst>
            <a:ext uri="{FF2B5EF4-FFF2-40B4-BE49-F238E27FC236}">
              <a16:creationId xmlns="" xmlns:a16="http://schemas.microsoft.com/office/drawing/2014/main" id="{00000000-0008-0000-0C00-00003ACA4200}"/>
            </a:ext>
          </a:extLst>
        </xdr:cNvPr>
        <xdr:cNvSpPr>
          <a:spLocks noChangeShapeType="1"/>
        </xdr:cNvSpPr>
      </xdr:nvSpPr>
      <xdr:spPr bwMode="auto">
        <a:xfrm flipH="1" flipV="1">
          <a:off x="3467100" y="9258300"/>
          <a:ext cx="85725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619125</xdr:colOff>
      <xdr:row>26</xdr:row>
      <xdr:rowOff>9525</xdr:rowOff>
    </xdr:from>
    <xdr:to>
      <xdr:col>4</xdr:col>
      <xdr:colOff>695325</xdr:colOff>
      <xdr:row>27</xdr:row>
      <xdr:rowOff>9525</xdr:rowOff>
    </xdr:to>
    <xdr:sp macro="" textlink="">
      <xdr:nvSpPr>
        <xdr:cNvPr id="4377147" name="Line 60">
          <a:extLst>
            <a:ext uri="{FF2B5EF4-FFF2-40B4-BE49-F238E27FC236}">
              <a16:creationId xmlns="" xmlns:a16="http://schemas.microsoft.com/office/drawing/2014/main" id="{00000000-0008-0000-0C00-00003BCA4200}"/>
            </a:ext>
          </a:extLst>
        </xdr:cNvPr>
        <xdr:cNvSpPr>
          <a:spLocks noChangeShapeType="1"/>
        </xdr:cNvSpPr>
      </xdr:nvSpPr>
      <xdr:spPr bwMode="auto">
        <a:xfrm flipH="1">
          <a:off x="3543300" y="9258300"/>
          <a:ext cx="7620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40</xdr:row>
      <xdr:rowOff>28575</xdr:rowOff>
    </xdr:from>
    <xdr:to>
      <xdr:col>2</xdr:col>
      <xdr:colOff>95250</xdr:colOff>
      <xdr:row>40</xdr:row>
      <xdr:rowOff>190500</xdr:rowOff>
    </xdr:to>
    <xdr:sp macro="" textlink="">
      <xdr:nvSpPr>
        <xdr:cNvPr id="4377148" name="Rectangle 61">
          <a:extLst>
            <a:ext uri="{FF2B5EF4-FFF2-40B4-BE49-F238E27FC236}">
              <a16:creationId xmlns="" xmlns:a16="http://schemas.microsoft.com/office/drawing/2014/main" id="{00000000-0008-0000-0C00-00003CCA4200}"/>
            </a:ext>
          </a:extLst>
        </xdr:cNvPr>
        <xdr:cNvSpPr>
          <a:spLocks noChangeArrowheads="1"/>
        </xdr:cNvSpPr>
      </xdr:nvSpPr>
      <xdr:spPr bwMode="auto">
        <a:xfrm>
          <a:off x="1095375" y="13811250"/>
          <a:ext cx="85725" cy="161925"/>
        </a:xfrm>
        <a:prstGeom prst="rect">
          <a:avLst/>
        </a:prstGeom>
        <a:solidFill>
          <a:srgbClr val="969696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31</xdr:row>
      <xdr:rowOff>180975</xdr:rowOff>
    </xdr:from>
    <xdr:to>
      <xdr:col>2</xdr:col>
      <xdr:colOff>104775</xdr:colOff>
      <xdr:row>32</xdr:row>
      <xdr:rowOff>57150</xdr:rowOff>
    </xdr:to>
    <xdr:sp macro="" textlink="">
      <xdr:nvSpPr>
        <xdr:cNvPr id="4377149" name="Rectangle 62">
          <a:extLst>
            <a:ext uri="{FF2B5EF4-FFF2-40B4-BE49-F238E27FC236}">
              <a16:creationId xmlns="" xmlns:a16="http://schemas.microsoft.com/office/drawing/2014/main" id="{00000000-0008-0000-0C00-00003DCA4200}"/>
            </a:ext>
          </a:extLst>
        </xdr:cNvPr>
        <xdr:cNvSpPr>
          <a:spLocks noChangeArrowheads="1"/>
        </xdr:cNvSpPr>
      </xdr:nvSpPr>
      <xdr:spPr bwMode="auto">
        <a:xfrm>
          <a:off x="1095375" y="11049000"/>
          <a:ext cx="95250" cy="200025"/>
        </a:xfrm>
        <a:prstGeom prst="rect">
          <a:avLst/>
        </a:prstGeom>
        <a:solidFill>
          <a:srgbClr val="969696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571500</xdr:colOff>
      <xdr:row>32</xdr:row>
      <xdr:rowOff>104775</xdr:rowOff>
    </xdr:from>
    <xdr:to>
      <xdr:col>2</xdr:col>
      <xdr:colOff>38100</xdr:colOff>
      <xdr:row>44</xdr:row>
      <xdr:rowOff>47625</xdr:rowOff>
    </xdr:to>
    <xdr:sp macro="" textlink="">
      <xdr:nvSpPr>
        <xdr:cNvPr id="4377150" name="Line 63">
          <a:extLst>
            <a:ext uri="{FF2B5EF4-FFF2-40B4-BE49-F238E27FC236}">
              <a16:creationId xmlns="" xmlns:a16="http://schemas.microsoft.com/office/drawing/2014/main" id="{00000000-0008-0000-0C00-00003ECA4200}"/>
            </a:ext>
          </a:extLst>
        </xdr:cNvPr>
        <xdr:cNvSpPr>
          <a:spLocks noChangeShapeType="1"/>
        </xdr:cNvSpPr>
      </xdr:nvSpPr>
      <xdr:spPr bwMode="auto">
        <a:xfrm flipH="1">
          <a:off x="866775" y="11296650"/>
          <a:ext cx="257175" cy="3829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590550</xdr:colOff>
      <xdr:row>40</xdr:row>
      <xdr:rowOff>180975</xdr:rowOff>
    </xdr:from>
    <xdr:to>
      <xdr:col>2</xdr:col>
      <xdr:colOff>57150</xdr:colOff>
      <xdr:row>44</xdr:row>
      <xdr:rowOff>28575</xdr:rowOff>
    </xdr:to>
    <xdr:sp macro="" textlink="">
      <xdr:nvSpPr>
        <xdr:cNvPr id="4377151" name="Line 64">
          <a:extLst>
            <a:ext uri="{FF2B5EF4-FFF2-40B4-BE49-F238E27FC236}">
              <a16:creationId xmlns="" xmlns:a16="http://schemas.microsoft.com/office/drawing/2014/main" id="{00000000-0008-0000-0C00-00003FCA4200}"/>
            </a:ext>
          </a:extLst>
        </xdr:cNvPr>
        <xdr:cNvSpPr>
          <a:spLocks noChangeShapeType="1"/>
        </xdr:cNvSpPr>
      </xdr:nvSpPr>
      <xdr:spPr bwMode="auto">
        <a:xfrm flipH="1">
          <a:off x="885825" y="13963650"/>
          <a:ext cx="257175" cy="1143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542925</xdr:colOff>
      <xdr:row>44</xdr:row>
      <xdr:rowOff>38100</xdr:rowOff>
    </xdr:from>
    <xdr:to>
      <xdr:col>4</xdr:col>
      <xdr:colOff>57150</xdr:colOff>
      <xdr:row>44</xdr:row>
      <xdr:rowOff>38100</xdr:rowOff>
    </xdr:to>
    <xdr:sp macro="" textlink="">
      <xdr:nvSpPr>
        <xdr:cNvPr id="4377152" name="Line 65">
          <a:extLst>
            <a:ext uri="{FF2B5EF4-FFF2-40B4-BE49-F238E27FC236}">
              <a16:creationId xmlns="" xmlns:a16="http://schemas.microsoft.com/office/drawing/2014/main" id="{00000000-0008-0000-0C00-000040CA4200}"/>
            </a:ext>
          </a:extLst>
        </xdr:cNvPr>
        <xdr:cNvSpPr>
          <a:spLocks noChangeShapeType="1"/>
        </xdr:cNvSpPr>
      </xdr:nvSpPr>
      <xdr:spPr bwMode="auto">
        <a:xfrm flipH="1">
          <a:off x="838200" y="15116175"/>
          <a:ext cx="2143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45</xdr:row>
      <xdr:rowOff>152400</xdr:rowOff>
    </xdr:from>
    <xdr:to>
      <xdr:col>23</xdr:col>
      <xdr:colOff>0</xdr:colOff>
      <xdr:row>47</xdr:row>
      <xdr:rowOff>104775</xdr:rowOff>
    </xdr:to>
    <xdr:grpSp>
      <xdr:nvGrpSpPr>
        <xdr:cNvPr id="4377153" name="Group 66">
          <a:extLst>
            <a:ext uri="{FF2B5EF4-FFF2-40B4-BE49-F238E27FC236}">
              <a16:creationId xmlns="" xmlns:a16="http://schemas.microsoft.com/office/drawing/2014/main" id="{00000000-0008-0000-0C00-000041CA4200}"/>
            </a:ext>
          </a:extLst>
        </xdr:cNvPr>
        <xdr:cNvGrpSpPr>
          <a:grpSpLocks/>
        </xdr:cNvGrpSpPr>
      </xdr:nvGrpSpPr>
      <xdr:grpSpPr bwMode="auto">
        <a:xfrm>
          <a:off x="16544925" y="15554325"/>
          <a:ext cx="5172075" cy="600075"/>
          <a:chOff x="2047" y="332"/>
          <a:chExt cx="445" cy="63"/>
        </a:xfrm>
      </xdr:grpSpPr>
      <xdr:sp macro="" textlink="">
        <xdr:nvSpPr>
          <xdr:cNvPr id="4377324" name="Line 67">
            <a:extLst>
              <a:ext uri="{FF2B5EF4-FFF2-40B4-BE49-F238E27FC236}">
                <a16:creationId xmlns="" xmlns:a16="http://schemas.microsoft.com/office/drawing/2014/main" id="{00000000-0008-0000-0C00-0000ECCA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47" y="332"/>
            <a:ext cx="0" cy="6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7325" name="Line 68">
            <a:extLst>
              <a:ext uri="{FF2B5EF4-FFF2-40B4-BE49-F238E27FC236}">
                <a16:creationId xmlns="" xmlns:a16="http://schemas.microsoft.com/office/drawing/2014/main" id="{00000000-0008-0000-0C00-0000EDCA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492" y="332"/>
            <a:ext cx="0" cy="6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7326" name="Line 69">
            <a:extLst>
              <a:ext uri="{FF2B5EF4-FFF2-40B4-BE49-F238E27FC236}">
                <a16:creationId xmlns="" xmlns:a16="http://schemas.microsoft.com/office/drawing/2014/main" id="{00000000-0008-0000-0C00-0000EECA4200}"/>
              </a:ext>
            </a:extLst>
          </xdr:cNvPr>
          <xdr:cNvSpPr>
            <a:spLocks noChangeShapeType="1"/>
          </xdr:cNvSpPr>
        </xdr:nvSpPr>
        <xdr:spPr bwMode="auto">
          <a:xfrm>
            <a:off x="2047" y="350"/>
            <a:ext cx="44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24</xdr:col>
      <xdr:colOff>942975</xdr:colOff>
      <xdr:row>19</xdr:row>
      <xdr:rowOff>123825</xdr:rowOff>
    </xdr:from>
    <xdr:to>
      <xdr:col>30</xdr:col>
      <xdr:colOff>0</xdr:colOff>
      <xdr:row>19</xdr:row>
      <xdr:rowOff>200025</xdr:rowOff>
    </xdr:to>
    <xdr:sp macro="" textlink="">
      <xdr:nvSpPr>
        <xdr:cNvPr id="4377154" name="Rectangle 70">
          <a:extLst>
            <a:ext uri="{FF2B5EF4-FFF2-40B4-BE49-F238E27FC236}">
              <a16:creationId xmlns="" xmlns:a16="http://schemas.microsoft.com/office/drawing/2014/main" id="{00000000-0008-0000-0C00-000042CA4200}"/>
            </a:ext>
          </a:extLst>
        </xdr:cNvPr>
        <xdr:cNvSpPr>
          <a:spLocks noChangeArrowheads="1"/>
        </xdr:cNvSpPr>
      </xdr:nvSpPr>
      <xdr:spPr bwMode="auto">
        <a:xfrm>
          <a:off x="22621875" y="7105650"/>
          <a:ext cx="5105400" cy="76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25</xdr:col>
      <xdr:colOff>647700</xdr:colOff>
      <xdr:row>18</xdr:row>
      <xdr:rowOff>161925</xdr:rowOff>
    </xdr:from>
    <xdr:to>
      <xdr:col>26</xdr:col>
      <xdr:colOff>9525</xdr:colOff>
      <xdr:row>19</xdr:row>
      <xdr:rowOff>95250</xdr:rowOff>
    </xdr:to>
    <xdr:sp macro="" textlink="">
      <xdr:nvSpPr>
        <xdr:cNvPr id="4377155" name="Freeform 71">
          <a:extLst>
            <a:ext uri="{FF2B5EF4-FFF2-40B4-BE49-F238E27FC236}">
              <a16:creationId xmlns="" xmlns:a16="http://schemas.microsoft.com/office/drawing/2014/main" id="{00000000-0008-0000-0C00-000043CA4200}"/>
            </a:ext>
          </a:extLst>
        </xdr:cNvPr>
        <xdr:cNvSpPr>
          <a:spLocks/>
        </xdr:cNvSpPr>
      </xdr:nvSpPr>
      <xdr:spPr bwMode="auto">
        <a:xfrm>
          <a:off x="23269575" y="6819900"/>
          <a:ext cx="352425" cy="257175"/>
        </a:xfrm>
        <a:custGeom>
          <a:avLst/>
          <a:gdLst>
            <a:gd name="T0" fmla="*/ 2147483647 w 38"/>
            <a:gd name="T1" fmla="*/ 0 h 29"/>
            <a:gd name="T2" fmla="*/ 0 w 38"/>
            <a:gd name="T3" fmla="*/ 0 h 29"/>
            <a:gd name="T4" fmla="*/ 2147483647 w 38"/>
            <a:gd name="T5" fmla="*/ 2147483647 h 29"/>
            <a:gd name="T6" fmla="*/ 2147483647 w 38"/>
            <a:gd name="T7" fmla="*/ 2147483647 h 29"/>
            <a:gd name="T8" fmla="*/ 2147483647 w 38"/>
            <a:gd name="T9" fmla="*/ 2147483647 h 29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38"/>
            <a:gd name="T16" fmla="*/ 0 h 29"/>
            <a:gd name="T17" fmla="*/ 38 w 38"/>
            <a:gd name="T18" fmla="*/ 29 h 29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38" h="29">
              <a:moveTo>
                <a:pt x="37" y="0"/>
              </a:moveTo>
              <a:lnTo>
                <a:pt x="0" y="0"/>
              </a:lnTo>
              <a:lnTo>
                <a:pt x="25" y="15"/>
              </a:lnTo>
              <a:lnTo>
                <a:pt x="1" y="29"/>
              </a:lnTo>
              <a:lnTo>
                <a:pt x="38" y="2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390525</xdr:colOff>
      <xdr:row>18</xdr:row>
      <xdr:rowOff>161925</xdr:rowOff>
    </xdr:from>
    <xdr:to>
      <xdr:col>27</xdr:col>
      <xdr:colOff>742950</xdr:colOff>
      <xdr:row>19</xdr:row>
      <xdr:rowOff>95250</xdr:rowOff>
    </xdr:to>
    <xdr:sp macro="" textlink="">
      <xdr:nvSpPr>
        <xdr:cNvPr id="4377156" name="Freeform 72">
          <a:extLst>
            <a:ext uri="{FF2B5EF4-FFF2-40B4-BE49-F238E27FC236}">
              <a16:creationId xmlns="" xmlns:a16="http://schemas.microsoft.com/office/drawing/2014/main" id="{00000000-0008-0000-0C00-000044CA4200}"/>
            </a:ext>
          </a:extLst>
        </xdr:cNvPr>
        <xdr:cNvSpPr>
          <a:spLocks/>
        </xdr:cNvSpPr>
      </xdr:nvSpPr>
      <xdr:spPr bwMode="auto">
        <a:xfrm>
          <a:off x="25031700" y="6819900"/>
          <a:ext cx="352425" cy="257175"/>
        </a:xfrm>
        <a:custGeom>
          <a:avLst/>
          <a:gdLst>
            <a:gd name="T0" fmla="*/ 2147483647 w 38"/>
            <a:gd name="T1" fmla="*/ 0 h 29"/>
            <a:gd name="T2" fmla="*/ 0 w 38"/>
            <a:gd name="T3" fmla="*/ 0 h 29"/>
            <a:gd name="T4" fmla="*/ 2147483647 w 38"/>
            <a:gd name="T5" fmla="*/ 2147483647 h 29"/>
            <a:gd name="T6" fmla="*/ 2147483647 w 38"/>
            <a:gd name="T7" fmla="*/ 2147483647 h 29"/>
            <a:gd name="T8" fmla="*/ 2147483647 w 38"/>
            <a:gd name="T9" fmla="*/ 2147483647 h 29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38"/>
            <a:gd name="T16" fmla="*/ 0 h 29"/>
            <a:gd name="T17" fmla="*/ 38 w 38"/>
            <a:gd name="T18" fmla="*/ 29 h 29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38" h="29">
              <a:moveTo>
                <a:pt x="37" y="0"/>
              </a:moveTo>
              <a:lnTo>
                <a:pt x="0" y="0"/>
              </a:lnTo>
              <a:lnTo>
                <a:pt x="25" y="15"/>
              </a:lnTo>
              <a:lnTo>
                <a:pt x="1" y="29"/>
              </a:lnTo>
              <a:lnTo>
                <a:pt x="38" y="2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0</xdr:colOff>
      <xdr:row>18</xdr:row>
      <xdr:rowOff>161925</xdr:rowOff>
    </xdr:from>
    <xdr:to>
      <xdr:col>29</xdr:col>
      <xdr:colOff>352425</xdr:colOff>
      <xdr:row>19</xdr:row>
      <xdr:rowOff>95250</xdr:rowOff>
    </xdr:to>
    <xdr:sp macro="" textlink="">
      <xdr:nvSpPr>
        <xdr:cNvPr id="4377157" name="Freeform 73">
          <a:extLst>
            <a:ext uri="{FF2B5EF4-FFF2-40B4-BE49-F238E27FC236}">
              <a16:creationId xmlns="" xmlns:a16="http://schemas.microsoft.com/office/drawing/2014/main" id="{00000000-0008-0000-0C00-000045CA4200}"/>
            </a:ext>
          </a:extLst>
        </xdr:cNvPr>
        <xdr:cNvSpPr>
          <a:spLocks/>
        </xdr:cNvSpPr>
      </xdr:nvSpPr>
      <xdr:spPr bwMode="auto">
        <a:xfrm rot="-10782695">
          <a:off x="26689050" y="6819900"/>
          <a:ext cx="352425" cy="257175"/>
        </a:xfrm>
        <a:custGeom>
          <a:avLst/>
          <a:gdLst>
            <a:gd name="T0" fmla="*/ 2147483647 w 38"/>
            <a:gd name="T1" fmla="*/ 0 h 29"/>
            <a:gd name="T2" fmla="*/ 0 w 38"/>
            <a:gd name="T3" fmla="*/ 0 h 29"/>
            <a:gd name="T4" fmla="*/ 2147483647 w 38"/>
            <a:gd name="T5" fmla="*/ 2147483647 h 29"/>
            <a:gd name="T6" fmla="*/ 2147483647 w 38"/>
            <a:gd name="T7" fmla="*/ 2147483647 h 29"/>
            <a:gd name="T8" fmla="*/ 2147483647 w 38"/>
            <a:gd name="T9" fmla="*/ 2147483647 h 29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38"/>
            <a:gd name="T16" fmla="*/ 0 h 29"/>
            <a:gd name="T17" fmla="*/ 38 w 38"/>
            <a:gd name="T18" fmla="*/ 29 h 29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38" h="29">
              <a:moveTo>
                <a:pt x="37" y="0"/>
              </a:moveTo>
              <a:lnTo>
                <a:pt x="0" y="0"/>
              </a:lnTo>
              <a:lnTo>
                <a:pt x="25" y="15"/>
              </a:lnTo>
              <a:lnTo>
                <a:pt x="1" y="29"/>
              </a:lnTo>
              <a:lnTo>
                <a:pt x="38" y="2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190500</xdr:colOff>
      <xdr:row>22</xdr:row>
      <xdr:rowOff>171450</xdr:rowOff>
    </xdr:from>
    <xdr:to>
      <xdr:col>22</xdr:col>
      <xdr:colOff>742950</xdr:colOff>
      <xdr:row>28</xdr:row>
      <xdr:rowOff>9525</xdr:rowOff>
    </xdr:to>
    <xdr:grpSp>
      <xdr:nvGrpSpPr>
        <xdr:cNvPr id="4377158" name="Group 74">
          <a:extLst>
            <a:ext uri="{FF2B5EF4-FFF2-40B4-BE49-F238E27FC236}">
              <a16:creationId xmlns="" xmlns:a16="http://schemas.microsoft.com/office/drawing/2014/main" id="{00000000-0008-0000-0C00-000046CA4200}"/>
            </a:ext>
          </a:extLst>
        </xdr:cNvPr>
        <xdr:cNvGrpSpPr>
          <a:grpSpLocks/>
        </xdr:cNvGrpSpPr>
      </xdr:nvGrpSpPr>
      <xdr:grpSpPr bwMode="auto">
        <a:xfrm>
          <a:off x="16735425" y="8124825"/>
          <a:ext cx="4733925" cy="1781175"/>
          <a:chOff x="2080" y="433"/>
          <a:chExt cx="362" cy="159"/>
        </a:xfrm>
      </xdr:grpSpPr>
      <xdr:sp macro="" textlink="">
        <xdr:nvSpPr>
          <xdr:cNvPr id="4377322" name="Line 75">
            <a:extLst>
              <a:ext uri="{FF2B5EF4-FFF2-40B4-BE49-F238E27FC236}">
                <a16:creationId xmlns="" xmlns:a16="http://schemas.microsoft.com/office/drawing/2014/main" id="{00000000-0008-0000-0C00-0000EACA4200}"/>
              </a:ext>
            </a:extLst>
          </xdr:cNvPr>
          <xdr:cNvSpPr>
            <a:spLocks noChangeShapeType="1"/>
          </xdr:cNvSpPr>
        </xdr:nvSpPr>
        <xdr:spPr bwMode="auto">
          <a:xfrm>
            <a:off x="2080" y="592"/>
            <a:ext cx="36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7323" name="Line 76">
            <a:extLst>
              <a:ext uri="{FF2B5EF4-FFF2-40B4-BE49-F238E27FC236}">
                <a16:creationId xmlns="" xmlns:a16="http://schemas.microsoft.com/office/drawing/2014/main" id="{00000000-0008-0000-0C00-0000EBCA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80" y="433"/>
            <a:ext cx="28" cy="15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</xdr:grpSp>
    <xdr:clientData/>
  </xdr:twoCellAnchor>
  <xdr:twoCellAnchor>
    <xdr:from>
      <xdr:col>4</xdr:col>
      <xdr:colOff>85725</xdr:colOff>
      <xdr:row>37</xdr:row>
      <xdr:rowOff>219075</xdr:rowOff>
    </xdr:from>
    <xdr:to>
      <xdr:col>5</xdr:col>
      <xdr:colOff>19050</xdr:colOff>
      <xdr:row>38</xdr:row>
      <xdr:rowOff>47625</xdr:rowOff>
    </xdr:to>
    <xdr:grpSp>
      <xdr:nvGrpSpPr>
        <xdr:cNvPr id="4377159" name="Group 77">
          <a:extLst>
            <a:ext uri="{FF2B5EF4-FFF2-40B4-BE49-F238E27FC236}">
              <a16:creationId xmlns="" xmlns:a16="http://schemas.microsoft.com/office/drawing/2014/main" id="{00000000-0008-0000-0C00-000047CA4200}"/>
            </a:ext>
          </a:extLst>
        </xdr:cNvPr>
        <xdr:cNvGrpSpPr>
          <a:grpSpLocks/>
        </xdr:cNvGrpSpPr>
      </xdr:nvGrpSpPr>
      <xdr:grpSpPr bwMode="auto">
        <a:xfrm>
          <a:off x="3009900" y="13030200"/>
          <a:ext cx="1095375" cy="152400"/>
          <a:chOff x="273" y="1084"/>
          <a:chExt cx="83" cy="17"/>
        </a:xfrm>
      </xdr:grpSpPr>
      <xdr:sp macro="" textlink="">
        <xdr:nvSpPr>
          <xdr:cNvPr id="4377319" name="Line 78">
            <a:extLst>
              <a:ext uri="{FF2B5EF4-FFF2-40B4-BE49-F238E27FC236}">
                <a16:creationId xmlns="" xmlns:a16="http://schemas.microsoft.com/office/drawing/2014/main" id="{00000000-0008-0000-0C00-0000E7CA4200}"/>
              </a:ext>
            </a:extLst>
          </xdr:cNvPr>
          <xdr:cNvSpPr>
            <a:spLocks noChangeShapeType="1"/>
          </xdr:cNvSpPr>
        </xdr:nvSpPr>
        <xdr:spPr bwMode="auto">
          <a:xfrm>
            <a:off x="273" y="1101"/>
            <a:ext cx="6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7320" name="Arc 79">
            <a:extLst>
              <a:ext uri="{FF2B5EF4-FFF2-40B4-BE49-F238E27FC236}">
                <a16:creationId xmlns="" xmlns:a16="http://schemas.microsoft.com/office/drawing/2014/main" id="{00000000-0008-0000-0C00-0000E8CA4200}"/>
              </a:ext>
            </a:extLst>
          </xdr:cNvPr>
          <xdr:cNvSpPr>
            <a:spLocks/>
          </xdr:cNvSpPr>
        </xdr:nvSpPr>
        <xdr:spPr bwMode="auto">
          <a:xfrm flipV="1">
            <a:off x="340" y="1092"/>
            <a:ext cx="11" cy="9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7321" name="Oval 80">
            <a:extLst>
              <a:ext uri="{FF2B5EF4-FFF2-40B4-BE49-F238E27FC236}">
                <a16:creationId xmlns="" xmlns:a16="http://schemas.microsoft.com/office/drawing/2014/main" id="{00000000-0008-0000-0C00-0000E9CA4200}"/>
              </a:ext>
            </a:extLst>
          </xdr:cNvPr>
          <xdr:cNvSpPr>
            <a:spLocks noChangeArrowheads="1"/>
          </xdr:cNvSpPr>
        </xdr:nvSpPr>
        <xdr:spPr bwMode="auto">
          <a:xfrm>
            <a:off x="343" y="1084"/>
            <a:ext cx="13" cy="8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76200</xdr:colOff>
      <xdr:row>36</xdr:row>
      <xdr:rowOff>0</xdr:rowOff>
    </xdr:from>
    <xdr:to>
      <xdr:col>5</xdr:col>
      <xdr:colOff>9525</xdr:colOff>
      <xdr:row>36</xdr:row>
      <xdr:rowOff>219075</xdr:rowOff>
    </xdr:to>
    <xdr:grpSp>
      <xdr:nvGrpSpPr>
        <xdr:cNvPr id="4377160" name="Group 81">
          <a:extLst>
            <a:ext uri="{FF2B5EF4-FFF2-40B4-BE49-F238E27FC236}">
              <a16:creationId xmlns="" xmlns:a16="http://schemas.microsoft.com/office/drawing/2014/main" id="{00000000-0008-0000-0C00-000048CA4200}"/>
            </a:ext>
          </a:extLst>
        </xdr:cNvPr>
        <xdr:cNvGrpSpPr>
          <a:grpSpLocks/>
        </xdr:cNvGrpSpPr>
      </xdr:nvGrpSpPr>
      <xdr:grpSpPr bwMode="auto">
        <a:xfrm>
          <a:off x="3000375" y="12487275"/>
          <a:ext cx="1095375" cy="219075"/>
          <a:chOff x="274" y="1019"/>
          <a:chExt cx="83" cy="23"/>
        </a:xfrm>
      </xdr:grpSpPr>
      <xdr:sp macro="" textlink="">
        <xdr:nvSpPr>
          <xdr:cNvPr id="4377316" name="Line 82">
            <a:extLst>
              <a:ext uri="{FF2B5EF4-FFF2-40B4-BE49-F238E27FC236}">
                <a16:creationId xmlns="" xmlns:a16="http://schemas.microsoft.com/office/drawing/2014/main" id="{00000000-0008-0000-0C00-0000E4CA4200}"/>
              </a:ext>
            </a:extLst>
          </xdr:cNvPr>
          <xdr:cNvSpPr>
            <a:spLocks noChangeShapeType="1"/>
          </xdr:cNvSpPr>
        </xdr:nvSpPr>
        <xdr:spPr bwMode="auto">
          <a:xfrm>
            <a:off x="274" y="1019"/>
            <a:ext cx="6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7317" name="Arc 83">
            <a:extLst>
              <a:ext uri="{FF2B5EF4-FFF2-40B4-BE49-F238E27FC236}">
                <a16:creationId xmlns="" xmlns:a16="http://schemas.microsoft.com/office/drawing/2014/main" id="{00000000-0008-0000-0C00-0000E5CA4200}"/>
              </a:ext>
            </a:extLst>
          </xdr:cNvPr>
          <xdr:cNvSpPr>
            <a:spLocks/>
          </xdr:cNvSpPr>
        </xdr:nvSpPr>
        <xdr:spPr bwMode="auto">
          <a:xfrm>
            <a:off x="339" y="1019"/>
            <a:ext cx="14" cy="1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7318" name="Oval 84">
            <a:extLst>
              <a:ext uri="{FF2B5EF4-FFF2-40B4-BE49-F238E27FC236}">
                <a16:creationId xmlns="" xmlns:a16="http://schemas.microsoft.com/office/drawing/2014/main" id="{00000000-0008-0000-0C00-0000E6CA4200}"/>
              </a:ext>
            </a:extLst>
          </xdr:cNvPr>
          <xdr:cNvSpPr>
            <a:spLocks noChangeArrowheads="1"/>
          </xdr:cNvSpPr>
        </xdr:nvSpPr>
        <xdr:spPr bwMode="auto">
          <a:xfrm>
            <a:off x="346" y="1034"/>
            <a:ext cx="11" cy="8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21</xdr:col>
      <xdr:colOff>0</xdr:colOff>
      <xdr:row>43</xdr:row>
      <xdr:rowOff>28575</xdr:rowOff>
    </xdr:from>
    <xdr:to>
      <xdr:col>22</xdr:col>
      <xdr:colOff>523875</xdr:colOff>
      <xdr:row>43</xdr:row>
      <xdr:rowOff>28575</xdr:rowOff>
    </xdr:to>
    <xdr:sp macro="" textlink="">
      <xdr:nvSpPr>
        <xdr:cNvPr id="4377161" name="Line 85">
          <a:extLst>
            <a:ext uri="{FF2B5EF4-FFF2-40B4-BE49-F238E27FC236}">
              <a16:creationId xmlns="" xmlns:a16="http://schemas.microsoft.com/office/drawing/2014/main" id="{00000000-0008-0000-0C00-000049CA4200}"/>
            </a:ext>
          </a:extLst>
        </xdr:cNvPr>
        <xdr:cNvSpPr>
          <a:spLocks noChangeShapeType="1"/>
        </xdr:cNvSpPr>
      </xdr:nvSpPr>
      <xdr:spPr bwMode="auto">
        <a:xfrm>
          <a:off x="19202400" y="14782800"/>
          <a:ext cx="2047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504825</xdr:colOff>
      <xdr:row>40</xdr:row>
      <xdr:rowOff>28575</xdr:rowOff>
    </xdr:from>
    <xdr:to>
      <xdr:col>22</xdr:col>
      <xdr:colOff>619125</xdr:colOff>
      <xdr:row>43</xdr:row>
      <xdr:rowOff>57150</xdr:rowOff>
    </xdr:to>
    <xdr:sp macro="" textlink="">
      <xdr:nvSpPr>
        <xdr:cNvPr id="4377162" name="Line 86">
          <a:extLst>
            <a:ext uri="{FF2B5EF4-FFF2-40B4-BE49-F238E27FC236}">
              <a16:creationId xmlns="" xmlns:a16="http://schemas.microsoft.com/office/drawing/2014/main" id="{00000000-0008-0000-0C00-00004ACA4200}"/>
            </a:ext>
          </a:extLst>
        </xdr:cNvPr>
        <xdr:cNvSpPr>
          <a:spLocks noChangeShapeType="1"/>
        </xdr:cNvSpPr>
      </xdr:nvSpPr>
      <xdr:spPr bwMode="auto">
        <a:xfrm flipH="1">
          <a:off x="21231225" y="13811250"/>
          <a:ext cx="114300" cy="1000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257175</xdr:colOff>
      <xdr:row>39</xdr:row>
      <xdr:rowOff>190500</xdr:rowOff>
    </xdr:from>
    <xdr:to>
      <xdr:col>22</xdr:col>
      <xdr:colOff>704850</xdr:colOff>
      <xdr:row>39</xdr:row>
      <xdr:rowOff>266700</xdr:rowOff>
    </xdr:to>
    <xdr:sp macro="" textlink="">
      <xdr:nvSpPr>
        <xdr:cNvPr id="4377163" name="Rectangle 87">
          <a:extLst>
            <a:ext uri="{FF2B5EF4-FFF2-40B4-BE49-F238E27FC236}">
              <a16:creationId xmlns="" xmlns:a16="http://schemas.microsoft.com/office/drawing/2014/main" id="{00000000-0008-0000-0C00-00004BCA4200}"/>
            </a:ext>
          </a:extLst>
        </xdr:cNvPr>
        <xdr:cNvSpPr>
          <a:spLocks noChangeArrowheads="1"/>
        </xdr:cNvSpPr>
      </xdr:nvSpPr>
      <xdr:spPr bwMode="auto">
        <a:xfrm>
          <a:off x="20983575" y="13649325"/>
          <a:ext cx="447675" cy="76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447675</xdr:colOff>
      <xdr:row>22</xdr:row>
      <xdr:rowOff>114300</xdr:rowOff>
    </xdr:from>
    <xdr:to>
      <xdr:col>18</xdr:col>
      <xdr:colOff>657225</xdr:colOff>
      <xdr:row>22</xdr:row>
      <xdr:rowOff>228600</xdr:rowOff>
    </xdr:to>
    <xdr:sp macro="" textlink="">
      <xdr:nvSpPr>
        <xdr:cNvPr id="4377164" name="Rectangle 88" descr="10%">
          <a:extLst>
            <a:ext uri="{FF2B5EF4-FFF2-40B4-BE49-F238E27FC236}">
              <a16:creationId xmlns="" xmlns:a16="http://schemas.microsoft.com/office/drawing/2014/main" id="{00000000-0008-0000-0C00-00004CCA4200}"/>
            </a:ext>
          </a:extLst>
        </xdr:cNvPr>
        <xdr:cNvSpPr>
          <a:spLocks noChangeArrowheads="1"/>
        </xdr:cNvSpPr>
      </xdr:nvSpPr>
      <xdr:spPr bwMode="auto">
        <a:xfrm>
          <a:off x="16992600" y="8067675"/>
          <a:ext cx="209550" cy="114300"/>
        </a:xfrm>
        <a:prstGeom prst="rect">
          <a:avLst/>
        </a:prstGeom>
        <a:pattFill prst="pct10">
          <a:fgClr>
            <a:srgbClr val="000000"/>
          </a:fgClr>
          <a:bgClr>
            <a:srgbClr val="FFFFFF"/>
          </a:bgClr>
        </a:patt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0</xdr:colOff>
      <xdr:row>40</xdr:row>
      <xdr:rowOff>257175</xdr:rowOff>
    </xdr:from>
    <xdr:to>
      <xdr:col>3</xdr:col>
      <xdr:colOff>0</xdr:colOff>
      <xdr:row>41</xdr:row>
      <xdr:rowOff>38100</xdr:rowOff>
    </xdr:to>
    <xdr:sp macro="" textlink="">
      <xdr:nvSpPr>
        <xdr:cNvPr id="4377165" name="Oval 89">
          <a:extLst>
            <a:ext uri="{FF2B5EF4-FFF2-40B4-BE49-F238E27FC236}">
              <a16:creationId xmlns="" xmlns:a16="http://schemas.microsoft.com/office/drawing/2014/main" id="{00000000-0008-0000-0C00-00004DCA4200}"/>
            </a:ext>
          </a:extLst>
        </xdr:cNvPr>
        <xdr:cNvSpPr>
          <a:spLocks noChangeArrowheads="1"/>
        </xdr:cNvSpPr>
      </xdr:nvSpPr>
      <xdr:spPr bwMode="auto">
        <a:xfrm flipH="1">
          <a:off x="1933575" y="14039850"/>
          <a:ext cx="0" cy="1047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1133475</xdr:colOff>
      <xdr:row>30</xdr:row>
      <xdr:rowOff>0</xdr:rowOff>
    </xdr:from>
    <xdr:to>
      <xdr:col>3</xdr:col>
      <xdr:colOff>1152525</xdr:colOff>
      <xdr:row>42</xdr:row>
      <xdr:rowOff>9525</xdr:rowOff>
    </xdr:to>
    <xdr:sp macro="" textlink="">
      <xdr:nvSpPr>
        <xdr:cNvPr id="4377166" name="Line 90">
          <a:extLst>
            <a:ext uri="{FF2B5EF4-FFF2-40B4-BE49-F238E27FC236}">
              <a16:creationId xmlns="" xmlns:a16="http://schemas.microsoft.com/office/drawing/2014/main" id="{00000000-0008-0000-0C00-00004ECA4200}"/>
            </a:ext>
          </a:extLst>
        </xdr:cNvPr>
        <xdr:cNvSpPr>
          <a:spLocks noChangeShapeType="1"/>
        </xdr:cNvSpPr>
      </xdr:nvSpPr>
      <xdr:spPr bwMode="auto">
        <a:xfrm flipH="1">
          <a:off x="2924175" y="10544175"/>
          <a:ext cx="0" cy="389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76200</xdr:colOff>
      <xdr:row>32</xdr:row>
      <xdr:rowOff>171450</xdr:rowOff>
    </xdr:from>
    <xdr:to>
      <xdr:col>12</xdr:col>
      <xdr:colOff>981075</xdr:colOff>
      <xdr:row>54</xdr:row>
      <xdr:rowOff>95250</xdr:rowOff>
    </xdr:to>
    <xdr:grpSp>
      <xdr:nvGrpSpPr>
        <xdr:cNvPr id="4377167" name="Group 91">
          <a:extLst>
            <a:ext uri="{FF2B5EF4-FFF2-40B4-BE49-F238E27FC236}">
              <a16:creationId xmlns="" xmlns:a16="http://schemas.microsoft.com/office/drawing/2014/main" id="{00000000-0008-0000-0C00-00004FCA4200}"/>
            </a:ext>
          </a:extLst>
        </xdr:cNvPr>
        <xdr:cNvGrpSpPr>
          <a:grpSpLocks noChangeAspect="1"/>
        </xdr:cNvGrpSpPr>
      </xdr:nvGrpSpPr>
      <xdr:grpSpPr bwMode="auto">
        <a:xfrm>
          <a:off x="6581775" y="11363325"/>
          <a:ext cx="5172075" cy="7048500"/>
          <a:chOff x="4674" y="1216"/>
          <a:chExt cx="544" cy="745"/>
        </a:xfrm>
      </xdr:grpSpPr>
      <xdr:sp macro="" textlink="">
        <xdr:nvSpPr>
          <xdr:cNvPr id="4377260" name="Line 92">
            <a:extLst>
              <a:ext uri="{FF2B5EF4-FFF2-40B4-BE49-F238E27FC236}">
                <a16:creationId xmlns="" xmlns:a16="http://schemas.microsoft.com/office/drawing/2014/main" id="{00000000-0008-0000-0C00-0000ACCA42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4826" y="1302"/>
            <a:ext cx="352" cy="0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61" name="Line 93">
            <a:extLst>
              <a:ext uri="{FF2B5EF4-FFF2-40B4-BE49-F238E27FC236}">
                <a16:creationId xmlns="" xmlns:a16="http://schemas.microsoft.com/office/drawing/2014/main" id="{00000000-0008-0000-0C00-0000ADCA42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4874" y="1370"/>
            <a:ext cx="304" cy="0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62" name="Line 94">
            <a:extLst>
              <a:ext uri="{FF2B5EF4-FFF2-40B4-BE49-F238E27FC236}">
                <a16:creationId xmlns="" xmlns:a16="http://schemas.microsoft.com/office/drawing/2014/main" id="{00000000-0008-0000-0C00-0000AECA42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4858" y="1438"/>
            <a:ext cx="320" cy="0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63" name="Line 95">
            <a:extLst>
              <a:ext uri="{FF2B5EF4-FFF2-40B4-BE49-F238E27FC236}">
                <a16:creationId xmlns="" xmlns:a16="http://schemas.microsoft.com/office/drawing/2014/main" id="{00000000-0008-0000-0C00-0000AFCA42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4816" y="1880"/>
            <a:ext cx="354" cy="0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64" name="Line 96">
            <a:extLst>
              <a:ext uri="{FF2B5EF4-FFF2-40B4-BE49-F238E27FC236}">
                <a16:creationId xmlns="" xmlns:a16="http://schemas.microsoft.com/office/drawing/2014/main" id="{00000000-0008-0000-0C00-0000B0CA42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4876" y="1812"/>
            <a:ext cx="302" cy="0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65" name="Line 97">
            <a:extLst>
              <a:ext uri="{FF2B5EF4-FFF2-40B4-BE49-F238E27FC236}">
                <a16:creationId xmlns="" xmlns:a16="http://schemas.microsoft.com/office/drawing/2014/main" id="{00000000-0008-0000-0C00-0000B1CA42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4856" y="1744"/>
            <a:ext cx="330" cy="2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66" name="Line 98">
            <a:extLst>
              <a:ext uri="{FF2B5EF4-FFF2-40B4-BE49-F238E27FC236}">
                <a16:creationId xmlns="" xmlns:a16="http://schemas.microsoft.com/office/drawing/2014/main" id="{00000000-0008-0000-0C00-0000B2CA42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4838" y="1676"/>
            <a:ext cx="334" cy="2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67" name="Arc 99">
            <a:extLst>
              <a:ext uri="{FF2B5EF4-FFF2-40B4-BE49-F238E27FC236}">
                <a16:creationId xmlns="" xmlns:a16="http://schemas.microsoft.com/office/drawing/2014/main" id="{00000000-0008-0000-0C00-0000B3CA4200}"/>
              </a:ext>
            </a:extLst>
          </xdr:cNvPr>
          <xdr:cNvSpPr>
            <a:spLocks noChangeAspect="1"/>
          </xdr:cNvSpPr>
        </xdr:nvSpPr>
        <xdr:spPr bwMode="auto">
          <a:xfrm>
            <a:off x="5182" y="1302"/>
            <a:ext cx="34" cy="3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68" name="Arc 100">
            <a:extLst>
              <a:ext uri="{FF2B5EF4-FFF2-40B4-BE49-F238E27FC236}">
                <a16:creationId xmlns="" xmlns:a16="http://schemas.microsoft.com/office/drawing/2014/main" id="{00000000-0008-0000-0C00-0000B4CA4200}"/>
              </a:ext>
            </a:extLst>
          </xdr:cNvPr>
          <xdr:cNvSpPr>
            <a:spLocks noChangeAspect="1"/>
          </xdr:cNvSpPr>
        </xdr:nvSpPr>
        <xdr:spPr bwMode="auto">
          <a:xfrm>
            <a:off x="5182" y="1370"/>
            <a:ext cx="32" cy="3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69" name="Arc 101">
            <a:extLst>
              <a:ext uri="{FF2B5EF4-FFF2-40B4-BE49-F238E27FC236}">
                <a16:creationId xmlns="" xmlns:a16="http://schemas.microsoft.com/office/drawing/2014/main" id="{00000000-0008-0000-0C00-0000B5CA4200}"/>
              </a:ext>
            </a:extLst>
          </xdr:cNvPr>
          <xdr:cNvSpPr>
            <a:spLocks noChangeAspect="1"/>
          </xdr:cNvSpPr>
        </xdr:nvSpPr>
        <xdr:spPr bwMode="auto">
          <a:xfrm>
            <a:off x="5182" y="1438"/>
            <a:ext cx="32" cy="3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70" name="Arc 102">
            <a:extLst>
              <a:ext uri="{FF2B5EF4-FFF2-40B4-BE49-F238E27FC236}">
                <a16:creationId xmlns="" xmlns:a16="http://schemas.microsoft.com/office/drawing/2014/main" id="{00000000-0008-0000-0C00-0000B6CA4200}"/>
              </a:ext>
            </a:extLst>
          </xdr:cNvPr>
          <xdr:cNvSpPr>
            <a:spLocks noChangeAspect="1"/>
          </xdr:cNvSpPr>
        </xdr:nvSpPr>
        <xdr:spPr bwMode="auto">
          <a:xfrm flipV="1">
            <a:off x="5178" y="1644"/>
            <a:ext cx="40" cy="3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71" name="Arc 103">
            <a:extLst>
              <a:ext uri="{FF2B5EF4-FFF2-40B4-BE49-F238E27FC236}">
                <a16:creationId xmlns="" xmlns:a16="http://schemas.microsoft.com/office/drawing/2014/main" id="{00000000-0008-0000-0C00-0000B7CA4200}"/>
              </a:ext>
            </a:extLst>
          </xdr:cNvPr>
          <xdr:cNvSpPr>
            <a:spLocks noChangeAspect="1"/>
          </xdr:cNvSpPr>
        </xdr:nvSpPr>
        <xdr:spPr bwMode="auto">
          <a:xfrm flipV="1">
            <a:off x="5178" y="1712"/>
            <a:ext cx="38" cy="3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72" name="Arc 104">
            <a:extLst>
              <a:ext uri="{FF2B5EF4-FFF2-40B4-BE49-F238E27FC236}">
                <a16:creationId xmlns="" xmlns:a16="http://schemas.microsoft.com/office/drawing/2014/main" id="{00000000-0008-0000-0C00-0000B8CA4200}"/>
              </a:ext>
            </a:extLst>
          </xdr:cNvPr>
          <xdr:cNvSpPr>
            <a:spLocks noChangeAspect="1"/>
          </xdr:cNvSpPr>
        </xdr:nvSpPr>
        <xdr:spPr bwMode="auto">
          <a:xfrm flipV="1">
            <a:off x="5182" y="1784"/>
            <a:ext cx="36" cy="28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73" name="Arc 105">
            <a:extLst>
              <a:ext uri="{FF2B5EF4-FFF2-40B4-BE49-F238E27FC236}">
                <a16:creationId xmlns="" xmlns:a16="http://schemas.microsoft.com/office/drawing/2014/main" id="{00000000-0008-0000-0C00-0000B9CA4200}"/>
              </a:ext>
            </a:extLst>
          </xdr:cNvPr>
          <xdr:cNvSpPr>
            <a:spLocks noChangeAspect="1"/>
          </xdr:cNvSpPr>
        </xdr:nvSpPr>
        <xdr:spPr bwMode="auto">
          <a:xfrm flipV="1">
            <a:off x="5176" y="1846"/>
            <a:ext cx="40" cy="3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74" name="Line 106">
            <a:extLst>
              <a:ext uri="{FF2B5EF4-FFF2-40B4-BE49-F238E27FC236}">
                <a16:creationId xmlns="" xmlns:a16="http://schemas.microsoft.com/office/drawing/2014/main" id="{00000000-0008-0000-0C00-0000BACA42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4836" y="1506"/>
            <a:ext cx="352" cy="0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75" name="Arc 107">
            <a:extLst>
              <a:ext uri="{FF2B5EF4-FFF2-40B4-BE49-F238E27FC236}">
                <a16:creationId xmlns="" xmlns:a16="http://schemas.microsoft.com/office/drawing/2014/main" id="{00000000-0008-0000-0C00-0000BBCA4200}"/>
              </a:ext>
            </a:extLst>
          </xdr:cNvPr>
          <xdr:cNvSpPr>
            <a:spLocks noChangeAspect="1"/>
          </xdr:cNvSpPr>
        </xdr:nvSpPr>
        <xdr:spPr bwMode="auto">
          <a:xfrm>
            <a:off x="5186" y="1506"/>
            <a:ext cx="32" cy="3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76" name="Arc 108">
            <a:extLst>
              <a:ext uri="{FF2B5EF4-FFF2-40B4-BE49-F238E27FC236}">
                <a16:creationId xmlns="" xmlns:a16="http://schemas.microsoft.com/office/drawing/2014/main" id="{00000000-0008-0000-0C00-0000BCCA4200}"/>
              </a:ext>
            </a:extLst>
          </xdr:cNvPr>
          <xdr:cNvSpPr>
            <a:spLocks noChangeAspect="1"/>
          </xdr:cNvSpPr>
        </xdr:nvSpPr>
        <xdr:spPr bwMode="auto">
          <a:xfrm flipH="1">
            <a:off x="4792" y="1302"/>
            <a:ext cx="40" cy="3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77" name="Arc 109">
            <a:extLst>
              <a:ext uri="{FF2B5EF4-FFF2-40B4-BE49-F238E27FC236}">
                <a16:creationId xmlns="" xmlns:a16="http://schemas.microsoft.com/office/drawing/2014/main" id="{00000000-0008-0000-0C00-0000BDCA4200}"/>
              </a:ext>
            </a:extLst>
          </xdr:cNvPr>
          <xdr:cNvSpPr>
            <a:spLocks noChangeAspect="1"/>
          </xdr:cNvSpPr>
        </xdr:nvSpPr>
        <xdr:spPr bwMode="auto">
          <a:xfrm flipH="1" flipV="1">
            <a:off x="4766" y="1846"/>
            <a:ext cx="44" cy="3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78" name="Line 110">
            <a:extLst>
              <a:ext uri="{FF2B5EF4-FFF2-40B4-BE49-F238E27FC236}">
                <a16:creationId xmlns="" xmlns:a16="http://schemas.microsoft.com/office/drawing/2014/main" id="{00000000-0008-0000-0C00-0000BECA42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4790" y="1336"/>
            <a:ext cx="0" cy="560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79" name="Arc 111">
            <a:extLst>
              <a:ext uri="{FF2B5EF4-FFF2-40B4-BE49-F238E27FC236}">
                <a16:creationId xmlns="" xmlns:a16="http://schemas.microsoft.com/office/drawing/2014/main" id="{00000000-0008-0000-0C00-0000BFCA4200}"/>
              </a:ext>
            </a:extLst>
          </xdr:cNvPr>
          <xdr:cNvSpPr>
            <a:spLocks noChangeAspect="1"/>
          </xdr:cNvSpPr>
        </xdr:nvSpPr>
        <xdr:spPr bwMode="auto">
          <a:xfrm flipV="1">
            <a:off x="4754" y="1896"/>
            <a:ext cx="34" cy="30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80" name="Arc 112">
            <a:extLst>
              <a:ext uri="{FF2B5EF4-FFF2-40B4-BE49-F238E27FC236}">
                <a16:creationId xmlns="" xmlns:a16="http://schemas.microsoft.com/office/drawing/2014/main" id="{00000000-0008-0000-0C00-0000C0CA4200}"/>
              </a:ext>
            </a:extLst>
          </xdr:cNvPr>
          <xdr:cNvSpPr>
            <a:spLocks noChangeAspect="1"/>
          </xdr:cNvSpPr>
        </xdr:nvSpPr>
        <xdr:spPr bwMode="auto">
          <a:xfrm flipH="1">
            <a:off x="4844" y="1812"/>
            <a:ext cx="30" cy="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81" name="Arc 113">
            <a:extLst>
              <a:ext uri="{FF2B5EF4-FFF2-40B4-BE49-F238E27FC236}">
                <a16:creationId xmlns="" xmlns:a16="http://schemas.microsoft.com/office/drawing/2014/main" id="{00000000-0008-0000-0C00-0000C1CA4200}"/>
              </a:ext>
            </a:extLst>
          </xdr:cNvPr>
          <xdr:cNvSpPr>
            <a:spLocks noChangeAspect="1"/>
          </xdr:cNvSpPr>
        </xdr:nvSpPr>
        <xdr:spPr bwMode="auto">
          <a:xfrm flipH="1">
            <a:off x="4810" y="1676"/>
            <a:ext cx="62" cy="34"/>
          </a:xfrm>
          <a:custGeom>
            <a:avLst/>
            <a:gdLst>
              <a:gd name="T0" fmla="*/ 0 w 21600"/>
              <a:gd name="T1" fmla="*/ 0 h 18417"/>
              <a:gd name="T2" fmla="*/ 0 w 21600"/>
              <a:gd name="T3" fmla="*/ 0 h 18417"/>
              <a:gd name="T4" fmla="*/ 0 w 21600"/>
              <a:gd name="T5" fmla="*/ 0 h 18417"/>
              <a:gd name="T6" fmla="*/ 0 60000 65536"/>
              <a:gd name="T7" fmla="*/ 0 60000 65536"/>
              <a:gd name="T8" fmla="*/ 0 60000 65536"/>
              <a:gd name="T9" fmla="*/ 0 w 21600"/>
              <a:gd name="T10" fmla="*/ 0 h 18417"/>
              <a:gd name="T11" fmla="*/ 21600 w 21600"/>
              <a:gd name="T12" fmla="*/ 18417 h 18417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18417" fill="none" extrusionOk="0">
                <a:moveTo>
                  <a:pt x="11286" y="0"/>
                </a:moveTo>
                <a:cubicBezTo>
                  <a:pt x="17694" y="3927"/>
                  <a:pt x="21600" y="10902"/>
                  <a:pt x="21600" y="18417"/>
                </a:cubicBezTo>
              </a:path>
              <a:path w="21600" h="18417" stroke="0" extrusionOk="0">
                <a:moveTo>
                  <a:pt x="11286" y="0"/>
                </a:moveTo>
                <a:cubicBezTo>
                  <a:pt x="17694" y="3927"/>
                  <a:pt x="21600" y="10902"/>
                  <a:pt x="21600" y="18417"/>
                </a:cubicBezTo>
                <a:lnTo>
                  <a:pt x="0" y="18417"/>
                </a:lnTo>
                <a:lnTo>
                  <a:pt x="11286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82" name="Arc 114">
            <a:extLst>
              <a:ext uri="{FF2B5EF4-FFF2-40B4-BE49-F238E27FC236}">
                <a16:creationId xmlns="" xmlns:a16="http://schemas.microsoft.com/office/drawing/2014/main" id="{00000000-0008-0000-0C00-0000C2CA4200}"/>
              </a:ext>
            </a:extLst>
          </xdr:cNvPr>
          <xdr:cNvSpPr>
            <a:spLocks noChangeAspect="1"/>
          </xdr:cNvSpPr>
        </xdr:nvSpPr>
        <xdr:spPr bwMode="auto">
          <a:xfrm flipH="1">
            <a:off x="4828" y="1744"/>
            <a:ext cx="20" cy="3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83" name="Line 115">
            <a:extLst>
              <a:ext uri="{FF2B5EF4-FFF2-40B4-BE49-F238E27FC236}">
                <a16:creationId xmlns="" xmlns:a16="http://schemas.microsoft.com/office/drawing/2014/main" id="{00000000-0008-0000-0C00-0000C3CA4200}"/>
              </a:ext>
            </a:extLst>
          </xdr:cNvPr>
          <xdr:cNvSpPr>
            <a:spLocks noChangeAspect="1" noChangeShapeType="1"/>
          </xdr:cNvSpPr>
        </xdr:nvSpPr>
        <xdr:spPr bwMode="auto">
          <a:xfrm flipV="1">
            <a:off x="4768" y="1308"/>
            <a:ext cx="0" cy="538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84" name="Arc 116">
            <a:extLst>
              <a:ext uri="{FF2B5EF4-FFF2-40B4-BE49-F238E27FC236}">
                <a16:creationId xmlns="" xmlns:a16="http://schemas.microsoft.com/office/drawing/2014/main" id="{00000000-0008-0000-0C00-0000C4CA4200}"/>
              </a:ext>
            </a:extLst>
          </xdr:cNvPr>
          <xdr:cNvSpPr>
            <a:spLocks noChangeAspect="1"/>
          </xdr:cNvSpPr>
        </xdr:nvSpPr>
        <xdr:spPr bwMode="auto">
          <a:xfrm>
            <a:off x="4738" y="1280"/>
            <a:ext cx="32" cy="3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85" name="Arc 117">
            <a:extLst>
              <a:ext uri="{FF2B5EF4-FFF2-40B4-BE49-F238E27FC236}">
                <a16:creationId xmlns="" xmlns:a16="http://schemas.microsoft.com/office/drawing/2014/main" id="{00000000-0008-0000-0C00-0000C5CA4200}"/>
              </a:ext>
            </a:extLst>
          </xdr:cNvPr>
          <xdr:cNvSpPr>
            <a:spLocks noChangeAspect="1"/>
          </xdr:cNvSpPr>
        </xdr:nvSpPr>
        <xdr:spPr bwMode="auto">
          <a:xfrm flipH="1" flipV="1">
            <a:off x="4814" y="1472"/>
            <a:ext cx="26" cy="3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86" name="Arc 118">
            <a:extLst>
              <a:ext uri="{FF2B5EF4-FFF2-40B4-BE49-F238E27FC236}">
                <a16:creationId xmlns="" xmlns:a16="http://schemas.microsoft.com/office/drawing/2014/main" id="{00000000-0008-0000-0C00-0000C6CA4200}"/>
              </a:ext>
            </a:extLst>
          </xdr:cNvPr>
          <xdr:cNvSpPr>
            <a:spLocks noChangeAspect="1"/>
          </xdr:cNvSpPr>
        </xdr:nvSpPr>
        <xdr:spPr bwMode="auto">
          <a:xfrm flipH="1" flipV="1">
            <a:off x="4834" y="1404"/>
            <a:ext cx="22" cy="28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87" name="Arc 119">
            <a:extLst>
              <a:ext uri="{FF2B5EF4-FFF2-40B4-BE49-F238E27FC236}">
                <a16:creationId xmlns="" xmlns:a16="http://schemas.microsoft.com/office/drawing/2014/main" id="{00000000-0008-0000-0C00-0000C7CA4200}"/>
              </a:ext>
            </a:extLst>
          </xdr:cNvPr>
          <xdr:cNvSpPr>
            <a:spLocks noChangeAspect="1"/>
          </xdr:cNvSpPr>
        </xdr:nvSpPr>
        <xdr:spPr bwMode="auto">
          <a:xfrm flipH="1" flipV="1">
            <a:off x="4852" y="1330"/>
            <a:ext cx="25" cy="40"/>
          </a:xfrm>
          <a:custGeom>
            <a:avLst/>
            <a:gdLst>
              <a:gd name="T0" fmla="*/ 0 w 27166"/>
              <a:gd name="T1" fmla="*/ 0 h 21600"/>
              <a:gd name="T2" fmla="*/ 0 w 27166"/>
              <a:gd name="T3" fmla="*/ 0 h 21600"/>
              <a:gd name="T4" fmla="*/ 0 w 27166"/>
              <a:gd name="T5" fmla="*/ 0 h 21600"/>
              <a:gd name="T6" fmla="*/ 0 60000 65536"/>
              <a:gd name="T7" fmla="*/ 0 60000 65536"/>
              <a:gd name="T8" fmla="*/ 0 60000 65536"/>
              <a:gd name="T9" fmla="*/ 0 w 27166"/>
              <a:gd name="T10" fmla="*/ 0 h 21600"/>
              <a:gd name="T11" fmla="*/ 27166 w 27166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7166" h="21600" fill="none" extrusionOk="0">
                <a:moveTo>
                  <a:pt x="0" y="729"/>
                </a:moveTo>
                <a:cubicBezTo>
                  <a:pt x="1815" y="245"/>
                  <a:pt x="3686" y="-1"/>
                  <a:pt x="5566" y="0"/>
                </a:cubicBezTo>
                <a:cubicBezTo>
                  <a:pt x="17495" y="0"/>
                  <a:pt x="27166" y="9670"/>
                  <a:pt x="27166" y="21600"/>
                </a:cubicBezTo>
              </a:path>
              <a:path w="27166" h="21600" stroke="0" extrusionOk="0">
                <a:moveTo>
                  <a:pt x="0" y="729"/>
                </a:moveTo>
                <a:cubicBezTo>
                  <a:pt x="1815" y="245"/>
                  <a:pt x="3686" y="-1"/>
                  <a:pt x="5566" y="0"/>
                </a:cubicBezTo>
                <a:cubicBezTo>
                  <a:pt x="17495" y="0"/>
                  <a:pt x="27166" y="9670"/>
                  <a:pt x="27166" y="21600"/>
                </a:cubicBezTo>
                <a:lnTo>
                  <a:pt x="5566" y="21600"/>
                </a:lnTo>
                <a:lnTo>
                  <a:pt x="0" y="729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88" name="Line 120">
            <a:extLst>
              <a:ext uri="{FF2B5EF4-FFF2-40B4-BE49-F238E27FC236}">
                <a16:creationId xmlns="" xmlns:a16="http://schemas.microsoft.com/office/drawing/2014/main" id="{00000000-0008-0000-0C00-0000C8CA42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4844" y="1846"/>
            <a:ext cx="0" cy="84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89" name="Line 121">
            <a:extLst>
              <a:ext uri="{FF2B5EF4-FFF2-40B4-BE49-F238E27FC236}">
                <a16:creationId xmlns="" xmlns:a16="http://schemas.microsoft.com/office/drawing/2014/main" id="{00000000-0008-0000-0C00-0000C9CA42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4828" y="1772"/>
            <a:ext cx="0" cy="136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90" name="Line 122">
            <a:extLst>
              <a:ext uri="{FF2B5EF4-FFF2-40B4-BE49-F238E27FC236}">
                <a16:creationId xmlns="" xmlns:a16="http://schemas.microsoft.com/office/drawing/2014/main" id="{00000000-0008-0000-0C00-0000CACA42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4810" y="1710"/>
            <a:ext cx="0" cy="204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91" name="Arc 123">
            <a:extLst>
              <a:ext uri="{FF2B5EF4-FFF2-40B4-BE49-F238E27FC236}">
                <a16:creationId xmlns="" xmlns:a16="http://schemas.microsoft.com/office/drawing/2014/main" id="{00000000-0008-0000-0C00-0000CBCA4200}"/>
              </a:ext>
            </a:extLst>
          </xdr:cNvPr>
          <xdr:cNvSpPr>
            <a:spLocks noChangeAspect="1"/>
          </xdr:cNvSpPr>
        </xdr:nvSpPr>
        <xdr:spPr bwMode="auto">
          <a:xfrm flipV="1">
            <a:off x="4786" y="1914"/>
            <a:ext cx="24" cy="22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92" name="Arc 124">
            <a:extLst>
              <a:ext uri="{FF2B5EF4-FFF2-40B4-BE49-F238E27FC236}">
                <a16:creationId xmlns="" xmlns:a16="http://schemas.microsoft.com/office/drawing/2014/main" id="{00000000-0008-0000-0C00-0000CCCA4200}"/>
              </a:ext>
            </a:extLst>
          </xdr:cNvPr>
          <xdr:cNvSpPr>
            <a:spLocks noChangeAspect="1"/>
          </xdr:cNvSpPr>
        </xdr:nvSpPr>
        <xdr:spPr bwMode="auto">
          <a:xfrm flipV="1">
            <a:off x="4804" y="1914"/>
            <a:ext cx="24" cy="3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93" name="Arc 125">
            <a:extLst>
              <a:ext uri="{FF2B5EF4-FFF2-40B4-BE49-F238E27FC236}">
                <a16:creationId xmlns="" xmlns:a16="http://schemas.microsoft.com/office/drawing/2014/main" id="{00000000-0008-0000-0C00-0000CDCA4200}"/>
              </a:ext>
            </a:extLst>
          </xdr:cNvPr>
          <xdr:cNvSpPr>
            <a:spLocks noChangeAspect="1"/>
          </xdr:cNvSpPr>
        </xdr:nvSpPr>
        <xdr:spPr bwMode="auto">
          <a:xfrm flipV="1">
            <a:off x="4824" y="1922"/>
            <a:ext cx="20" cy="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94" name="Line 126">
            <a:extLst>
              <a:ext uri="{FF2B5EF4-FFF2-40B4-BE49-F238E27FC236}">
                <a16:creationId xmlns="" xmlns:a16="http://schemas.microsoft.com/office/drawing/2014/main" id="{00000000-0008-0000-0C00-0000CECA4200}"/>
              </a:ext>
            </a:extLst>
          </xdr:cNvPr>
          <xdr:cNvSpPr>
            <a:spLocks noChangeAspect="1" noChangeShapeType="1"/>
          </xdr:cNvSpPr>
        </xdr:nvSpPr>
        <xdr:spPr bwMode="auto">
          <a:xfrm flipH="1" flipV="1">
            <a:off x="4708" y="1958"/>
            <a:ext cx="118" cy="0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95" name="Line 127">
            <a:extLst>
              <a:ext uri="{FF2B5EF4-FFF2-40B4-BE49-F238E27FC236}">
                <a16:creationId xmlns="" xmlns:a16="http://schemas.microsoft.com/office/drawing/2014/main" id="{00000000-0008-0000-0C00-0000CFCA4200}"/>
              </a:ext>
            </a:extLst>
          </xdr:cNvPr>
          <xdr:cNvSpPr>
            <a:spLocks noChangeAspect="1" noChangeShapeType="1"/>
          </xdr:cNvSpPr>
        </xdr:nvSpPr>
        <xdr:spPr bwMode="auto">
          <a:xfrm flipH="1">
            <a:off x="4694" y="1948"/>
            <a:ext cx="112" cy="0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96" name="Line 128">
            <a:extLst>
              <a:ext uri="{FF2B5EF4-FFF2-40B4-BE49-F238E27FC236}">
                <a16:creationId xmlns="" xmlns:a16="http://schemas.microsoft.com/office/drawing/2014/main" id="{00000000-0008-0000-0C00-0000D0CA4200}"/>
              </a:ext>
            </a:extLst>
          </xdr:cNvPr>
          <xdr:cNvSpPr>
            <a:spLocks noChangeAspect="1" noChangeShapeType="1"/>
          </xdr:cNvSpPr>
        </xdr:nvSpPr>
        <xdr:spPr bwMode="auto">
          <a:xfrm flipH="1">
            <a:off x="4686" y="1936"/>
            <a:ext cx="100" cy="0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97" name="Line 129">
            <a:extLst>
              <a:ext uri="{FF2B5EF4-FFF2-40B4-BE49-F238E27FC236}">
                <a16:creationId xmlns="" xmlns:a16="http://schemas.microsoft.com/office/drawing/2014/main" id="{00000000-0008-0000-0C00-0000D1CA4200}"/>
              </a:ext>
            </a:extLst>
          </xdr:cNvPr>
          <xdr:cNvSpPr>
            <a:spLocks noChangeAspect="1" noChangeShapeType="1"/>
          </xdr:cNvSpPr>
        </xdr:nvSpPr>
        <xdr:spPr bwMode="auto">
          <a:xfrm flipH="1">
            <a:off x="4674" y="1926"/>
            <a:ext cx="82" cy="0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98" name="Line 130">
            <a:extLst>
              <a:ext uri="{FF2B5EF4-FFF2-40B4-BE49-F238E27FC236}">
                <a16:creationId xmlns="" xmlns:a16="http://schemas.microsoft.com/office/drawing/2014/main" id="{00000000-0008-0000-0C00-0000D2CA4200}"/>
              </a:ext>
            </a:extLst>
          </xdr:cNvPr>
          <xdr:cNvSpPr>
            <a:spLocks noChangeAspect="1" noChangeShapeType="1"/>
          </xdr:cNvSpPr>
        </xdr:nvSpPr>
        <xdr:spPr bwMode="auto">
          <a:xfrm flipH="1">
            <a:off x="4682" y="1280"/>
            <a:ext cx="58" cy="0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299" name="Line 131">
            <a:extLst>
              <a:ext uri="{FF2B5EF4-FFF2-40B4-BE49-F238E27FC236}">
                <a16:creationId xmlns="" xmlns:a16="http://schemas.microsoft.com/office/drawing/2014/main" id="{00000000-0008-0000-0C00-0000D3CA4200}"/>
              </a:ext>
            </a:extLst>
          </xdr:cNvPr>
          <xdr:cNvSpPr>
            <a:spLocks noChangeAspect="1" noChangeShapeType="1"/>
          </xdr:cNvSpPr>
        </xdr:nvSpPr>
        <xdr:spPr bwMode="auto">
          <a:xfrm flipV="1">
            <a:off x="4812" y="1286"/>
            <a:ext cx="0" cy="186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300" name="Arc 132">
            <a:extLst>
              <a:ext uri="{FF2B5EF4-FFF2-40B4-BE49-F238E27FC236}">
                <a16:creationId xmlns="" xmlns:a16="http://schemas.microsoft.com/office/drawing/2014/main" id="{00000000-0008-0000-0C00-0000D4CA4200}"/>
              </a:ext>
            </a:extLst>
          </xdr:cNvPr>
          <xdr:cNvSpPr>
            <a:spLocks noChangeAspect="1"/>
          </xdr:cNvSpPr>
        </xdr:nvSpPr>
        <xdr:spPr bwMode="auto">
          <a:xfrm>
            <a:off x="4784" y="1268"/>
            <a:ext cx="30" cy="28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301" name="Line 133">
            <a:extLst>
              <a:ext uri="{FF2B5EF4-FFF2-40B4-BE49-F238E27FC236}">
                <a16:creationId xmlns="" xmlns:a16="http://schemas.microsoft.com/office/drawing/2014/main" id="{00000000-0008-0000-0C00-0000D5CA4200}"/>
              </a:ext>
            </a:extLst>
          </xdr:cNvPr>
          <xdr:cNvSpPr>
            <a:spLocks noChangeAspect="1" noChangeShapeType="1"/>
          </xdr:cNvSpPr>
        </xdr:nvSpPr>
        <xdr:spPr bwMode="auto">
          <a:xfrm flipV="1">
            <a:off x="4832" y="1274"/>
            <a:ext cx="0" cy="130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302" name="Arc 134">
            <a:extLst>
              <a:ext uri="{FF2B5EF4-FFF2-40B4-BE49-F238E27FC236}">
                <a16:creationId xmlns="" xmlns:a16="http://schemas.microsoft.com/office/drawing/2014/main" id="{00000000-0008-0000-0C00-0000D6CA4200}"/>
              </a:ext>
            </a:extLst>
          </xdr:cNvPr>
          <xdr:cNvSpPr>
            <a:spLocks noChangeAspect="1"/>
          </xdr:cNvSpPr>
        </xdr:nvSpPr>
        <xdr:spPr bwMode="auto">
          <a:xfrm>
            <a:off x="4804" y="1248"/>
            <a:ext cx="30" cy="22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303" name="Line 135">
            <a:extLst>
              <a:ext uri="{FF2B5EF4-FFF2-40B4-BE49-F238E27FC236}">
                <a16:creationId xmlns="" xmlns:a16="http://schemas.microsoft.com/office/drawing/2014/main" id="{00000000-0008-0000-0C00-0000D7CA4200}"/>
              </a:ext>
            </a:extLst>
          </xdr:cNvPr>
          <xdr:cNvSpPr>
            <a:spLocks noChangeAspect="1" noChangeShapeType="1"/>
          </xdr:cNvSpPr>
        </xdr:nvSpPr>
        <xdr:spPr bwMode="auto">
          <a:xfrm flipV="1">
            <a:off x="4852" y="1246"/>
            <a:ext cx="0" cy="90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304" name="Arc 136">
            <a:extLst>
              <a:ext uri="{FF2B5EF4-FFF2-40B4-BE49-F238E27FC236}">
                <a16:creationId xmlns="" xmlns:a16="http://schemas.microsoft.com/office/drawing/2014/main" id="{00000000-0008-0000-0C00-0000D8CA4200}"/>
              </a:ext>
            </a:extLst>
          </xdr:cNvPr>
          <xdr:cNvSpPr>
            <a:spLocks noChangeAspect="1"/>
          </xdr:cNvSpPr>
        </xdr:nvSpPr>
        <xdr:spPr bwMode="auto">
          <a:xfrm>
            <a:off x="4820" y="1224"/>
            <a:ext cx="32" cy="2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305" name="Line 137">
            <a:extLst>
              <a:ext uri="{FF2B5EF4-FFF2-40B4-BE49-F238E27FC236}">
                <a16:creationId xmlns="" xmlns:a16="http://schemas.microsoft.com/office/drawing/2014/main" id="{00000000-0008-0000-0C00-0000D9CA4200}"/>
              </a:ext>
            </a:extLst>
          </xdr:cNvPr>
          <xdr:cNvSpPr>
            <a:spLocks noChangeAspect="1" noChangeShapeType="1"/>
          </xdr:cNvSpPr>
        </xdr:nvSpPr>
        <xdr:spPr bwMode="auto">
          <a:xfrm flipH="1">
            <a:off x="4690" y="1268"/>
            <a:ext cx="96" cy="0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306" name="Line 138">
            <a:extLst>
              <a:ext uri="{FF2B5EF4-FFF2-40B4-BE49-F238E27FC236}">
                <a16:creationId xmlns="" xmlns:a16="http://schemas.microsoft.com/office/drawing/2014/main" id="{00000000-0008-0000-0C00-0000DACA4200}"/>
              </a:ext>
            </a:extLst>
          </xdr:cNvPr>
          <xdr:cNvSpPr>
            <a:spLocks noChangeAspect="1" noChangeShapeType="1"/>
          </xdr:cNvSpPr>
        </xdr:nvSpPr>
        <xdr:spPr bwMode="auto">
          <a:xfrm flipH="1">
            <a:off x="4702" y="1248"/>
            <a:ext cx="102" cy="0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307" name="Line 139">
            <a:extLst>
              <a:ext uri="{FF2B5EF4-FFF2-40B4-BE49-F238E27FC236}">
                <a16:creationId xmlns="" xmlns:a16="http://schemas.microsoft.com/office/drawing/2014/main" id="{00000000-0008-0000-0C00-0000DBCA4200}"/>
              </a:ext>
            </a:extLst>
          </xdr:cNvPr>
          <xdr:cNvSpPr>
            <a:spLocks noChangeAspect="1" noChangeShapeType="1"/>
          </xdr:cNvSpPr>
        </xdr:nvSpPr>
        <xdr:spPr bwMode="auto">
          <a:xfrm flipH="1">
            <a:off x="4716" y="1224"/>
            <a:ext cx="100" cy="0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77308" name="Line 140">
            <a:extLst>
              <a:ext uri="{FF2B5EF4-FFF2-40B4-BE49-F238E27FC236}">
                <a16:creationId xmlns="" xmlns:a16="http://schemas.microsoft.com/office/drawing/2014/main" id="{00000000-0008-0000-0C00-0000DCCA42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4872" y="1686"/>
            <a:ext cx="0" cy="38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 type="triangle" w="med" len="med"/>
          </a:ln>
        </xdr:spPr>
      </xdr:sp>
      <xdr:sp macro="" textlink="">
        <xdr:nvSpPr>
          <xdr:cNvPr id="4377309" name="Line 141">
            <a:extLst>
              <a:ext uri="{FF2B5EF4-FFF2-40B4-BE49-F238E27FC236}">
                <a16:creationId xmlns="" xmlns:a16="http://schemas.microsoft.com/office/drawing/2014/main" id="{00000000-0008-0000-0C00-0000DDCA42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4872" y="1756"/>
            <a:ext cx="0" cy="42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 type="triangle" w="med" len="med"/>
          </a:ln>
        </xdr:spPr>
      </xdr:sp>
      <xdr:sp macro="" textlink="">
        <xdr:nvSpPr>
          <xdr:cNvPr id="4377310" name="Line 142">
            <a:extLst>
              <a:ext uri="{FF2B5EF4-FFF2-40B4-BE49-F238E27FC236}">
                <a16:creationId xmlns="" xmlns:a16="http://schemas.microsoft.com/office/drawing/2014/main" id="{00000000-0008-0000-0C00-0000DECA42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4872" y="1824"/>
            <a:ext cx="0" cy="42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 type="triangle" w="med" len="med"/>
          </a:ln>
        </xdr:spPr>
      </xdr:sp>
      <xdr:sp macro="" textlink="">
        <xdr:nvSpPr>
          <xdr:cNvPr id="4377311" name="Line 143">
            <a:extLst>
              <a:ext uri="{FF2B5EF4-FFF2-40B4-BE49-F238E27FC236}">
                <a16:creationId xmlns="" xmlns:a16="http://schemas.microsoft.com/office/drawing/2014/main" id="{00000000-0008-0000-0C00-0000DFCA4200}"/>
              </a:ext>
            </a:extLst>
          </xdr:cNvPr>
          <xdr:cNvSpPr>
            <a:spLocks noChangeAspect="1" noChangeShapeType="1"/>
          </xdr:cNvSpPr>
        </xdr:nvSpPr>
        <xdr:spPr bwMode="auto">
          <a:xfrm flipV="1">
            <a:off x="4872" y="1890"/>
            <a:ext cx="0" cy="71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 type="triangle" w="med" len="med"/>
          </a:ln>
        </xdr:spPr>
      </xdr:sp>
      <xdr:sp macro="" textlink="">
        <xdr:nvSpPr>
          <xdr:cNvPr id="4377312" name="Line 144">
            <a:extLst>
              <a:ext uri="{FF2B5EF4-FFF2-40B4-BE49-F238E27FC236}">
                <a16:creationId xmlns="" xmlns:a16="http://schemas.microsoft.com/office/drawing/2014/main" id="{00000000-0008-0000-0C00-0000E0CA4200}"/>
              </a:ext>
            </a:extLst>
          </xdr:cNvPr>
          <xdr:cNvSpPr>
            <a:spLocks noChangeAspect="1" noChangeShapeType="1"/>
          </xdr:cNvSpPr>
        </xdr:nvSpPr>
        <xdr:spPr bwMode="auto">
          <a:xfrm flipV="1">
            <a:off x="4872" y="1450"/>
            <a:ext cx="0" cy="48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 type="triangle" w="med" len="med"/>
          </a:ln>
        </xdr:spPr>
      </xdr:sp>
      <xdr:sp macro="" textlink="">
        <xdr:nvSpPr>
          <xdr:cNvPr id="4377313" name="Line 145">
            <a:extLst>
              <a:ext uri="{FF2B5EF4-FFF2-40B4-BE49-F238E27FC236}">
                <a16:creationId xmlns="" xmlns:a16="http://schemas.microsoft.com/office/drawing/2014/main" id="{00000000-0008-0000-0C00-0000E1CA4200}"/>
              </a:ext>
            </a:extLst>
          </xdr:cNvPr>
          <xdr:cNvSpPr>
            <a:spLocks noChangeAspect="1" noChangeShapeType="1"/>
          </xdr:cNvSpPr>
        </xdr:nvSpPr>
        <xdr:spPr bwMode="auto">
          <a:xfrm flipV="1">
            <a:off x="4872" y="1382"/>
            <a:ext cx="0" cy="46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 type="triangle" w="med" len="med"/>
          </a:ln>
        </xdr:spPr>
      </xdr:sp>
      <xdr:sp macro="" textlink="">
        <xdr:nvSpPr>
          <xdr:cNvPr id="4377314" name="Line 146">
            <a:extLst>
              <a:ext uri="{FF2B5EF4-FFF2-40B4-BE49-F238E27FC236}">
                <a16:creationId xmlns="" xmlns:a16="http://schemas.microsoft.com/office/drawing/2014/main" id="{00000000-0008-0000-0C00-0000E2CA4200}"/>
              </a:ext>
            </a:extLst>
          </xdr:cNvPr>
          <xdr:cNvSpPr>
            <a:spLocks noChangeAspect="1" noChangeShapeType="1"/>
          </xdr:cNvSpPr>
        </xdr:nvSpPr>
        <xdr:spPr bwMode="auto">
          <a:xfrm flipV="1">
            <a:off x="4872" y="1308"/>
            <a:ext cx="0" cy="54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 type="triangle" w="med" len="med"/>
          </a:ln>
        </xdr:spPr>
      </xdr:sp>
      <xdr:sp macro="" textlink="">
        <xdr:nvSpPr>
          <xdr:cNvPr id="4377315" name="Line 147">
            <a:extLst>
              <a:ext uri="{FF2B5EF4-FFF2-40B4-BE49-F238E27FC236}">
                <a16:creationId xmlns="" xmlns:a16="http://schemas.microsoft.com/office/drawing/2014/main" id="{00000000-0008-0000-0C00-0000E3CA4200}"/>
              </a:ext>
            </a:extLst>
          </xdr:cNvPr>
          <xdr:cNvSpPr>
            <a:spLocks noChangeAspect="1" noChangeShapeType="1"/>
          </xdr:cNvSpPr>
        </xdr:nvSpPr>
        <xdr:spPr bwMode="auto">
          <a:xfrm>
            <a:off x="4874" y="1216"/>
            <a:ext cx="0" cy="72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 type="triangle" w="med" len="med"/>
          </a:ln>
        </xdr:spPr>
      </xdr:sp>
    </xdr:grpSp>
    <xdr:clientData/>
  </xdr:twoCellAnchor>
  <xdr:twoCellAnchor editAs="oneCell">
    <xdr:from>
      <xdr:col>8</xdr:col>
      <xdr:colOff>552450</xdr:colOff>
      <xdr:row>8</xdr:row>
      <xdr:rowOff>238125</xdr:rowOff>
    </xdr:from>
    <xdr:to>
      <xdr:col>11</xdr:col>
      <xdr:colOff>361950</xdr:colOff>
      <xdr:row>11</xdr:row>
      <xdr:rowOff>285750</xdr:rowOff>
    </xdr:to>
    <xdr:grpSp>
      <xdr:nvGrpSpPr>
        <xdr:cNvPr id="4377168" name="Group 149">
          <a:extLst>
            <a:ext uri="{FF2B5EF4-FFF2-40B4-BE49-F238E27FC236}">
              <a16:creationId xmlns="" xmlns:a16="http://schemas.microsoft.com/office/drawing/2014/main" id="{00000000-0008-0000-0C00-000050CA4200}"/>
            </a:ext>
          </a:extLst>
        </xdr:cNvPr>
        <xdr:cNvGrpSpPr>
          <a:grpSpLocks/>
        </xdr:cNvGrpSpPr>
      </xdr:nvGrpSpPr>
      <xdr:grpSpPr bwMode="auto">
        <a:xfrm>
          <a:off x="7058025" y="3657600"/>
          <a:ext cx="2781300" cy="1019175"/>
          <a:chOff x="358" y="540"/>
          <a:chExt cx="293" cy="139"/>
        </a:xfrm>
      </xdr:grpSpPr>
      <xdr:sp macro="" textlink="">
        <xdr:nvSpPr>
          <xdr:cNvPr id="4377201" name="Line 150">
            <a:extLst>
              <a:ext uri="{FF2B5EF4-FFF2-40B4-BE49-F238E27FC236}">
                <a16:creationId xmlns="" xmlns:a16="http://schemas.microsoft.com/office/drawing/2014/main" id="{00000000-0008-0000-0C00-000071CA42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77202" name="Group 151">
            <a:extLst>
              <a:ext uri="{FF2B5EF4-FFF2-40B4-BE49-F238E27FC236}">
                <a16:creationId xmlns="" xmlns:a16="http://schemas.microsoft.com/office/drawing/2014/main" id="{00000000-0008-0000-0C00-000072CA42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377258" name="Line 152">
              <a:extLst>
                <a:ext uri="{FF2B5EF4-FFF2-40B4-BE49-F238E27FC236}">
                  <a16:creationId xmlns="" xmlns:a16="http://schemas.microsoft.com/office/drawing/2014/main" id="{00000000-0008-0000-0C00-0000AACA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7259" name="Line 153">
              <a:extLst>
                <a:ext uri="{FF2B5EF4-FFF2-40B4-BE49-F238E27FC236}">
                  <a16:creationId xmlns="" xmlns:a16="http://schemas.microsoft.com/office/drawing/2014/main" id="{00000000-0008-0000-0C00-0000ABCA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77203" name="Line 154">
            <a:extLst>
              <a:ext uri="{FF2B5EF4-FFF2-40B4-BE49-F238E27FC236}">
                <a16:creationId xmlns="" xmlns:a16="http://schemas.microsoft.com/office/drawing/2014/main" id="{00000000-0008-0000-0C00-000073CA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7204" name="Line 155">
            <a:extLst>
              <a:ext uri="{FF2B5EF4-FFF2-40B4-BE49-F238E27FC236}">
                <a16:creationId xmlns="" xmlns:a16="http://schemas.microsoft.com/office/drawing/2014/main" id="{00000000-0008-0000-0C00-000074CA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7205" name="Line 156">
            <a:extLst>
              <a:ext uri="{FF2B5EF4-FFF2-40B4-BE49-F238E27FC236}">
                <a16:creationId xmlns="" xmlns:a16="http://schemas.microsoft.com/office/drawing/2014/main" id="{00000000-0008-0000-0C00-000075CA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7206" name="Line 157">
            <a:extLst>
              <a:ext uri="{FF2B5EF4-FFF2-40B4-BE49-F238E27FC236}">
                <a16:creationId xmlns="" xmlns:a16="http://schemas.microsoft.com/office/drawing/2014/main" id="{00000000-0008-0000-0C00-000076CA42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77207" name="Line 158">
            <a:extLst>
              <a:ext uri="{FF2B5EF4-FFF2-40B4-BE49-F238E27FC236}">
                <a16:creationId xmlns="" xmlns:a16="http://schemas.microsoft.com/office/drawing/2014/main" id="{00000000-0008-0000-0C00-000077CA42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77208" name="Group 159">
            <a:extLst>
              <a:ext uri="{FF2B5EF4-FFF2-40B4-BE49-F238E27FC236}">
                <a16:creationId xmlns="" xmlns:a16="http://schemas.microsoft.com/office/drawing/2014/main" id="{00000000-0008-0000-0C00-000078CA42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377252" name="Line 160">
              <a:extLst>
                <a:ext uri="{FF2B5EF4-FFF2-40B4-BE49-F238E27FC236}">
                  <a16:creationId xmlns="" xmlns:a16="http://schemas.microsoft.com/office/drawing/2014/main" id="{00000000-0008-0000-0C00-0000A4CA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7253" name="Group 161">
              <a:extLst>
                <a:ext uri="{FF2B5EF4-FFF2-40B4-BE49-F238E27FC236}">
                  <a16:creationId xmlns="" xmlns:a16="http://schemas.microsoft.com/office/drawing/2014/main" id="{00000000-0008-0000-0C00-0000A5CA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7254" name="Line 162">
                <a:extLst>
                  <a:ext uri="{FF2B5EF4-FFF2-40B4-BE49-F238E27FC236}">
                    <a16:creationId xmlns="" xmlns:a16="http://schemas.microsoft.com/office/drawing/2014/main" id="{00000000-0008-0000-0C00-0000A6CA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7255" name="Group 163">
                <a:extLst>
                  <a:ext uri="{FF2B5EF4-FFF2-40B4-BE49-F238E27FC236}">
                    <a16:creationId xmlns="" xmlns:a16="http://schemas.microsoft.com/office/drawing/2014/main" id="{00000000-0008-0000-0C00-0000A7CA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7256" name="Line 164">
                  <a:extLst>
                    <a:ext uri="{FF2B5EF4-FFF2-40B4-BE49-F238E27FC236}">
                      <a16:creationId xmlns="" xmlns:a16="http://schemas.microsoft.com/office/drawing/2014/main" id="{00000000-0008-0000-0C00-0000A8C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7257" name="Line 165">
                  <a:extLst>
                    <a:ext uri="{FF2B5EF4-FFF2-40B4-BE49-F238E27FC236}">
                      <a16:creationId xmlns="" xmlns:a16="http://schemas.microsoft.com/office/drawing/2014/main" id="{00000000-0008-0000-0C00-0000A9C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7209" name="Group 166">
            <a:extLst>
              <a:ext uri="{FF2B5EF4-FFF2-40B4-BE49-F238E27FC236}">
                <a16:creationId xmlns="" xmlns:a16="http://schemas.microsoft.com/office/drawing/2014/main" id="{00000000-0008-0000-0C00-000079CA42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377246" name="Line 167">
              <a:extLst>
                <a:ext uri="{FF2B5EF4-FFF2-40B4-BE49-F238E27FC236}">
                  <a16:creationId xmlns="" xmlns:a16="http://schemas.microsoft.com/office/drawing/2014/main" id="{00000000-0008-0000-0C00-00009ECA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7247" name="Group 168">
              <a:extLst>
                <a:ext uri="{FF2B5EF4-FFF2-40B4-BE49-F238E27FC236}">
                  <a16:creationId xmlns="" xmlns:a16="http://schemas.microsoft.com/office/drawing/2014/main" id="{00000000-0008-0000-0C00-00009FCA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7248" name="Line 169">
                <a:extLst>
                  <a:ext uri="{FF2B5EF4-FFF2-40B4-BE49-F238E27FC236}">
                    <a16:creationId xmlns="" xmlns:a16="http://schemas.microsoft.com/office/drawing/2014/main" id="{00000000-0008-0000-0C00-0000A0CA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7249" name="Group 170">
                <a:extLst>
                  <a:ext uri="{FF2B5EF4-FFF2-40B4-BE49-F238E27FC236}">
                    <a16:creationId xmlns="" xmlns:a16="http://schemas.microsoft.com/office/drawing/2014/main" id="{00000000-0008-0000-0C00-0000A1CA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7250" name="Line 171">
                  <a:extLst>
                    <a:ext uri="{FF2B5EF4-FFF2-40B4-BE49-F238E27FC236}">
                      <a16:creationId xmlns="" xmlns:a16="http://schemas.microsoft.com/office/drawing/2014/main" id="{00000000-0008-0000-0C00-0000A2C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7251" name="Line 172">
                  <a:extLst>
                    <a:ext uri="{FF2B5EF4-FFF2-40B4-BE49-F238E27FC236}">
                      <a16:creationId xmlns="" xmlns:a16="http://schemas.microsoft.com/office/drawing/2014/main" id="{00000000-0008-0000-0C00-0000A3C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7210" name="Group 173">
            <a:extLst>
              <a:ext uri="{FF2B5EF4-FFF2-40B4-BE49-F238E27FC236}">
                <a16:creationId xmlns="" xmlns:a16="http://schemas.microsoft.com/office/drawing/2014/main" id="{00000000-0008-0000-0C00-00007ACA42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377240" name="Line 174">
              <a:extLst>
                <a:ext uri="{FF2B5EF4-FFF2-40B4-BE49-F238E27FC236}">
                  <a16:creationId xmlns="" xmlns:a16="http://schemas.microsoft.com/office/drawing/2014/main" id="{00000000-0008-0000-0C00-000098CA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7241" name="Group 175">
              <a:extLst>
                <a:ext uri="{FF2B5EF4-FFF2-40B4-BE49-F238E27FC236}">
                  <a16:creationId xmlns="" xmlns:a16="http://schemas.microsoft.com/office/drawing/2014/main" id="{00000000-0008-0000-0C00-000099CA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7242" name="Line 176">
                <a:extLst>
                  <a:ext uri="{FF2B5EF4-FFF2-40B4-BE49-F238E27FC236}">
                    <a16:creationId xmlns="" xmlns:a16="http://schemas.microsoft.com/office/drawing/2014/main" id="{00000000-0008-0000-0C00-00009ACA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7243" name="Group 177">
                <a:extLst>
                  <a:ext uri="{FF2B5EF4-FFF2-40B4-BE49-F238E27FC236}">
                    <a16:creationId xmlns="" xmlns:a16="http://schemas.microsoft.com/office/drawing/2014/main" id="{00000000-0008-0000-0C00-00009BCA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7244" name="Line 178">
                  <a:extLst>
                    <a:ext uri="{FF2B5EF4-FFF2-40B4-BE49-F238E27FC236}">
                      <a16:creationId xmlns="" xmlns:a16="http://schemas.microsoft.com/office/drawing/2014/main" id="{00000000-0008-0000-0C00-00009CC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7245" name="Line 179">
                  <a:extLst>
                    <a:ext uri="{FF2B5EF4-FFF2-40B4-BE49-F238E27FC236}">
                      <a16:creationId xmlns="" xmlns:a16="http://schemas.microsoft.com/office/drawing/2014/main" id="{00000000-0008-0000-0C00-00009DC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7211" name="Group 180">
            <a:extLst>
              <a:ext uri="{FF2B5EF4-FFF2-40B4-BE49-F238E27FC236}">
                <a16:creationId xmlns="" xmlns:a16="http://schemas.microsoft.com/office/drawing/2014/main" id="{00000000-0008-0000-0C00-00007BCA42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377234" name="Line 181">
              <a:extLst>
                <a:ext uri="{FF2B5EF4-FFF2-40B4-BE49-F238E27FC236}">
                  <a16:creationId xmlns="" xmlns:a16="http://schemas.microsoft.com/office/drawing/2014/main" id="{00000000-0008-0000-0C00-000092CA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7235" name="Group 182">
              <a:extLst>
                <a:ext uri="{FF2B5EF4-FFF2-40B4-BE49-F238E27FC236}">
                  <a16:creationId xmlns="" xmlns:a16="http://schemas.microsoft.com/office/drawing/2014/main" id="{00000000-0008-0000-0C00-000093CA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7236" name="Line 183">
                <a:extLst>
                  <a:ext uri="{FF2B5EF4-FFF2-40B4-BE49-F238E27FC236}">
                    <a16:creationId xmlns="" xmlns:a16="http://schemas.microsoft.com/office/drawing/2014/main" id="{00000000-0008-0000-0C00-000094CA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7237" name="Group 184">
                <a:extLst>
                  <a:ext uri="{FF2B5EF4-FFF2-40B4-BE49-F238E27FC236}">
                    <a16:creationId xmlns="" xmlns:a16="http://schemas.microsoft.com/office/drawing/2014/main" id="{00000000-0008-0000-0C00-000095CA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7238" name="Line 185">
                  <a:extLst>
                    <a:ext uri="{FF2B5EF4-FFF2-40B4-BE49-F238E27FC236}">
                      <a16:creationId xmlns="" xmlns:a16="http://schemas.microsoft.com/office/drawing/2014/main" id="{00000000-0008-0000-0C00-000096C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7239" name="Line 186">
                  <a:extLst>
                    <a:ext uri="{FF2B5EF4-FFF2-40B4-BE49-F238E27FC236}">
                      <a16:creationId xmlns="" xmlns:a16="http://schemas.microsoft.com/office/drawing/2014/main" id="{00000000-0008-0000-0C00-000097C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7212" name="Group 187">
            <a:extLst>
              <a:ext uri="{FF2B5EF4-FFF2-40B4-BE49-F238E27FC236}">
                <a16:creationId xmlns="" xmlns:a16="http://schemas.microsoft.com/office/drawing/2014/main" id="{00000000-0008-0000-0C00-00007CCA42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377228" name="Line 188">
              <a:extLst>
                <a:ext uri="{FF2B5EF4-FFF2-40B4-BE49-F238E27FC236}">
                  <a16:creationId xmlns="" xmlns:a16="http://schemas.microsoft.com/office/drawing/2014/main" id="{00000000-0008-0000-0C00-00008CCA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7229" name="Group 189">
              <a:extLst>
                <a:ext uri="{FF2B5EF4-FFF2-40B4-BE49-F238E27FC236}">
                  <a16:creationId xmlns="" xmlns:a16="http://schemas.microsoft.com/office/drawing/2014/main" id="{00000000-0008-0000-0C00-00008DCA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7230" name="Line 190">
                <a:extLst>
                  <a:ext uri="{FF2B5EF4-FFF2-40B4-BE49-F238E27FC236}">
                    <a16:creationId xmlns="" xmlns:a16="http://schemas.microsoft.com/office/drawing/2014/main" id="{00000000-0008-0000-0C00-00008ECA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7231" name="Group 191">
                <a:extLst>
                  <a:ext uri="{FF2B5EF4-FFF2-40B4-BE49-F238E27FC236}">
                    <a16:creationId xmlns="" xmlns:a16="http://schemas.microsoft.com/office/drawing/2014/main" id="{00000000-0008-0000-0C00-00008FCA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7232" name="Line 192">
                  <a:extLst>
                    <a:ext uri="{FF2B5EF4-FFF2-40B4-BE49-F238E27FC236}">
                      <a16:creationId xmlns="" xmlns:a16="http://schemas.microsoft.com/office/drawing/2014/main" id="{00000000-0008-0000-0C00-000090C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7233" name="Line 193">
                  <a:extLst>
                    <a:ext uri="{FF2B5EF4-FFF2-40B4-BE49-F238E27FC236}">
                      <a16:creationId xmlns="" xmlns:a16="http://schemas.microsoft.com/office/drawing/2014/main" id="{00000000-0008-0000-0C00-000091C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7213" name="Group 194">
            <a:extLst>
              <a:ext uri="{FF2B5EF4-FFF2-40B4-BE49-F238E27FC236}">
                <a16:creationId xmlns="" xmlns:a16="http://schemas.microsoft.com/office/drawing/2014/main" id="{00000000-0008-0000-0C00-00007DCA42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377222" name="Line 195">
              <a:extLst>
                <a:ext uri="{FF2B5EF4-FFF2-40B4-BE49-F238E27FC236}">
                  <a16:creationId xmlns="" xmlns:a16="http://schemas.microsoft.com/office/drawing/2014/main" id="{00000000-0008-0000-0C00-000086CA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7223" name="Group 196">
              <a:extLst>
                <a:ext uri="{FF2B5EF4-FFF2-40B4-BE49-F238E27FC236}">
                  <a16:creationId xmlns="" xmlns:a16="http://schemas.microsoft.com/office/drawing/2014/main" id="{00000000-0008-0000-0C00-000087CA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7224" name="Line 197">
                <a:extLst>
                  <a:ext uri="{FF2B5EF4-FFF2-40B4-BE49-F238E27FC236}">
                    <a16:creationId xmlns="" xmlns:a16="http://schemas.microsoft.com/office/drawing/2014/main" id="{00000000-0008-0000-0C00-000088CA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7225" name="Group 198">
                <a:extLst>
                  <a:ext uri="{FF2B5EF4-FFF2-40B4-BE49-F238E27FC236}">
                    <a16:creationId xmlns="" xmlns:a16="http://schemas.microsoft.com/office/drawing/2014/main" id="{00000000-0008-0000-0C00-000089CA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7226" name="Line 199">
                  <a:extLst>
                    <a:ext uri="{FF2B5EF4-FFF2-40B4-BE49-F238E27FC236}">
                      <a16:creationId xmlns="" xmlns:a16="http://schemas.microsoft.com/office/drawing/2014/main" id="{00000000-0008-0000-0C00-00008AC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7227" name="Line 200">
                  <a:extLst>
                    <a:ext uri="{FF2B5EF4-FFF2-40B4-BE49-F238E27FC236}">
                      <a16:creationId xmlns="" xmlns:a16="http://schemas.microsoft.com/office/drawing/2014/main" id="{00000000-0008-0000-0C00-00008BC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7214" name="Group 201">
            <a:extLst>
              <a:ext uri="{FF2B5EF4-FFF2-40B4-BE49-F238E27FC236}">
                <a16:creationId xmlns="" xmlns:a16="http://schemas.microsoft.com/office/drawing/2014/main" id="{00000000-0008-0000-0C00-00007ECA42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377216" name="Line 202">
              <a:extLst>
                <a:ext uri="{FF2B5EF4-FFF2-40B4-BE49-F238E27FC236}">
                  <a16:creationId xmlns="" xmlns:a16="http://schemas.microsoft.com/office/drawing/2014/main" id="{00000000-0008-0000-0C00-000080CA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7217" name="Group 203">
              <a:extLst>
                <a:ext uri="{FF2B5EF4-FFF2-40B4-BE49-F238E27FC236}">
                  <a16:creationId xmlns="" xmlns:a16="http://schemas.microsoft.com/office/drawing/2014/main" id="{00000000-0008-0000-0C00-000081CA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7218" name="Line 204">
                <a:extLst>
                  <a:ext uri="{FF2B5EF4-FFF2-40B4-BE49-F238E27FC236}">
                    <a16:creationId xmlns="" xmlns:a16="http://schemas.microsoft.com/office/drawing/2014/main" id="{00000000-0008-0000-0C00-000082CA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7219" name="Group 205">
                <a:extLst>
                  <a:ext uri="{FF2B5EF4-FFF2-40B4-BE49-F238E27FC236}">
                    <a16:creationId xmlns="" xmlns:a16="http://schemas.microsoft.com/office/drawing/2014/main" id="{00000000-0008-0000-0C00-000083CA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7220" name="Line 206">
                  <a:extLst>
                    <a:ext uri="{FF2B5EF4-FFF2-40B4-BE49-F238E27FC236}">
                      <a16:creationId xmlns="" xmlns:a16="http://schemas.microsoft.com/office/drawing/2014/main" id="{00000000-0008-0000-0C00-000084C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7221" name="Line 207">
                  <a:extLst>
                    <a:ext uri="{FF2B5EF4-FFF2-40B4-BE49-F238E27FC236}">
                      <a16:creationId xmlns="" xmlns:a16="http://schemas.microsoft.com/office/drawing/2014/main" id="{00000000-0008-0000-0C00-000085C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77215" name="Line 208">
            <a:extLst>
              <a:ext uri="{FF2B5EF4-FFF2-40B4-BE49-F238E27FC236}">
                <a16:creationId xmlns="" xmlns:a16="http://schemas.microsoft.com/office/drawing/2014/main" id="{00000000-0008-0000-0C00-00007FCA42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276225</xdr:colOff>
      <xdr:row>17</xdr:row>
      <xdr:rowOff>295275</xdr:rowOff>
    </xdr:from>
    <xdr:to>
      <xdr:col>8</xdr:col>
      <xdr:colOff>742950</xdr:colOff>
      <xdr:row>17</xdr:row>
      <xdr:rowOff>295275</xdr:rowOff>
    </xdr:to>
    <xdr:sp macro="" textlink="">
      <xdr:nvSpPr>
        <xdr:cNvPr id="4377169" name="Line 209">
          <a:extLst>
            <a:ext uri="{FF2B5EF4-FFF2-40B4-BE49-F238E27FC236}">
              <a16:creationId xmlns="" xmlns:a16="http://schemas.microsoft.com/office/drawing/2014/main" id="{00000000-0008-0000-0C00-000051CA4200}"/>
            </a:ext>
          </a:extLst>
        </xdr:cNvPr>
        <xdr:cNvSpPr>
          <a:spLocks noChangeShapeType="1"/>
        </xdr:cNvSpPr>
      </xdr:nvSpPr>
      <xdr:spPr bwMode="auto">
        <a:xfrm flipV="1">
          <a:off x="6781800" y="6629400"/>
          <a:ext cx="466725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8</xdr:col>
      <xdr:colOff>276225</xdr:colOff>
      <xdr:row>15</xdr:row>
      <xdr:rowOff>180975</xdr:rowOff>
    </xdr:from>
    <xdr:to>
      <xdr:col>8</xdr:col>
      <xdr:colOff>276225</xdr:colOff>
      <xdr:row>28</xdr:row>
      <xdr:rowOff>47625</xdr:rowOff>
    </xdr:to>
    <xdr:sp macro="" textlink="">
      <xdr:nvSpPr>
        <xdr:cNvPr id="4377170" name="Line 210">
          <a:extLst>
            <a:ext uri="{FF2B5EF4-FFF2-40B4-BE49-F238E27FC236}">
              <a16:creationId xmlns="" xmlns:a16="http://schemas.microsoft.com/office/drawing/2014/main" id="{00000000-0008-0000-0C00-000052CA4200}"/>
            </a:ext>
          </a:extLst>
        </xdr:cNvPr>
        <xdr:cNvSpPr>
          <a:spLocks noChangeShapeType="1"/>
        </xdr:cNvSpPr>
      </xdr:nvSpPr>
      <xdr:spPr bwMode="auto">
        <a:xfrm>
          <a:off x="6781800" y="5867400"/>
          <a:ext cx="0" cy="407670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8</xdr:col>
      <xdr:colOff>285750</xdr:colOff>
      <xdr:row>18</xdr:row>
      <xdr:rowOff>314325</xdr:rowOff>
    </xdr:from>
    <xdr:to>
      <xdr:col>10</xdr:col>
      <xdr:colOff>152400</xdr:colOff>
      <xdr:row>18</xdr:row>
      <xdr:rowOff>314325</xdr:rowOff>
    </xdr:to>
    <xdr:sp macro="" textlink="">
      <xdr:nvSpPr>
        <xdr:cNvPr id="4377171" name="Line 211">
          <a:extLst>
            <a:ext uri="{FF2B5EF4-FFF2-40B4-BE49-F238E27FC236}">
              <a16:creationId xmlns="" xmlns:a16="http://schemas.microsoft.com/office/drawing/2014/main" id="{00000000-0008-0000-0C00-000053CA4200}"/>
            </a:ext>
          </a:extLst>
        </xdr:cNvPr>
        <xdr:cNvSpPr>
          <a:spLocks noChangeShapeType="1"/>
        </xdr:cNvSpPr>
      </xdr:nvSpPr>
      <xdr:spPr bwMode="auto">
        <a:xfrm>
          <a:off x="6791325" y="6972300"/>
          <a:ext cx="1847850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8</xdr:col>
      <xdr:colOff>276225</xdr:colOff>
      <xdr:row>19</xdr:row>
      <xdr:rowOff>314325</xdr:rowOff>
    </xdr:from>
    <xdr:to>
      <xdr:col>11</xdr:col>
      <xdr:colOff>342900</xdr:colOff>
      <xdr:row>19</xdr:row>
      <xdr:rowOff>314325</xdr:rowOff>
    </xdr:to>
    <xdr:sp macro="" textlink="">
      <xdr:nvSpPr>
        <xdr:cNvPr id="4377172" name="Line 212">
          <a:extLst>
            <a:ext uri="{FF2B5EF4-FFF2-40B4-BE49-F238E27FC236}">
              <a16:creationId xmlns="" xmlns:a16="http://schemas.microsoft.com/office/drawing/2014/main" id="{00000000-0008-0000-0C00-000054CA4200}"/>
            </a:ext>
          </a:extLst>
        </xdr:cNvPr>
        <xdr:cNvSpPr>
          <a:spLocks noChangeShapeType="1"/>
        </xdr:cNvSpPr>
      </xdr:nvSpPr>
      <xdr:spPr bwMode="auto">
        <a:xfrm>
          <a:off x="6781800" y="7296150"/>
          <a:ext cx="3038475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8</xdr:col>
      <xdr:colOff>285750</xdr:colOff>
      <xdr:row>20</xdr:row>
      <xdr:rowOff>314325</xdr:rowOff>
    </xdr:from>
    <xdr:to>
      <xdr:col>12</xdr:col>
      <xdr:colOff>180975</xdr:colOff>
      <xdr:row>20</xdr:row>
      <xdr:rowOff>314325</xdr:rowOff>
    </xdr:to>
    <xdr:sp macro="" textlink="">
      <xdr:nvSpPr>
        <xdr:cNvPr id="4377173" name="Line 213">
          <a:extLst>
            <a:ext uri="{FF2B5EF4-FFF2-40B4-BE49-F238E27FC236}">
              <a16:creationId xmlns="" xmlns:a16="http://schemas.microsoft.com/office/drawing/2014/main" id="{00000000-0008-0000-0C00-000055CA4200}"/>
            </a:ext>
          </a:extLst>
        </xdr:cNvPr>
        <xdr:cNvSpPr>
          <a:spLocks noChangeShapeType="1"/>
        </xdr:cNvSpPr>
      </xdr:nvSpPr>
      <xdr:spPr bwMode="auto">
        <a:xfrm flipH="1">
          <a:off x="6791325" y="7620000"/>
          <a:ext cx="4162425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8</xdr:col>
      <xdr:colOff>752475</xdr:colOff>
      <xdr:row>14</xdr:row>
      <xdr:rowOff>104775</xdr:rowOff>
    </xdr:from>
    <xdr:to>
      <xdr:col>8</xdr:col>
      <xdr:colOff>752475</xdr:colOff>
      <xdr:row>18</xdr:row>
      <xdr:rowOff>85725</xdr:rowOff>
    </xdr:to>
    <xdr:sp macro="" textlink="">
      <xdr:nvSpPr>
        <xdr:cNvPr id="4377174" name="Line 214">
          <a:extLst>
            <a:ext uri="{FF2B5EF4-FFF2-40B4-BE49-F238E27FC236}">
              <a16:creationId xmlns="" xmlns:a16="http://schemas.microsoft.com/office/drawing/2014/main" id="{00000000-0008-0000-0C00-000056CA4200}"/>
            </a:ext>
          </a:extLst>
        </xdr:cNvPr>
        <xdr:cNvSpPr>
          <a:spLocks noChangeShapeType="1"/>
        </xdr:cNvSpPr>
      </xdr:nvSpPr>
      <xdr:spPr bwMode="auto">
        <a:xfrm>
          <a:off x="7258050" y="5467350"/>
          <a:ext cx="0" cy="127635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8</xdr:col>
      <xdr:colOff>314325</xdr:colOff>
      <xdr:row>14</xdr:row>
      <xdr:rowOff>171450</xdr:rowOff>
    </xdr:from>
    <xdr:to>
      <xdr:col>8</xdr:col>
      <xdr:colOff>876300</xdr:colOff>
      <xdr:row>14</xdr:row>
      <xdr:rowOff>171450</xdr:rowOff>
    </xdr:to>
    <xdr:sp macro="" textlink="">
      <xdr:nvSpPr>
        <xdr:cNvPr id="4377175" name="Line 215">
          <a:extLst>
            <a:ext uri="{FF2B5EF4-FFF2-40B4-BE49-F238E27FC236}">
              <a16:creationId xmlns="" xmlns:a16="http://schemas.microsoft.com/office/drawing/2014/main" id="{00000000-0008-0000-0C00-000057CA4200}"/>
            </a:ext>
          </a:extLst>
        </xdr:cNvPr>
        <xdr:cNvSpPr>
          <a:spLocks noChangeShapeType="1"/>
        </xdr:cNvSpPr>
      </xdr:nvSpPr>
      <xdr:spPr bwMode="auto">
        <a:xfrm>
          <a:off x="6819900" y="5534025"/>
          <a:ext cx="56197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10</xdr:col>
      <xdr:colOff>142875</xdr:colOff>
      <xdr:row>14</xdr:row>
      <xdr:rowOff>85725</xdr:rowOff>
    </xdr:from>
    <xdr:to>
      <xdr:col>10</xdr:col>
      <xdr:colOff>152400</xdr:colOff>
      <xdr:row>19</xdr:row>
      <xdr:rowOff>28575</xdr:rowOff>
    </xdr:to>
    <xdr:sp macro="" textlink="">
      <xdr:nvSpPr>
        <xdr:cNvPr id="4377176" name="Line 216">
          <a:extLst>
            <a:ext uri="{FF2B5EF4-FFF2-40B4-BE49-F238E27FC236}">
              <a16:creationId xmlns="" xmlns:a16="http://schemas.microsoft.com/office/drawing/2014/main" id="{00000000-0008-0000-0C00-000058CA4200}"/>
            </a:ext>
          </a:extLst>
        </xdr:cNvPr>
        <xdr:cNvSpPr>
          <a:spLocks noChangeShapeType="1"/>
        </xdr:cNvSpPr>
      </xdr:nvSpPr>
      <xdr:spPr bwMode="auto">
        <a:xfrm flipH="1">
          <a:off x="8629650" y="5448300"/>
          <a:ext cx="9525" cy="156210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9</xdr:col>
      <xdr:colOff>371475</xdr:colOff>
      <xdr:row>14</xdr:row>
      <xdr:rowOff>180975</xdr:rowOff>
    </xdr:from>
    <xdr:to>
      <xdr:col>10</xdr:col>
      <xdr:colOff>590550</xdr:colOff>
      <xdr:row>14</xdr:row>
      <xdr:rowOff>180975</xdr:rowOff>
    </xdr:to>
    <xdr:sp macro="" textlink="">
      <xdr:nvSpPr>
        <xdr:cNvPr id="4377177" name="Line 217">
          <a:extLst>
            <a:ext uri="{FF2B5EF4-FFF2-40B4-BE49-F238E27FC236}">
              <a16:creationId xmlns="" xmlns:a16="http://schemas.microsoft.com/office/drawing/2014/main" id="{00000000-0008-0000-0C00-000059CA4200}"/>
            </a:ext>
          </a:extLst>
        </xdr:cNvPr>
        <xdr:cNvSpPr>
          <a:spLocks noChangeShapeType="1"/>
        </xdr:cNvSpPr>
      </xdr:nvSpPr>
      <xdr:spPr bwMode="auto">
        <a:xfrm>
          <a:off x="7867650" y="5543550"/>
          <a:ext cx="120967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11</xdr:col>
      <xdr:colOff>276225</xdr:colOff>
      <xdr:row>14</xdr:row>
      <xdr:rowOff>104775</xdr:rowOff>
    </xdr:from>
    <xdr:to>
      <xdr:col>11</xdr:col>
      <xdr:colOff>314325</xdr:colOff>
      <xdr:row>20</xdr:row>
      <xdr:rowOff>95250</xdr:rowOff>
    </xdr:to>
    <xdr:grpSp>
      <xdr:nvGrpSpPr>
        <xdr:cNvPr id="4377178" name="Group 218">
          <a:extLst>
            <a:ext uri="{FF2B5EF4-FFF2-40B4-BE49-F238E27FC236}">
              <a16:creationId xmlns="" xmlns:a16="http://schemas.microsoft.com/office/drawing/2014/main" id="{00000000-0008-0000-0C00-00005ACA4200}"/>
            </a:ext>
          </a:extLst>
        </xdr:cNvPr>
        <xdr:cNvGrpSpPr>
          <a:grpSpLocks/>
        </xdr:cNvGrpSpPr>
      </xdr:nvGrpSpPr>
      <xdr:grpSpPr bwMode="auto">
        <a:xfrm flipH="1">
          <a:off x="9753600" y="5467350"/>
          <a:ext cx="38100" cy="1933575"/>
          <a:chOff x="759" y="438"/>
          <a:chExt cx="10" cy="121"/>
        </a:xfrm>
      </xdr:grpSpPr>
      <xdr:sp macro="" textlink="">
        <xdr:nvSpPr>
          <xdr:cNvPr id="4377199" name="Line 219">
            <a:extLst>
              <a:ext uri="{FF2B5EF4-FFF2-40B4-BE49-F238E27FC236}">
                <a16:creationId xmlns="" xmlns:a16="http://schemas.microsoft.com/office/drawing/2014/main" id="{00000000-0008-0000-0C00-00006FCA42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7200" name="Line 220">
            <a:extLst>
              <a:ext uri="{FF2B5EF4-FFF2-40B4-BE49-F238E27FC236}">
                <a16:creationId xmlns="" xmlns:a16="http://schemas.microsoft.com/office/drawing/2014/main" id="{00000000-0008-0000-0C00-000070CA42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76200</xdr:colOff>
      <xdr:row>14</xdr:row>
      <xdr:rowOff>114300</xdr:rowOff>
    </xdr:from>
    <xdr:to>
      <xdr:col>12</xdr:col>
      <xdr:colOff>285750</xdr:colOff>
      <xdr:row>21</xdr:row>
      <xdr:rowOff>123825</xdr:rowOff>
    </xdr:to>
    <xdr:grpSp>
      <xdr:nvGrpSpPr>
        <xdr:cNvPr id="4377179" name="Group 221">
          <a:extLst>
            <a:ext uri="{FF2B5EF4-FFF2-40B4-BE49-F238E27FC236}">
              <a16:creationId xmlns="" xmlns:a16="http://schemas.microsoft.com/office/drawing/2014/main" id="{00000000-0008-0000-0C00-00005BCA4200}"/>
            </a:ext>
          </a:extLst>
        </xdr:cNvPr>
        <xdr:cNvGrpSpPr>
          <a:grpSpLocks/>
        </xdr:cNvGrpSpPr>
      </xdr:nvGrpSpPr>
      <xdr:grpSpPr bwMode="auto">
        <a:xfrm>
          <a:off x="10848975" y="5476875"/>
          <a:ext cx="209550" cy="2276475"/>
          <a:chOff x="842" y="438"/>
          <a:chExt cx="10" cy="147"/>
        </a:xfrm>
      </xdr:grpSpPr>
      <xdr:sp macro="" textlink="">
        <xdr:nvSpPr>
          <xdr:cNvPr id="4377197" name="Line 222">
            <a:extLst>
              <a:ext uri="{FF2B5EF4-FFF2-40B4-BE49-F238E27FC236}">
                <a16:creationId xmlns="" xmlns:a16="http://schemas.microsoft.com/office/drawing/2014/main" id="{00000000-0008-0000-0C00-00006DCA42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7198" name="Line 223">
            <a:extLst>
              <a:ext uri="{FF2B5EF4-FFF2-40B4-BE49-F238E27FC236}">
                <a16:creationId xmlns="" xmlns:a16="http://schemas.microsoft.com/office/drawing/2014/main" id="{00000000-0008-0000-0C00-00006ECA42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276225</xdr:colOff>
      <xdr:row>14</xdr:row>
      <xdr:rowOff>47625</xdr:rowOff>
    </xdr:from>
    <xdr:to>
      <xdr:col>16</xdr:col>
      <xdr:colOff>581025</xdr:colOff>
      <xdr:row>15</xdr:row>
      <xdr:rowOff>123825</xdr:rowOff>
    </xdr:to>
    <xdr:sp macro="" textlink="">
      <xdr:nvSpPr>
        <xdr:cNvPr id="4377180" name="Rectangle 224">
          <a:extLst>
            <a:ext uri="{FF2B5EF4-FFF2-40B4-BE49-F238E27FC236}">
              <a16:creationId xmlns="" xmlns:a16="http://schemas.microsoft.com/office/drawing/2014/main" id="{00000000-0008-0000-0C00-00005CCA4200}"/>
            </a:ext>
          </a:extLst>
        </xdr:cNvPr>
        <xdr:cNvSpPr>
          <a:spLocks noChangeArrowheads="1"/>
        </xdr:cNvSpPr>
      </xdr:nvSpPr>
      <xdr:spPr bwMode="auto">
        <a:xfrm>
          <a:off x="6781800" y="5410200"/>
          <a:ext cx="8553450" cy="400050"/>
        </a:xfrm>
        <a:prstGeom prst="rect">
          <a:avLst/>
        </a:prstGeom>
        <a:noFill/>
        <a:ln w="158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152400</xdr:colOff>
      <xdr:row>14</xdr:row>
      <xdr:rowOff>85725</xdr:rowOff>
    </xdr:from>
    <xdr:to>
      <xdr:col>16</xdr:col>
      <xdr:colOff>152400</xdr:colOff>
      <xdr:row>27</xdr:row>
      <xdr:rowOff>314325</xdr:rowOff>
    </xdr:to>
    <xdr:sp macro="" textlink="">
      <xdr:nvSpPr>
        <xdr:cNvPr id="4377181" name="Line 225">
          <a:extLst>
            <a:ext uri="{FF2B5EF4-FFF2-40B4-BE49-F238E27FC236}">
              <a16:creationId xmlns="" xmlns:a16="http://schemas.microsoft.com/office/drawing/2014/main" id="{00000000-0008-0000-0C00-00005DCA4200}"/>
            </a:ext>
          </a:extLst>
        </xdr:cNvPr>
        <xdr:cNvSpPr>
          <a:spLocks noChangeShapeType="1"/>
        </xdr:cNvSpPr>
      </xdr:nvSpPr>
      <xdr:spPr bwMode="auto">
        <a:xfrm>
          <a:off x="14906625" y="5448300"/>
          <a:ext cx="0" cy="443865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13</xdr:col>
      <xdr:colOff>809625</xdr:colOff>
      <xdr:row>14</xdr:row>
      <xdr:rowOff>180975</xdr:rowOff>
    </xdr:from>
    <xdr:to>
      <xdr:col>14</xdr:col>
      <xdr:colOff>9525</xdr:colOff>
      <xdr:row>14</xdr:row>
      <xdr:rowOff>180975</xdr:rowOff>
    </xdr:to>
    <xdr:sp macro="" textlink="">
      <xdr:nvSpPr>
        <xdr:cNvPr id="4377182" name="Line 226">
          <a:extLst>
            <a:ext uri="{FF2B5EF4-FFF2-40B4-BE49-F238E27FC236}">
              <a16:creationId xmlns="" xmlns:a16="http://schemas.microsoft.com/office/drawing/2014/main" id="{00000000-0008-0000-0C00-00005ECA4200}"/>
            </a:ext>
          </a:extLst>
        </xdr:cNvPr>
        <xdr:cNvSpPr>
          <a:spLocks noChangeShapeType="1"/>
        </xdr:cNvSpPr>
      </xdr:nvSpPr>
      <xdr:spPr bwMode="auto">
        <a:xfrm>
          <a:off x="12573000" y="5543550"/>
          <a:ext cx="23812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8</xdr:col>
      <xdr:colOff>266700</xdr:colOff>
      <xdr:row>27</xdr:row>
      <xdr:rowOff>76200</xdr:rowOff>
    </xdr:from>
    <xdr:to>
      <xdr:col>16</xdr:col>
      <xdr:colOff>142875</xdr:colOff>
      <xdr:row>27</xdr:row>
      <xdr:rowOff>76200</xdr:rowOff>
    </xdr:to>
    <xdr:sp macro="" textlink="">
      <xdr:nvSpPr>
        <xdr:cNvPr id="4377183" name="Line 227">
          <a:extLst>
            <a:ext uri="{FF2B5EF4-FFF2-40B4-BE49-F238E27FC236}">
              <a16:creationId xmlns="" xmlns:a16="http://schemas.microsoft.com/office/drawing/2014/main" id="{00000000-0008-0000-0C00-00005FCA4200}"/>
            </a:ext>
          </a:extLst>
        </xdr:cNvPr>
        <xdr:cNvSpPr>
          <a:spLocks noChangeShapeType="1"/>
        </xdr:cNvSpPr>
      </xdr:nvSpPr>
      <xdr:spPr bwMode="auto">
        <a:xfrm flipV="1">
          <a:off x="6772275" y="9648825"/>
          <a:ext cx="8124825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13</xdr:col>
      <xdr:colOff>123825</xdr:colOff>
      <xdr:row>14</xdr:row>
      <xdr:rowOff>104775</xdr:rowOff>
    </xdr:from>
    <xdr:to>
      <xdr:col>13</xdr:col>
      <xdr:colOff>152400</xdr:colOff>
      <xdr:row>22</xdr:row>
      <xdr:rowOff>171450</xdr:rowOff>
    </xdr:to>
    <xdr:grpSp>
      <xdr:nvGrpSpPr>
        <xdr:cNvPr id="4377184" name="Group 228">
          <a:extLst>
            <a:ext uri="{FF2B5EF4-FFF2-40B4-BE49-F238E27FC236}">
              <a16:creationId xmlns="" xmlns:a16="http://schemas.microsoft.com/office/drawing/2014/main" id="{00000000-0008-0000-0C00-000060CA4200}"/>
            </a:ext>
          </a:extLst>
        </xdr:cNvPr>
        <xdr:cNvGrpSpPr>
          <a:grpSpLocks/>
        </xdr:cNvGrpSpPr>
      </xdr:nvGrpSpPr>
      <xdr:grpSpPr bwMode="auto">
        <a:xfrm flipH="1">
          <a:off x="11887200" y="5467350"/>
          <a:ext cx="28575" cy="2657475"/>
          <a:chOff x="912" y="438"/>
          <a:chExt cx="11" cy="175"/>
        </a:xfrm>
      </xdr:grpSpPr>
      <xdr:sp macro="" textlink="">
        <xdr:nvSpPr>
          <xdr:cNvPr id="4377195" name="Line 229">
            <a:extLst>
              <a:ext uri="{FF2B5EF4-FFF2-40B4-BE49-F238E27FC236}">
                <a16:creationId xmlns="" xmlns:a16="http://schemas.microsoft.com/office/drawing/2014/main" id="{00000000-0008-0000-0C00-00006BCA42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7196" name="Line 230">
            <a:extLst>
              <a:ext uri="{FF2B5EF4-FFF2-40B4-BE49-F238E27FC236}">
                <a16:creationId xmlns="" xmlns:a16="http://schemas.microsoft.com/office/drawing/2014/main" id="{00000000-0008-0000-0C00-00006CCA42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266700</xdr:colOff>
      <xdr:row>22</xdr:row>
      <xdr:rowOff>76200</xdr:rowOff>
    </xdr:from>
    <xdr:to>
      <xdr:col>13</xdr:col>
      <xdr:colOff>123825</xdr:colOff>
      <xdr:row>22</xdr:row>
      <xdr:rowOff>76200</xdr:rowOff>
    </xdr:to>
    <xdr:sp macro="" textlink="">
      <xdr:nvSpPr>
        <xdr:cNvPr id="4377185" name="Line 231">
          <a:extLst>
            <a:ext uri="{FF2B5EF4-FFF2-40B4-BE49-F238E27FC236}">
              <a16:creationId xmlns="" xmlns:a16="http://schemas.microsoft.com/office/drawing/2014/main" id="{00000000-0008-0000-0C00-000061CA4200}"/>
            </a:ext>
          </a:extLst>
        </xdr:cNvPr>
        <xdr:cNvSpPr>
          <a:spLocks noChangeShapeType="1"/>
        </xdr:cNvSpPr>
      </xdr:nvSpPr>
      <xdr:spPr bwMode="auto">
        <a:xfrm flipH="1">
          <a:off x="6772275" y="8029575"/>
          <a:ext cx="5114925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8</xdr:col>
      <xdr:colOff>266700</xdr:colOff>
      <xdr:row>24</xdr:row>
      <xdr:rowOff>47625</xdr:rowOff>
    </xdr:from>
    <xdr:to>
      <xdr:col>14</xdr:col>
      <xdr:colOff>0</xdr:colOff>
      <xdr:row>24</xdr:row>
      <xdr:rowOff>57150</xdr:rowOff>
    </xdr:to>
    <xdr:sp macro="" textlink="">
      <xdr:nvSpPr>
        <xdr:cNvPr id="4377186" name="Line 232">
          <a:extLst>
            <a:ext uri="{FF2B5EF4-FFF2-40B4-BE49-F238E27FC236}">
              <a16:creationId xmlns="" xmlns:a16="http://schemas.microsoft.com/office/drawing/2014/main" id="{00000000-0008-0000-0C00-000062CA4200}"/>
            </a:ext>
          </a:extLst>
        </xdr:cNvPr>
        <xdr:cNvSpPr>
          <a:spLocks noChangeShapeType="1"/>
        </xdr:cNvSpPr>
      </xdr:nvSpPr>
      <xdr:spPr bwMode="auto">
        <a:xfrm flipH="1" flipV="1">
          <a:off x="6772275" y="8648700"/>
          <a:ext cx="6029325" cy="9525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8</xdr:col>
      <xdr:colOff>266700</xdr:colOff>
      <xdr:row>25</xdr:row>
      <xdr:rowOff>123825</xdr:rowOff>
    </xdr:from>
    <xdr:to>
      <xdr:col>15</xdr:col>
      <xdr:colOff>95250</xdr:colOff>
      <xdr:row>25</xdr:row>
      <xdr:rowOff>123825</xdr:rowOff>
    </xdr:to>
    <xdr:sp macro="" textlink="">
      <xdr:nvSpPr>
        <xdr:cNvPr id="4377187" name="Line 233">
          <a:extLst>
            <a:ext uri="{FF2B5EF4-FFF2-40B4-BE49-F238E27FC236}">
              <a16:creationId xmlns="" xmlns:a16="http://schemas.microsoft.com/office/drawing/2014/main" id="{00000000-0008-0000-0C00-000063CA4200}"/>
            </a:ext>
          </a:extLst>
        </xdr:cNvPr>
        <xdr:cNvSpPr>
          <a:spLocks noChangeShapeType="1"/>
        </xdr:cNvSpPr>
      </xdr:nvSpPr>
      <xdr:spPr bwMode="auto">
        <a:xfrm flipH="1">
          <a:off x="6772275" y="9048750"/>
          <a:ext cx="7086600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13</xdr:col>
      <xdr:colOff>1028700</xdr:colOff>
      <xdr:row>14</xdr:row>
      <xdr:rowOff>104775</xdr:rowOff>
    </xdr:from>
    <xdr:to>
      <xdr:col>14</xdr:col>
      <xdr:colOff>19050</xdr:colOff>
      <xdr:row>24</xdr:row>
      <xdr:rowOff>95250</xdr:rowOff>
    </xdr:to>
    <xdr:grpSp>
      <xdr:nvGrpSpPr>
        <xdr:cNvPr id="4377188" name="Group 234">
          <a:extLst>
            <a:ext uri="{FF2B5EF4-FFF2-40B4-BE49-F238E27FC236}">
              <a16:creationId xmlns="" xmlns:a16="http://schemas.microsoft.com/office/drawing/2014/main" id="{00000000-0008-0000-0C00-000064CA4200}"/>
            </a:ext>
          </a:extLst>
        </xdr:cNvPr>
        <xdr:cNvGrpSpPr>
          <a:grpSpLocks/>
        </xdr:cNvGrpSpPr>
      </xdr:nvGrpSpPr>
      <xdr:grpSpPr bwMode="auto">
        <a:xfrm>
          <a:off x="12792075" y="5467350"/>
          <a:ext cx="28575" cy="3228975"/>
          <a:chOff x="912" y="438"/>
          <a:chExt cx="11" cy="175"/>
        </a:xfrm>
      </xdr:grpSpPr>
      <xdr:sp macro="" textlink="">
        <xdr:nvSpPr>
          <xdr:cNvPr id="4377193" name="Line 235">
            <a:extLst>
              <a:ext uri="{FF2B5EF4-FFF2-40B4-BE49-F238E27FC236}">
                <a16:creationId xmlns="" xmlns:a16="http://schemas.microsoft.com/office/drawing/2014/main" id="{00000000-0008-0000-0C00-000069CA42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7194" name="Line 236">
            <a:extLst>
              <a:ext uri="{FF2B5EF4-FFF2-40B4-BE49-F238E27FC236}">
                <a16:creationId xmlns="" xmlns:a16="http://schemas.microsoft.com/office/drawing/2014/main" id="{00000000-0008-0000-0C00-00006ACA42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15</xdr:col>
      <xdr:colOff>76200</xdr:colOff>
      <xdr:row>14</xdr:row>
      <xdr:rowOff>104775</xdr:rowOff>
    </xdr:from>
    <xdr:to>
      <xdr:col>15</xdr:col>
      <xdr:colOff>114300</xdr:colOff>
      <xdr:row>25</xdr:row>
      <xdr:rowOff>142875</xdr:rowOff>
    </xdr:to>
    <xdr:grpSp>
      <xdr:nvGrpSpPr>
        <xdr:cNvPr id="4377189" name="Group 237">
          <a:extLst>
            <a:ext uri="{FF2B5EF4-FFF2-40B4-BE49-F238E27FC236}">
              <a16:creationId xmlns="" xmlns:a16="http://schemas.microsoft.com/office/drawing/2014/main" id="{00000000-0008-0000-0C00-000065CA4200}"/>
            </a:ext>
          </a:extLst>
        </xdr:cNvPr>
        <xdr:cNvGrpSpPr>
          <a:grpSpLocks/>
        </xdr:cNvGrpSpPr>
      </xdr:nvGrpSpPr>
      <xdr:grpSpPr bwMode="auto">
        <a:xfrm>
          <a:off x="13839825" y="5467350"/>
          <a:ext cx="38100" cy="3600450"/>
          <a:chOff x="912" y="438"/>
          <a:chExt cx="11" cy="175"/>
        </a:xfrm>
      </xdr:grpSpPr>
      <xdr:sp macro="" textlink="">
        <xdr:nvSpPr>
          <xdr:cNvPr id="4377191" name="Line 238">
            <a:extLst>
              <a:ext uri="{FF2B5EF4-FFF2-40B4-BE49-F238E27FC236}">
                <a16:creationId xmlns="" xmlns:a16="http://schemas.microsoft.com/office/drawing/2014/main" id="{00000000-0008-0000-0C00-000067CA42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7192" name="Line 239">
            <a:extLst>
              <a:ext uri="{FF2B5EF4-FFF2-40B4-BE49-F238E27FC236}">
                <a16:creationId xmlns="" xmlns:a16="http://schemas.microsoft.com/office/drawing/2014/main" id="{00000000-0008-0000-0C00-000068CA42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16</xdr:col>
      <xdr:colOff>28575</xdr:colOff>
      <xdr:row>14</xdr:row>
      <xdr:rowOff>180975</xdr:rowOff>
    </xdr:from>
    <xdr:to>
      <xdr:col>16</xdr:col>
      <xdr:colOff>266700</xdr:colOff>
      <xdr:row>14</xdr:row>
      <xdr:rowOff>180975</xdr:rowOff>
    </xdr:to>
    <xdr:sp macro="" textlink="">
      <xdr:nvSpPr>
        <xdr:cNvPr id="4377190" name="Line 240">
          <a:extLst>
            <a:ext uri="{FF2B5EF4-FFF2-40B4-BE49-F238E27FC236}">
              <a16:creationId xmlns="" xmlns:a16="http://schemas.microsoft.com/office/drawing/2014/main" id="{00000000-0008-0000-0C00-000066CA4200}"/>
            </a:ext>
          </a:extLst>
        </xdr:cNvPr>
        <xdr:cNvSpPr>
          <a:spLocks noChangeShapeType="1"/>
        </xdr:cNvSpPr>
      </xdr:nvSpPr>
      <xdr:spPr bwMode="auto">
        <a:xfrm>
          <a:off x="14782800" y="5543550"/>
          <a:ext cx="23812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110</xdr:row>
      <xdr:rowOff>85725</xdr:rowOff>
    </xdr:from>
    <xdr:to>
      <xdr:col>0</xdr:col>
      <xdr:colOff>0</xdr:colOff>
      <xdr:row>111</xdr:row>
      <xdr:rowOff>104775</xdr:rowOff>
    </xdr:to>
    <xdr:sp macro="" textlink="">
      <xdr:nvSpPr>
        <xdr:cNvPr id="4378077" name="Line 1">
          <a:extLst>
            <a:ext uri="{FF2B5EF4-FFF2-40B4-BE49-F238E27FC236}">
              <a16:creationId xmlns="" xmlns:a16="http://schemas.microsoft.com/office/drawing/2014/main" id="{00000000-0008-0000-0D00-0000DDCD4200}"/>
            </a:ext>
          </a:extLst>
        </xdr:cNvPr>
        <xdr:cNvSpPr>
          <a:spLocks noChangeShapeType="1"/>
        </xdr:cNvSpPr>
      </xdr:nvSpPr>
      <xdr:spPr bwMode="auto">
        <a:xfrm flipV="1">
          <a:off x="0" y="32842200"/>
          <a:ext cx="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110</xdr:row>
      <xdr:rowOff>85725</xdr:rowOff>
    </xdr:from>
    <xdr:to>
      <xdr:col>0</xdr:col>
      <xdr:colOff>0</xdr:colOff>
      <xdr:row>111</xdr:row>
      <xdr:rowOff>104775</xdr:rowOff>
    </xdr:to>
    <xdr:sp macro="" textlink="">
      <xdr:nvSpPr>
        <xdr:cNvPr id="4378078" name="Line 2">
          <a:extLst>
            <a:ext uri="{FF2B5EF4-FFF2-40B4-BE49-F238E27FC236}">
              <a16:creationId xmlns="" xmlns:a16="http://schemas.microsoft.com/office/drawing/2014/main" id="{00000000-0008-0000-0D00-0000DECD4200}"/>
            </a:ext>
          </a:extLst>
        </xdr:cNvPr>
        <xdr:cNvSpPr>
          <a:spLocks noChangeShapeType="1"/>
        </xdr:cNvSpPr>
      </xdr:nvSpPr>
      <xdr:spPr bwMode="auto">
        <a:xfrm flipV="1">
          <a:off x="0" y="32842200"/>
          <a:ext cx="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0</xdr:colOff>
      <xdr:row>22</xdr:row>
      <xdr:rowOff>85725</xdr:rowOff>
    </xdr:from>
    <xdr:to>
      <xdr:col>2</xdr:col>
      <xdr:colOff>0</xdr:colOff>
      <xdr:row>25</xdr:row>
      <xdr:rowOff>142875</xdr:rowOff>
    </xdr:to>
    <xdr:sp macro="" textlink="">
      <xdr:nvSpPr>
        <xdr:cNvPr id="4378079" name="Line 3">
          <a:extLst>
            <a:ext uri="{FF2B5EF4-FFF2-40B4-BE49-F238E27FC236}">
              <a16:creationId xmlns="" xmlns:a16="http://schemas.microsoft.com/office/drawing/2014/main" id="{00000000-0008-0000-0D00-0000DFCD4200}"/>
            </a:ext>
          </a:extLst>
        </xdr:cNvPr>
        <xdr:cNvSpPr>
          <a:spLocks noChangeShapeType="1"/>
        </xdr:cNvSpPr>
      </xdr:nvSpPr>
      <xdr:spPr bwMode="auto">
        <a:xfrm flipV="1">
          <a:off x="1228725" y="8039100"/>
          <a:ext cx="0" cy="1028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22</xdr:row>
      <xdr:rowOff>66675</xdr:rowOff>
    </xdr:from>
    <xdr:to>
      <xdr:col>5</xdr:col>
      <xdr:colOff>0</xdr:colOff>
      <xdr:row>25</xdr:row>
      <xdr:rowOff>133350</xdr:rowOff>
    </xdr:to>
    <xdr:sp macro="" textlink="">
      <xdr:nvSpPr>
        <xdr:cNvPr id="4378080" name="Line 4">
          <a:extLst>
            <a:ext uri="{FF2B5EF4-FFF2-40B4-BE49-F238E27FC236}">
              <a16:creationId xmlns="" xmlns:a16="http://schemas.microsoft.com/office/drawing/2014/main" id="{00000000-0008-0000-0D00-0000E0CD4200}"/>
            </a:ext>
          </a:extLst>
        </xdr:cNvPr>
        <xdr:cNvSpPr>
          <a:spLocks noChangeShapeType="1"/>
        </xdr:cNvSpPr>
      </xdr:nvSpPr>
      <xdr:spPr bwMode="auto">
        <a:xfrm flipV="1">
          <a:off x="4229100" y="8020050"/>
          <a:ext cx="0" cy="1038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5</xdr:col>
      <xdr:colOff>0</xdr:colOff>
      <xdr:row>23</xdr:row>
      <xdr:rowOff>0</xdr:rowOff>
    </xdr:to>
    <xdr:sp macro="" textlink="">
      <xdr:nvSpPr>
        <xdr:cNvPr id="4378081" name="Line 5">
          <a:extLst>
            <a:ext uri="{FF2B5EF4-FFF2-40B4-BE49-F238E27FC236}">
              <a16:creationId xmlns="" xmlns:a16="http://schemas.microsoft.com/office/drawing/2014/main" id="{00000000-0008-0000-0D00-0000E1CD4200}"/>
            </a:ext>
          </a:extLst>
        </xdr:cNvPr>
        <xdr:cNvSpPr>
          <a:spLocks noChangeShapeType="1"/>
        </xdr:cNvSpPr>
      </xdr:nvSpPr>
      <xdr:spPr bwMode="auto">
        <a:xfrm>
          <a:off x="1228725" y="8277225"/>
          <a:ext cx="3000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657225</xdr:colOff>
      <xdr:row>26</xdr:row>
      <xdr:rowOff>9525</xdr:rowOff>
    </xdr:from>
    <xdr:to>
      <xdr:col>4</xdr:col>
      <xdr:colOff>752475</xdr:colOff>
      <xdr:row>27</xdr:row>
      <xdr:rowOff>9525</xdr:rowOff>
    </xdr:to>
    <xdr:sp macro="" textlink="">
      <xdr:nvSpPr>
        <xdr:cNvPr id="4378082" name="Line 6">
          <a:extLst>
            <a:ext uri="{FF2B5EF4-FFF2-40B4-BE49-F238E27FC236}">
              <a16:creationId xmlns="" xmlns:a16="http://schemas.microsoft.com/office/drawing/2014/main" id="{00000000-0008-0000-0D00-0000E2CD4200}"/>
            </a:ext>
          </a:extLst>
        </xdr:cNvPr>
        <xdr:cNvSpPr>
          <a:spLocks noChangeShapeType="1"/>
        </xdr:cNvSpPr>
      </xdr:nvSpPr>
      <xdr:spPr bwMode="auto">
        <a:xfrm flipH="1" flipV="1">
          <a:off x="3724275" y="9258300"/>
          <a:ext cx="9525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428625</xdr:colOff>
      <xdr:row>26</xdr:row>
      <xdr:rowOff>9525</xdr:rowOff>
    </xdr:from>
    <xdr:to>
      <xdr:col>4</xdr:col>
      <xdr:colOff>504825</xdr:colOff>
      <xdr:row>27</xdr:row>
      <xdr:rowOff>9525</xdr:rowOff>
    </xdr:to>
    <xdr:sp macro="" textlink="">
      <xdr:nvSpPr>
        <xdr:cNvPr id="4378083" name="Line 7">
          <a:extLst>
            <a:ext uri="{FF2B5EF4-FFF2-40B4-BE49-F238E27FC236}">
              <a16:creationId xmlns="" xmlns:a16="http://schemas.microsoft.com/office/drawing/2014/main" id="{00000000-0008-0000-0D00-0000E3CD4200}"/>
            </a:ext>
          </a:extLst>
        </xdr:cNvPr>
        <xdr:cNvSpPr>
          <a:spLocks noChangeShapeType="1"/>
        </xdr:cNvSpPr>
      </xdr:nvSpPr>
      <xdr:spPr bwMode="auto">
        <a:xfrm flipH="1">
          <a:off x="3495675" y="9258300"/>
          <a:ext cx="7620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342900</xdr:colOff>
      <xdr:row>26</xdr:row>
      <xdr:rowOff>9525</xdr:rowOff>
    </xdr:from>
    <xdr:to>
      <xdr:col>4</xdr:col>
      <xdr:colOff>428625</xdr:colOff>
      <xdr:row>27</xdr:row>
      <xdr:rowOff>9525</xdr:rowOff>
    </xdr:to>
    <xdr:sp macro="" textlink="">
      <xdr:nvSpPr>
        <xdr:cNvPr id="4378084" name="Line 8">
          <a:extLst>
            <a:ext uri="{FF2B5EF4-FFF2-40B4-BE49-F238E27FC236}">
              <a16:creationId xmlns="" xmlns:a16="http://schemas.microsoft.com/office/drawing/2014/main" id="{00000000-0008-0000-0D00-0000E4CD4200}"/>
            </a:ext>
          </a:extLst>
        </xdr:cNvPr>
        <xdr:cNvSpPr>
          <a:spLocks noChangeShapeType="1"/>
        </xdr:cNvSpPr>
      </xdr:nvSpPr>
      <xdr:spPr bwMode="auto">
        <a:xfrm flipH="1" flipV="1">
          <a:off x="3409950" y="9258300"/>
          <a:ext cx="85725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257175</xdr:colOff>
      <xdr:row>26</xdr:row>
      <xdr:rowOff>9525</xdr:rowOff>
    </xdr:from>
    <xdr:to>
      <xdr:col>4</xdr:col>
      <xdr:colOff>342900</xdr:colOff>
      <xdr:row>27</xdr:row>
      <xdr:rowOff>9525</xdr:rowOff>
    </xdr:to>
    <xdr:sp macro="" textlink="">
      <xdr:nvSpPr>
        <xdr:cNvPr id="4378085" name="Line 9">
          <a:extLst>
            <a:ext uri="{FF2B5EF4-FFF2-40B4-BE49-F238E27FC236}">
              <a16:creationId xmlns="" xmlns:a16="http://schemas.microsoft.com/office/drawing/2014/main" id="{00000000-0008-0000-0D00-0000E5CD4200}"/>
            </a:ext>
          </a:extLst>
        </xdr:cNvPr>
        <xdr:cNvSpPr>
          <a:spLocks noChangeShapeType="1"/>
        </xdr:cNvSpPr>
      </xdr:nvSpPr>
      <xdr:spPr bwMode="auto">
        <a:xfrm flipH="1">
          <a:off x="3324225" y="9258300"/>
          <a:ext cx="85725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161925</xdr:colOff>
      <xdr:row>26</xdr:row>
      <xdr:rowOff>9525</xdr:rowOff>
    </xdr:from>
    <xdr:to>
      <xdr:col>4</xdr:col>
      <xdr:colOff>257175</xdr:colOff>
      <xdr:row>27</xdr:row>
      <xdr:rowOff>9525</xdr:rowOff>
    </xdr:to>
    <xdr:sp macro="" textlink="">
      <xdr:nvSpPr>
        <xdr:cNvPr id="4378086" name="Line 10">
          <a:extLst>
            <a:ext uri="{FF2B5EF4-FFF2-40B4-BE49-F238E27FC236}">
              <a16:creationId xmlns="" xmlns:a16="http://schemas.microsoft.com/office/drawing/2014/main" id="{00000000-0008-0000-0D00-0000E6CD4200}"/>
            </a:ext>
          </a:extLst>
        </xdr:cNvPr>
        <xdr:cNvSpPr>
          <a:spLocks noChangeShapeType="1"/>
        </xdr:cNvSpPr>
      </xdr:nvSpPr>
      <xdr:spPr bwMode="auto">
        <a:xfrm flipH="1" flipV="1">
          <a:off x="3228975" y="9258300"/>
          <a:ext cx="9525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85725</xdr:colOff>
      <xdr:row>26</xdr:row>
      <xdr:rowOff>9525</xdr:rowOff>
    </xdr:from>
    <xdr:to>
      <xdr:col>4</xdr:col>
      <xdr:colOff>161925</xdr:colOff>
      <xdr:row>27</xdr:row>
      <xdr:rowOff>9525</xdr:rowOff>
    </xdr:to>
    <xdr:sp macro="" textlink="">
      <xdr:nvSpPr>
        <xdr:cNvPr id="4378087" name="Line 11">
          <a:extLst>
            <a:ext uri="{FF2B5EF4-FFF2-40B4-BE49-F238E27FC236}">
              <a16:creationId xmlns="" xmlns:a16="http://schemas.microsoft.com/office/drawing/2014/main" id="{00000000-0008-0000-0D00-0000E7CD4200}"/>
            </a:ext>
          </a:extLst>
        </xdr:cNvPr>
        <xdr:cNvSpPr>
          <a:spLocks noChangeShapeType="1"/>
        </xdr:cNvSpPr>
      </xdr:nvSpPr>
      <xdr:spPr bwMode="auto">
        <a:xfrm flipH="1">
          <a:off x="3152775" y="9258300"/>
          <a:ext cx="7620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26</xdr:row>
      <xdr:rowOff>0</xdr:rowOff>
    </xdr:from>
    <xdr:to>
      <xdr:col>4</xdr:col>
      <xdr:colOff>0</xdr:colOff>
      <xdr:row>27</xdr:row>
      <xdr:rowOff>0</xdr:rowOff>
    </xdr:to>
    <xdr:sp macro="" textlink="">
      <xdr:nvSpPr>
        <xdr:cNvPr id="4378088" name="Line 12">
          <a:extLst>
            <a:ext uri="{FF2B5EF4-FFF2-40B4-BE49-F238E27FC236}">
              <a16:creationId xmlns="" xmlns:a16="http://schemas.microsoft.com/office/drawing/2014/main" id="{00000000-0008-0000-0D00-0000E8CD4200}"/>
            </a:ext>
          </a:extLst>
        </xdr:cNvPr>
        <xdr:cNvSpPr>
          <a:spLocks noChangeShapeType="1"/>
        </xdr:cNvSpPr>
      </xdr:nvSpPr>
      <xdr:spPr bwMode="auto">
        <a:xfrm flipV="1">
          <a:off x="3067050" y="924877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104775</xdr:colOff>
      <xdr:row>30</xdr:row>
      <xdr:rowOff>0</xdr:rowOff>
    </xdr:from>
    <xdr:to>
      <xdr:col>5</xdr:col>
      <xdr:colOff>219075</xdr:colOff>
      <xdr:row>30</xdr:row>
      <xdr:rowOff>0</xdr:rowOff>
    </xdr:to>
    <xdr:sp macro="" textlink="">
      <xdr:nvSpPr>
        <xdr:cNvPr id="4378089" name="Line 13">
          <a:extLst>
            <a:ext uri="{FF2B5EF4-FFF2-40B4-BE49-F238E27FC236}">
              <a16:creationId xmlns="" xmlns:a16="http://schemas.microsoft.com/office/drawing/2014/main" id="{00000000-0008-0000-0D00-0000E9CD4200}"/>
            </a:ext>
          </a:extLst>
        </xdr:cNvPr>
        <xdr:cNvSpPr>
          <a:spLocks noChangeShapeType="1"/>
        </xdr:cNvSpPr>
      </xdr:nvSpPr>
      <xdr:spPr bwMode="auto">
        <a:xfrm>
          <a:off x="3171825" y="10544175"/>
          <a:ext cx="1276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123825</xdr:colOff>
      <xdr:row>30</xdr:row>
      <xdr:rowOff>0</xdr:rowOff>
    </xdr:from>
    <xdr:to>
      <xdr:col>5</xdr:col>
      <xdr:colOff>123825</xdr:colOff>
      <xdr:row>34</xdr:row>
      <xdr:rowOff>114300</xdr:rowOff>
    </xdr:to>
    <xdr:sp macro="" textlink="">
      <xdr:nvSpPr>
        <xdr:cNvPr id="4378090" name="Line 14">
          <a:extLst>
            <a:ext uri="{FF2B5EF4-FFF2-40B4-BE49-F238E27FC236}">
              <a16:creationId xmlns="" xmlns:a16="http://schemas.microsoft.com/office/drawing/2014/main" id="{00000000-0008-0000-0D00-0000EACD4200}"/>
            </a:ext>
          </a:extLst>
        </xdr:cNvPr>
        <xdr:cNvSpPr>
          <a:spLocks noChangeShapeType="1"/>
        </xdr:cNvSpPr>
      </xdr:nvSpPr>
      <xdr:spPr bwMode="auto">
        <a:xfrm>
          <a:off x="4352925" y="10544175"/>
          <a:ext cx="0" cy="1409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123825</xdr:colOff>
      <xdr:row>30</xdr:row>
      <xdr:rowOff>38100</xdr:rowOff>
    </xdr:from>
    <xdr:to>
      <xdr:col>5</xdr:col>
      <xdr:colOff>133350</xdr:colOff>
      <xdr:row>42</xdr:row>
      <xdr:rowOff>0</xdr:rowOff>
    </xdr:to>
    <xdr:sp macro="" textlink="">
      <xdr:nvSpPr>
        <xdr:cNvPr id="4378091" name="Line 15">
          <a:extLst>
            <a:ext uri="{FF2B5EF4-FFF2-40B4-BE49-F238E27FC236}">
              <a16:creationId xmlns="" xmlns:a16="http://schemas.microsoft.com/office/drawing/2014/main" id="{00000000-0008-0000-0D00-0000EBCD4200}"/>
            </a:ext>
          </a:extLst>
        </xdr:cNvPr>
        <xdr:cNvSpPr>
          <a:spLocks noChangeShapeType="1"/>
        </xdr:cNvSpPr>
      </xdr:nvSpPr>
      <xdr:spPr bwMode="auto">
        <a:xfrm>
          <a:off x="4352925" y="10582275"/>
          <a:ext cx="9525" cy="384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104775</xdr:colOff>
      <xdr:row>42</xdr:row>
      <xdr:rowOff>0</xdr:rowOff>
    </xdr:from>
    <xdr:to>
      <xdr:col>5</xdr:col>
      <xdr:colOff>266700</xdr:colOff>
      <xdr:row>42</xdr:row>
      <xdr:rowOff>0</xdr:rowOff>
    </xdr:to>
    <xdr:sp macro="" textlink="">
      <xdr:nvSpPr>
        <xdr:cNvPr id="4378092" name="Line 16">
          <a:extLst>
            <a:ext uri="{FF2B5EF4-FFF2-40B4-BE49-F238E27FC236}">
              <a16:creationId xmlns="" xmlns:a16="http://schemas.microsoft.com/office/drawing/2014/main" id="{00000000-0008-0000-0D00-0000ECCD4200}"/>
            </a:ext>
          </a:extLst>
        </xdr:cNvPr>
        <xdr:cNvSpPr>
          <a:spLocks noChangeShapeType="1"/>
        </xdr:cNvSpPr>
      </xdr:nvSpPr>
      <xdr:spPr bwMode="auto">
        <a:xfrm>
          <a:off x="3171825" y="14430375"/>
          <a:ext cx="1323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10</xdr:row>
      <xdr:rowOff>104775</xdr:rowOff>
    </xdr:from>
    <xdr:to>
      <xdr:col>18</xdr:col>
      <xdr:colOff>0</xdr:colOff>
      <xdr:row>12</xdr:row>
      <xdr:rowOff>133350</xdr:rowOff>
    </xdr:to>
    <xdr:sp macro="" textlink="">
      <xdr:nvSpPr>
        <xdr:cNvPr id="4378093" name="Line 17">
          <a:extLst>
            <a:ext uri="{FF2B5EF4-FFF2-40B4-BE49-F238E27FC236}">
              <a16:creationId xmlns="" xmlns:a16="http://schemas.microsoft.com/office/drawing/2014/main" id="{00000000-0008-0000-0D00-0000EDCD4200}"/>
            </a:ext>
          </a:extLst>
        </xdr:cNvPr>
        <xdr:cNvSpPr>
          <a:spLocks noChangeShapeType="1"/>
        </xdr:cNvSpPr>
      </xdr:nvSpPr>
      <xdr:spPr bwMode="auto">
        <a:xfrm flipV="1">
          <a:off x="16687800" y="4171950"/>
          <a:ext cx="0" cy="676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0</xdr:colOff>
      <xdr:row>10</xdr:row>
      <xdr:rowOff>114300</xdr:rowOff>
    </xdr:from>
    <xdr:to>
      <xdr:col>23</xdr:col>
      <xdr:colOff>0</xdr:colOff>
      <xdr:row>12</xdr:row>
      <xdr:rowOff>142875</xdr:rowOff>
    </xdr:to>
    <xdr:sp macro="" textlink="">
      <xdr:nvSpPr>
        <xdr:cNvPr id="4378094" name="Line 18">
          <a:extLst>
            <a:ext uri="{FF2B5EF4-FFF2-40B4-BE49-F238E27FC236}">
              <a16:creationId xmlns="" xmlns:a16="http://schemas.microsoft.com/office/drawing/2014/main" id="{00000000-0008-0000-0D00-0000EECD4200}"/>
            </a:ext>
          </a:extLst>
        </xdr:cNvPr>
        <xdr:cNvSpPr>
          <a:spLocks noChangeShapeType="1"/>
        </xdr:cNvSpPr>
      </xdr:nvSpPr>
      <xdr:spPr bwMode="auto">
        <a:xfrm flipV="1">
          <a:off x="22002750" y="4181475"/>
          <a:ext cx="0" cy="676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11</xdr:row>
      <xdr:rowOff>0</xdr:rowOff>
    </xdr:from>
    <xdr:to>
      <xdr:col>23</xdr:col>
      <xdr:colOff>0</xdr:colOff>
      <xdr:row>11</xdr:row>
      <xdr:rowOff>0</xdr:rowOff>
    </xdr:to>
    <xdr:sp macro="" textlink="">
      <xdr:nvSpPr>
        <xdr:cNvPr id="4378095" name="Line 19">
          <a:extLst>
            <a:ext uri="{FF2B5EF4-FFF2-40B4-BE49-F238E27FC236}">
              <a16:creationId xmlns="" xmlns:a16="http://schemas.microsoft.com/office/drawing/2014/main" id="{00000000-0008-0000-0D00-0000EFCD4200}"/>
            </a:ext>
          </a:extLst>
        </xdr:cNvPr>
        <xdr:cNvSpPr>
          <a:spLocks noChangeShapeType="1"/>
        </xdr:cNvSpPr>
      </xdr:nvSpPr>
      <xdr:spPr bwMode="auto">
        <a:xfrm>
          <a:off x="16687800" y="4391025"/>
          <a:ext cx="5314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19</xdr:row>
      <xdr:rowOff>123825</xdr:rowOff>
    </xdr:from>
    <xdr:to>
      <xdr:col>18</xdr:col>
      <xdr:colOff>0</xdr:colOff>
      <xdr:row>21</xdr:row>
      <xdr:rowOff>161925</xdr:rowOff>
    </xdr:to>
    <xdr:sp macro="" textlink="">
      <xdr:nvSpPr>
        <xdr:cNvPr id="4378096" name="Line 20">
          <a:extLst>
            <a:ext uri="{FF2B5EF4-FFF2-40B4-BE49-F238E27FC236}">
              <a16:creationId xmlns="" xmlns:a16="http://schemas.microsoft.com/office/drawing/2014/main" id="{00000000-0008-0000-0D00-0000F0CD4200}"/>
            </a:ext>
          </a:extLst>
        </xdr:cNvPr>
        <xdr:cNvSpPr>
          <a:spLocks noChangeShapeType="1"/>
        </xdr:cNvSpPr>
      </xdr:nvSpPr>
      <xdr:spPr bwMode="auto">
        <a:xfrm flipV="1">
          <a:off x="16687800" y="7105650"/>
          <a:ext cx="0" cy="685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0</xdr:colOff>
      <xdr:row>19</xdr:row>
      <xdr:rowOff>114300</xdr:rowOff>
    </xdr:from>
    <xdr:to>
      <xdr:col>23</xdr:col>
      <xdr:colOff>0</xdr:colOff>
      <xdr:row>21</xdr:row>
      <xdr:rowOff>142875</xdr:rowOff>
    </xdr:to>
    <xdr:sp macro="" textlink="">
      <xdr:nvSpPr>
        <xdr:cNvPr id="4378097" name="Line 21">
          <a:extLst>
            <a:ext uri="{FF2B5EF4-FFF2-40B4-BE49-F238E27FC236}">
              <a16:creationId xmlns="" xmlns:a16="http://schemas.microsoft.com/office/drawing/2014/main" id="{00000000-0008-0000-0D00-0000F1CD4200}"/>
            </a:ext>
          </a:extLst>
        </xdr:cNvPr>
        <xdr:cNvSpPr>
          <a:spLocks noChangeShapeType="1"/>
        </xdr:cNvSpPr>
      </xdr:nvSpPr>
      <xdr:spPr bwMode="auto">
        <a:xfrm flipV="1">
          <a:off x="22002750" y="7096125"/>
          <a:ext cx="0" cy="676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20</xdr:row>
      <xdr:rowOff>0</xdr:rowOff>
    </xdr:from>
    <xdr:to>
      <xdr:col>23</xdr:col>
      <xdr:colOff>0</xdr:colOff>
      <xdr:row>20</xdr:row>
      <xdr:rowOff>0</xdr:rowOff>
    </xdr:to>
    <xdr:sp macro="" textlink="">
      <xdr:nvSpPr>
        <xdr:cNvPr id="4378098" name="Line 22">
          <a:extLst>
            <a:ext uri="{FF2B5EF4-FFF2-40B4-BE49-F238E27FC236}">
              <a16:creationId xmlns="" xmlns:a16="http://schemas.microsoft.com/office/drawing/2014/main" id="{00000000-0008-0000-0D00-0000F2CD4200}"/>
            </a:ext>
          </a:extLst>
        </xdr:cNvPr>
        <xdr:cNvSpPr>
          <a:spLocks noChangeShapeType="1"/>
        </xdr:cNvSpPr>
      </xdr:nvSpPr>
      <xdr:spPr bwMode="auto">
        <a:xfrm>
          <a:off x="16687800" y="7305675"/>
          <a:ext cx="5314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19050</xdr:colOff>
      <xdr:row>36</xdr:row>
      <xdr:rowOff>95250</xdr:rowOff>
    </xdr:from>
    <xdr:to>
      <xdr:col>23</xdr:col>
      <xdr:colOff>19050</xdr:colOff>
      <xdr:row>38</xdr:row>
      <xdr:rowOff>123825</xdr:rowOff>
    </xdr:to>
    <xdr:grpSp>
      <xdr:nvGrpSpPr>
        <xdr:cNvPr id="4378099" name="Group 23">
          <a:extLst>
            <a:ext uri="{FF2B5EF4-FFF2-40B4-BE49-F238E27FC236}">
              <a16:creationId xmlns="" xmlns:a16="http://schemas.microsoft.com/office/drawing/2014/main" id="{00000000-0008-0000-0D00-0000F3CD4200}"/>
            </a:ext>
          </a:extLst>
        </xdr:cNvPr>
        <xdr:cNvGrpSpPr>
          <a:grpSpLocks/>
        </xdr:cNvGrpSpPr>
      </xdr:nvGrpSpPr>
      <xdr:grpSpPr bwMode="auto">
        <a:xfrm>
          <a:off x="16706850" y="12582525"/>
          <a:ext cx="5314950" cy="676275"/>
          <a:chOff x="2047" y="332"/>
          <a:chExt cx="445" cy="63"/>
        </a:xfrm>
      </xdr:grpSpPr>
      <xdr:sp macro="" textlink="">
        <xdr:nvSpPr>
          <xdr:cNvPr id="4378257" name="Line 24">
            <a:extLst>
              <a:ext uri="{FF2B5EF4-FFF2-40B4-BE49-F238E27FC236}">
                <a16:creationId xmlns="" xmlns:a16="http://schemas.microsoft.com/office/drawing/2014/main" id="{00000000-0008-0000-0D00-000091CE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47" y="332"/>
            <a:ext cx="0" cy="6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8258" name="Line 25">
            <a:extLst>
              <a:ext uri="{FF2B5EF4-FFF2-40B4-BE49-F238E27FC236}">
                <a16:creationId xmlns="" xmlns:a16="http://schemas.microsoft.com/office/drawing/2014/main" id="{00000000-0008-0000-0D00-000092CE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492" y="332"/>
            <a:ext cx="0" cy="6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8259" name="Line 26">
            <a:extLst>
              <a:ext uri="{FF2B5EF4-FFF2-40B4-BE49-F238E27FC236}">
                <a16:creationId xmlns="" xmlns:a16="http://schemas.microsoft.com/office/drawing/2014/main" id="{00000000-0008-0000-0D00-000093CE4200}"/>
              </a:ext>
            </a:extLst>
          </xdr:cNvPr>
          <xdr:cNvSpPr>
            <a:spLocks noChangeShapeType="1"/>
          </xdr:cNvSpPr>
        </xdr:nvSpPr>
        <xdr:spPr bwMode="auto">
          <a:xfrm>
            <a:off x="2047" y="350"/>
            <a:ext cx="44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838200</xdr:colOff>
      <xdr:row>26</xdr:row>
      <xdr:rowOff>0</xdr:rowOff>
    </xdr:from>
    <xdr:to>
      <xdr:col>4</xdr:col>
      <xdr:colOff>838200</xdr:colOff>
      <xdr:row>27</xdr:row>
      <xdr:rowOff>0</xdr:rowOff>
    </xdr:to>
    <xdr:sp macro="" textlink="">
      <xdr:nvSpPr>
        <xdr:cNvPr id="4378100" name="Line 27">
          <a:extLst>
            <a:ext uri="{FF2B5EF4-FFF2-40B4-BE49-F238E27FC236}">
              <a16:creationId xmlns="" xmlns:a16="http://schemas.microsoft.com/office/drawing/2014/main" id="{00000000-0008-0000-0D00-0000F4CD4200}"/>
            </a:ext>
          </a:extLst>
        </xdr:cNvPr>
        <xdr:cNvSpPr>
          <a:spLocks noChangeShapeType="1"/>
        </xdr:cNvSpPr>
      </xdr:nvSpPr>
      <xdr:spPr bwMode="auto">
        <a:xfrm flipV="1">
          <a:off x="3905250" y="924877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85725</xdr:colOff>
      <xdr:row>26</xdr:row>
      <xdr:rowOff>0</xdr:rowOff>
    </xdr:from>
    <xdr:to>
      <xdr:col>4</xdr:col>
      <xdr:colOff>85725</xdr:colOff>
      <xdr:row>27</xdr:row>
      <xdr:rowOff>0</xdr:rowOff>
    </xdr:to>
    <xdr:sp macro="" textlink="">
      <xdr:nvSpPr>
        <xdr:cNvPr id="4378101" name="Line 28">
          <a:extLst>
            <a:ext uri="{FF2B5EF4-FFF2-40B4-BE49-F238E27FC236}">
              <a16:creationId xmlns="" xmlns:a16="http://schemas.microsoft.com/office/drawing/2014/main" id="{00000000-0008-0000-0D00-0000F5CD4200}"/>
            </a:ext>
          </a:extLst>
        </xdr:cNvPr>
        <xdr:cNvSpPr>
          <a:spLocks noChangeShapeType="1"/>
        </xdr:cNvSpPr>
      </xdr:nvSpPr>
      <xdr:spPr bwMode="auto">
        <a:xfrm flipV="1">
          <a:off x="3152775" y="924877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85725</xdr:colOff>
      <xdr:row>30</xdr:row>
      <xdr:rowOff>0</xdr:rowOff>
    </xdr:from>
    <xdr:to>
      <xdr:col>2</xdr:col>
      <xdr:colOff>85725</xdr:colOff>
      <xdr:row>42</xdr:row>
      <xdr:rowOff>0</xdr:rowOff>
    </xdr:to>
    <xdr:sp macro="" textlink="">
      <xdr:nvSpPr>
        <xdr:cNvPr id="4378102" name="Line 29">
          <a:extLst>
            <a:ext uri="{FF2B5EF4-FFF2-40B4-BE49-F238E27FC236}">
              <a16:creationId xmlns="" xmlns:a16="http://schemas.microsoft.com/office/drawing/2014/main" id="{00000000-0008-0000-0D00-0000F6CD4200}"/>
            </a:ext>
          </a:extLst>
        </xdr:cNvPr>
        <xdr:cNvSpPr>
          <a:spLocks noChangeShapeType="1"/>
        </xdr:cNvSpPr>
      </xdr:nvSpPr>
      <xdr:spPr bwMode="auto">
        <a:xfrm>
          <a:off x="1314450" y="10544175"/>
          <a:ext cx="0" cy="388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133350</xdr:colOff>
      <xdr:row>30</xdr:row>
      <xdr:rowOff>0</xdr:rowOff>
    </xdr:from>
    <xdr:to>
      <xdr:col>4</xdr:col>
      <xdr:colOff>133350</xdr:colOff>
      <xdr:row>42</xdr:row>
      <xdr:rowOff>0</xdr:rowOff>
    </xdr:to>
    <xdr:sp macro="" textlink="">
      <xdr:nvSpPr>
        <xdr:cNvPr id="4378103" name="Line 30">
          <a:extLst>
            <a:ext uri="{FF2B5EF4-FFF2-40B4-BE49-F238E27FC236}">
              <a16:creationId xmlns="" xmlns:a16="http://schemas.microsoft.com/office/drawing/2014/main" id="{00000000-0008-0000-0D00-0000F7CD4200}"/>
            </a:ext>
          </a:extLst>
        </xdr:cNvPr>
        <xdr:cNvSpPr>
          <a:spLocks noChangeShapeType="1"/>
        </xdr:cNvSpPr>
      </xdr:nvSpPr>
      <xdr:spPr bwMode="auto">
        <a:xfrm>
          <a:off x="3200400" y="10544175"/>
          <a:ext cx="0" cy="388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857250</xdr:colOff>
      <xdr:row>30</xdr:row>
      <xdr:rowOff>0</xdr:rowOff>
    </xdr:from>
    <xdr:to>
      <xdr:col>4</xdr:col>
      <xdr:colOff>857250</xdr:colOff>
      <xdr:row>42</xdr:row>
      <xdr:rowOff>0</xdr:rowOff>
    </xdr:to>
    <xdr:sp macro="" textlink="">
      <xdr:nvSpPr>
        <xdr:cNvPr id="4378104" name="Line 31">
          <a:extLst>
            <a:ext uri="{FF2B5EF4-FFF2-40B4-BE49-F238E27FC236}">
              <a16:creationId xmlns="" xmlns:a16="http://schemas.microsoft.com/office/drawing/2014/main" id="{00000000-0008-0000-0D00-0000F8CD4200}"/>
            </a:ext>
          </a:extLst>
        </xdr:cNvPr>
        <xdr:cNvSpPr>
          <a:spLocks noChangeShapeType="1"/>
        </xdr:cNvSpPr>
      </xdr:nvSpPr>
      <xdr:spPr bwMode="auto">
        <a:xfrm>
          <a:off x="3924300" y="10544175"/>
          <a:ext cx="0" cy="388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85725</xdr:colOff>
      <xdr:row>30</xdr:row>
      <xdr:rowOff>104775</xdr:rowOff>
    </xdr:from>
    <xdr:to>
      <xdr:col>4</xdr:col>
      <xdr:colOff>866775</xdr:colOff>
      <xdr:row>30</xdr:row>
      <xdr:rowOff>104775</xdr:rowOff>
    </xdr:to>
    <xdr:sp macro="" textlink="">
      <xdr:nvSpPr>
        <xdr:cNvPr id="4378105" name="Line 32">
          <a:extLst>
            <a:ext uri="{FF2B5EF4-FFF2-40B4-BE49-F238E27FC236}">
              <a16:creationId xmlns="" xmlns:a16="http://schemas.microsoft.com/office/drawing/2014/main" id="{00000000-0008-0000-0D00-0000F9CD4200}"/>
            </a:ext>
          </a:extLst>
        </xdr:cNvPr>
        <xdr:cNvSpPr>
          <a:spLocks noChangeShapeType="1"/>
        </xdr:cNvSpPr>
      </xdr:nvSpPr>
      <xdr:spPr bwMode="auto">
        <a:xfrm>
          <a:off x="3152775" y="10648950"/>
          <a:ext cx="781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866775</xdr:colOff>
      <xdr:row>30</xdr:row>
      <xdr:rowOff>104775</xdr:rowOff>
    </xdr:from>
    <xdr:to>
      <xdr:col>4</xdr:col>
      <xdr:colOff>933450</xdr:colOff>
      <xdr:row>30</xdr:row>
      <xdr:rowOff>200025</xdr:rowOff>
    </xdr:to>
    <xdr:sp macro="" textlink="">
      <xdr:nvSpPr>
        <xdr:cNvPr id="4378106" name="Arc 33">
          <a:extLst>
            <a:ext uri="{FF2B5EF4-FFF2-40B4-BE49-F238E27FC236}">
              <a16:creationId xmlns="" xmlns:a16="http://schemas.microsoft.com/office/drawing/2014/main" id="{00000000-0008-0000-0D00-0000FACD4200}"/>
            </a:ext>
          </a:extLst>
        </xdr:cNvPr>
        <xdr:cNvSpPr>
          <a:spLocks/>
        </xdr:cNvSpPr>
      </xdr:nvSpPr>
      <xdr:spPr bwMode="auto">
        <a:xfrm>
          <a:off x="3933825" y="10648950"/>
          <a:ext cx="66675" cy="95250"/>
        </a:xfrm>
        <a:custGeom>
          <a:avLst/>
          <a:gdLst>
            <a:gd name="T0" fmla="*/ 0 w 21600"/>
            <a:gd name="T1" fmla="*/ 0 h 21600"/>
            <a:gd name="T2" fmla="*/ 2147483647 w 21600"/>
            <a:gd name="T3" fmla="*/ 2147483647 h 21600"/>
            <a:gd name="T4" fmla="*/ 0 w 21600"/>
            <a:gd name="T5" fmla="*/ 2147483647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123825</xdr:colOff>
      <xdr:row>41</xdr:row>
      <xdr:rowOff>104775</xdr:rowOff>
    </xdr:from>
    <xdr:to>
      <xdr:col>4</xdr:col>
      <xdr:colOff>838200</xdr:colOff>
      <xdr:row>41</xdr:row>
      <xdr:rowOff>104775</xdr:rowOff>
    </xdr:to>
    <xdr:sp macro="" textlink="">
      <xdr:nvSpPr>
        <xdr:cNvPr id="4378107" name="Line 34">
          <a:extLst>
            <a:ext uri="{FF2B5EF4-FFF2-40B4-BE49-F238E27FC236}">
              <a16:creationId xmlns="" xmlns:a16="http://schemas.microsoft.com/office/drawing/2014/main" id="{00000000-0008-0000-0D00-0000FBCD4200}"/>
            </a:ext>
          </a:extLst>
        </xdr:cNvPr>
        <xdr:cNvSpPr>
          <a:spLocks noChangeShapeType="1"/>
        </xdr:cNvSpPr>
      </xdr:nvSpPr>
      <xdr:spPr bwMode="auto">
        <a:xfrm>
          <a:off x="3190875" y="14211300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847725</xdr:colOff>
      <xdr:row>41</xdr:row>
      <xdr:rowOff>9525</xdr:rowOff>
    </xdr:from>
    <xdr:to>
      <xdr:col>4</xdr:col>
      <xdr:colOff>962025</xdr:colOff>
      <xdr:row>41</xdr:row>
      <xdr:rowOff>104775</xdr:rowOff>
    </xdr:to>
    <xdr:sp macro="" textlink="">
      <xdr:nvSpPr>
        <xdr:cNvPr id="4378108" name="Arc 35">
          <a:extLst>
            <a:ext uri="{FF2B5EF4-FFF2-40B4-BE49-F238E27FC236}">
              <a16:creationId xmlns="" xmlns:a16="http://schemas.microsoft.com/office/drawing/2014/main" id="{00000000-0008-0000-0D00-0000FCCD4200}"/>
            </a:ext>
          </a:extLst>
        </xdr:cNvPr>
        <xdr:cNvSpPr>
          <a:spLocks/>
        </xdr:cNvSpPr>
      </xdr:nvSpPr>
      <xdr:spPr bwMode="auto">
        <a:xfrm flipV="1">
          <a:off x="3914775" y="14116050"/>
          <a:ext cx="114300" cy="95250"/>
        </a:xfrm>
        <a:custGeom>
          <a:avLst/>
          <a:gdLst>
            <a:gd name="T0" fmla="*/ 0 w 21384"/>
            <a:gd name="T1" fmla="*/ 0 h 21600"/>
            <a:gd name="T2" fmla="*/ 2147483647 w 21384"/>
            <a:gd name="T3" fmla="*/ 2147483647 h 21600"/>
            <a:gd name="T4" fmla="*/ 2147483647 w 21384"/>
            <a:gd name="T5" fmla="*/ 2147483647 h 21600"/>
            <a:gd name="T6" fmla="*/ 0 60000 65536"/>
            <a:gd name="T7" fmla="*/ 0 60000 65536"/>
            <a:gd name="T8" fmla="*/ 0 60000 65536"/>
            <a:gd name="T9" fmla="*/ 0 w 21384"/>
            <a:gd name="T10" fmla="*/ 0 h 21600"/>
            <a:gd name="T11" fmla="*/ 21384 w 21384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384" h="21600" fill="none" extrusionOk="0">
              <a:moveTo>
                <a:pt x="0" y="0"/>
              </a:moveTo>
              <a:cubicBezTo>
                <a:pt x="0" y="0"/>
                <a:pt x="0" y="-1"/>
                <a:pt x="1" y="0"/>
              </a:cubicBezTo>
              <a:cubicBezTo>
                <a:pt x="10750" y="0"/>
                <a:pt x="19863" y="7903"/>
                <a:pt x="21383" y="18545"/>
              </a:cubicBezTo>
            </a:path>
            <a:path w="21384" h="21600" stroke="0" extrusionOk="0">
              <a:moveTo>
                <a:pt x="0" y="0"/>
              </a:moveTo>
              <a:cubicBezTo>
                <a:pt x="0" y="0"/>
                <a:pt x="0" y="-1"/>
                <a:pt x="1" y="0"/>
              </a:cubicBezTo>
              <a:cubicBezTo>
                <a:pt x="10750" y="0"/>
                <a:pt x="19863" y="7903"/>
                <a:pt x="21383" y="18545"/>
              </a:cubicBezTo>
              <a:lnTo>
                <a:pt x="1" y="21600"/>
              </a:lnTo>
              <a:lnTo>
                <a:pt x="0" y="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885825</xdr:colOff>
      <xdr:row>25</xdr:row>
      <xdr:rowOff>0</xdr:rowOff>
    </xdr:from>
    <xdr:to>
      <xdr:col>4</xdr:col>
      <xdr:colOff>47625</xdr:colOff>
      <xdr:row>26</xdr:row>
      <xdr:rowOff>76200</xdr:rowOff>
    </xdr:to>
    <xdr:sp macro="" textlink="">
      <xdr:nvSpPr>
        <xdr:cNvPr id="4378109" name="Line 36">
          <a:extLst>
            <a:ext uri="{FF2B5EF4-FFF2-40B4-BE49-F238E27FC236}">
              <a16:creationId xmlns="" xmlns:a16="http://schemas.microsoft.com/office/drawing/2014/main" id="{00000000-0008-0000-0D00-0000FDCD4200}"/>
            </a:ext>
          </a:extLst>
        </xdr:cNvPr>
        <xdr:cNvSpPr>
          <a:spLocks noChangeShapeType="1"/>
        </xdr:cNvSpPr>
      </xdr:nvSpPr>
      <xdr:spPr bwMode="auto">
        <a:xfrm>
          <a:off x="2962275" y="8924925"/>
          <a:ext cx="15240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457200</xdr:colOff>
      <xdr:row>29</xdr:row>
      <xdr:rowOff>28575</xdr:rowOff>
    </xdr:from>
    <xdr:to>
      <xdr:col>2</xdr:col>
      <xdr:colOff>952500</xdr:colOff>
      <xdr:row>29</xdr:row>
      <xdr:rowOff>28575</xdr:rowOff>
    </xdr:to>
    <xdr:sp macro="" textlink="">
      <xdr:nvSpPr>
        <xdr:cNvPr id="4378110" name="Line 37">
          <a:extLst>
            <a:ext uri="{FF2B5EF4-FFF2-40B4-BE49-F238E27FC236}">
              <a16:creationId xmlns="" xmlns:a16="http://schemas.microsoft.com/office/drawing/2014/main" id="{00000000-0008-0000-0D00-0000FECD4200}"/>
            </a:ext>
          </a:extLst>
        </xdr:cNvPr>
        <xdr:cNvSpPr>
          <a:spLocks noChangeShapeType="1"/>
        </xdr:cNvSpPr>
      </xdr:nvSpPr>
      <xdr:spPr bwMode="auto">
        <a:xfrm flipH="1">
          <a:off x="752475" y="10248900"/>
          <a:ext cx="1323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485775</xdr:colOff>
      <xdr:row>26</xdr:row>
      <xdr:rowOff>152400</xdr:rowOff>
    </xdr:from>
    <xdr:to>
      <xdr:col>1</xdr:col>
      <xdr:colOff>942975</xdr:colOff>
      <xdr:row>29</xdr:row>
      <xdr:rowOff>9525</xdr:rowOff>
    </xdr:to>
    <xdr:sp macro="" textlink="">
      <xdr:nvSpPr>
        <xdr:cNvPr id="4378111" name="Line 38">
          <a:extLst>
            <a:ext uri="{FF2B5EF4-FFF2-40B4-BE49-F238E27FC236}">
              <a16:creationId xmlns="" xmlns:a16="http://schemas.microsoft.com/office/drawing/2014/main" id="{00000000-0008-0000-0D00-0000FFCD4200}"/>
            </a:ext>
          </a:extLst>
        </xdr:cNvPr>
        <xdr:cNvSpPr>
          <a:spLocks noChangeShapeType="1"/>
        </xdr:cNvSpPr>
      </xdr:nvSpPr>
      <xdr:spPr bwMode="auto">
        <a:xfrm flipV="1">
          <a:off x="781050" y="9401175"/>
          <a:ext cx="447675" cy="828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895350</xdr:colOff>
      <xdr:row>26</xdr:row>
      <xdr:rowOff>142875</xdr:rowOff>
    </xdr:from>
    <xdr:to>
      <xdr:col>5</xdr:col>
      <xdr:colOff>104775</xdr:colOff>
      <xdr:row>29</xdr:row>
      <xdr:rowOff>0</xdr:rowOff>
    </xdr:to>
    <xdr:sp macro="" textlink="">
      <xdr:nvSpPr>
        <xdr:cNvPr id="4378112" name="Line 39">
          <a:extLst>
            <a:ext uri="{FF2B5EF4-FFF2-40B4-BE49-F238E27FC236}">
              <a16:creationId xmlns="" xmlns:a16="http://schemas.microsoft.com/office/drawing/2014/main" id="{00000000-0008-0000-0D00-000000CE4200}"/>
            </a:ext>
          </a:extLst>
        </xdr:cNvPr>
        <xdr:cNvSpPr>
          <a:spLocks noChangeShapeType="1"/>
        </xdr:cNvSpPr>
      </xdr:nvSpPr>
      <xdr:spPr bwMode="auto">
        <a:xfrm>
          <a:off x="3962400" y="9391650"/>
          <a:ext cx="371475" cy="828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133350</xdr:colOff>
      <xdr:row>29</xdr:row>
      <xdr:rowOff>9525</xdr:rowOff>
    </xdr:from>
    <xdr:to>
      <xdr:col>7</xdr:col>
      <xdr:colOff>0</xdr:colOff>
      <xdr:row>29</xdr:row>
      <xdr:rowOff>9525</xdr:rowOff>
    </xdr:to>
    <xdr:sp macro="" textlink="">
      <xdr:nvSpPr>
        <xdr:cNvPr id="4378113" name="Line 40">
          <a:extLst>
            <a:ext uri="{FF2B5EF4-FFF2-40B4-BE49-F238E27FC236}">
              <a16:creationId xmlns="" xmlns:a16="http://schemas.microsoft.com/office/drawing/2014/main" id="{00000000-0008-0000-0D00-000001CE4200}"/>
            </a:ext>
          </a:extLst>
        </xdr:cNvPr>
        <xdr:cNvSpPr>
          <a:spLocks noChangeShapeType="1"/>
        </xdr:cNvSpPr>
      </xdr:nvSpPr>
      <xdr:spPr bwMode="auto">
        <a:xfrm>
          <a:off x="4362450" y="10229850"/>
          <a:ext cx="1885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66675</xdr:colOff>
      <xdr:row>46</xdr:row>
      <xdr:rowOff>285750</xdr:rowOff>
    </xdr:from>
    <xdr:to>
      <xdr:col>6</xdr:col>
      <xdr:colOff>1114425</xdr:colOff>
      <xdr:row>46</xdr:row>
      <xdr:rowOff>285750</xdr:rowOff>
    </xdr:to>
    <xdr:sp macro="" textlink="">
      <xdr:nvSpPr>
        <xdr:cNvPr id="4378114" name="Line 41">
          <a:extLst>
            <a:ext uri="{FF2B5EF4-FFF2-40B4-BE49-F238E27FC236}">
              <a16:creationId xmlns="" xmlns:a16="http://schemas.microsoft.com/office/drawing/2014/main" id="{00000000-0008-0000-0D00-000002CE4200}"/>
            </a:ext>
          </a:extLst>
        </xdr:cNvPr>
        <xdr:cNvSpPr>
          <a:spLocks noChangeShapeType="1"/>
        </xdr:cNvSpPr>
      </xdr:nvSpPr>
      <xdr:spPr bwMode="auto">
        <a:xfrm flipH="1">
          <a:off x="3133725" y="16011525"/>
          <a:ext cx="3114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66675</xdr:colOff>
      <xdr:row>41</xdr:row>
      <xdr:rowOff>76200</xdr:rowOff>
    </xdr:from>
    <xdr:to>
      <xdr:col>4</xdr:col>
      <xdr:colOff>1057275</xdr:colOff>
      <xdr:row>46</xdr:row>
      <xdr:rowOff>295275</xdr:rowOff>
    </xdr:to>
    <xdr:sp macro="" textlink="">
      <xdr:nvSpPr>
        <xdr:cNvPr id="4378115" name="Line 42">
          <a:extLst>
            <a:ext uri="{FF2B5EF4-FFF2-40B4-BE49-F238E27FC236}">
              <a16:creationId xmlns="" xmlns:a16="http://schemas.microsoft.com/office/drawing/2014/main" id="{00000000-0008-0000-0D00-000003CE4200}"/>
            </a:ext>
          </a:extLst>
        </xdr:cNvPr>
        <xdr:cNvSpPr>
          <a:spLocks noChangeShapeType="1"/>
        </xdr:cNvSpPr>
      </xdr:nvSpPr>
      <xdr:spPr bwMode="auto">
        <a:xfrm flipV="1">
          <a:off x="3133725" y="14182725"/>
          <a:ext cx="990600" cy="183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285750</xdr:colOff>
      <xdr:row>25</xdr:row>
      <xdr:rowOff>0</xdr:rowOff>
    </xdr:from>
    <xdr:to>
      <xdr:col>3</xdr:col>
      <xdr:colOff>904875</xdr:colOff>
      <xdr:row>25</xdr:row>
      <xdr:rowOff>0</xdr:rowOff>
    </xdr:to>
    <xdr:sp macro="" textlink="">
      <xdr:nvSpPr>
        <xdr:cNvPr id="4378116" name="Line 43">
          <a:extLst>
            <a:ext uri="{FF2B5EF4-FFF2-40B4-BE49-F238E27FC236}">
              <a16:creationId xmlns="" xmlns:a16="http://schemas.microsoft.com/office/drawing/2014/main" id="{00000000-0008-0000-0D00-000004CE4200}"/>
            </a:ext>
          </a:extLst>
        </xdr:cNvPr>
        <xdr:cNvSpPr>
          <a:spLocks noChangeShapeType="1"/>
        </xdr:cNvSpPr>
      </xdr:nvSpPr>
      <xdr:spPr bwMode="auto">
        <a:xfrm flipH="1">
          <a:off x="1514475" y="8924925"/>
          <a:ext cx="146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866775</xdr:colOff>
      <xdr:row>30</xdr:row>
      <xdr:rowOff>209550</xdr:rowOff>
    </xdr:from>
    <xdr:to>
      <xdr:col>5</xdr:col>
      <xdr:colOff>0</xdr:colOff>
      <xdr:row>30</xdr:row>
      <xdr:rowOff>276225</xdr:rowOff>
    </xdr:to>
    <xdr:sp macro="" textlink="">
      <xdr:nvSpPr>
        <xdr:cNvPr id="4378117" name="Oval 44">
          <a:extLst>
            <a:ext uri="{FF2B5EF4-FFF2-40B4-BE49-F238E27FC236}">
              <a16:creationId xmlns="" xmlns:a16="http://schemas.microsoft.com/office/drawing/2014/main" id="{00000000-0008-0000-0D00-000005CE4200}"/>
            </a:ext>
          </a:extLst>
        </xdr:cNvPr>
        <xdr:cNvSpPr>
          <a:spLocks noChangeArrowheads="1"/>
        </xdr:cNvSpPr>
      </xdr:nvSpPr>
      <xdr:spPr bwMode="auto">
        <a:xfrm>
          <a:off x="3933825" y="10753725"/>
          <a:ext cx="295275" cy="666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85725</xdr:colOff>
      <xdr:row>32</xdr:row>
      <xdr:rowOff>47625</xdr:rowOff>
    </xdr:from>
    <xdr:to>
      <xdr:col>5</xdr:col>
      <xdr:colOff>9525</xdr:colOff>
      <xdr:row>32</xdr:row>
      <xdr:rowOff>228600</xdr:rowOff>
    </xdr:to>
    <xdr:grpSp>
      <xdr:nvGrpSpPr>
        <xdr:cNvPr id="4378118" name="Group 45">
          <a:extLst>
            <a:ext uri="{FF2B5EF4-FFF2-40B4-BE49-F238E27FC236}">
              <a16:creationId xmlns="" xmlns:a16="http://schemas.microsoft.com/office/drawing/2014/main" id="{00000000-0008-0000-0D00-000006CE4200}"/>
            </a:ext>
          </a:extLst>
        </xdr:cNvPr>
        <xdr:cNvGrpSpPr>
          <a:grpSpLocks/>
        </xdr:cNvGrpSpPr>
      </xdr:nvGrpSpPr>
      <xdr:grpSpPr bwMode="auto">
        <a:xfrm>
          <a:off x="3152775" y="11239500"/>
          <a:ext cx="1085850" cy="180975"/>
          <a:chOff x="274" y="958"/>
          <a:chExt cx="82" cy="19"/>
        </a:xfrm>
      </xdr:grpSpPr>
      <xdr:sp macro="" textlink="">
        <xdr:nvSpPr>
          <xdr:cNvPr id="4378254" name="Line 46">
            <a:extLst>
              <a:ext uri="{FF2B5EF4-FFF2-40B4-BE49-F238E27FC236}">
                <a16:creationId xmlns="" xmlns:a16="http://schemas.microsoft.com/office/drawing/2014/main" id="{00000000-0008-0000-0D00-00008ECE4200}"/>
              </a:ext>
            </a:extLst>
          </xdr:cNvPr>
          <xdr:cNvSpPr>
            <a:spLocks noChangeShapeType="1"/>
          </xdr:cNvSpPr>
        </xdr:nvSpPr>
        <xdr:spPr bwMode="auto">
          <a:xfrm>
            <a:off x="274" y="958"/>
            <a:ext cx="6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8255" name="Arc 47">
            <a:extLst>
              <a:ext uri="{FF2B5EF4-FFF2-40B4-BE49-F238E27FC236}">
                <a16:creationId xmlns="" xmlns:a16="http://schemas.microsoft.com/office/drawing/2014/main" id="{00000000-0008-0000-0D00-00008FCE4200}"/>
              </a:ext>
            </a:extLst>
          </xdr:cNvPr>
          <xdr:cNvSpPr>
            <a:spLocks/>
          </xdr:cNvSpPr>
        </xdr:nvSpPr>
        <xdr:spPr bwMode="auto">
          <a:xfrm>
            <a:off x="342" y="958"/>
            <a:ext cx="8" cy="10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8256" name="Oval 48">
            <a:extLst>
              <a:ext uri="{FF2B5EF4-FFF2-40B4-BE49-F238E27FC236}">
                <a16:creationId xmlns="" xmlns:a16="http://schemas.microsoft.com/office/drawing/2014/main" id="{00000000-0008-0000-0D00-000090CE4200}"/>
              </a:ext>
            </a:extLst>
          </xdr:cNvPr>
          <xdr:cNvSpPr>
            <a:spLocks noChangeArrowheads="1"/>
          </xdr:cNvSpPr>
        </xdr:nvSpPr>
        <xdr:spPr bwMode="auto">
          <a:xfrm>
            <a:off x="344" y="969"/>
            <a:ext cx="12" cy="8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104775</xdr:colOff>
      <xdr:row>33</xdr:row>
      <xdr:rowOff>228600</xdr:rowOff>
    </xdr:from>
    <xdr:to>
      <xdr:col>5</xdr:col>
      <xdr:colOff>38100</xdr:colOff>
      <xdr:row>34</xdr:row>
      <xdr:rowOff>161925</xdr:rowOff>
    </xdr:to>
    <xdr:grpSp>
      <xdr:nvGrpSpPr>
        <xdr:cNvPr id="4378119" name="Group 49">
          <a:extLst>
            <a:ext uri="{FF2B5EF4-FFF2-40B4-BE49-F238E27FC236}">
              <a16:creationId xmlns="" xmlns:a16="http://schemas.microsoft.com/office/drawing/2014/main" id="{00000000-0008-0000-0D00-000007CE4200}"/>
            </a:ext>
          </a:extLst>
        </xdr:cNvPr>
        <xdr:cNvGrpSpPr>
          <a:grpSpLocks/>
        </xdr:cNvGrpSpPr>
      </xdr:nvGrpSpPr>
      <xdr:grpSpPr bwMode="auto">
        <a:xfrm>
          <a:off x="3171825" y="11744325"/>
          <a:ext cx="1095375" cy="257175"/>
          <a:chOff x="274" y="1019"/>
          <a:chExt cx="83" cy="23"/>
        </a:xfrm>
      </xdr:grpSpPr>
      <xdr:sp macro="" textlink="">
        <xdr:nvSpPr>
          <xdr:cNvPr id="4378251" name="Line 50">
            <a:extLst>
              <a:ext uri="{FF2B5EF4-FFF2-40B4-BE49-F238E27FC236}">
                <a16:creationId xmlns="" xmlns:a16="http://schemas.microsoft.com/office/drawing/2014/main" id="{00000000-0008-0000-0D00-00008BCE4200}"/>
              </a:ext>
            </a:extLst>
          </xdr:cNvPr>
          <xdr:cNvSpPr>
            <a:spLocks noChangeShapeType="1"/>
          </xdr:cNvSpPr>
        </xdr:nvSpPr>
        <xdr:spPr bwMode="auto">
          <a:xfrm>
            <a:off x="274" y="1019"/>
            <a:ext cx="6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8252" name="Arc 51">
            <a:extLst>
              <a:ext uri="{FF2B5EF4-FFF2-40B4-BE49-F238E27FC236}">
                <a16:creationId xmlns="" xmlns:a16="http://schemas.microsoft.com/office/drawing/2014/main" id="{00000000-0008-0000-0D00-00008CCE4200}"/>
              </a:ext>
            </a:extLst>
          </xdr:cNvPr>
          <xdr:cNvSpPr>
            <a:spLocks/>
          </xdr:cNvSpPr>
        </xdr:nvSpPr>
        <xdr:spPr bwMode="auto">
          <a:xfrm>
            <a:off x="339" y="1019"/>
            <a:ext cx="14" cy="1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8253" name="Oval 52">
            <a:extLst>
              <a:ext uri="{FF2B5EF4-FFF2-40B4-BE49-F238E27FC236}">
                <a16:creationId xmlns="" xmlns:a16="http://schemas.microsoft.com/office/drawing/2014/main" id="{00000000-0008-0000-0D00-00008DCE4200}"/>
              </a:ext>
            </a:extLst>
          </xdr:cNvPr>
          <xdr:cNvSpPr>
            <a:spLocks noChangeArrowheads="1"/>
          </xdr:cNvSpPr>
        </xdr:nvSpPr>
        <xdr:spPr bwMode="auto">
          <a:xfrm>
            <a:off x="346" y="1034"/>
            <a:ext cx="11" cy="8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85725</xdr:colOff>
      <xdr:row>39</xdr:row>
      <xdr:rowOff>47625</xdr:rowOff>
    </xdr:from>
    <xdr:to>
      <xdr:col>5</xdr:col>
      <xdr:colOff>0</xdr:colOff>
      <xdr:row>39</xdr:row>
      <xdr:rowOff>209550</xdr:rowOff>
    </xdr:to>
    <xdr:grpSp>
      <xdr:nvGrpSpPr>
        <xdr:cNvPr id="4378120" name="Group 53">
          <a:extLst>
            <a:ext uri="{FF2B5EF4-FFF2-40B4-BE49-F238E27FC236}">
              <a16:creationId xmlns="" xmlns:a16="http://schemas.microsoft.com/office/drawing/2014/main" id="{00000000-0008-0000-0D00-000008CE4200}"/>
            </a:ext>
          </a:extLst>
        </xdr:cNvPr>
        <xdr:cNvGrpSpPr>
          <a:grpSpLocks/>
        </xdr:cNvGrpSpPr>
      </xdr:nvGrpSpPr>
      <xdr:grpSpPr bwMode="auto">
        <a:xfrm>
          <a:off x="3152775" y="13506450"/>
          <a:ext cx="1076325" cy="161925"/>
          <a:chOff x="276" y="1142"/>
          <a:chExt cx="81" cy="17"/>
        </a:xfrm>
      </xdr:grpSpPr>
      <xdr:sp macro="" textlink="">
        <xdr:nvSpPr>
          <xdr:cNvPr id="4378248" name="Line 54">
            <a:extLst>
              <a:ext uri="{FF2B5EF4-FFF2-40B4-BE49-F238E27FC236}">
                <a16:creationId xmlns="" xmlns:a16="http://schemas.microsoft.com/office/drawing/2014/main" id="{00000000-0008-0000-0D00-000088CE4200}"/>
              </a:ext>
            </a:extLst>
          </xdr:cNvPr>
          <xdr:cNvSpPr>
            <a:spLocks noChangeShapeType="1"/>
          </xdr:cNvSpPr>
        </xdr:nvSpPr>
        <xdr:spPr bwMode="auto">
          <a:xfrm>
            <a:off x="276" y="1159"/>
            <a:ext cx="6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8249" name="Arc 55">
            <a:extLst>
              <a:ext uri="{FF2B5EF4-FFF2-40B4-BE49-F238E27FC236}">
                <a16:creationId xmlns="" xmlns:a16="http://schemas.microsoft.com/office/drawing/2014/main" id="{00000000-0008-0000-0D00-000089CE4200}"/>
              </a:ext>
            </a:extLst>
          </xdr:cNvPr>
          <xdr:cNvSpPr>
            <a:spLocks/>
          </xdr:cNvSpPr>
        </xdr:nvSpPr>
        <xdr:spPr bwMode="auto">
          <a:xfrm flipV="1">
            <a:off x="343" y="1150"/>
            <a:ext cx="11" cy="9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8250" name="Oval 56">
            <a:extLst>
              <a:ext uri="{FF2B5EF4-FFF2-40B4-BE49-F238E27FC236}">
                <a16:creationId xmlns="" xmlns:a16="http://schemas.microsoft.com/office/drawing/2014/main" id="{00000000-0008-0000-0D00-00008ACE4200}"/>
              </a:ext>
            </a:extLst>
          </xdr:cNvPr>
          <xdr:cNvSpPr>
            <a:spLocks noChangeArrowheads="1"/>
          </xdr:cNvSpPr>
        </xdr:nvSpPr>
        <xdr:spPr bwMode="auto">
          <a:xfrm>
            <a:off x="344" y="1142"/>
            <a:ext cx="13" cy="8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857250</xdr:colOff>
      <xdr:row>40</xdr:row>
      <xdr:rowOff>238125</xdr:rowOff>
    </xdr:from>
    <xdr:to>
      <xdr:col>5</xdr:col>
      <xdr:colOff>0</xdr:colOff>
      <xdr:row>41</xdr:row>
      <xdr:rowOff>19050</xdr:rowOff>
    </xdr:to>
    <xdr:sp macro="" textlink="">
      <xdr:nvSpPr>
        <xdr:cNvPr id="4378121" name="Oval 57">
          <a:extLst>
            <a:ext uri="{FF2B5EF4-FFF2-40B4-BE49-F238E27FC236}">
              <a16:creationId xmlns="" xmlns:a16="http://schemas.microsoft.com/office/drawing/2014/main" id="{00000000-0008-0000-0D00-000009CE4200}"/>
            </a:ext>
          </a:extLst>
        </xdr:cNvPr>
        <xdr:cNvSpPr>
          <a:spLocks noChangeArrowheads="1"/>
        </xdr:cNvSpPr>
      </xdr:nvSpPr>
      <xdr:spPr bwMode="auto">
        <a:xfrm>
          <a:off x="3924300" y="14020800"/>
          <a:ext cx="304800" cy="1047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781050</xdr:colOff>
      <xdr:row>26</xdr:row>
      <xdr:rowOff>9525</xdr:rowOff>
    </xdr:from>
    <xdr:to>
      <xdr:col>4</xdr:col>
      <xdr:colOff>819150</xdr:colOff>
      <xdr:row>27</xdr:row>
      <xdr:rowOff>9525</xdr:rowOff>
    </xdr:to>
    <xdr:sp macro="" textlink="">
      <xdr:nvSpPr>
        <xdr:cNvPr id="4378122" name="Line 58">
          <a:extLst>
            <a:ext uri="{FF2B5EF4-FFF2-40B4-BE49-F238E27FC236}">
              <a16:creationId xmlns="" xmlns:a16="http://schemas.microsoft.com/office/drawing/2014/main" id="{00000000-0008-0000-0D00-00000ACE4200}"/>
            </a:ext>
          </a:extLst>
        </xdr:cNvPr>
        <xdr:cNvSpPr>
          <a:spLocks noChangeShapeType="1"/>
        </xdr:cNvSpPr>
      </xdr:nvSpPr>
      <xdr:spPr bwMode="auto">
        <a:xfrm flipH="1">
          <a:off x="3848100" y="9258300"/>
          <a:ext cx="3810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542925</xdr:colOff>
      <xdr:row>26</xdr:row>
      <xdr:rowOff>9525</xdr:rowOff>
    </xdr:from>
    <xdr:to>
      <xdr:col>4</xdr:col>
      <xdr:colOff>628650</xdr:colOff>
      <xdr:row>27</xdr:row>
      <xdr:rowOff>9525</xdr:rowOff>
    </xdr:to>
    <xdr:sp macro="" textlink="">
      <xdr:nvSpPr>
        <xdr:cNvPr id="4378123" name="Line 59">
          <a:extLst>
            <a:ext uri="{FF2B5EF4-FFF2-40B4-BE49-F238E27FC236}">
              <a16:creationId xmlns="" xmlns:a16="http://schemas.microsoft.com/office/drawing/2014/main" id="{00000000-0008-0000-0D00-00000BCE4200}"/>
            </a:ext>
          </a:extLst>
        </xdr:cNvPr>
        <xdr:cNvSpPr>
          <a:spLocks noChangeShapeType="1"/>
        </xdr:cNvSpPr>
      </xdr:nvSpPr>
      <xdr:spPr bwMode="auto">
        <a:xfrm flipH="1" flipV="1">
          <a:off x="3609975" y="9258300"/>
          <a:ext cx="85725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619125</xdr:colOff>
      <xdr:row>26</xdr:row>
      <xdr:rowOff>9525</xdr:rowOff>
    </xdr:from>
    <xdr:to>
      <xdr:col>4</xdr:col>
      <xdr:colOff>695325</xdr:colOff>
      <xdr:row>27</xdr:row>
      <xdr:rowOff>9525</xdr:rowOff>
    </xdr:to>
    <xdr:sp macro="" textlink="">
      <xdr:nvSpPr>
        <xdr:cNvPr id="4378124" name="Line 60">
          <a:extLst>
            <a:ext uri="{FF2B5EF4-FFF2-40B4-BE49-F238E27FC236}">
              <a16:creationId xmlns="" xmlns:a16="http://schemas.microsoft.com/office/drawing/2014/main" id="{00000000-0008-0000-0D00-00000CCE4200}"/>
            </a:ext>
          </a:extLst>
        </xdr:cNvPr>
        <xdr:cNvSpPr>
          <a:spLocks noChangeShapeType="1"/>
        </xdr:cNvSpPr>
      </xdr:nvSpPr>
      <xdr:spPr bwMode="auto">
        <a:xfrm flipH="1">
          <a:off x="3686175" y="9258300"/>
          <a:ext cx="7620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40</xdr:row>
      <xdr:rowOff>28575</xdr:rowOff>
    </xdr:from>
    <xdr:to>
      <xdr:col>2</xdr:col>
      <xdr:colOff>95250</xdr:colOff>
      <xdr:row>40</xdr:row>
      <xdr:rowOff>190500</xdr:rowOff>
    </xdr:to>
    <xdr:sp macro="" textlink="">
      <xdr:nvSpPr>
        <xdr:cNvPr id="4378125" name="Rectangle 61">
          <a:extLst>
            <a:ext uri="{FF2B5EF4-FFF2-40B4-BE49-F238E27FC236}">
              <a16:creationId xmlns="" xmlns:a16="http://schemas.microsoft.com/office/drawing/2014/main" id="{00000000-0008-0000-0D00-00000DCE4200}"/>
            </a:ext>
          </a:extLst>
        </xdr:cNvPr>
        <xdr:cNvSpPr>
          <a:spLocks noChangeArrowheads="1"/>
        </xdr:cNvSpPr>
      </xdr:nvSpPr>
      <xdr:spPr bwMode="auto">
        <a:xfrm>
          <a:off x="1238250" y="13811250"/>
          <a:ext cx="85725" cy="161925"/>
        </a:xfrm>
        <a:prstGeom prst="rect">
          <a:avLst/>
        </a:prstGeom>
        <a:solidFill>
          <a:srgbClr val="969696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31</xdr:row>
      <xdr:rowOff>180975</xdr:rowOff>
    </xdr:from>
    <xdr:to>
      <xdr:col>2</xdr:col>
      <xdr:colOff>104775</xdr:colOff>
      <xdr:row>32</xdr:row>
      <xdr:rowOff>57150</xdr:rowOff>
    </xdr:to>
    <xdr:sp macro="" textlink="">
      <xdr:nvSpPr>
        <xdr:cNvPr id="4378126" name="Rectangle 62">
          <a:extLst>
            <a:ext uri="{FF2B5EF4-FFF2-40B4-BE49-F238E27FC236}">
              <a16:creationId xmlns="" xmlns:a16="http://schemas.microsoft.com/office/drawing/2014/main" id="{00000000-0008-0000-0D00-00000ECE4200}"/>
            </a:ext>
          </a:extLst>
        </xdr:cNvPr>
        <xdr:cNvSpPr>
          <a:spLocks noChangeArrowheads="1"/>
        </xdr:cNvSpPr>
      </xdr:nvSpPr>
      <xdr:spPr bwMode="auto">
        <a:xfrm>
          <a:off x="1238250" y="11049000"/>
          <a:ext cx="95250" cy="200025"/>
        </a:xfrm>
        <a:prstGeom prst="rect">
          <a:avLst/>
        </a:prstGeom>
        <a:solidFill>
          <a:srgbClr val="969696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571500</xdr:colOff>
      <xdr:row>32</xdr:row>
      <xdr:rowOff>104775</xdr:rowOff>
    </xdr:from>
    <xdr:to>
      <xdr:col>2</xdr:col>
      <xdr:colOff>38100</xdr:colOff>
      <xdr:row>44</xdr:row>
      <xdr:rowOff>47625</xdr:rowOff>
    </xdr:to>
    <xdr:sp macro="" textlink="">
      <xdr:nvSpPr>
        <xdr:cNvPr id="4378127" name="Line 63">
          <a:extLst>
            <a:ext uri="{FF2B5EF4-FFF2-40B4-BE49-F238E27FC236}">
              <a16:creationId xmlns="" xmlns:a16="http://schemas.microsoft.com/office/drawing/2014/main" id="{00000000-0008-0000-0D00-00000FCE4200}"/>
            </a:ext>
          </a:extLst>
        </xdr:cNvPr>
        <xdr:cNvSpPr>
          <a:spLocks noChangeShapeType="1"/>
        </xdr:cNvSpPr>
      </xdr:nvSpPr>
      <xdr:spPr bwMode="auto">
        <a:xfrm flipH="1">
          <a:off x="866775" y="11296650"/>
          <a:ext cx="400050" cy="3829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590550</xdr:colOff>
      <xdr:row>40</xdr:row>
      <xdr:rowOff>180975</xdr:rowOff>
    </xdr:from>
    <xdr:to>
      <xdr:col>2</xdr:col>
      <xdr:colOff>57150</xdr:colOff>
      <xdr:row>44</xdr:row>
      <xdr:rowOff>28575</xdr:rowOff>
    </xdr:to>
    <xdr:sp macro="" textlink="">
      <xdr:nvSpPr>
        <xdr:cNvPr id="4378128" name="Line 64">
          <a:extLst>
            <a:ext uri="{FF2B5EF4-FFF2-40B4-BE49-F238E27FC236}">
              <a16:creationId xmlns="" xmlns:a16="http://schemas.microsoft.com/office/drawing/2014/main" id="{00000000-0008-0000-0D00-000010CE4200}"/>
            </a:ext>
          </a:extLst>
        </xdr:cNvPr>
        <xdr:cNvSpPr>
          <a:spLocks noChangeShapeType="1"/>
        </xdr:cNvSpPr>
      </xdr:nvSpPr>
      <xdr:spPr bwMode="auto">
        <a:xfrm flipH="1">
          <a:off x="885825" y="13963650"/>
          <a:ext cx="400050" cy="1143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542925</xdr:colOff>
      <xdr:row>44</xdr:row>
      <xdr:rowOff>38100</xdr:rowOff>
    </xdr:from>
    <xdr:to>
      <xdr:col>4</xdr:col>
      <xdr:colOff>57150</xdr:colOff>
      <xdr:row>44</xdr:row>
      <xdr:rowOff>38100</xdr:rowOff>
    </xdr:to>
    <xdr:sp macro="" textlink="">
      <xdr:nvSpPr>
        <xdr:cNvPr id="4378129" name="Line 65">
          <a:extLst>
            <a:ext uri="{FF2B5EF4-FFF2-40B4-BE49-F238E27FC236}">
              <a16:creationId xmlns="" xmlns:a16="http://schemas.microsoft.com/office/drawing/2014/main" id="{00000000-0008-0000-0D00-000011CE4200}"/>
            </a:ext>
          </a:extLst>
        </xdr:cNvPr>
        <xdr:cNvSpPr>
          <a:spLocks noChangeShapeType="1"/>
        </xdr:cNvSpPr>
      </xdr:nvSpPr>
      <xdr:spPr bwMode="auto">
        <a:xfrm flipH="1">
          <a:off x="838200" y="15116175"/>
          <a:ext cx="2286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45</xdr:row>
      <xdr:rowOff>152400</xdr:rowOff>
    </xdr:from>
    <xdr:to>
      <xdr:col>23</xdr:col>
      <xdr:colOff>0</xdr:colOff>
      <xdr:row>47</xdr:row>
      <xdr:rowOff>104775</xdr:rowOff>
    </xdr:to>
    <xdr:grpSp>
      <xdr:nvGrpSpPr>
        <xdr:cNvPr id="4378130" name="Group 66">
          <a:extLst>
            <a:ext uri="{FF2B5EF4-FFF2-40B4-BE49-F238E27FC236}">
              <a16:creationId xmlns="" xmlns:a16="http://schemas.microsoft.com/office/drawing/2014/main" id="{00000000-0008-0000-0D00-000012CE4200}"/>
            </a:ext>
          </a:extLst>
        </xdr:cNvPr>
        <xdr:cNvGrpSpPr>
          <a:grpSpLocks/>
        </xdr:cNvGrpSpPr>
      </xdr:nvGrpSpPr>
      <xdr:grpSpPr bwMode="auto">
        <a:xfrm>
          <a:off x="16687800" y="15554325"/>
          <a:ext cx="5314950" cy="600075"/>
          <a:chOff x="2047" y="332"/>
          <a:chExt cx="445" cy="63"/>
        </a:xfrm>
      </xdr:grpSpPr>
      <xdr:sp macro="" textlink="">
        <xdr:nvSpPr>
          <xdr:cNvPr id="4378245" name="Line 67">
            <a:extLst>
              <a:ext uri="{FF2B5EF4-FFF2-40B4-BE49-F238E27FC236}">
                <a16:creationId xmlns="" xmlns:a16="http://schemas.microsoft.com/office/drawing/2014/main" id="{00000000-0008-0000-0D00-000085CE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47" y="332"/>
            <a:ext cx="0" cy="6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8246" name="Line 68">
            <a:extLst>
              <a:ext uri="{FF2B5EF4-FFF2-40B4-BE49-F238E27FC236}">
                <a16:creationId xmlns="" xmlns:a16="http://schemas.microsoft.com/office/drawing/2014/main" id="{00000000-0008-0000-0D00-000086CE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492" y="332"/>
            <a:ext cx="0" cy="6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8247" name="Line 69">
            <a:extLst>
              <a:ext uri="{FF2B5EF4-FFF2-40B4-BE49-F238E27FC236}">
                <a16:creationId xmlns="" xmlns:a16="http://schemas.microsoft.com/office/drawing/2014/main" id="{00000000-0008-0000-0D00-000087CE4200}"/>
              </a:ext>
            </a:extLst>
          </xdr:cNvPr>
          <xdr:cNvSpPr>
            <a:spLocks noChangeShapeType="1"/>
          </xdr:cNvSpPr>
        </xdr:nvSpPr>
        <xdr:spPr bwMode="auto">
          <a:xfrm>
            <a:off x="2047" y="350"/>
            <a:ext cx="44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24</xdr:col>
      <xdr:colOff>942975</xdr:colOff>
      <xdr:row>19</xdr:row>
      <xdr:rowOff>123825</xdr:rowOff>
    </xdr:from>
    <xdr:to>
      <xdr:col>30</xdr:col>
      <xdr:colOff>0</xdr:colOff>
      <xdr:row>19</xdr:row>
      <xdr:rowOff>200025</xdr:rowOff>
    </xdr:to>
    <xdr:sp macro="" textlink="">
      <xdr:nvSpPr>
        <xdr:cNvPr id="4378131" name="Rectangle 70">
          <a:extLst>
            <a:ext uri="{FF2B5EF4-FFF2-40B4-BE49-F238E27FC236}">
              <a16:creationId xmlns="" xmlns:a16="http://schemas.microsoft.com/office/drawing/2014/main" id="{00000000-0008-0000-0D00-000013CE4200}"/>
            </a:ext>
          </a:extLst>
        </xdr:cNvPr>
        <xdr:cNvSpPr>
          <a:spLocks noChangeArrowheads="1"/>
        </xdr:cNvSpPr>
      </xdr:nvSpPr>
      <xdr:spPr bwMode="auto">
        <a:xfrm>
          <a:off x="22888575" y="7105650"/>
          <a:ext cx="5105400" cy="76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25</xdr:col>
      <xdr:colOff>647700</xdr:colOff>
      <xdr:row>18</xdr:row>
      <xdr:rowOff>161925</xdr:rowOff>
    </xdr:from>
    <xdr:to>
      <xdr:col>26</xdr:col>
      <xdr:colOff>9525</xdr:colOff>
      <xdr:row>19</xdr:row>
      <xdr:rowOff>95250</xdr:rowOff>
    </xdr:to>
    <xdr:sp macro="" textlink="">
      <xdr:nvSpPr>
        <xdr:cNvPr id="4378132" name="Freeform 71">
          <a:extLst>
            <a:ext uri="{FF2B5EF4-FFF2-40B4-BE49-F238E27FC236}">
              <a16:creationId xmlns="" xmlns:a16="http://schemas.microsoft.com/office/drawing/2014/main" id="{00000000-0008-0000-0D00-000014CE4200}"/>
            </a:ext>
          </a:extLst>
        </xdr:cNvPr>
        <xdr:cNvSpPr>
          <a:spLocks/>
        </xdr:cNvSpPr>
      </xdr:nvSpPr>
      <xdr:spPr bwMode="auto">
        <a:xfrm>
          <a:off x="23536275" y="6819900"/>
          <a:ext cx="352425" cy="257175"/>
        </a:xfrm>
        <a:custGeom>
          <a:avLst/>
          <a:gdLst>
            <a:gd name="T0" fmla="*/ 2147483647 w 38"/>
            <a:gd name="T1" fmla="*/ 0 h 29"/>
            <a:gd name="T2" fmla="*/ 0 w 38"/>
            <a:gd name="T3" fmla="*/ 0 h 29"/>
            <a:gd name="T4" fmla="*/ 2147483647 w 38"/>
            <a:gd name="T5" fmla="*/ 2147483647 h 29"/>
            <a:gd name="T6" fmla="*/ 2147483647 w 38"/>
            <a:gd name="T7" fmla="*/ 2147483647 h 29"/>
            <a:gd name="T8" fmla="*/ 2147483647 w 38"/>
            <a:gd name="T9" fmla="*/ 2147483647 h 29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38"/>
            <a:gd name="T16" fmla="*/ 0 h 29"/>
            <a:gd name="T17" fmla="*/ 38 w 38"/>
            <a:gd name="T18" fmla="*/ 29 h 29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38" h="29">
              <a:moveTo>
                <a:pt x="37" y="0"/>
              </a:moveTo>
              <a:lnTo>
                <a:pt x="0" y="0"/>
              </a:lnTo>
              <a:lnTo>
                <a:pt x="25" y="15"/>
              </a:lnTo>
              <a:lnTo>
                <a:pt x="1" y="29"/>
              </a:lnTo>
              <a:lnTo>
                <a:pt x="38" y="2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390525</xdr:colOff>
      <xdr:row>18</xdr:row>
      <xdr:rowOff>161925</xdr:rowOff>
    </xdr:from>
    <xdr:to>
      <xdr:col>27</xdr:col>
      <xdr:colOff>742950</xdr:colOff>
      <xdr:row>19</xdr:row>
      <xdr:rowOff>95250</xdr:rowOff>
    </xdr:to>
    <xdr:sp macro="" textlink="">
      <xdr:nvSpPr>
        <xdr:cNvPr id="4378133" name="Freeform 72">
          <a:extLst>
            <a:ext uri="{FF2B5EF4-FFF2-40B4-BE49-F238E27FC236}">
              <a16:creationId xmlns="" xmlns:a16="http://schemas.microsoft.com/office/drawing/2014/main" id="{00000000-0008-0000-0D00-000015CE4200}"/>
            </a:ext>
          </a:extLst>
        </xdr:cNvPr>
        <xdr:cNvSpPr>
          <a:spLocks/>
        </xdr:cNvSpPr>
      </xdr:nvSpPr>
      <xdr:spPr bwMode="auto">
        <a:xfrm>
          <a:off x="25298400" y="6819900"/>
          <a:ext cx="352425" cy="257175"/>
        </a:xfrm>
        <a:custGeom>
          <a:avLst/>
          <a:gdLst>
            <a:gd name="T0" fmla="*/ 2147483647 w 38"/>
            <a:gd name="T1" fmla="*/ 0 h 29"/>
            <a:gd name="T2" fmla="*/ 0 w 38"/>
            <a:gd name="T3" fmla="*/ 0 h 29"/>
            <a:gd name="T4" fmla="*/ 2147483647 w 38"/>
            <a:gd name="T5" fmla="*/ 2147483647 h 29"/>
            <a:gd name="T6" fmla="*/ 2147483647 w 38"/>
            <a:gd name="T7" fmla="*/ 2147483647 h 29"/>
            <a:gd name="T8" fmla="*/ 2147483647 w 38"/>
            <a:gd name="T9" fmla="*/ 2147483647 h 29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38"/>
            <a:gd name="T16" fmla="*/ 0 h 29"/>
            <a:gd name="T17" fmla="*/ 38 w 38"/>
            <a:gd name="T18" fmla="*/ 29 h 29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38" h="29">
              <a:moveTo>
                <a:pt x="37" y="0"/>
              </a:moveTo>
              <a:lnTo>
                <a:pt x="0" y="0"/>
              </a:lnTo>
              <a:lnTo>
                <a:pt x="25" y="15"/>
              </a:lnTo>
              <a:lnTo>
                <a:pt x="1" y="29"/>
              </a:lnTo>
              <a:lnTo>
                <a:pt x="38" y="2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0</xdr:colOff>
      <xdr:row>18</xdr:row>
      <xdr:rowOff>161925</xdr:rowOff>
    </xdr:from>
    <xdr:to>
      <xdr:col>29</xdr:col>
      <xdr:colOff>352425</xdr:colOff>
      <xdr:row>19</xdr:row>
      <xdr:rowOff>95250</xdr:rowOff>
    </xdr:to>
    <xdr:sp macro="" textlink="">
      <xdr:nvSpPr>
        <xdr:cNvPr id="4378134" name="Freeform 73">
          <a:extLst>
            <a:ext uri="{FF2B5EF4-FFF2-40B4-BE49-F238E27FC236}">
              <a16:creationId xmlns="" xmlns:a16="http://schemas.microsoft.com/office/drawing/2014/main" id="{00000000-0008-0000-0D00-000016CE4200}"/>
            </a:ext>
          </a:extLst>
        </xdr:cNvPr>
        <xdr:cNvSpPr>
          <a:spLocks/>
        </xdr:cNvSpPr>
      </xdr:nvSpPr>
      <xdr:spPr bwMode="auto">
        <a:xfrm rot="-10782695">
          <a:off x="26955750" y="6819900"/>
          <a:ext cx="352425" cy="257175"/>
        </a:xfrm>
        <a:custGeom>
          <a:avLst/>
          <a:gdLst>
            <a:gd name="T0" fmla="*/ 2147483647 w 38"/>
            <a:gd name="T1" fmla="*/ 0 h 29"/>
            <a:gd name="T2" fmla="*/ 0 w 38"/>
            <a:gd name="T3" fmla="*/ 0 h 29"/>
            <a:gd name="T4" fmla="*/ 2147483647 w 38"/>
            <a:gd name="T5" fmla="*/ 2147483647 h 29"/>
            <a:gd name="T6" fmla="*/ 2147483647 w 38"/>
            <a:gd name="T7" fmla="*/ 2147483647 h 29"/>
            <a:gd name="T8" fmla="*/ 2147483647 w 38"/>
            <a:gd name="T9" fmla="*/ 2147483647 h 29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38"/>
            <a:gd name="T16" fmla="*/ 0 h 29"/>
            <a:gd name="T17" fmla="*/ 38 w 38"/>
            <a:gd name="T18" fmla="*/ 29 h 29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38" h="29">
              <a:moveTo>
                <a:pt x="37" y="0"/>
              </a:moveTo>
              <a:lnTo>
                <a:pt x="0" y="0"/>
              </a:lnTo>
              <a:lnTo>
                <a:pt x="25" y="15"/>
              </a:lnTo>
              <a:lnTo>
                <a:pt x="1" y="29"/>
              </a:lnTo>
              <a:lnTo>
                <a:pt x="38" y="2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190500</xdr:colOff>
      <xdr:row>22</xdr:row>
      <xdr:rowOff>171450</xdr:rowOff>
    </xdr:from>
    <xdr:to>
      <xdr:col>22</xdr:col>
      <xdr:colOff>742950</xdr:colOff>
      <xdr:row>28</xdr:row>
      <xdr:rowOff>9525</xdr:rowOff>
    </xdr:to>
    <xdr:grpSp>
      <xdr:nvGrpSpPr>
        <xdr:cNvPr id="4378135" name="Group 74">
          <a:extLst>
            <a:ext uri="{FF2B5EF4-FFF2-40B4-BE49-F238E27FC236}">
              <a16:creationId xmlns="" xmlns:a16="http://schemas.microsoft.com/office/drawing/2014/main" id="{00000000-0008-0000-0D00-000017CE4200}"/>
            </a:ext>
          </a:extLst>
        </xdr:cNvPr>
        <xdr:cNvGrpSpPr>
          <a:grpSpLocks/>
        </xdr:cNvGrpSpPr>
      </xdr:nvGrpSpPr>
      <xdr:grpSpPr bwMode="auto">
        <a:xfrm>
          <a:off x="16878300" y="8124825"/>
          <a:ext cx="4876800" cy="1781175"/>
          <a:chOff x="2080" y="433"/>
          <a:chExt cx="362" cy="159"/>
        </a:xfrm>
      </xdr:grpSpPr>
      <xdr:sp macro="" textlink="">
        <xdr:nvSpPr>
          <xdr:cNvPr id="4378243" name="Line 75">
            <a:extLst>
              <a:ext uri="{FF2B5EF4-FFF2-40B4-BE49-F238E27FC236}">
                <a16:creationId xmlns="" xmlns:a16="http://schemas.microsoft.com/office/drawing/2014/main" id="{00000000-0008-0000-0D00-000083CE4200}"/>
              </a:ext>
            </a:extLst>
          </xdr:cNvPr>
          <xdr:cNvSpPr>
            <a:spLocks noChangeShapeType="1"/>
          </xdr:cNvSpPr>
        </xdr:nvSpPr>
        <xdr:spPr bwMode="auto">
          <a:xfrm>
            <a:off x="2080" y="592"/>
            <a:ext cx="36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8244" name="Line 76">
            <a:extLst>
              <a:ext uri="{FF2B5EF4-FFF2-40B4-BE49-F238E27FC236}">
                <a16:creationId xmlns="" xmlns:a16="http://schemas.microsoft.com/office/drawing/2014/main" id="{00000000-0008-0000-0D00-000084CE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80" y="433"/>
            <a:ext cx="28" cy="15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</xdr:grpSp>
    <xdr:clientData/>
  </xdr:twoCellAnchor>
  <xdr:twoCellAnchor>
    <xdr:from>
      <xdr:col>4</xdr:col>
      <xdr:colOff>85725</xdr:colOff>
      <xdr:row>37</xdr:row>
      <xdr:rowOff>219075</xdr:rowOff>
    </xdr:from>
    <xdr:to>
      <xdr:col>5</xdr:col>
      <xdr:colOff>19050</xdr:colOff>
      <xdr:row>38</xdr:row>
      <xdr:rowOff>47625</xdr:rowOff>
    </xdr:to>
    <xdr:grpSp>
      <xdr:nvGrpSpPr>
        <xdr:cNvPr id="4378136" name="Group 77">
          <a:extLst>
            <a:ext uri="{FF2B5EF4-FFF2-40B4-BE49-F238E27FC236}">
              <a16:creationId xmlns="" xmlns:a16="http://schemas.microsoft.com/office/drawing/2014/main" id="{00000000-0008-0000-0D00-000018CE4200}"/>
            </a:ext>
          </a:extLst>
        </xdr:cNvPr>
        <xdr:cNvGrpSpPr>
          <a:grpSpLocks/>
        </xdr:cNvGrpSpPr>
      </xdr:nvGrpSpPr>
      <xdr:grpSpPr bwMode="auto">
        <a:xfrm>
          <a:off x="3152775" y="13030200"/>
          <a:ext cx="1095375" cy="152400"/>
          <a:chOff x="273" y="1084"/>
          <a:chExt cx="83" cy="17"/>
        </a:xfrm>
      </xdr:grpSpPr>
      <xdr:sp macro="" textlink="">
        <xdr:nvSpPr>
          <xdr:cNvPr id="4378240" name="Line 78">
            <a:extLst>
              <a:ext uri="{FF2B5EF4-FFF2-40B4-BE49-F238E27FC236}">
                <a16:creationId xmlns="" xmlns:a16="http://schemas.microsoft.com/office/drawing/2014/main" id="{00000000-0008-0000-0D00-000080CE4200}"/>
              </a:ext>
            </a:extLst>
          </xdr:cNvPr>
          <xdr:cNvSpPr>
            <a:spLocks noChangeShapeType="1"/>
          </xdr:cNvSpPr>
        </xdr:nvSpPr>
        <xdr:spPr bwMode="auto">
          <a:xfrm>
            <a:off x="273" y="1101"/>
            <a:ext cx="6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8241" name="Arc 79">
            <a:extLst>
              <a:ext uri="{FF2B5EF4-FFF2-40B4-BE49-F238E27FC236}">
                <a16:creationId xmlns="" xmlns:a16="http://schemas.microsoft.com/office/drawing/2014/main" id="{00000000-0008-0000-0D00-000081CE4200}"/>
              </a:ext>
            </a:extLst>
          </xdr:cNvPr>
          <xdr:cNvSpPr>
            <a:spLocks/>
          </xdr:cNvSpPr>
        </xdr:nvSpPr>
        <xdr:spPr bwMode="auto">
          <a:xfrm flipV="1">
            <a:off x="340" y="1092"/>
            <a:ext cx="11" cy="9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8242" name="Oval 80">
            <a:extLst>
              <a:ext uri="{FF2B5EF4-FFF2-40B4-BE49-F238E27FC236}">
                <a16:creationId xmlns="" xmlns:a16="http://schemas.microsoft.com/office/drawing/2014/main" id="{00000000-0008-0000-0D00-000082CE4200}"/>
              </a:ext>
            </a:extLst>
          </xdr:cNvPr>
          <xdr:cNvSpPr>
            <a:spLocks noChangeArrowheads="1"/>
          </xdr:cNvSpPr>
        </xdr:nvSpPr>
        <xdr:spPr bwMode="auto">
          <a:xfrm>
            <a:off x="343" y="1084"/>
            <a:ext cx="13" cy="8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76200</xdr:colOff>
      <xdr:row>36</xdr:row>
      <xdr:rowOff>0</xdr:rowOff>
    </xdr:from>
    <xdr:to>
      <xdr:col>5</xdr:col>
      <xdr:colOff>9525</xdr:colOff>
      <xdr:row>36</xdr:row>
      <xdr:rowOff>219075</xdr:rowOff>
    </xdr:to>
    <xdr:grpSp>
      <xdr:nvGrpSpPr>
        <xdr:cNvPr id="4378137" name="Group 81">
          <a:extLst>
            <a:ext uri="{FF2B5EF4-FFF2-40B4-BE49-F238E27FC236}">
              <a16:creationId xmlns="" xmlns:a16="http://schemas.microsoft.com/office/drawing/2014/main" id="{00000000-0008-0000-0D00-000019CE4200}"/>
            </a:ext>
          </a:extLst>
        </xdr:cNvPr>
        <xdr:cNvGrpSpPr>
          <a:grpSpLocks/>
        </xdr:cNvGrpSpPr>
      </xdr:nvGrpSpPr>
      <xdr:grpSpPr bwMode="auto">
        <a:xfrm>
          <a:off x="3143250" y="12487275"/>
          <a:ext cx="1095375" cy="219075"/>
          <a:chOff x="274" y="1019"/>
          <a:chExt cx="83" cy="23"/>
        </a:xfrm>
      </xdr:grpSpPr>
      <xdr:sp macro="" textlink="">
        <xdr:nvSpPr>
          <xdr:cNvPr id="4378237" name="Line 82">
            <a:extLst>
              <a:ext uri="{FF2B5EF4-FFF2-40B4-BE49-F238E27FC236}">
                <a16:creationId xmlns="" xmlns:a16="http://schemas.microsoft.com/office/drawing/2014/main" id="{00000000-0008-0000-0D00-00007DCE4200}"/>
              </a:ext>
            </a:extLst>
          </xdr:cNvPr>
          <xdr:cNvSpPr>
            <a:spLocks noChangeShapeType="1"/>
          </xdr:cNvSpPr>
        </xdr:nvSpPr>
        <xdr:spPr bwMode="auto">
          <a:xfrm>
            <a:off x="274" y="1019"/>
            <a:ext cx="6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8238" name="Arc 83">
            <a:extLst>
              <a:ext uri="{FF2B5EF4-FFF2-40B4-BE49-F238E27FC236}">
                <a16:creationId xmlns="" xmlns:a16="http://schemas.microsoft.com/office/drawing/2014/main" id="{00000000-0008-0000-0D00-00007ECE4200}"/>
              </a:ext>
            </a:extLst>
          </xdr:cNvPr>
          <xdr:cNvSpPr>
            <a:spLocks/>
          </xdr:cNvSpPr>
        </xdr:nvSpPr>
        <xdr:spPr bwMode="auto">
          <a:xfrm>
            <a:off x="339" y="1019"/>
            <a:ext cx="14" cy="1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8239" name="Oval 84">
            <a:extLst>
              <a:ext uri="{FF2B5EF4-FFF2-40B4-BE49-F238E27FC236}">
                <a16:creationId xmlns="" xmlns:a16="http://schemas.microsoft.com/office/drawing/2014/main" id="{00000000-0008-0000-0D00-00007FCE4200}"/>
              </a:ext>
            </a:extLst>
          </xdr:cNvPr>
          <xdr:cNvSpPr>
            <a:spLocks noChangeArrowheads="1"/>
          </xdr:cNvSpPr>
        </xdr:nvSpPr>
        <xdr:spPr bwMode="auto">
          <a:xfrm>
            <a:off x="346" y="1034"/>
            <a:ext cx="11" cy="8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21</xdr:col>
      <xdr:colOff>0</xdr:colOff>
      <xdr:row>43</xdr:row>
      <xdr:rowOff>28575</xdr:rowOff>
    </xdr:from>
    <xdr:to>
      <xdr:col>22</xdr:col>
      <xdr:colOff>523875</xdr:colOff>
      <xdr:row>43</xdr:row>
      <xdr:rowOff>28575</xdr:rowOff>
    </xdr:to>
    <xdr:sp macro="" textlink="">
      <xdr:nvSpPr>
        <xdr:cNvPr id="4378138" name="Line 85">
          <a:extLst>
            <a:ext uri="{FF2B5EF4-FFF2-40B4-BE49-F238E27FC236}">
              <a16:creationId xmlns="" xmlns:a16="http://schemas.microsoft.com/office/drawing/2014/main" id="{00000000-0008-0000-0D00-00001ACE4200}"/>
            </a:ext>
          </a:extLst>
        </xdr:cNvPr>
        <xdr:cNvSpPr>
          <a:spLocks noChangeShapeType="1"/>
        </xdr:cNvSpPr>
      </xdr:nvSpPr>
      <xdr:spPr bwMode="auto">
        <a:xfrm>
          <a:off x="19488150" y="14782800"/>
          <a:ext cx="2047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504825</xdr:colOff>
      <xdr:row>40</xdr:row>
      <xdr:rowOff>28575</xdr:rowOff>
    </xdr:from>
    <xdr:to>
      <xdr:col>22</xdr:col>
      <xdr:colOff>619125</xdr:colOff>
      <xdr:row>43</xdr:row>
      <xdr:rowOff>57150</xdr:rowOff>
    </xdr:to>
    <xdr:sp macro="" textlink="">
      <xdr:nvSpPr>
        <xdr:cNvPr id="4378139" name="Line 86">
          <a:extLst>
            <a:ext uri="{FF2B5EF4-FFF2-40B4-BE49-F238E27FC236}">
              <a16:creationId xmlns="" xmlns:a16="http://schemas.microsoft.com/office/drawing/2014/main" id="{00000000-0008-0000-0D00-00001BCE4200}"/>
            </a:ext>
          </a:extLst>
        </xdr:cNvPr>
        <xdr:cNvSpPr>
          <a:spLocks noChangeShapeType="1"/>
        </xdr:cNvSpPr>
      </xdr:nvSpPr>
      <xdr:spPr bwMode="auto">
        <a:xfrm flipH="1">
          <a:off x="21516975" y="13811250"/>
          <a:ext cx="114300" cy="1000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257175</xdr:colOff>
      <xdr:row>39</xdr:row>
      <xdr:rowOff>190500</xdr:rowOff>
    </xdr:from>
    <xdr:to>
      <xdr:col>22</xdr:col>
      <xdr:colOff>704850</xdr:colOff>
      <xdr:row>39</xdr:row>
      <xdr:rowOff>266700</xdr:rowOff>
    </xdr:to>
    <xdr:sp macro="" textlink="">
      <xdr:nvSpPr>
        <xdr:cNvPr id="4378140" name="Rectangle 87">
          <a:extLst>
            <a:ext uri="{FF2B5EF4-FFF2-40B4-BE49-F238E27FC236}">
              <a16:creationId xmlns="" xmlns:a16="http://schemas.microsoft.com/office/drawing/2014/main" id="{00000000-0008-0000-0D00-00001CCE4200}"/>
            </a:ext>
          </a:extLst>
        </xdr:cNvPr>
        <xdr:cNvSpPr>
          <a:spLocks noChangeArrowheads="1"/>
        </xdr:cNvSpPr>
      </xdr:nvSpPr>
      <xdr:spPr bwMode="auto">
        <a:xfrm>
          <a:off x="21269325" y="13649325"/>
          <a:ext cx="447675" cy="76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447675</xdr:colOff>
      <xdr:row>22</xdr:row>
      <xdr:rowOff>114300</xdr:rowOff>
    </xdr:from>
    <xdr:to>
      <xdr:col>18</xdr:col>
      <xdr:colOff>657225</xdr:colOff>
      <xdr:row>22</xdr:row>
      <xdr:rowOff>228600</xdr:rowOff>
    </xdr:to>
    <xdr:sp macro="" textlink="">
      <xdr:nvSpPr>
        <xdr:cNvPr id="4378141" name="Rectangle 88" descr="10%">
          <a:extLst>
            <a:ext uri="{FF2B5EF4-FFF2-40B4-BE49-F238E27FC236}">
              <a16:creationId xmlns="" xmlns:a16="http://schemas.microsoft.com/office/drawing/2014/main" id="{00000000-0008-0000-0D00-00001DCE4200}"/>
            </a:ext>
          </a:extLst>
        </xdr:cNvPr>
        <xdr:cNvSpPr>
          <a:spLocks noChangeArrowheads="1"/>
        </xdr:cNvSpPr>
      </xdr:nvSpPr>
      <xdr:spPr bwMode="auto">
        <a:xfrm>
          <a:off x="17135475" y="8067675"/>
          <a:ext cx="209550" cy="114300"/>
        </a:xfrm>
        <a:prstGeom prst="rect">
          <a:avLst/>
        </a:prstGeom>
        <a:pattFill prst="pct10">
          <a:fgClr>
            <a:srgbClr val="000000"/>
          </a:fgClr>
          <a:bgClr>
            <a:srgbClr val="FFFFFF"/>
          </a:bgClr>
        </a:patt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0</xdr:colOff>
      <xdr:row>40</xdr:row>
      <xdr:rowOff>257175</xdr:rowOff>
    </xdr:from>
    <xdr:to>
      <xdr:col>3</xdr:col>
      <xdr:colOff>0</xdr:colOff>
      <xdr:row>41</xdr:row>
      <xdr:rowOff>38100</xdr:rowOff>
    </xdr:to>
    <xdr:sp macro="" textlink="">
      <xdr:nvSpPr>
        <xdr:cNvPr id="4378142" name="Oval 89">
          <a:extLst>
            <a:ext uri="{FF2B5EF4-FFF2-40B4-BE49-F238E27FC236}">
              <a16:creationId xmlns="" xmlns:a16="http://schemas.microsoft.com/office/drawing/2014/main" id="{00000000-0008-0000-0D00-00001ECE4200}"/>
            </a:ext>
          </a:extLst>
        </xdr:cNvPr>
        <xdr:cNvSpPr>
          <a:spLocks noChangeArrowheads="1"/>
        </xdr:cNvSpPr>
      </xdr:nvSpPr>
      <xdr:spPr bwMode="auto">
        <a:xfrm flipH="1">
          <a:off x="2076450" y="14039850"/>
          <a:ext cx="0" cy="1047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1133475</xdr:colOff>
      <xdr:row>30</xdr:row>
      <xdr:rowOff>0</xdr:rowOff>
    </xdr:from>
    <xdr:to>
      <xdr:col>3</xdr:col>
      <xdr:colOff>1152525</xdr:colOff>
      <xdr:row>42</xdr:row>
      <xdr:rowOff>9525</xdr:rowOff>
    </xdr:to>
    <xdr:sp macro="" textlink="">
      <xdr:nvSpPr>
        <xdr:cNvPr id="4378143" name="Line 90">
          <a:extLst>
            <a:ext uri="{FF2B5EF4-FFF2-40B4-BE49-F238E27FC236}">
              <a16:creationId xmlns="" xmlns:a16="http://schemas.microsoft.com/office/drawing/2014/main" id="{00000000-0008-0000-0D00-00001FCE4200}"/>
            </a:ext>
          </a:extLst>
        </xdr:cNvPr>
        <xdr:cNvSpPr>
          <a:spLocks noChangeShapeType="1"/>
        </xdr:cNvSpPr>
      </xdr:nvSpPr>
      <xdr:spPr bwMode="auto">
        <a:xfrm flipH="1">
          <a:off x="3067050" y="10544175"/>
          <a:ext cx="0" cy="389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8</xdr:col>
      <xdr:colOff>552450</xdr:colOff>
      <xdr:row>8</xdr:row>
      <xdr:rowOff>238125</xdr:rowOff>
    </xdr:from>
    <xdr:to>
      <xdr:col>11</xdr:col>
      <xdr:colOff>381000</xdr:colOff>
      <xdr:row>11</xdr:row>
      <xdr:rowOff>304800</xdr:rowOff>
    </xdr:to>
    <xdr:grpSp>
      <xdr:nvGrpSpPr>
        <xdr:cNvPr id="4378144" name="Group 92">
          <a:extLst>
            <a:ext uri="{FF2B5EF4-FFF2-40B4-BE49-F238E27FC236}">
              <a16:creationId xmlns="" xmlns:a16="http://schemas.microsoft.com/office/drawing/2014/main" id="{00000000-0008-0000-0D00-000020CE4200}"/>
            </a:ext>
          </a:extLst>
        </xdr:cNvPr>
        <xdr:cNvGrpSpPr>
          <a:grpSpLocks/>
        </xdr:cNvGrpSpPr>
      </xdr:nvGrpSpPr>
      <xdr:grpSpPr bwMode="auto">
        <a:xfrm>
          <a:off x="7200900" y="3657600"/>
          <a:ext cx="2800350" cy="1038225"/>
          <a:chOff x="358" y="540"/>
          <a:chExt cx="293" cy="139"/>
        </a:xfrm>
      </xdr:grpSpPr>
      <xdr:sp macro="" textlink="">
        <xdr:nvSpPr>
          <xdr:cNvPr id="4378178" name="Line 93">
            <a:extLst>
              <a:ext uri="{FF2B5EF4-FFF2-40B4-BE49-F238E27FC236}">
                <a16:creationId xmlns="" xmlns:a16="http://schemas.microsoft.com/office/drawing/2014/main" id="{00000000-0008-0000-0D00-000042CE42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78179" name="Group 94">
            <a:extLst>
              <a:ext uri="{FF2B5EF4-FFF2-40B4-BE49-F238E27FC236}">
                <a16:creationId xmlns="" xmlns:a16="http://schemas.microsoft.com/office/drawing/2014/main" id="{00000000-0008-0000-0D00-000043CE42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378235" name="Line 95">
              <a:extLst>
                <a:ext uri="{FF2B5EF4-FFF2-40B4-BE49-F238E27FC236}">
                  <a16:creationId xmlns="" xmlns:a16="http://schemas.microsoft.com/office/drawing/2014/main" id="{00000000-0008-0000-0D00-00007BCE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8236" name="Line 96">
              <a:extLst>
                <a:ext uri="{FF2B5EF4-FFF2-40B4-BE49-F238E27FC236}">
                  <a16:creationId xmlns="" xmlns:a16="http://schemas.microsoft.com/office/drawing/2014/main" id="{00000000-0008-0000-0D00-00007CCE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78180" name="Line 97">
            <a:extLst>
              <a:ext uri="{FF2B5EF4-FFF2-40B4-BE49-F238E27FC236}">
                <a16:creationId xmlns="" xmlns:a16="http://schemas.microsoft.com/office/drawing/2014/main" id="{00000000-0008-0000-0D00-000044CE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8181" name="Line 98">
            <a:extLst>
              <a:ext uri="{FF2B5EF4-FFF2-40B4-BE49-F238E27FC236}">
                <a16:creationId xmlns="" xmlns:a16="http://schemas.microsoft.com/office/drawing/2014/main" id="{00000000-0008-0000-0D00-000045CE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8182" name="Line 99">
            <a:extLst>
              <a:ext uri="{FF2B5EF4-FFF2-40B4-BE49-F238E27FC236}">
                <a16:creationId xmlns="" xmlns:a16="http://schemas.microsoft.com/office/drawing/2014/main" id="{00000000-0008-0000-0D00-000046CE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8183" name="Line 100">
            <a:extLst>
              <a:ext uri="{FF2B5EF4-FFF2-40B4-BE49-F238E27FC236}">
                <a16:creationId xmlns="" xmlns:a16="http://schemas.microsoft.com/office/drawing/2014/main" id="{00000000-0008-0000-0D00-000047CE42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78184" name="Line 101">
            <a:extLst>
              <a:ext uri="{FF2B5EF4-FFF2-40B4-BE49-F238E27FC236}">
                <a16:creationId xmlns="" xmlns:a16="http://schemas.microsoft.com/office/drawing/2014/main" id="{00000000-0008-0000-0D00-000048CE42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78185" name="Group 102">
            <a:extLst>
              <a:ext uri="{FF2B5EF4-FFF2-40B4-BE49-F238E27FC236}">
                <a16:creationId xmlns="" xmlns:a16="http://schemas.microsoft.com/office/drawing/2014/main" id="{00000000-0008-0000-0D00-000049CE42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378229" name="Line 103">
              <a:extLst>
                <a:ext uri="{FF2B5EF4-FFF2-40B4-BE49-F238E27FC236}">
                  <a16:creationId xmlns="" xmlns:a16="http://schemas.microsoft.com/office/drawing/2014/main" id="{00000000-0008-0000-0D00-000075CE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8230" name="Group 104">
              <a:extLst>
                <a:ext uri="{FF2B5EF4-FFF2-40B4-BE49-F238E27FC236}">
                  <a16:creationId xmlns="" xmlns:a16="http://schemas.microsoft.com/office/drawing/2014/main" id="{00000000-0008-0000-0D00-000076CE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8231" name="Line 105">
                <a:extLst>
                  <a:ext uri="{FF2B5EF4-FFF2-40B4-BE49-F238E27FC236}">
                    <a16:creationId xmlns="" xmlns:a16="http://schemas.microsoft.com/office/drawing/2014/main" id="{00000000-0008-0000-0D00-000077CE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8232" name="Group 106">
                <a:extLst>
                  <a:ext uri="{FF2B5EF4-FFF2-40B4-BE49-F238E27FC236}">
                    <a16:creationId xmlns="" xmlns:a16="http://schemas.microsoft.com/office/drawing/2014/main" id="{00000000-0008-0000-0D00-000078CE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8233" name="Line 107">
                  <a:extLst>
                    <a:ext uri="{FF2B5EF4-FFF2-40B4-BE49-F238E27FC236}">
                      <a16:creationId xmlns="" xmlns:a16="http://schemas.microsoft.com/office/drawing/2014/main" id="{00000000-0008-0000-0D00-000079CE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8234" name="Line 108">
                  <a:extLst>
                    <a:ext uri="{FF2B5EF4-FFF2-40B4-BE49-F238E27FC236}">
                      <a16:creationId xmlns="" xmlns:a16="http://schemas.microsoft.com/office/drawing/2014/main" id="{00000000-0008-0000-0D00-00007ACE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8186" name="Group 109">
            <a:extLst>
              <a:ext uri="{FF2B5EF4-FFF2-40B4-BE49-F238E27FC236}">
                <a16:creationId xmlns="" xmlns:a16="http://schemas.microsoft.com/office/drawing/2014/main" id="{00000000-0008-0000-0D00-00004ACE42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378223" name="Line 110">
              <a:extLst>
                <a:ext uri="{FF2B5EF4-FFF2-40B4-BE49-F238E27FC236}">
                  <a16:creationId xmlns="" xmlns:a16="http://schemas.microsoft.com/office/drawing/2014/main" id="{00000000-0008-0000-0D00-00006FCE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8224" name="Group 111">
              <a:extLst>
                <a:ext uri="{FF2B5EF4-FFF2-40B4-BE49-F238E27FC236}">
                  <a16:creationId xmlns="" xmlns:a16="http://schemas.microsoft.com/office/drawing/2014/main" id="{00000000-0008-0000-0D00-000070CE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8225" name="Line 112">
                <a:extLst>
                  <a:ext uri="{FF2B5EF4-FFF2-40B4-BE49-F238E27FC236}">
                    <a16:creationId xmlns="" xmlns:a16="http://schemas.microsoft.com/office/drawing/2014/main" id="{00000000-0008-0000-0D00-000071CE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8226" name="Group 113">
                <a:extLst>
                  <a:ext uri="{FF2B5EF4-FFF2-40B4-BE49-F238E27FC236}">
                    <a16:creationId xmlns="" xmlns:a16="http://schemas.microsoft.com/office/drawing/2014/main" id="{00000000-0008-0000-0D00-000072CE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8227" name="Line 114">
                  <a:extLst>
                    <a:ext uri="{FF2B5EF4-FFF2-40B4-BE49-F238E27FC236}">
                      <a16:creationId xmlns="" xmlns:a16="http://schemas.microsoft.com/office/drawing/2014/main" id="{00000000-0008-0000-0D00-000073CE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8228" name="Line 115">
                  <a:extLst>
                    <a:ext uri="{FF2B5EF4-FFF2-40B4-BE49-F238E27FC236}">
                      <a16:creationId xmlns="" xmlns:a16="http://schemas.microsoft.com/office/drawing/2014/main" id="{00000000-0008-0000-0D00-000074CE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8187" name="Group 116">
            <a:extLst>
              <a:ext uri="{FF2B5EF4-FFF2-40B4-BE49-F238E27FC236}">
                <a16:creationId xmlns="" xmlns:a16="http://schemas.microsoft.com/office/drawing/2014/main" id="{00000000-0008-0000-0D00-00004BCE42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378217" name="Line 117">
              <a:extLst>
                <a:ext uri="{FF2B5EF4-FFF2-40B4-BE49-F238E27FC236}">
                  <a16:creationId xmlns="" xmlns:a16="http://schemas.microsoft.com/office/drawing/2014/main" id="{00000000-0008-0000-0D00-000069CE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8218" name="Group 118">
              <a:extLst>
                <a:ext uri="{FF2B5EF4-FFF2-40B4-BE49-F238E27FC236}">
                  <a16:creationId xmlns="" xmlns:a16="http://schemas.microsoft.com/office/drawing/2014/main" id="{00000000-0008-0000-0D00-00006ACE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8219" name="Line 119">
                <a:extLst>
                  <a:ext uri="{FF2B5EF4-FFF2-40B4-BE49-F238E27FC236}">
                    <a16:creationId xmlns="" xmlns:a16="http://schemas.microsoft.com/office/drawing/2014/main" id="{00000000-0008-0000-0D00-00006BCE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8220" name="Group 120">
                <a:extLst>
                  <a:ext uri="{FF2B5EF4-FFF2-40B4-BE49-F238E27FC236}">
                    <a16:creationId xmlns="" xmlns:a16="http://schemas.microsoft.com/office/drawing/2014/main" id="{00000000-0008-0000-0D00-00006CCE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8221" name="Line 121">
                  <a:extLst>
                    <a:ext uri="{FF2B5EF4-FFF2-40B4-BE49-F238E27FC236}">
                      <a16:creationId xmlns="" xmlns:a16="http://schemas.microsoft.com/office/drawing/2014/main" id="{00000000-0008-0000-0D00-00006DCE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8222" name="Line 122">
                  <a:extLst>
                    <a:ext uri="{FF2B5EF4-FFF2-40B4-BE49-F238E27FC236}">
                      <a16:creationId xmlns="" xmlns:a16="http://schemas.microsoft.com/office/drawing/2014/main" id="{00000000-0008-0000-0D00-00006ECE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8188" name="Group 123">
            <a:extLst>
              <a:ext uri="{FF2B5EF4-FFF2-40B4-BE49-F238E27FC236}">
                <a16:creationId xmlns="" xmlns:a16="http://schemas.microsoft.com/office/drawing/2014/main" id="{00000000-0008-0000-0D00-00004CCE42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378211" name="Line 124">
              <a:extLst>
                <a:ext uri="{FF2B5EF4-FFF2-40B4-BE49-F238E27FC236}">
                  <a16:creationId xmlns="" xmlns:a16="http://schemas.microsoft.com/office/drawing/2014/main" id="{00000000-0008-0000-0D00-000063CE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8212" name="Group 125">
              <a:extLst>
                <a:ext uri="{FF2B5EF4-FFF2-40B4-BE49-F238E27FC236}">
                  <a16:creationId xmlns="" xmlns:a16="http://schemas.microsoft.com/office/drawing/2014/main" id="{00000000-0008-0000-0D00-000064CE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8213" name="Line 126">
                <a:extLst>
                  <a:ext uri="{FF2B5EF4-FFF2-40B4-BE49-F238E27FC236}">
                    <a16:creationId xmlns="" xmlns:a16="http://schemas.microsoft.com/office/drawing/2014/main" id="{00000000-0008-0000-0D00-000065CE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8214" name="Group 127">
                <a:extLst>
                  <a:ext uri="{FF2B5EF4-FFF2-40B4-BE49-F238E27FC236}">
                    <a16:creationId xmlns="" xmlns:a16="http://schemas.microsoft.com/office/drawing/2014/main" id="{00000000-0008-0000-0D00-000066CE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8215" name="Line 128">
                  <a:extLst>
                    <a:ext uri="{FF2B5EF4-FFF2-40B4-BE49-F238E27FC236}">
                      <a16:creationId xmlns="" xmlns:a16="http://schemas.microsoft.com/office/drawing/2014/main" id="{00000000-0008-0000-0D00-000067CE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8216" name="Line 129">
                  <a:extLst>
                    <a:ext uri="{FF2B5EF4-FFF2-40B4-BE49-F238E27FC236}">
                      <a16:creationId xmlns="" xmlns:a16="http://schemas.microsoft.com/office/drawing/2014/main" id="{00000000-0008-0000-0D00-000068CE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8189" name="Group 130">
            <a:extLst>
              <a:ext uri="{FF2B5EF4-FFF2-40B4-BE49-F238E27FC236}">
                <a16:creationId xmlns="" xmlns:a16="http://schemas.microsoft.com/office/drawing/2014/main" id="{00000000-0008-0000-0D00-00004DCE42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378205" name="Line 131">
              <a:extLst>
                <a:ext uri="{FF2B5EF4-FFF2-40B4-BE49-F238E27FC236}">
                  <a16:creationId xmlns="" xmlns:a16="http://schemas.microsoft.com/office/drawing/2014/main" id="{00000000-0008-0000-0D00-00005DCE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8206" name="Group 132">
              <a:extLst>
                <a:ext uri="{FF2B5EF4-FFF2-40B4-BE49-F238E27FC236}">
                  <a16:creationId xmlns="" xmlns:a16="http://schemas.microsoft.com/office/drawing/2014/main" id="{00000000-0008-0000-0D00-00005ECE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8207" name="Line 133">
                <a:extLst>
                  <a:ext uri="{FF2B5EF4-FFF2-40B4-BE49-F238E27FC236}">
                    <a16:creationId xmlns="" xmlns:a16="http://schemas.microsoft.com/office/drawing/2014/main" id="{00000000-0008-0000-0D00-00005FCE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8208" name="Group 134">
                <a:extLst>
                  <a:ext uri="{FF2B5EF4-FFF2-40B4-BE49-F238E27FC236}">
                    <a16:creationId xmlns="" xmlns:a16="http://schemas.microsoft.com/office/drawing/2014/main" id="{00000000-0008-0000-0D00-000060CE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8209" name="Line 135">
                  <a:extLst>
                    <a:ext uri="{FF2B5EF4-FFF2-40B4-BE49-F238E27FC236}">
                      <a16:creationId xmlns="" xmlns:a16="http://schemas.microsoft.com/office/drawing/2014/main" id="{00000000-0008-0000-0D00-000061CE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8210" name="Line 136">
                  <a:extLst>
                    <a:ext uri="{FF2B5EF4-FFF2-40B4-BE49-F238E27FC236}">
                      <a16:creationId xmlns="" xmlns:a16="http://schemas.microsoft.com/office/drawing/2014/main" id="{00000000-0008-0000-0D00-000062CE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8190" name="Group 137">
            <a:extLst>
              <a:ext uri="{FF2B5EF4-FFF2-40B4-BE49-F238E27FC236}">
                <a16:creationId xmlns="" xmlns:a16="http://schemas.microsoft.com/office/drawing/2014/main" id="{00000000-0008-0000-0D00-00004ECE42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378199" name="Line 138">
              <a:extLst>
                <a:ext uri="{FF2B5EF4-FFF2-40B4-BE49-F238E27FC236}">
                  <a16:creationId xmlns="" xmlns:a16="http://schemas.microsoft.com/office/drawing/2014/main" id="{00000000-0008-0000-0D00-000057CE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8200" name="Group 139">
              <a:extLst>
                <a:ext uri="{FF2B5EF4-FFF2-40B4-BE49-F238E27FC236}">
                  <a16:creationId xmlns="" xmlns:a16="http://schemas.microsoft.com/office/drawing/2014/main" id="{00000000-0008-0000-0D00-000058CE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8201" name="Line 140">
                <a:extLst>
                  <a:ext uri="{FF2B5EF4-FFF2-40B4-BE49-F238E27FC236}">
                    <a16:creationId xmlns="" xmlns:a16="http://schemas.microsoft.com/office/drawing/2014/main" id="{00000000-0008-0000-0D00-000059CE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8202" name="Group 141">
                <a:extLst>
                  <a:ext uri="{FF2B5EF4-FFF2-40B4-BE49-F238E27FC236}">
                    <a16:creationId xmlns="" xmlns:a16="http://schemas.microsoft.com/office/drawing/2014/main" id="{00000000-0008-0000-0D00-00005ACE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8203" name="Line 142">
                  <a:extLst>
                    <a:ext uri="{FF2B5EF4-FFF2-40B4-BE49-F238E27FC236}">
                      <a16:creationId xmlns="" xmlns:a16="http://schemas.microsoft.com/office/drawing/2014/main" id="{00000000-0008-0000-0D00-00005BCE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8204" name="Line 143">
                  <a:extLst>
                    <a:ext uri="{FF2B5EF4-FFF2-40B4-BE49-F238E27FC236}">
                      <a16:creationId xmlns="" xmlns:a16="http://schemas.microsoft.com/office/drawing/2014/main" id="{00000000-0008-0000-0D00-00005CCE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8191" name="Group 144">
            <a:extLst>
              <a:ext uri="{FF2B5EF4-FFF2-40B4-BE49-F238E27FC236}">
                <a16:creationId xmlns="" xmlns:a16="http://schemas.microsoft.com/office/drawing/2014/main" id="{00000000-0008-0000-0D00-00004FCE42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378193" name="Line 145">
              <a:extLst>
                <a:ext uri="{FF2B5EF4-FFF2-40B4-BE49-F238E27FC236}">
                  <a16:creationId xmlns="" xmlns:a16="http://schemas.microsoft.com/office/drawing/2014/main" id="{00000000-0008-0000-0D00-000051CE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8194" name="Group 146">
              <a:extLst>
                <a:ext uri="{FF2B5EF4-FFF2-40B4-BE49-F238E27FC236}">
                  <a16:creationId xmlns="" xmlns:a16="http://schemas.microsoft.com/office/drawing/2014/main" id="{00000000-0008-0000-0D00-000052CE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8195" name="Line 147">
                <a:extLst>
                  <a:ext uri="{FF2B5EF4-FFF2-40B4-BE49-F238E27FC236}">
                    <a16:creationId xmlns="" xmlns:a16="http://schemas.microsoft.com/office/drawing/2014/main" id="{00000000-0008-0000-0D00-000053CE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8196" name="Group 148">
                <a:extLst>
                  <a:ext uri="{FF2B5EF4-FFF2-40B4-BE49-F238E27FC236}">
                    <a16:creationId xmlns="" xmlns:a16="http://schemas.microsoft.com/office/drawing/2014/main" id="{00000000-0008-0000-0D00-000054CE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8197" name="Line 149">
                  <a:extLst>
                    <a:ext uri="{FF2B5EF4-FFF2-40B4-BE49-F238E27FC236}">
                      <a16:creationId xmlns="" xmlns:a16="http://schemas.microsoft.com/office/drawing/2014/main" id="{00000000-0008-0000-0D00-000055CE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8198" name="Line 150">
                  <a:extLst>
                    <a:ext uri="{FF2B5EF4-FFF2-40B4-BE49-F238E27FC236}">
                      <a16:creationId xmlns="" xmlns:a16="http://schemas.microsoft.com/office/drawing/2014/main" id="{00000000-0008-0000-0D00-000056CE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78192" name="Line 151">
            <a:extLst>
              <a:ext uri="{FF2B5EF4-FFF2-40B4-BE49-F238E27FC236}">
                <a16:creationId xmlns="" xmlns:a16="http://schemas.microsoft.com/office/drawing/2014/main" id="{00000000-0008-0000-0D00-000050CE42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276225</xdr:colOff>
      <xdr:row>17</xdr:row>
      <xdr:rowOff>295275</xdr:rowOff>
    </xdr:from>
    <xdr:to>
      <xdr:col>8</xdr:col>
      <xdr:colOff>742950</xdr:colOff>
      <xdr:row>17</xdr:row>
      <xdr:rowOff>295275</xdr:rowOff>
    </xdr:to>
    <xdr:sp macro="" textlink="">
      <xdr:nvSpPr>
        <xdr:cNvPr id="4378145" name="Line 152">
          <a:extLst>
            <a:ext uri="{FF2B5EF4-FFF2-40B4-BE49-F238E27FC236}">
              <a16:creationId xmlns="" xmlns:a16="http://schemas.microsoft.com/office/drawing/2014/main" id="{00000000-0008-0000-0D00-000021CE4200}"/>
            </a:ext>
          </a:extLst>
        </xdr:cNvPr>
        <xdr:cNvSpPr>
          <a:spLocks noChangeShapeType="1"/>
        </xdr:cNvSpPr>
      </xdr:nvSpPr>
      <xdr:spPr bwMode="auto">
        <a:xfrm flipV="1">
          <a:off x="6924675" y="6629400"/>
          <a:ext cx="466725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8</xdr:col>
      <xdr:colOff>276225</xdr:colOff>
      <xdr:row>15</xdr:row>
      <xdr:rowOff>180975</xdr:rowOff>
    </xdr:from>
    <xdr:to>
      <xdr:col>8</xdr:col>
      <xdr:colOff>276225</xdr:colOff>
      <xdr:row>28</xdr:row>
      <xdr:rowOff>47625</xdr:rowOff>
    </xdr:to>
    <xdr:sp macro="" textlink="">
      <xdr:nvSpPr>
        <xdr:cNvPr id="4378146" name="Line 153">
          <a:extLst>
            <a:ext uri="{FF2B5EF4-FFF2-40B4-BE49-F238E27FC236}">
              <a16:creationId xmlns="" xmlns:a16="http://schemas.microsoft.com/office/drawing/2014/main" id="{00000000-0008-0000-0D00-000022CE4200}"/>
            </a:ext>
          </a:extLst>
        </xdr:cNvPr>
        <xdr:cNvSpPr>
          <a:spLocks noChangeShapeType="1"/>
        </xdr:cNvSpPr>
      </xdr:nvSpPr>
      <xdr:spPr bwMode="auto">
        <a:xfrm>
          <a:off x="6924675" y="5867400"/>
          <a:ext cx="0" cy="407670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8</xdr:col>
      <xdr:colOff>285750</xdr:colOff>
      <xdr:row>18</xdr:row>
      <xdr:rowOff>314325</xdr:rowOff>
    </xdr:from>
    <xdr:to>
      <xdr:col>10</xdr:col>
      <xdr:colOff>152400</xdr:colOff>
      <xdr:row>18</xdr:row>
      <xdr:rowOff>314325</xdr:rowOff>
    </xdr:to>
    <xdr:sp macro="" textlink="">
      <xdr:nvSpPr>
        <xdr:cNvPr id="4378147" name="Line 154">
          <a:extLst>
            <a:ext uri="{FF2B5EF4-FFF2-40B4-BE49-F238E27FC236}">
              <a16:creationId xmlns="" xmlns:a16="http://schemas.microsoft.com/office/drawing/2014/main" id="{00000000-0008-0000-0D00-000023CE4200}"/>
            </a:ext>
          </a:extLst>
        </xdr:cNvPr>
        <xdr:cNvSpPr>
          <a:spLocks noChangeShapeType="1"/>
        </xdr:cNvSpPr>
      </xdr:nvSpPr>
      <xdr:spPr bwMode="auto">
        <a:xfrm>
          <a:off x="6934200" y="6972300"/>
          <a:ext cx="1847850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8</xdr:col>
      <xdr:colOff>276225</xdr:colOff>
      <xdr:row>19</xdr:row>
      <xdr:rowOff>314325</xdr:rowOff>
    </xdr:from>
    <xdr:to>
      <xdr:col>11</xdr:col>
      <xdr:colOff>342900</xdr:colOff>
      <xdr:row>19</xdr:row>
      <xdr:rowOff>314325</xdr:rowOff>
    </xdr:to>
    <xdr:sp macro="" textlink="">
      <xdr:nvSpPr>
        <xdr:cNvPr id="4378148" name="Line 155">
          <a:extLst>
            <a:ext uri="{FF2B5EF4-FFF2-40B4-BE49-F238E27FC236}">
              <a16:creationId xmlns="" xmlns:a16="http://schemas.microsoft.com/office/drawing/2014/main" id="{00000000-0008-0000-0D00-000024CE4200}"/>
            </a:ext>
          </a:extLst>
        </xdr:cNvPr>
        <xdr:cNvSpPr>
          <a:spLocks noChangeShapeType="1"/>
        </xdr:cNvSpPr>
      </xdr:nvSpPr>
      <xdr:spPr bwMode="auto">
        <a:xfrm>
          <a:off x="6924675" y="7296150"/>
          <a:ext cx="3038475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8</xdr:col>
      <xdr:colOff>285750</xdr:colOff>
      <xdr:row>20</xdr:row>
      <xdr:rowOff>314325</xdr:rowOff>
    </xdr:from>
    <xdr:to>
      <xdr:col>12</xdr:col>
      <xdr:colOff>180975</xdr:colOff>
      <xdr:row>20</xdr:row>
      <xdr:rowOff>314325</xdr:rowOff>
    </xdr:to>
    <xdr:sp macro="" textlink="">
      <xdr:nvSpPr>
        <xdr:cNvPr id="4378149" name="Line 156">
          <a:extLst>
            <a:ext uri="{FF2B5EF4-FFF2-40B4-BE49-F238E27FC236}">
              <a16:creationId xmlns="" xmlns:a16="http://schemas.microsoft.com/office/drawing/2014/main" id="{00000000-0008-0000-0D00-000025CE4200}"/>
            </a:ext>
          </a:extLst>
        </xdr:cNvPr>
        <xdr:cNvSpPr>
          <a:spLocks noChangeShapeType="1"/>
        </xdr:cNvSpPr>
      </xdr:nvSpPr>
      <xdr:spPr bwMode="auto">
        <a:xfrm flipH="1">
          <a:off x="6934200" y="7620000"/>
          <a:ext cx="4162425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8</xdr:col>
      <xdr:colOff>752475</xdr:colOff>
      <xdr:row>14</xdr:row>
      <xdr:rowOff>104775</xdr:rowOff>
    </xdr:from>
    <xdr:to>
      <xdr:col>8</xdr:col>
      <xdr:colOff>752475</xdr:colOff>
      <xdr:row>18</xdr:row>
      <xdr:rowOff>85725</xdr:rowOff>
    </xdr:to>
    <xdr:sp macro="" textlink="">
      <xdr:nvSpPr>
        <xdr:cNvPr id="4378150" name="Line 157">
          <a:extLst>
            <a:ext uri="{FF2B5EF4-FFF2-40B4-BE49-F238E27FC236}">
              <a16:creationId xmlns="" xmlns:a16="http://schemas.microsoft.com/office/drawing/2014/main" id="{00000000-0008-0000-0D00-000026CE4200}"/>
            </a:ext>
          </a:extLst>
        </xdr:cNvPr>
        <xdr:cNvSpPr>
          <a:spLocks noChangeShapeType="1"/>
        </xdr:cNvSpPr>
      </xdr:nvSpPr>
      <xdr:spPr bwMode="auto">
        <a:xfrm>
          <a:off x="7400925" y="5467350"/>
          <a:ext cx="0" cy="127635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8</xdr:col>
      <xdr:colOff>314325</xdr:colOff>
      <xdr:row>14</xdr:row>
      <xdr:rowOff>171450</xdr:rowOff>
    </xdr:from>
    <xdr:to>
      <xdr:col>8</xdr:col>
      <xdr:colOff>876300</xdr:colOff>
      <xdr:row>14</xdr:row>
      <xdr:rowOff>171450</xdr:rowOff>
    </xdr:to>
    <xdr:sp macro="" textlink="">
      <xdr:nvSpPr>
        <xdr:cNvPr id="4378151" name="Line 158">
          <a:extLst>
            <a:ext uri="{FF2B5EF4-FFF2-40B4-BE49-F238E27FC236}">
              <a16:creationId xmlns="" xmlns:a16="http://schemas.microsoft.com/office/drawing/2014/main" id="{00000000-0008-0000-0D00-000027CE4200}"/>
            </a:ext>
          </a:extLst>
        </xdr:cNvPr>
        <xdr:cNvSpPr>
          <a:spLocks noChangeShapeType="1"/>
        </xdr:cNvSpPr>
      </xdr:nvSpPr>
      <xdr:spPr bwMode="auto">
        <a:xfrm>
          <a:off x="6962775" y="5534025"/>
          <a:ext cx="56197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10</xdr:col>
      <xdr:colOff>142875</xdr:colOff>
      <xdr:row>14</xdr:row>
      <xdr:rowOff>85725</xdr:rowOff>
    </xdr:from>
    <xdr:to>
      <xdr:col>10</xdr:col>
      <xdr:colOff>152400</xdr:colOff>
      <xdr:row>19</xdr:row>
      <xdr:rowOff>28575</xdr:rowOff>
    </xdr:to>
    <xdr:sp macro="" textlink="">
      <xdr:nvSpPr>
        <xdr:cNvPr id="4378152" name="Line 159">
          <a:extLst>
            <a:ext uri="{FF2B5EF4-FFF2-40B4-BE49-F238E27FC236}">
              <a16:creationId xmlns="" xmlns:a16="http://schemas.microsoft.com/office/drawing/2014/main" id="{00000000-0008-0000-0D00-000028CE4200}"/>
            </a:ext>
          </a:extLst>
        </xdr:cNvPr>
        <xdr:cNvSpPr>
          <a:spLocks noChangeShapeType="1"/>
        </xdr:cNvSpPr>
      </xdr:nvSpPr>
      <xdr:spPr bwMode="auto">
        <a:xfrm flipH="1">
          <a:off x="8772525" y="5448300"/>
          <a:ext cx="9525" cy="156210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9</xdr:col>
      <xdr:colOff>371475</xdr:colOff>
      <xdr:row>14</xdr:row>
      <xdr:rowOff>180975</xdr:rowOff>
    </xdr:from>
    <xdr:to>
      <xdr:col>10</xdr:col>
      <xdr:colOff>590550</xdr:colOff>
      <xdr:row>14</xdr:row>
      <xdr:rowOff>180975</xdr:rowOff>
    </xdr:to>
    <xdr:sp macro="" textlink="">
      <xdr:nvSpPr>
        <xdr:cNvPr id="4378153" name="Line 160">
          <a:extLst>
            <a:ext uri="{FF2B5EF4-FFF2-40B4-BE49-F238E27FC236}">
              <a16:creationId xmlns="" xmlns:a16="http://schemas.microsoft.com/office/drawing/2014/main" id="{00000000-0008-0000-0D00-000029CE4200}"/>
            </a:ext>
          </a:extLst>
        </xdr:cNvPr>
        <xdr:cNvSpPr>
          <a:spLocks noChangeShapeType="1"/>
        </xdr:cNvSpPr>
      </xdr:nvSpPr>
      <xdr:spPr bwMode="auto">
        <a:xfrm>
          <a:off x="8010525" y="5543550"/>
          <a:ext cx="120967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11</xdr:col>
      <xdr:colOff>276225</xdr:colOff>
      <xdr:row>14</xdr:row>
      <xdr:rowOff>104775</xdr:rowOff>
    </xdr:from>
    <xdr:to>
      <xdr:col>11</xdr:col>
      <xdr:colOff>314325</xdr:colOff>
      <xdr:row>20</xdr:row>
      <xdr:rowOff>95250</xdr:rowOff>
    </xdr:to>
    <xdr:grpSp>
      <xdr:nvGrpSpPr>
        <xdr:cNvPr id="4378154" name="Group 161">
          <a:extLst>
            <a:ext uri="{FF2B5EF4-FFF2-40B4-BE49-F238E27FC236}">
              <a16:creationId xmlns="" xmlns:a16="http://schemas.microsoft.com/office/drawing/2014/main" id="{00000000-0008-0000-0D00-00002ACE4200}"/>
            </a:ext>
          </a:extLst>
        </xdr:cNvPr>
        <xdr:cNvGrpSpPr>
          <a:grpSpLocks/>
        </xdr:cNvGrpSpPr>
      </xdr:nvGrpSpPr>
      <xdr:grpSpPr bwMode="auto">
        <a:xfrm flipH="1">
          <a:off x="9896475" y="5467350"/>
          <a:ext cx="38100" cy="1933575"/>
          <a:chOff x="759" y="438"/>
          <a:chExt cx="10" cy="121"/>
        </a:xfrm>
      </xdr:grpSpPr>
      <xdr:sp macro="" textlink="">
        <xdr:nvSpPr>
          <xdr:cNvPr id="4378176" name="Line 162">
            <a:extLst>
              <a:ext uri="{FF2B5EF4-FFF2-40B4-BE49-F238E27FC236}">
                <a16:creationId xmlns="" xmlns:a16="http://schemas.microsoft.com/office/drawing/2014/main" id="{00000000-0008-0000-0D00-000040CE42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8177" name="Line 163">
            <a:extLst>
              <a:ext uri="{FF2B5EF4-FFF2-40B4-BE49-F238E27FC236}">
                <a16:creationId xmlns="" xmlns:a16="http://schemas.microsoft.com/office/drawing/2014/main" id="{00000000-0008-0000-0D00-000041CE42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76200</xdr:colOff>
      <xdr:row>14</xdr:row>
      <xdr:rowOff>114300</xdr:rowOff>
    </xdr:from>
    <xdr:to>
      <xdr:col>12</xdr:col>
      <xdr:colOff>285750</xdr:colOff>
      <xdr:row>21</xdr:row>
      <xdr:rowOff>123825</xdr:rowOff>
    </xdr:to>
    <xdr:grpSp>
      <xdr:nvGrpSpPr>
        <xdr:cNvPr id="4378155" name="Group 164">
          <a:extLst>
            <a:ext uri="{FF2B5EF4-FFF2-40B4-BE49-F238E27FC236}">
              <a16:creationId xmlns="" xmlns:a16="http://schemas.microsoft.com/office/drawing/2014/main" id="{00000000-0008-0000-0D00-00002BCE4200}"/>
            </a:ext>
          </a:extLst>
        </xdr:cNvPr>
        <xdr:cNvGrpSpPr>
          <a:grpSpLocks/>
        </xdr:cNvGrpSpPr>
      </xdr:nvGrpSpPr>
      <xdr:grpSpPr bwMode="auto">
        <a:xfrm>
          <a:off x="10991850" y="5476875"/>
          <a:ext cx="209550" cy="2276475"/>
          <a:chOff x="842" y="438"/>
          <a:chExt cx="10" cy="147"/>
        </a:xfrm>
      </xdr:grpSpPr>
      <xdr:sp macro="" textlink="">
        <xdr:nvSpPr>
          <xdr:cNvPr id="4378174" name="Line 165">
            <a:extLst>
              <a:ext uri="{FF2B5EF4-FFF2-40B4-BE49-F238E27FC236}">
                <a16:creationId xmlns="" xmlns:a16="http://schemas.microsoft.com/office/drawing/2014/main" id="{00000000-0008-0000-0D00-00003ECE42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8175" name="Line 166">
            <a:extLst>
              <a:ext uri="{FF2B5EF4-FFF2-40B4-BE49-F238E27FC236}">
                <a16:creationId xmlns="" xmlns:a16="http://schemas.microsoft.com/office/drawing/2014/main" id="{00000000-0008-0000-0D00-00003FCE42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276225</xdr:colOff>
      <xdr:row>14</xdr:row>
      <xdr:rowOff>47625</xdr:rowOff>
    </xdr:from>
    <xdr:to>
      <xdr:col>16</xdr:col>
      <xdr:colOff>581025</xdr:colOff>
      <xdr:row>15</xdr:row>
      <xdr:rowOff>123825</xdr:rowOff>
    </xdr:to>
    <xdr:sp macro="" textlink="">
      <xdr:nvSpPr>
        <xdr:cNvPr id="4378156" name="Rectangle 167">
          <a:extLst>
            <a:ext uri="{FF2B5EF4-FFF2-40B4-BE49-F238E27FC236}">
              <a16:creationId xmlns="" xmlns:a16="http://schemas.microsoft.com/office/drawing/2014/main" id="{00000000-0008-0000-0D00-00002CCE4200}"/>
            </a:ext>
          </a:extLst>
        </xdr:cNvPr>
        <xdr:cNvSpPr>
          <a:spLocks noChangeArrowheads="1"/>
        </xdr:cNvSpPr>
      </xdr:nvSpPr>
      <xdr:spPr bwMode="auto">
        <a:xfrm>
          <a:off x="6924675" y="5410200"/>
          <a:ext cx="8553450" cy="400050"/>
        </a:xfrm>
        <a:prstGeom prst="rect">
          <a:avLst/>
        </a:prstGeom>
        <a:noFill/>
        <a:ln w="158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152400</xdr:colOff>
      <xdr:row>14</xdr:row>
      <xdr:rowOff>85725</xdr:rowOff>
    </xdr:from>
    <xdr:to>
      <xdr:col>16</xdr:col>
      <xdr:colOff>152400</xdr:colOff>
      <xdr:row>27</xdr:row>
      <xdr:rowOff>314325</xdr:rowOff>
    </xdr:to>
    <xdr:sp macro="" textlink="">
      <xdr:nvSpPr>
        <xdr:cNvPr id="4378157" name="Line 168">
          <a:extLst>
            <a:ext uri="{FF2B5EF4-FFF2-40B4-BE49-F238E27FC236}">
              <a16:creationId xmlns="" xmlns:a16="http://schemas.microsoft.com/office/drawing/2014/main" id="{00000000-0008-0000-0D00-00002DCE4200}"/>
            </a:ext>
          </a:extLst>
        </xdr:cNvPr>
        <xdr:cNvSpPr>
          <a:spLocks noChangeShapeType="1"/>
        </xdr:cNvSpPr>
      </xdr:nvSpPr>
      <xdr:spPr bwMode="auto">
        <a:xfrm>
          <a:off x="15049500" y="5448300"/>
          <a:ext cx="0" cy="443865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13</xdr:col>
      <xdr:colOff>809625</xdr:colOff>
      <xdr:row>14</xdr:row>
      <xdr:rowOff>180975</xdr:rowOff>
    </xdr:from>
    <xdr:to>
      <xdr:col>14</xdr:col>
      <xdr:colOff>9525</xdr:colOff>
      <xdr:row>14</xdr:row>
      <xdr:rowOff>180975</xdr:rowOff>
    </xdr:to>
    <xdr:sp macro="" textlink="">
      <xdr:nvSpPr>
        <xdr:cNvPr id="4378158" name="Line 169">
          <a:extLst>
            <a:ext uri="{FF2B5EF4-FFF2-40B4-BE49-F238E27FC236}">
              <a16:creationId xmlns="" xmlns:a16="http://schemas.microsoft.com/office/drawing/2014/main" id="{00000000-0008-0000-0D00-00002ECE4200}"/>
            </a:ext>
          </a:extLst>
        </xdr:cNvPr>
        <xdr:cNvSpPr>
          <a:spLocks noChangeShapeType="1"/>
        </xdr:cNvSpPr>
      </xdr:nvSpPr>
      <xdr:spPr bwMode="auto">
        <a:xfrm>
          <a:off x="12715875" y="5543550"/>
          <a:ext cx="23812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8</xdr:col>
      <xdr:colOff>266700</xdr:colOff>
      <xdr:row>27</xdr:row>
      <xdr:rowOff>76200</xdr:rowOff>
    </xdr:from>
    <xdr:to>
      <xdr:col>16</xdr:col>
      <xdr:colOff>142875</xdr:colOff>
      <xdr:row>27</xdr:row>
      <xdr:rowOff>76200</xdr:rowOff>
    </xdr:to>
    <xdr:sp macro="" textlink="">
      <xdr:nvSpPr>
        <xdr:cNvPr id="4378159" name="Line 170">
          <a:extLst>
            <a:ext uri="{FF2B5EF4-FFF2-40B4-BE49-F238E27FC236}">
              <a16:creationId xmlns="" xmlns:a16="http://schemas.microsoft.com/office/drawing/2014/main" id="{00000000-0008-0000-0D00-00002FCE4200}"/>
            </a:ext>
          </a:extLst>
        </xdr:cNvPr>
        <xdr:cNvSpPr>
          <a:spLocks noChangeShapeType="1"/>
        </xdr:cNvSpPr>
      </xdr:nvSpPr>
      <xdr:spPr bwMode="auto">
        <a:xfrm flipV="1">
          <a:off x="6915150" y="9648825"/>
          <a:ext cx="8124825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13</xdr:col>
      <xdr:colOff>123825</xdr:colOff>
      <xdr:row>14</xdr:row>
      <xdr:rowOff>104775</xdr:rowOff>
    </xdr:from>
    <xdr:to>
      <xdr:col>13</xdr:col>
      <xdr:colOff>152400</xdr:colOff>
      <xdr:row>22</xdr:row>
      <xdr:rowOff>171450</xdr:rowOff>
    </xdr:to>
    <xdr:grpSp>
      <xdr:nvGrpSpPr>
        <xdr:cNvPr id="4378160" name="Group 171">
          <a:extLst>
            <a:ext uri="{FF2B5EF4-FFF2-40B4-BE49-F238E27FC236}">
              <a16:creationId xmlns="" xmlns:a16="http://schemas.microsoft.com/office/drawing/2014/main" id="{00000000-0008-0000-0D00-000030CE4200}"/>
            </a:ext>
          </a:extLst>
        </xdr:cNvPr>
        <xdr:cNvGrpSpPr>
          <a:grpSpLocks/>
        </xdr:cNvGrpSpPr>
      </xdr:nvGrpSpPr>
      <xdr:grpSpPr bwMode="auto">
        <a:xfrm flipH="1">
          <a:off x="12030075" y="5467350"/>
          <a:ext cx="28575" cy="2657475"/>
          <a:chOff x="912" y="438"/>
          <a:chExt cx="11" cy="175"/>
        </a:xfrm>
      </xdr:grpSpPr>
      <xdr:sp macro="" textlink="">
        <xdr:nvSpPr>
          <xdr:cNvPr id="4378172" name="Line 172">
            <a:extLst>
              <a:ext uri="{FF2B5EF4-FFF2-40B4-BE49-F238E27FC236}">
                <a16:creationId xmlns="" xmlns:a16="http://schemas.microsoft.com/office/drawing/2014/main" id="{00000000-0008-0000-0D00-00003CCE42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8173" name="Line 173">
            <a:extLst>
              <a:ext uri="{FF2B5EF4-FFF2-40B4-BE49-F238E27FC236}">
                <a16:creationId xmlns="" xmlns:a16="http://schemas.microsoft.com/office/drawing/2014/main" id="{00000000-0008-0000-0D00-00003DCE42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266700</xdr:colOff>
      <xdr:row>22</xdr:row>
      <xdr:rowOff>76200</xdr:rowOff>
    </xdr:from>
    <xdr:to>
      <xdr:col>13</xdr:col>
      <xdr:colOff>123825</xdr:colOff>
      <xdr:row>22</xdr:row>
      <xdr:rowOff>76200</xdr:rowOff>
    </xdr:to>
    <xdr:sp macro="" textlink="">
      <xdr:nvSpPr>
        <xdr:cNvPr id="4378161" name="Line 174">
          <a:extLst>
            <a:ext uri="{FF2B5EF4-FFF2-40B4-BE49-F238E27FC236}">
              <a16:creationId xmlns="" xmlns:a16="http://schemas.microsoft.com/office/drawing/2014/main" id="{00000000-0008-0000-0D00-000031CE4200}"/>
            </a:ext>
          </a:extLst>
        </xdr:cNvPr>
        <xdr:cNvSpPr>
          <a:spLocks noChangeShapeType="1"/>
        </xdr:cNvSpPr>
      </xdr:nvSpPr>
      <xdr:spPr bwMode="auto">
        <a:xfrm flipH="1">
          <a:off x="6915150" y="8029575"/>
          <a:ext cx="5114925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8</xdr:col>
      <xdr:colOff>266700</xdr:colOff>
      <xdr:row>24</xdr:row>
      <xdr:rowOff>47625</xdr:rowOff>
    </xdr:from>
    <xdr:to>
      <xdr:col>14</xdr:col>
      <xdr:colOff>0</xdr:colOff>
      <xdr:row>24</xdr:row>
      <xdr:rowOff>57150</xdr:rowOff>
    </xdr:to>
    <xdr:sp macro="" textlink="">
      <xdr:nvSpPr>
        <xdr:cNvPr id="4378162" name="Line 175">
          <a:extLst>
            <a:ext uri="{FF2B5EF4-FFF2-40B4-BE49-F238E27FC236}">
              <a16:creationId xmlns="" xmlns:a16="http://schemas.microsoft.com/office/drawing/2014/main" id="{00000000-0008-0000-0D00-000032CE4200}"/>
            </a:ext>
          </a:extLst>
        </xdr:cNvPr>
        <xdr:cNvSpPr>
          <a:spLocks noChangeShapeType="1"/>
        </xdr:cNvSpPr>
      </xdr:nvSpPr>
      <xdr:spPr bwMode="auto">
        <a:xfrm flipH="1" flipV="1">
          <a:off x="6915150" y="8648700"/>
          <a:ext cx="6029325" cy="9525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8</xdr:col>
      <xdr:colOff>266700</xdr:colOff>
      <xdr:row>25</xdr:row>
      <xdr:rowOff>123825</xdr:rowOff>
    </xdr:from>
    <xdr:to>
      <xdr:col>15</xdr:col>
      <xdr:colOff>95250</xdr:colOff>
      <xdr:row>25</xdr:row>
      <xdr:rowOff>123825</xdr:rowOff>
    </xdr:to>
    <xdr:sp macro="" textlink="">
      <xdr:nvSpPr>
        <xdr:cNvPr id="4378163" name="Line 176">
          <a:extLst>
            <a:ext uri="{FF2B5EF4-FFF2-40B4-BE49-F238E27FC236}">
              <a16:creationId xmlns="" xmlns:a16="http://schemas.microsoft.com/office/drawing/2014/main" id="{00000000-0008-0000-0D00-000033CE4200}"/>
            </a:ext>
          </a:extLst>
        </xdr:cNvPr>
        <xdr:cNvSpPr>
          <a:spLocks noChangeShapeType="1"/>
        </xdr:cNvSpPr>
      </xdr:nvSpPr>
      <xdr:spPr bwMode="auto">
        <a:xfrm flipH="1">
          <a:off x="6915150" y="9048750"/>
          <a:ext cx="7086600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13</xdr:col>
      <xdr:colOff>1028700</xdr:colOff>
      <xdr:row>14</xdr:row>
      <xdr:rowOff>104775</xdr:rowOff>
    </xdr:from>
    <xdr:to>
      <xdr:col>14</xdr:col>
      <xdr:colOff>19050</xdr:colOff>
      <xdr:row>24</xdr:row>
      <xdr:rowOff>95250</xdr:rowOff>
    </xdr:to>
    <xdr:grpSp>
      <xdr:nvGrpSpPr>
        <xdr:cNvPr id="4378164" name="Group 177">
          <a:extLst>
            <a:ext uri="{FF2B5EF4-FFF2-40B4-BE49-F238E27FC236}">
              <a16:creationId xmlns="" xmlns:a16="http://schemas.microsoft.com/office/drawing/2014/main" id="{00000000-0008-0000-0D00-000034CE4200}"/>
            </a:ext>
          </a:extLst>
        </xdr:cNvPr>
        <xdr:cNvGrpSpPr>
          <a:grpSpLocks/>
        </xdr:cNvGrpSpPr>
      </xdr:nvGrpSpPr>
      <xdr:grpSpPr bwMode="auto">
        <a:xfrm>
          <a:off x="12934950" y="5467350"/>
          <a:ext cx="28575" cy="3228975"/>
          <a:chOff x="912" y="438"/>
          <a:chExt cx="11" cy="175"/>
        </a:xfrm>
      </xdr:grpSpPr>
      <xdr:sp macro="" textlink="">
        <xdr:nvSpPr>
          <xdr:cNvPr id="4378170" name="Line 178">
            <a:extLst>
              <a:ext uri="{FF2B5EF4-FFF2-40B4-BE49-F238E27FC236}">
                <a16:creationId xmlns="" xmlns:a16="http://schemas.microsoft.com/office/drawing/2014/main" id="{00000000-0008-0000-0D00-00003ACE42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8171" name="Line 179">
            <a:extLst>
              <a:ext uri="{FF2B5EF4-FFF2-40B4-BE49-F238E27FC236}">
                <a16:creationId xmlns="" xmlns:a16="http://schemas.microsoft.com/office/drawing/2014/main" id="{00000000-0008-0000-0D00-00003BCE42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15</xdr:col>
      <xdr:colOff>76200</xdr:colOff>
      <xdr:row>14</xdr:row>
      <xdr:rowOff>104775</xdr:rowOff>
    </xdr:from>
    <xdr:to>
      <xdr:col>15</xdr:col>
      <xdr:colOff>114300</xdr:colOff>
      <xdr:row>25</xdr:row>
      <xdr:rowOff>142875</xdr:rowOff>
    </xdr:to>
    <xdr:grpSp>
      <xdr:nvGrpSpPr>
        <xdr:cNvPr id="4378165" name="Group 180">
          <a:extLst>
            <a:ext uri="{FF2B5EF4-FFF2-40B4-BE49-F238E27FC236}">
              <a16:creationId xmlns="" xmlns:a16="http://schemas.microsoft.com/office/drawing/2014/main" id="{00000000-0008-0000-0D00-000035CE4200}"/>
            </a:ext>
          </a:extLst>
        </xdr:cNvPr>
        <xdr:cNvGrpSpPr>
          <a:grpSpLocks/>
        </xdr:cNvGrpSpPr>
      </xdr:nvGrpSpPr>
      <xdr:grpSpPr bwMode="auto">
        <a:xfrm>
          <a:off x="13982700" y="5467350"/>
          <a:ext cx="38100" cy="3600450"/>
          <a:chOff x="912" y="438"/>
          <a:chExt cx="11" cy="175"/>
        </a:xfrm>
      </xdr:grpSpPr>
      <xdr:sp macro="" textlink="">
        <xdr:nvSpPr>
          <xdr:cNvPr id="4378168" name="Line 181">
            <a:extLst>
              <a:ext uri="{FF2B5EF4-FFF2-40B4-BE49-F238E27FC236}">
                <a16:creationId xmlns="" xmlns:a16="http://schemas.microsoft.com/office/drawing/2014/main" id="{00000000-0008-0000-0D00-000038CE42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8169" name="Line 182">
            <a:extLst>
              <a:ext uri="{FF2B5EF4-FFF2-40B4-BE49-F238E27FC236}">
                <a16:creationId xmlns="" xmlns:a16="http://schemas.microsoft.com/office/drawing/2014/main" id="{00000000-0008-0000-0D00-000039CE42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16</xdr:col>
      <xdr:colOff>28575</xdr:colOff>
      <xdr:row>14</xdr:row>
      <xdr:rowOff>180975</xdr:rowOff>
    </xdr:from>
    <xdr:to>
      <xdr:col>16</xdr:col>
      <xdr:colOff>266700</xdr:colOff>
      <xdr:row>14</xdr:row>
      <xdr:rowOff>180975</xdr:rowOff>
    </xdr:to>
    <xdr:sp macro="" textlink="">
      <xdr:nvSpPr>
        <xdr:cNvPr id="4378166" name="Line 183">
          <a:extLst>
            <a:ext uri="{FF2B5EF4-FFF2-40B4-BE49-F238E27FC236}">
              <a16:creationId xmlns="" xmlns:a16="http://schemas.microsoft.com/office/drawing/2014/main" id="{00000000-0008-0000-0D00-000036CE4200}"/>
            </a:ext>
          </a:extLst>
        </xdr:cNvPr>
        <xdr:cNvSpPr>
          <a:spLocks noChangeShapeType="1"/>
        </xdr:cNvSpPr>
      </xdr:nvSpPr>
      <xdr:spPr bwMode="auto">
        <a:xfrm>
          <a:off x="14925675" y="5543550"/>
          <a:ext cx="23812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 editAs="oneCell">
    <xdr:from>
      <xdr:col>8</xdr:col>
      <xdr:colOff>609600</xdr:colOff>
      <xdr:row>37</xdr:row>
      <xdr:rowOff>123825</xdr:rowOff>
    </xdr:from>
    <xdr:to>
      <xdr:col>16</xdr:col>
      <xdr:colOff>742950</xdr:colOff>
      <xdr:row>55</xdr:row>
      <xdr:rowOff>114300</xdr:rowOff>
    </xdr:to>
    <xdr:pic>
      <xdr:nvPicPr>
        <xdr:cNvPr id="4378167" name="Picture 69">
          <a:extLst>
            <a:ext uri="{FF2B5EF4-FFF2-40B4-BE49-F238E27FC236}">
              <a16:creationId xmlns="" xmlns:a16="http://schemas.microsoft.com/office/drawing/2014/main" id="{00000000-0008-0000-0D00-000037CE4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7258050" y="12934950"/>
          <a:ext cx="8382000" cy="5819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110</xdr:row>
      <xdr:rowOff>85725</xdr:rowOff>
    </xdr:from>
    <xdr:to>
      <xdr:col>0</xdr:col>
      <xdr:colOff>0</xdr:colOff>
      <xdr:row>111</xdr:row>
      <xdr:rowOff>104775</xdr:rowOff>
    </xdr:to>
    <xdr:sp macro="" textlink="">
      <xdr:nvSpPr>
        <xdr:cNvPr id="4369376" name="Line 1">
          <a:extLst>
            <a:ext uri="{FF2B5EF4-FFF2-40B4-BE49-F238E27FC236}">
              <a16:creationId xmlns="" xmlns:a16="http://schemas.microsoft.com/office/drawing/2014/main" id="{00000000-0008-0000-0E00-0000E0AB4200}"/>
            </a:ext>
          </a:extLst>
        </xdr:cNvPr>
        <xdr:cNvSpPr>
          <a:spLocks noChangeShapeType="1"/>
        </xdr:cNvSpPr>
      </xdr:nvSpPr>
      <xdr:spPr bwMode="auto">
        <a:xfrm flipV="1">
          <a:off x="0" y="32842200"/>
          <a:ext cx="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0</xdr:colOff>
      <xdr:row>110</xdr:row>
      <xdr:rowOff>85725</xdr:rowOff>
    </xdr:from>
    <xdr:to>
      <xdr:col>0</xdr:col>
      <xdr:colOff>0</xdr:colOff>
      <xdr:row>111</xdr:row>
      <xdr:rowOff>104775</xdr:rowOff>
    </xdr:to>
    <xdr:sp macro="" textlink="">
      <xdr:nvSpPr>
        <xdr:cNvPr id="4369377" name="Line 2">
          <a:extLst>
            <a:ext uri="{FF2B5EF4-FFF2-40B4-BE49-F238E27FC236}">
              <a16:creationId xmlns="" xmlns:a16="http://schemas.microsoft.com/office/drawing/2014/main" id="{00000000-0008-0000-0E00-0000E1AB4200}"/>
            </a:ext>
          </a:extLst>
        </xdr:cNvPr>
        <xdr:cNvSpPr>
          <a:spLocks noChangeShapeType="1"/>
        </xdr:cNvSpPr>
      </xdr:nvSpPr>
      <xdr:spPr bwMode="auto">
        <a:xfrm flipV="1">
          <a:off x="0" y="32842200"/>
          <a:ext cx="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0</xdr:colOff>
      <xdr:row>22</xdr:row>
      <xdr:rowOff>85725</xdr:rowOff>
    </xdr:from>
    <xdr:to>
      <xdr:col>2</xdr:col>
      <xdr:colOff>0</xdr:colOff>
      <xdr:row>25</xdr:row>
      <xdr:rowOff>142875</xdr:rowOff>
    </xdr:to>
    <xdr:sp macro="" textlink="">
      <xdr:nvSpPr>
        <xdr:cNvPr id="4369378" name="Line 3">
          <a:extLst>
            <a:ext uri="{FF2B5EF4-FFF2-40B4-BE49-F238E27FC236}">
              <a16:creationId xmlns="" xmlns:a16="http://schemas.microsoft.com/office/drawing/2014/main" id="{00000000-0008-0000-0E00-0000E2AB4200}"/>
            </a:ext>
          </a:extLst>
        </xdr:cNvPr>
        <xdr:cNvSpPr>
          <a:spLocks noChangeShapeType="1"/>
        </xdr:cNvSpPr>
      </xdr:nvSpPr>
      <xdr:spPr bwMode="auto">
        <a:xfrm flipV="1">
          <a:off x="1228725" y="8039100"/>
          <a:ext cx="0" cy="1028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22</xdr:row>
      <xdr:rowOff>66675</xdr:rowOff>
    </xdr:from>
    <xdr:to>
      <xdr:col>5</xdr:col>
      <xdr:colOff>0</xdr:colOff>
      <xdr:row>25</xdr:row>
      <xdr:rowOff>133350</xdr:rowOff>
    </xdr:to>
    <xdr:sp macro="" textlink="">
      <xdr:nvSpPr>
        <xdr:cNvPr id="4369379" name="Line 4">
          <a:extLst>
            <a:ext uri="{FF2B5EF4-FFF2-40B4-BE49-F238E27FC236}">
              <a16:creationId xmlns="" xmlns:a16="http://schemas.microsoft.com/office/drawing/2014/main" id="{00000000-0008-0000-0E00-0000E3AB4200}"/>
            </a:ext>
          </a:extLst>
        </xdr:cNvPr>
        <xdr:cNvSpPr>
          <a:spLocks noChangeShapeType="1"/>
        </xdr:cNvSpPr>
      </xdr:nvSpPr>
      <xdr:spPr bwMode="auto">
        <a:xfrm flipV="1">
          <a:off x="4229100" y="8020050"/>
          <a:ext cx="0" cy="1038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5</xdr:col>
      <xdr:colOff>0</xdr:colOff>
      <xdr:row>23</xdr:row>
      <xdr:rowOff>0</xdr:rowOff>
    </xdr:to>
    <xdr:sp macro="" textlink="">
      <xdr:nvSpPr>
        <xdr:cNvPr id="4369380" name="Line 5">
          <a:extLst>
            <a:ext uri="{FF2B5EF4-FFF2-40B4-BE49-F238E27FC236}">
              <a16:creationId xmlns="" xmlns:a16="http://schemas.microsoft.com/office/drawing/2014/main" id="{00000000-0008-0000-0E00-0000E4AB4200}"/>
            </a:ext>
          </a:extLst>
        </xdr:cNvPr>
        <xdr:cNvSpPr>
          <a:spLocks noChangeShapeType="1"/>
        </xdr:cNvSpPr>
      </xdr:nvSpPr>
      <xdr:spPr bwMode="auto">
        <a:xfrm>
          <a:off x="1228725" y="8277225"/>
          <a:ext cx="3000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657225</xdr:colOff>
      <xdr:row>26</xdr:row>
      <xdr:rowOff>9525</xdr:rowOff>
    </xdr:from>
    <xdr:to>
      <xdr:col>4</xdr:col>
      <xdr:colOff>752475</xdr:colOff>
      <xdr:row>27</xdr:row>
      <xdr:rowOff>9525</xdr:rowOff>
    </xdr:to>
    <xdr:sp macro="" textlink="">
      <xdr:nvSpPr>
        <xdr:cNvPr id="4369381" name="Line 6">
          <a:extLst>
            <a:ext uri="{FF2B5EF4-FFF2-40B4-BE49-F238E27FC236}">
              <a16:creationId xmlns="" xmlns:a16="http://schemas.microsoft.com/office/drawing/2014/main" id="{00000000-0008-0000-0E00-0000E5AB4200}"/>
            </a:ext>
          </a:extLst>
        </xdr:cNvPr>
        <xdr:cNvSpPr>
          <a:spLocks noChangeShapeType="1"/>
        </xdr:cNvSpPr>
      </xdr:nvSpPr>
      <xdr:spPr bwMode="auto">
        <a:xfrm flipH="1" flipV="1">
          <a:off x="3724275" y="9258300"/>
          <a:ext cx="9525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428625</xdr:colOff>
      <xdr:row>26</xdr:row>
      <xdr:rowOff>9525</xdr:rowOff>
    </xdr:from>
    <xdr:to>
      <xdr:col>4</xdr:col>
      <xdr:colOff>504825</xdr:colOff>
      <xdr:row>27</xdr:row>
      <xdr:rowOff>9525</xdr:rowOff>
    </xdr:to>
    <xdr:sp macro="" textlink="">
      <xdr:nvSpPr>
        <xdr:cNvPr id="4369382" name="Line 7">
          <a:extLst>
            <a:ext uri="{FF2B5EF4-FFF2-40B4-BE49-F238E27FC236}">
              <a16:creationId xmlns="" xmlns:a16="http://schemas.microsoft.com/office/drawing/2014/main" id="{00000000-0008-0000-0E00-0000E6AB4200}"/>
            </a:ext>
          </a:extLst>
        </xdr:cNvPr>
        <xdr:cNvSpPr>
          <a:spLocks noChangeShapeType="1"/>
        </xdr:cNvSpPr>
      </xdr:nvSpPr>
      <xdr:spPr bwMode="auto">
        <a:xfrm flipH="1">
          <a:off x="3495675" y="9258300"/>
          <a:ext cx="7620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342900</xdr:colOff>
      <xdr:row>26</xdr:row>
      <xdr:rowOff>9525</xdr:rowOff>
    </xdr:from>
    <xdr:to>
      <xdr:col>4</xdr:col>
      <xdr:colOff>428625</xdr:colOff>
      <xdr:row>27</xdr:row>
      <xdr:rowOff>9525</xdr:rowOff>
    </xdr:to>
    <xdr:sp macro="" textlink="">
      <xdr:nvSpPr>
        <xdr:cNvPr id="4369383" name="Line 8">
          <a:extLst>
            <a:ext uri="{FF2B5EF4-FFF2-40B4-BE49-F238E27FC236}">
              <a16:creationId xmlns="" xmlns:a16="http://schemas.microsoft.com/office/drawing/2014/main" id="{00000000-0008-0000-0E00-0000E7AB4200}"/>
            </a:ext>
          </a:extLst>
        </xdr:cNvPr>
        <xdr:cNvSpPr>
          <a:spLocks noChangeShapeType="1"/>
        </xdr:cNvSpPr>
      </xdr:nvSpPr>
      <xdr:spPr bwMode="auto">
        <a:xfrm flipH="1" flipV="1">
          <a:off x="3409950" y="9258300"/>
          <a:ext cx="85725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257175</xdr:colOff>
      <xdr:row>26</xdr:row>
      <xdr:rowOff>9525</xdr:rowOff>
    </xdr:from>
    <xdr:to>
      <xdr:col>4</xdr:col>
      <xdr:colOff>342900</xdr:colOff>
      <xdr:row>27</xdr:row>
      <xdr:rowOff>9525</xdr:rowOff>
    </xdr:to>
    <xdr:sp macro="" textlink="">
      <xdr:nvSpPr>
        <xdr:cNvPr id="4369384" name="Line 9">
          <a:extLst>
            <a:ext uri="{FF2B5EF4-FFF2-40B4-BE49-F238E27FC236}">
              <a16:creationId xmlns="" xmlns:a16="http://schemas.microsoft.com/office/drawing/2014/main" id="{00000000-0008-0000-0E00-0000E8AB4200}"/>
            </a:ext>
          </a:extLst>
        </xdr:cNvPr>
        <xdr:cNvSpPr>
          <a:spLocks noChangeShapeType="1"/>
        </xdr:cNvSpPr>
      </xdr:nvSpPr>
      <xdr:spPr bwMode="auto">
        <a:xfrm flipH="1">
          <a:off x="3324225" y="9258300"/>
          <a:ext cx="85725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161925</xdr:colOff>
      <xdr:row>26</xdr:row>
      <xdr:rowOff>9525</xdr:rowOff>
    </xdr:from>
    <xdr:to>
      <xdr:col>4</xdr:col>
      <xdr:colOff>257175</xdr:colOff>
      <xdr:row>27</xdr:row>
      <xdr:rowOff>9525</xdr:rowOff>
    </xdr:to>
    <xdr:sp macro="" textlink="">
      <xdr:nvSpPr>
        <xdr:cNvPr id="4369385" name="Line 10">
          <a:extLst>
            <a:ext uri="{FF2B5EF4-FFF2-40B4-BE49-F238E27FC236}">
              <a16:creationId xmlns="" xmlns:a16="http://schemas.microsoft.com/office/drawing/2014/main" id="{00000000-0008-0000-0E00-0000E9AB4200}"/>
            </a:ext>
          </a:extLst>
        </xdr:cNvPr>
        <xdr:cNvSpPr>
          <a:spLocks noChangeShapeType="1"/>
        </xdr:cNvSpPr>
      </xdr:nvSpPr>
      <xdr:spPr bwMode="auto">
        <a:xfrm flipH="1" flipV="1">
          <a:off x="3228975" y="9258300"/>
          <a:ext cx="9525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85725</xdr:colOff>
      <xdr:row>26</xdr:row>
      <xdr:rowOff>9525</xdr:rowOff>
    </xdr:from>
    <xdr:to>
      <xdr:col>4</xdr:col>
      <xdr:colOff>161925</xdr:colOff>
      <xdr:row>27</xdr:row>
      <xdr:rowOff>9525</xdr:rowOff>
    </xdr:to>
    <xdr:sp macro="" textlink="">
      <xdr:nvSpPr>
        <xdr:cNvPr id="4369386" name="Line 11">
          <a:extLst>
            <a:ext uri="{FF2B5EF4-FFF2-40B4-BE49-F238E27FC236}">
              <a16:creationId xmlns="" xmlns:a16="http://schemas.microsoft.com/office/drawing/2014/main" id="{00000000-0008-0000-0E00-0000EAAB4200}"/>
            </a:ext>
          </a:extLst>
        </xdr:cNvPr>
        <xdr:cNvSpPr>
          <a:spLocks noChangeShapeType="1"/>
        </xdr:cNvSpPr>
      </xdr:nvSpPr>
      <xdr:spPr bwMode="auto">
        <a:xfrm flipH="1">
          <a:off x="3152775" y="9258300"/>
          <a:ext cx="7620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26</xdr:row>
      <xdr:rowOff>0</xdr:rowOff>
    </xdr:from>
    <xdr:to>
      <xdr:col>4</xdr:col>
      <xdr:colOff>0</xdr:colOff>
      <xdr:row>27</xdr:row>
      <xdr:rowOff>0</xdr:rowOff>
    </xdr:to>
    <xdr:sp macro="" textlink="">
      <xdr:nvSpPr>
        <xdr:cNvPr id="4369387" name="Line 12">
          <a:extLst>
            <a:ext uri="{FF2B5EF4-FFF2-40B4-BE49-F238E27FC236}">
              <a16:creationId xmlns="" xmlns:a16="http://schemas.microsoft.com/office/drawing/2014/main" id="{00000000-0008-0000-0E00-0000EBAB4200}"/>
            </a:ext>
          </a:extLst>
        </xdr:cNvPr>
        <xdr:cNvSpPr>
          <a:spLocks noChangeShapeType="1"/>
        </xdr:cNvSpPr>
      </xdr:nvSpPr>
      <xdr:spPr bwMode="auto">
        <a:xfrm flipV="1">
          <a:off x="3067050" y="924877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104775</xdr:colOff>
      <xdr:row>30</xdr:row>
      <xdr:rowOff>0</xdr:rowOff>
    </xdr:from>
    <xdr:to>
      <xdr:col>5</xdr:col>
      <xdr:colOff>219075</xdr:colOff>
      <xdr:row>30</xdr:row>
      <xdr:rowOff>0</xdr:rowOff>
    </xdr:to>
    <xdr:sp macro="" textlink="">
      <xdr:nvSpPr>
        <xdr:cNvPr id="4369388" name="Line 13">
          <a:extLst>
            <a:ext uri="{FF2B5EF4-FFF2-40B4-BE49-F238E27FC236}">
              <a16:creationId xmlns="" xmlns:a16="http://schemas.microsoft.com/office/drawing/2014/main" id="{00000000-0008-0000-0E00-0000ECAB4200}"/>
            </a:ext>
          </a:extLst>
        </xdr:cNvPr>
        <xdr:cNvSpPr>
          <a:spLocks noChangeShapeType="1"/>
        </xdr:cNvSpPr>
      </xdr:nvSpPr>
      <xdr:spPr bwMode="auto">
        <a:xfrm>
          <a:off x="3171825" y="10544175"/>
          <a:ext cx="1276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123825</xdr:colOff>
      <xdr:row>30</xdr:row>
      <xdr:rowOff>0</xdr:rowOff>
    </xdr:from>
    <xdr:to>
      <xdr:col>5</xdr:col>
      <xdr:colOff>123825</xdr:colOff>
      <xdr:row>34</xdr:row>
      <xdr:rowOff>114300</xdr:rowOff>
    </xdr:to>
    <xdr:sp macro="" textlink="">
      <xdr:nvSpPr>
        <xdr:cNvPr id="4369389" name="Line 14">
          <a:extLst>
            <a:ext uri="{FF2B5EF4-FFF2-40B4-BE49-F238E27FC236}">
              <a16:creationId xmlns="" xmlns:a16="http://schemas.microsoft.com/office/drawing/2014/main" id="{00000000-0008-0000-0E00-0000EDAB4200}"/>
            </a:ext>
          </a:extLst>
        </xdr:cNvPr>
        <xdr:cNvSpPr>
          <a:spLocks noChangeShapeType="1"/>
        </xdr:cNvSpPr>
      </xdr:nvSpPr>
      <xdr:spPr bwMode="auto">
        <a:xfrm>
          <a:off x="4352925" y="10544175"/>
          <a:ext cx="0" cy="1409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123825</xdr:colOff>
      <xdr:row>30</xdr:row>
      <xdr:rowOff>38100</xdr:rowOff>
    </xdr:from>
    <xdr:to>
      <xdr:col>5</xdr:col>
      <xdr:colOff>133350</xdr:colOff>
      <xdr:row>42</xdr:row>
      <xdr:rowOff>0</xdr:rowOff>
    </xdr:to>
    <xdr:sp macro="" textlink="">
      <xdr:nvSpPr>
        <xdr:cNvPr id="4369390" name="Line 15">
          <a:extLst>
            <a:ext uri="{FF2B5EF4-FFF2-40B4-BE49-F238E27FC236}">
              <a16:creationId xmlns="" xmlns:a16="http://schemas.microsoft.com/office/drawing/2014/main" id="{00000000-0008-0000-0E00-0000EEAB4200}"/>
            </a:ext>
          </a:extLst>
        </xdr:cNvPr>
        <xdr:cNvSpPr>
          <a:spLocks noChangeShapeType="1"/>
        </xdr:cNvSpPr>
      </xdr:nvSpPr>
      <xdr:spPr bwMode="auto">
        <a:xfrm>
          <a:off x="4352925" y="10582275"/>
          <a:ext cx="9525" cy="384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104775</xdr:colOff>
      <xdr:row>42</xdr:row>
      <xdr:rowOff>0</xdr:rowOff>
    </xdr:from>
    <xdr:to>
      <xdr:col>5</xdr:col>
      <xdr:colOff>266700</xdr:colOff>
      <xdr:row>42</xdr:row>
      <xdr:rowOff>0</xdr:rowOff>
    </xdr:to>
    <xdr:sp macro="" textlink="">
      <xdr:nvSpPr>
        <xdr:cNvPr id="4369391" name="Line 16">
          <a:extLst>
            <a:ext uri="{FF2B5EF4-FFF2-40B4-BE49-F238E27FC236}">
              <a16:creationId xmlns="" xmlns:a16="http://schemas.microsoft.com/office/drawing/2014/main" id="{00000000-0008-0000-0E00-0000EFAB4200}"/>
            </a:ext>
          </a:extLst>
        </xdr:cNvPr>
        <xdr:cNvSpPr>
          <a:spLocks noChangeShapeType="1"/>
        </xdr:cNvSpPr>
      </xdr:nvSpPr>
      <xdr:spPr bwMode="auto">
        <a:xfrm>
          <a:off x="3171825" y="14430375"/>
          <a:ext cx="1323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10</xdr:row>
      <xdr:rowOff>104775</xdr:rowOff>
    </xdr:from>
    <xdr:to>
      <xdr:col>18</xdr:col>
      <xdr:colOff>0</xdr:colOff>
      <xdr:row>12</xdr:row>
      <xdr:rowOff>133350</xdr:rowOff>
    </xdr:to>
    <xdr:sp macro="" textlink="">
      <xdr:nvSpPr>
        <xdr:cNvPr id="4369392" name="Line 17">
          <a:extLst>
            <a:ext uri="{FF2B5EF4-FFF2-40B4-BE49-F238E27FC236}">
              <a16:creationId xmlns="" xmlns:a16="http://schemas.microsoft.com/office/drawing/2014/main" id="{00000000-0008-0000-0E00-0000F0AB4200}"/>
            </a:ext>
          </a:extLst>
        </xdr:cNvPr>
        <xdr:cNvSpPr>
          <a:spLocks noChangeShapeType="1"/>
        </xdr:cNvSpPr>
      </xdr:nvSpPr>
      <xdr:spPr bwMode="auto">
        <a:xfrm flipV="1">
          <a:off x="16687800" y="4171950"/>
          <a:ext cx="0" cy="676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0</xdr:colOff>
      <xdr:row>10</xdr:row>
      <xdr:rowOff>114300</xdr:rowOff>
    </xdr:from>
    <xdr:to>
      <xdr:col>23</xdr:col>
      <xdr:colOff>0</xdr:colOff>
      <xdr:row>12</xdr:row>
      <xdr:rowOff>142875</xdr:rowOff>
    </xdr:to>
    <xdr:sp macro="" textlink="">
      <xdr:nvSpPr>
        <xdr:cNvPr id="4369393" name="Line 18">
          <a:extLst>
            <a:ext uri="{FF2B5EF4-FFF2-40B4-BE49-F238E27FC236}">
              <a16:creationId xmlns="" xmlns:a16="http://schemas.microsoft.com/office/drawing/2014/main" id="{00000000-0008-0000-0E00-0000F1AB4200}"/>
            </a:ext>
          </a:extLst>
        </xdr:cNvPr>
        <xdr:cNvSpPr>
          <a:spLocks noChangeShapeType="1"/>
        </xdr:cNvSpPr>
      </xdr:nvSpPr>
      <xdr:spPr bwMode="auto">
        <a:xfrm flipV="1">
          <a:off x="22002750" y="4181475"/>
          <a:ext cx="0" cy="676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11</xdr:row>
      <xdr:rowOff>0</xdr:rowOff>
    </xdr:from>
    <xdr:to>
      <xdr:col>23</xdr:col>
      <xdr:colOff>0</xdr:colOff>
      <xdr:row>11</xdr:row>
      <xdr:rowOff>0</xdr:rowOff>
    </xdr:to>
    <xdr:sp macro="" textlink="">
      <xdr:nvSpPr>
        <xdr:cNvPr id="4369394" name="Line 19">
          <a:extLst>
            <a:ext uri="{FF2B5EF4-FFF2-40B4-BE49-F238E27FC236}">
              <a16:creationId xmlns="" xmlns:a16="http://schemas.microsoft.com/office/drawing/2014/main" id="{00000000-0008-0000-0E00-0000F2AB4200}"/>
            </a:ext>
          </a:extLst>
        </xdr:cNvPr>
        <xdr:cNvSpPr>
          <a:spLocks noChangeShapeType="1"/>
        </xdr:cNvSpPr>
      </xdr:nvSpPr>
      <xdr:spPr bwMode="auto">
        <a:xfrm>
          <a:off x="16687800" y="4391025"/>
          <a:ext cx="5314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19</xdr:row>
      <xdr:rowOff>123825</xdr:rowOff>
    </xdr:from>
    <xdr:to>
      <xdr:col>18</xdr:col>
      <xdr:colOff>0</xdr:colOff>
      <xdr:row>21</xdr:row>
      <xdr:rowOff>161925</xdr:rowOff>
    </xdr:to>
    <xdr:sp macro="" textlink="">
      <xdr:nvSpPr>
        <xdr:cNvPr id="4369395" name="Line 20">
          <a:extLst>
            <a:ext uri="{FF2B5EF4-FFF2-40B4-BE49-F238E27FC236}">
              <a16:creationId xmlns="" xmlns:a16="http://schemas.microsoft.com/office/drawing/2014/main" id="{00000000-0008-0000-0E00-0000F3AB4200}"/>
            </a:ext>
          </a:extLst>
        </xdr:cNvPr>
        <xdr:cNvSpPr>
          <a:spLocks noChangeShapeType="1"/>
        </xdr:cNvSpPr>
      </xdr:nvSpPr>
      <xdr:spPr bwMode="auto">
        <a:xfrm flipV="1">
          <a:off x="16687800" y="7105650"/>
          <a:ext cx="0" cy="685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0</xdr:colOff>
      <xdr:row>19</xdr:row>
      <xdr:rowOff>114300</xdr:rowOff>
    </xdr:from>
    <xdr:to>
      <xdr:col>23</xdr:col>
      <xdr:colOff>0</xdr:colOff>
      <xdr:row>21</xdr:row>
      <xdr:rowOff>142875</xdr:rowOff>
    </xdr:to>
    <xdr:sp macro="" textlink="">
      <xdr:nvSpPr>
        <xdr:cNvPr id="4369396" name="Line 21">
          <a:extLst>
            <a:ext uri="{FF2B5EF4-FFF2-40B4-BE49-F238E27FC236}">
              <a16:creationId xmlns="" xmlns:a16="http://schemas.microsoft.com/office/drawing/2014/main" id="{00000000-0008-0000-0E00-0000F4AB4200}"/>
            </a:ext>
          </a:extLst>
        </xdr:cNvPr>
        <xdr:cNvSpPr>
          <a:spLocks noChangeShapeType="1"/>
        </xdr:cNvSpPr>
      </xdr:nvSpPr>
      <xdr:spPr bwMode="auto">
        <a:xfrm flipV="1">
          <a:off x="22002750" y="7096125"/>
          <a:ext cx="0" cy="676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20</xdr:row>
      <xdr:rowOff>0</xdr:rowOff>
    </xdr:from>
    <xdr:to>
      <xdr:col>23</xdr:col>
      <xdr:colOff>0</xdr:colOff>
      <xdr:row>20</xdr:row>
      <xdr:rowOff>0</xdr:rowOff>
    </xdr:to>
    <xdr:sp macro="" textlink="">
      <xdr:nvSpPr>
        <xdr:cNvPr id="4369397" name="Line 22">
          <a:extLst>
            <a:ext uri="{FF2B5EF4-FFF2-40B4-BE49-F238E27FC236}">
              <a16:creationId xmlns="" xmlns:a16="http://schemas.microsoft.com/office/drawing/2014/main" id="{00000000-0008-0000-0E00-0000F5AB4200}"/>
            </a:ext>
          </a:extLst>
        </xdr:cNvPr>
        <xdr:cNvSpPr>
          <a:spLocks noChangeShapeType="1"/>
        </xdr:cNvSpPr>
      </xdr:nvSpPr>
      <xdr:spPr bwMode="auto">
        <a:xfrm>
          <a:off x="16687800" y="7305675"/>
          <a:ext cx="5314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19050</xdr:colOff>
      <xdr:row>36</xdr:row>
      <xdr:rowOff>95250</xdr:rowOff>
    </xdr:from>
    <xdr:to>
      <xdr:col>23</xdr:col>
      <xdr:colOff>19050</xdr:colOff>
      <xdr:row>38</xdr:row>
      <xdr:rowOff>123825</xdr:rowOff>
    </xdr:to>
    <xdr:grpSp>
      <xdr:nvGrpSpPr>
        <xdr:cNvPr id="4369398" name="Group 23">
          <a:extLst>
            <a:ext uri="{FF2B5EF4-FFF2-40B4-BE49-F238E27FC236}">
              <a16:creationId xmlns="" xmlns:a16="http://schemas.microsoft.com/office/drawing/2014/main" id="{00000000-0008-0000-0E00-0000F6AB4200}"/>
            </a:ext>
          </a:extLst>
        </xdr:cNvPr>
        <xdr:cNvGrpSpPr>
          <a:grpSpLocks/>
        </xdr:cNvGrpSpPr>
      </xdr:nvGrpSpPr>
      <xdr:grpSpPr bwMode="auto">
        <a:xfrm>
          <a:off x="16706850" y="12582525"/>
          <a:ext cx="5314950" cy="676275"/>
          <a:chOff x="2047" y="332"/>
          <a:chExt cx="445" cy="63"/>
        </a:xfrm>
      </xdr:grpSpPr>
      <xdr:sp macro="" textlink="">
        <xdr:nvSpPr>
          <xdr:cNvPr id="4398261" name="Line 24">
            <a:extLst>
              <a:ext uri="{FF2B5EF4-FFF2-40B4-BE49-F238E27FC236}">
                <a16:creationId xmlns="" xmlns:a16="http://schemas.microsoft.com/office/drawing/2014/main" id="{00000000-0008-0000-0E00-0000B51C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47" y="332"/>
            <a:ext cx="0" cy="6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8262" name="Line 25">
            <a:extLst>
              <a:ext uri="{FF2B5EF4-FFF2-40B4-BE49-F238E27FC236}">
                <a16:creationId xmlns="" xmlns:a16="http://schemas.microsoft.com/office/drawing/2014/main" id="{00000000-0008-0000-0E00-0000B61C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492" y="332"/>
            <a:ext cx="0" cy="6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8263" name="Line 26">
            <a:extLst>
              <a:ext uri="{FF2B5EF4-FFF2-40B4-BE49-F238E27FC236}">
                <a16:creationId xmlns="" xmlns:a16="http://schemas.microsoft.com/office/drawing/2014/main" id="{00000000-0008-0000-0E00-0000B71C4300}"/>
              </a:ext>
            </a:extLst>
          </xdr:cNvPr>
          <xdr:cNvSpPr>
            <a:spLocks noChangeShapeType="1"/>
          </xdr:cNvSpPr>
        </xdr:nvSpPr>
        <xdr:spPr bwMode="auto">
          <a:xfrm>
            <a:off x="2047" y="350"/>
            <a:ext cx="44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838200</xdr:colOff>
      <xdr:row>26</xdr:row>
      <xdr:rowOff>0</xdr:rowOff>
    </xdr:from>
    <xdr:to>
      <xdr:col>4</xdr:col>
      <xdr:colOff>838200</xdr:colOff>
      <xdr:row>27</xdr:row>
      <xdr:rowOff>0</xdr:rowOff>
    </xdr:to>
    <xdr:sp macro="" textlink="">
      <xdr:nvSpPr>
        <xdr:cNvPr id="4369399" name="Line 27">
          <a:extLst>
            <a:ext uri="{FF2B5EF4-FFF2-40B4-BE49-F238E27FC236}">
              <a16:creationId xmlns="" xmlns:a16="http://schemas.microsoft.com/office/drawing/2014/main" id="{00000000-0008-0000-0E00-0000F7AB4200}"/>
            </a:ext>
          </a:extLst>
        </xdr:cNvPr>
        <xdr:cNvSpPr>
          <a:spLocks noChangeShapeType="1"/>
        </xdr:cNvSpPr>
      </xdr:nvSpPr>
      <xdr:spPr bwMode="auto">
        <a:xfrm flipV="1">
          <a:off x="3905250" y="924877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85725</xdr:colOff>
      <xdr:row>26</xdr:row>
      <xdr:rowOff>0</xdr:rowOff>
    </xdr:from>
    <xdr:to>
      <xdr:col>4</xdr:col>
      <xdr:colOff>85725</xdr:colOff>
      <xdr:row>27</xdr:row>
      <xdr:rowOff>0</xdr:rowOff>
    </xdr:to>
    <xdr:sp macro="" textlink="">
      <xdr:nvSpPr>
        <xdr:cNvPr id="4369400" name="Line 28">
          <a:extLst>
            <a:ext uri="{FF2B5EF4-FFF2-40B4-BE49-F238E27FC236}">
              <a16:creationId xmlns="" xmlns:a16="http://schemas.microsoft.com/office/drawing/2014/main" id="{00000000-0008-0000-0E00-0000F8AB4200}"/>
            </a:ext>
          </a:extLst>
        </xdr:cNvPr>
        <xdr:cNvSpPr>
          <a:spLocks noChangeShapeType="1"/>
        </xdr:cNvSpPr>
      </xdr:nvSpPr>
      <xdr:spPr bwMode="auto">
        <a:xfrm flipV="1">
          <a:off x="3152775" y="924877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85725</xdr:colOff>
      <xdr:row>30</xdr:row>
      <xdr:rowOff>0</xdr:rowOff>
    </xdr:from>
    <xdr:to>
      <xdr:col>2</xdr:col>
      <xdr:colOff>85725</xdr:colOff>
      <xdr:row>42</xdr:row>
      <xdr:rowOff>0</xdr:rowOff>
    </xdr:to>
    <xdr:sp macro="" textlink="">
      <xdr:nvSpPr>
        <xdr:cNvPr id="4369401" name="Line 29">
          <a:extLst>
            <a:ext uri="{FF2B5EF4-FFF2-40B4-BE49-F238E27FC236}">
              <a16:creationId xmlns="" xmlns:a16="http://schemas.microsoft.com/office/drawing/2014/main" id="{00000000-0008-0000-0E00-0000F9AB4200}"/>
            </a:ext>
          </a:extLst>
        </xdr:cNvPr>
        <xdr:cNvSpPr>
          <a:spLocks noChangeShapeType="1"/>
        </xdr:cNvSpPr>
      </xdr:nvSpPr>
      <xdr:spPr bwMode="auto">
        <a:xfrm>
          <a:off x="1314450" y="10544175"/>
          <a:ext cx="0" cy="388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133350</xdr:colOff>
      <xdr:row>30</xdr:row>
      <xdr:rowOff>0</xdr:rowOff>
    </xdr:from>
    <xdr:to>
      <xdr:col>4</xdr:col>
      <xdr:colOff>133350</xdr:colOff>
      <xdr:row>42</xdr:row>
      <xdr:rowOff>0</xdr:rowOff>
    </xdr:to>
    <xdr:sp macro="" textlink="">
      <xdr:nvSpPr>
        <xdr:cNvPr id="4369402" name="Line 30">
          <a:extLst>
            <a:ext uri="{FF2B5EF4-FFF2-40B4-BE49-F238E27FC236}">
              <a16:creationId xmlns="" xmlns:a16="http://schemas.microsoft.com/office/drawing/2014/main" id="{00000000-0008-0000-0E00-0000FAAB4200}"/>
            </a:ext>
          </a:extLst>
        </xdr:cNvPr>
        <xdr:cNvSpPr>
          <a:spLocks noChangeShapeType="1"/>
        </xdr:cNvSpPr>
      </xdr:nvSpPr>
      <xdr:spPr bwMode="auto">
        <a:xfrm>
          <a:off x="3200400" y="10544175"/>
          <a:ext cx="0" cy="388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857250</xdr:colOff>
      <xdr:row>30</xdr:row>
      <xdr:rowOff>0</xdr:rowOff>
    </xdr:from>
    <xdr:to>
      <xdr:col>4</xdr:col>
      <xdr:colOff>857250</xdr:colOff>
      <xdr:row>42</xdr:row>
      <xdr:rowOff>0</xdr:rowOff>
    </xdr:to>
    <xdr:sp macro="" textlink="">
      <xdr:nvSpPr>
        <xdr:cNvPr id="4369403" name="Line 31">
          <a:extLst>
            <a:ext uri="{FF2B5EF4-FFF2-40B4-BE49-F238E27FC236}">
              <a16:creationId xmlns="" xmlns:a16="http://schemas.microsoft.com/office/drawing/2014/main" id="{00000000-0008-0000-0E00-0000FBAB4200}"/>
            </a:ext>
          </a:extLst>
        </xdr:cNvPr>
        <xdr:cNvSpPr>
          <a:spLocks noChangeShapeType="1"/>
        </xdr:cNvSpPr>
      </xdr:nvSpPr>
      <xdr:spPr bwMode="auto">
        <a:xfrm>
          <a:off x="3924300" y="10544175"/>
          <a:ext cx="0" cy="388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85725</xdr:colOff>
      <xdr:row>30</xdr:row>
      <xdr:rowOff>104775</xdr:rowOff>
    </xdr:from>
    <xdr:to>
      <xdr:col>4</xdr:col>
      <xdr:colOff>866775</xdr:colOff>
      <xdr:row>30</xdr:row>
      <xdr:rowOff>104775</xdr:rowOff>
    </xdr:to>
    <xdr:sp macro="" textlink="">
      <xdr:nvSpPr>
        <xdr:cNvPr id="4369404" name="Line 32">
          <a:extLst>
            <a:ext uri="{FF2B5EF4-FFF2-40B4-BE49-F238E27FC236}">
              <a16:creationId xmlns="" xmlns:a16="http://schemas.microsoft.com/office/drawing/2014/main" id="{00000000-0008-0000-0E00-0000FCAB4200}"/>
            </a:ext>
          </a:extLst>
        </xdr:cNvPr>
        <xdr:cNvSpPr>
          <a:spLocks noChangeShapeType="1"/>
        </xdr:cNvSpPr>
      </xdr:nvSpPr>
      <xdr:spPr bwMode="auto">
        <a:xfrm>
          <a:off x="3152775" y="10648950"/>
          <a:ext cx="781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866775</xdr:colOff>
      <xdr:row>30</xdr:row>
      <xdr:rowOff>104775</xdr:rowOff>
    </xdr:from>
    <xdr:to>
      <xdr:col>4</xdr:col>
      <xdr:colOff>933450</xdr:colOff>
      <xdr:row>30</xdr:row>
      <xdr:rowOff>200025</xdr:rowOff>
    </xdr:to>
    <xdr:sp macro="" textlink="">
      <xdr:nvSpPr>
        <xdr:cNvPr id="4369405" name="Arc 33">
          <a:extLst>
            <a:ext uri="{FF2B5EF4-FFF2-40B4-BE49-F238E27FC236}">
              <a16:creationId xmlns="" xmlns:a16="http://schemas.microsoft.com/office/drawing/2014/main" id="{00000000-0008-0000-0E00-0000FDAB4200}"/>
            </a:ext>
          </a:extLst>
        </xdr:cNvPr>
        <xdr:cNvSpPr>
          <a:spLocks/>
        </xdr:cNvSpPr>
      </xdr:nvSpPr>
      <xdr:spPr bwMode="auto">
        <a:xfrm>
          <a:off x="3933825" y="10648950"/>
          <a:ext cx="66675" cy="95250"/>
        </a:xfrm>
        <a:custGeom>
          <a:avLst/>
          <a:gdLst>
            <a:gd name="T0" fmla="*/ 0 w 21600"/>
            <a:gd name="T1" fmla="*/ 0 h 21600"/>
            <a:gd name="T2" fmla="*/ 2147483647 w 21600"/>
            <a:gd name="T3" fmla="*/ 2147483647 h 21600"/>
            <a:gd name="T4" fmla="*/ 0 w 21600"/>
            <a:gd name="T5" fmla="*/ 2147483647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123825</xdr:colOff>
      <xdr:row>41</xdr:row>
      <xdr:rowOff>104775</xdr:rowOff>
    </xdr:from>
    <xdr:to>
      <xdr:col>4</xdr:col>
      <xdr:colOff>838200</xdr:colOff>
      <xdr:row>41</xdr:row>
      <xdr:rowOff>104775</xdr:rowOff>
    </xdr:to>
    <xdr:sp macro="" textlink="">
      <xdr:nvSpPr>
        <xdr:cNvPr id="4369406" name="Line 34">
          <a:extLst>
            <a:ext uri="{FF2B5EF4-FFF2-40B4-BE49-F238E27FC236}">
              <a16:creationId xmlns="" xmlns:a16="http://schemas.microsoft.com/office/drawing/2014/main" id="{00000000-0008-0000-0E00-0000FEAB4200}"/>
            </a:ext>
          </a:extLst>
        </xdr:cNvPr>
        <xdr:cNvSpPr>
          <a:spLocks noChangeShapeType="1"/>
        </xdr:cNvSpPr>
      </xdr:nvSpPr>
      <xdr:spPr bwMode="auto">
        <a:xfrm>
          <a:off x="3190875" y="14211300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847725</xdr:colOff>
      <xdr:row>41</xdr:row>
      <xdr:rowOff>9525</xdr:rowOff>
    </xdr:from>
    <xdr:to>
      <xdr:col>4</xdr:col>
      <xdr:colOff>962025</xdr:colOff>
      <xdr:row>41</xdr:row>
      <xdr:rowOff>104775</xdr:rowOff>
    </xdr:to>
    <xdr:sp macro="" textlink="">
      <xdr:nvSpPr>
        <xdr:cNvPr id="4369407" name="Arc 35">
          <a:extLst>
            <a:ext uri="{FF2B5EF4-FFF2-40B4-BE49-F238E27FC236}">
              <a16:creationId xmlns="" xmlns:a16="http://schemas.microsoft.com/office/drawing/2014/main" id="{00000000-0008-0000-0E00-0000FFAB4200}"/>
            </a:ext>
          </a:extLst>
        </xdr:cNvPr>
        <xdr:cNvSpPr>
          <a:spLocks/>
        </xdr:cNvSpPr>
      </xdr:nvSpPr>
      <xdr:spPr bwMode="auto">
        <a:xfrm flipV="1">
          <a:off x="3914775" y="14116050"/>
          <a:ext cx="114300" cy="95250"/>
        </a:xfrm>
        <a:custGeom>
          <a:avLst/>
          <a:gdLst>
            <a:gd name="T0" fmla="*/ 0 w 21384"/>
            <a:gd name="T1" fmla="*/ 0 h 21600"/>
            <a:gd name="T2" fmla="*/ 2147483647 w 21384"/>
            <a:gd name="T3" fmla="*/ 2147483647 h 21600"/>
            <a:gd name="T4" fmla="*/ 2147483647 w 21384"/>
            <a:gd name="T5" fmla="*/ 2147483647 h 21600"/>
            <a:gd name="T6" fmla="*/ 0 60000 65536"/>
            <a:gd name="T7" fmla="*/ 0 60000 65536"/>
            <a:gd name="T8" fmla="*/ 0 60000 65536"/>
            <a:gd name="T9" fmla="*/ 0 w 21384"/>
            <a:gd name="T10" fmla="*/ 0 h 21600"/>
            <a:gd name="T11" fmla="*/ 21384 w 21384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384" h="21600" fill="none" extrusionOk="0">
              <a:moveTo>
                <a:pt x="0" y="0"/>
              </a:moveTo>
              <a:cubicBezTo>
                <a:pt x="0" y="0"/>
                <a:pt x="0" y="-1"/>
                <a:pt x="1" y="0"/>
              </a:cubicBezTo>
              <a:cubicBezTo>
                <a:pt x="10750" y="0"/>
                <a:pt x="19863" y="7903"/>
                <a:pt x="21383" y="18545"/>
              </a:cubicBezTo>
            </a:path>
            <a:path w="21384" h="21600" stroke="0" extrusionOk="0">
              <a:moveTo>
                <a:pt x="0" y="0"/>
              </a:moveTo>
              <a:cubicBezTo>
                <a:pt x="0" y="0"/>
                <a:pt x="0" y="-1"/>
                <a:pt x="1" y="0"/>
              </a:cubicBezTo>
              <a:cubicBezTo>
                <a:pt x="10750" y="0"/>
                <a:pt x="19863" y="7903"/>
                <a:pt x="21383" y="18545"/>
              </a:cubicBezTo>
              <a:lnTo>
                <a:pt x="1" y="21600"/>
              </a:lnTo>
              <a:lnTo>
                <a:pt x="0" y="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885825</xdr:colOff>
      <xdr:row>25</xdr:row>
      <xdr:rowOff>0</xdr:rowOff>
    </xdr:from>
    <xdr:to>
      <xdr:col>4</xdr:col>
      <xdr:colOff>47625</xdr:colOff>
      <xdr:row>26</xdr:row>
      <xdr:rowOff>76200</xdr:rowOff>
    </xdr:to>
    <xdr:sp macro="" textlink="">
      <xdr:nvSpPr>
        <xdr:cNvPr id="4398080" name="Line 36">
          <a:extLst>
            <a:ext uri="{FF2B5EF4-FFF2-40B4-BE49-F238E27FC236}">
              <a16:creationId xmlns="" xmlns:a16="http://schemas.microsoft.com/office/drawing/2014/main" id="{00000000-0008-0000-0E00-0000001C4300}"/>
            </a:ext>
          </a:extLst>
        </xdr:cNvPr>
        <xdr:cNvSpPr>
          <a:spLocks noChangeShapeType="1"/>
        </xdr:cNvSpPr>
      </xdr:nvSpPr>
      <xdr:spPr bwMode="auto">
        <a:xfrm>
          <a:off x="2962275" y="8924925"/>
          <a:ext cx="15240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457200</xdr:colOff>
      <xdr:row>29</xdr:row>
      <xdr:rowOff>28575</xdr:rowOff>
    </xdr:from>
    <xdr:to>
      <xdr:col>2</xdr:col>
      <xdr:colOff>952500</xdr:colOff>
      <xdr:row>29</xdr:row>
      <xdr:rowOff>28575</xdr:rowOff>
    </xdr:to>
    <xdr:sp macro="" textlink="">
      <xdr:nvSpPr>
        <xdr:cNvPr id="4398081" name="Line 37">
          <a:extLst>
            <a:ext uri="{FF2B5EF4-FFF2-40B4-BE49-F238E27FC236}">
              <a16:creationId xmlns="" xmlns:a16="http://schemas.microsoft.com/office/drawing/2014/main" id="{00000000-0008-0000-0E00-0000011C4300}"/>
            </a:ext>
          </a:extLst>
        </xdr:cNvPr>
        <xdr:cNvSpPr>
          <a:spLocks noChangeShapeType="1"/>
        </xdr:cNvSpPr>
      </xdr:nvSpPr>
      <xdr:spPr bwMode="auto">
        <a:xfrm flipH="1">
          <a:off x="752475" y="10248900"/>
          <a:ext cx="1323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485775</xdr:colOff>
      <xdr:row>26</xdr:row>
      <xdr:rowOff>152400</xdr:rowOff>
    </xdr:from>
    <xdr:to>
      <xdr:col>1</xdr:col>
      <xdr:colOff>942975</xdr:colOff>
      <xdr:row>29</xdr:row>
      <xdr:rowOff>9525</xdr:rowOff>
    </xdr:to>
    <xdr:sp macro="" textlink="">
      <xdr:nvSpPr>
        <xdr:cNvPr id="4398082" name="Line 38">
          <a:extLst>
            <a:ext uri="{FF2B5EF4-FFF2-40B4-BE49-F238E27FC236}">
              <a16:creationId xmlns="" xmlns:a16="http://schemas.microsoft.com/office/drawing/2014/main" id="{00000000-0008-0000-0E00-0000021C4300}"/>
            </a:ext>
          </a:extLst>
        </xdr:cNvPr>
        <xdr:cNvSpPr>
          <a:spLocks noChangeShapeType="1"/>
        </xdr:cNvSpPr>
      </xdr:nvSpPr>
      <xdr:spPr bwMode="auto">
        <a:xfrm flipV="1">
          <a:off x="781050" y="9401175"/>
          <a:ext cx="447675" cy="828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895350</xdr:colOff>
      <xdr:row>26</xdr:row>
      <xdr:rowOff>142875</xdr:rowOff>
    </xdr:from>
    <xdr:to>
      <xdr:col>5</xdr:col>
      <xdr:colOff>104775</xdr:colOff>
      <xdr:row>29</xdr:row>
      <xdr:rowOff>0</xdr:rowOff>
    </xdr:to>
    <xdr:sp macro="" textlink="">
      <xdr:nvSpPr>
        <xdr:cNvPr id="4398083" name="Line 39">
          <a:extLst>
            <a:ext uri="{FF2B5EF4-FFF2-40B4-BE49-F238E27FC236}">
              <a16:creationId xmlns="" xmlns:a16="http://schemas.microsoft.com/office/drawing/2014/main" id="{00000000-0008-0000-0E00-0000031C4300}"/>
            </a:ext>
          </a:extLst>
        </xdr:cNvPr>
        <xdr:cNvSpPr>
          <a:spLocks noChangeShapeType="1"/>
        </xdr:cNvSpPr>
      </xdr:nvSpPr>
      <xdr:spPr bwMode="auto">
        <a:xfrm>
          <a:off x="3962400" y="9391650"/>
          <a:ext cx="371475" cy="828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133350</xdr:colOff>
      <xdr:row>29</xdr:row>
      <xdr:rowOff>9525</xdr:rowOff>
    </xdr:from>
    <xdr:to>
      <xdr:col>7</xdr:col>
      <xdr:colOff>0</xdr:colOff>
      <xdr:row>29</xdr:row>
      <xdr:rowOff>9525</xdr:rowOff>
    </xdr:to>
    <xdr:sp macro="" textlink="">
      <xdr:nvSpPr>
        <xdr:cNvPr id="4398084" name="Line 40">
          <a:extLst>
            <a:ext uri="{FF2B5EF4-FFF2-40B4-BE49-F238E27FC236}">
              <a16:creationId xmlns="" xmlns:a16="http://schemas.microsoft.com/office/drawing/2014/main" id="{00000000-0008-0000-0E00-0000041C4300}"/>
            </a:ext>
          </a:extLst>
        </xdr:cNvPr>
        <xdr:cNvSpPr>
          <a:spLocks noChangeShapeType="1"/>
        </xdr:cNvSpPr>
      </xdr:nvSpPr>
      <xdr:spPr bwMode="auto">
        <a:xfrm>
          <a:off x="4362450" y="10229850"/>
          <a:ext cx="1885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66675</xdr:colOff>
      <xdr:row>46</xdr:row>
      <xdr:rowOff>285750</xdr:rowOff>
    </xdr:from>
    <xdr:to>
      <xdr:col>6</xdr:col>
      <xdr:colOff>1114425</xdr:colOff>
      <xdr:row>46</xdr:row>
      <xdr:rowOff>285750</xdr:rowOff>
    </xdr:to>
    <xdr:sp macro="" textlink="">
      <xdr:nvSpPr>
        <xdr:cNvPr id="4398085" name="Line 41">
          <a:extLst>
            <a:ext uri="{FF2B5EF4-FFF2-40B4-BE49-F238E27FC236}">
              <a16:creationId xmlns="" xmlns:a16="http://schemas.microsoft.com/office/drawing/2014/main" id="{00000000-0008-0000-0E00-0000051C4300}"/>
            </a:ext>
          </a:extLst>
        </xdr:cNvPr>
        <xdr:cNvSpPr>
          <a:spLocks noChangeShapeType="1"/>
        </xdr:cNvSpPr>
      </xdr:nvSpPr>
      <xdr:spPr bwMode="auto">
        <a:xfrm flipH="1">
          <a:off x="3133725" y="16011525"/>
          <a:ext cx="3114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66675</xdr:colOff>
      <xdr:row>41</xdr:row>
      <xdr:rowOff>76200</xdr:rowOff>
    </xdr:from>
    <xdr:to>
      <xdr:col>4</xdr:col>
      <xdr:colOff>1057275</xdr:colOff>
      <xdr:row>46</xdr:row>
      <xdr:rowOff>295275</xdr:rowOff>
    </xdr:to>
    <xdr:sp macro="" textlink="">
      <xdr:nvSpPr>
        <xdr:cNvPr id="4398086" name="Line 42">
          <a:extLst>
            <a:ext uri="{FF2B5EF4-FFF2-40B4-BE49-F238E27FC236}">
              <a16:creationId xmlns="" xmlns:a16="http://schemas.microsoft.com/office/drawing/2014/main" id="{00000000-0008-0000-0E00-0000061C4300}"/>
            </a:ext>
          </a:extLst>
        </xdr:cNvPr>
        <xdr:cNvSpPr>
          <a:spLocks noChangeShapeType="1"/>
        </xdr:cNvSpPr>
      </xdr:nvSpPr>
      <xdr:spPr bwMode="auto">
        <a:xfrm flipV="1">
          <a:off x="3133725" y="14182725"/>
          <a:ext cx="990600" cy="183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285750</xdr:colOff>
      <xdr:row>25</xdr:row>
      <xdr:rowOff>0</xdr:rowOff>
    </xdr:from>
    <xdr:to>
      <xdr:col>3</xdr:col>
      <xdr:colOff>904875</xdr:colOff>
      <xdr:row>25</xdr:row>
      <xdr:rowOff>0</xdr:rowOff>
    </xdr:to>
    <xdr:sp macro="" textlink="">
      <xdr:nvSpPr>
        <xdr:cNvPr id="4398087" name="Line 43">
          <a:extLst>
            <a:ext uri="{FF2B5EF4-FFF2-40B4-BE49-F238E27FC236}">
              <a16:creationId xmlns="" xmlns:a16="http://schemas.microsoft.com/office/drawing/2014/main" id="{00000000-0008-0000-0E00-0000071C4300}"/>
            </a:ext>
          </a:extLst>
        </xdr:cNvPr>
        <xdr:cNvSpPr>
          <a:spLocks noChangeShapeType="1"/>
        </xdr:cNvSpPr>
      </xdr:nvSpPr>
      <xdr:spPr bwMode="auto">
        <a:xfrm flipH="1">
          <a:off x="1514475" y="8924925"/>
          <a:ext cx="146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866775</xdr:colOff>
      <xdr:row>30</xdr:row>
      <xdr:rowOff>209550</xdr:rowOff>
    </xdr:from>
    <xdr:to>
      <xdr:col>5</xdr:col>
      <xdr:colOff>0</xdr:colOff>
      <xdr:row>30</xdr:row>
      <xdr:rowOff>276225</xdr:rowOff>
    </xdr:to>
    <xdr:sp macro="" textlink="">
      <xdr:nvSpPr>
        <xdr:cNvPr id="4398088" name="Oval 44">
          <a:extLst>
            <a:ext uri="{FF2B5EF4-FFF2-40B4-BE49-F238E27FC236}">
              <a16:creationId xmlns="" xmlns:a16="http://schemas.microsoft.com/office/drawing/2014/main" id="{00000000-0008-0000-0E00-0000081C4300}"/>
            </a:ext>
          </a:extLst>
        </xdr:cNvPr>
        <xdr:cNvSpPr>
          <a:spLocks noChangeArrowheads="1"/>
        </xdr:cNvSpPr>
      </xdr:nvSpPr>
      <xdr:spPr bwMode="auto">
        <a:xfrm>
          <a:off x="3933825" y="10753725"/>
          <a:ext cx="295275" cy="666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85725</xdr:colOff>
      <xdr:row>32</xdr:row>
      <xdr:rowOff>47625</xdr:rowOff>
    </xdr:from>
    <xdr:to>
      <xdr:col>5</xdr:col>
      <xdr:colOff>9525</xdr:colOff>
      <xdr:row>32</xdr:row>
      <xdr:rowOff>228600</xdr:rowOff>
    </xdr:to>
    <xdr:grpSp>
      <xdr:nvGrpSpPr>
        <xdr:cNvPr id="4398089" name="Group 45">
          <a:extLst>
            <a:ext uri="{FF2B5EF4-FFF2-40B4-BE49-F238E27FC236}">
              <a16:creationId xmlns="" xmlns:a16="http://schemas.microsoft.com/office/drawing/2014/main" id="{00000000-0008-0000-0E00-0000091C4300}"/>
            </a:ext>
          </a:extLst>
        </xdr:cNvPr>
        <xdr:cNvGrpSpPr>
          <a:grpSpLocks/>
        </xdr:cNvGrpSpPr>
      </xdr:nvGrpSpPr>
      <xdr:grpSpPr bwMode="auto">
        <a:xfrm>
          <a:off x="3152775" y="11239500"/>
          <a:ext cx="1085850" cy="180975"/>
          <a:chOff x="274" y="958"/>
          <a:chExt cx="82" cy="19"/>
        </a:xfrm>
      </xdr:grpSpPr>
      <xdr:sp macro="" textlink="">
        <xdr:nvSpPr>
          <xdr:cNvPr id="4398258" name="Line 46">
            <a:extLst>
              <a:ext uri="{FF2B5EF4-FFF2-40B4-BE49-F238E27FC236}">
                <a16:creationId xmlns="" xmlns:a16="http://schemas.microsoft.com/office/drawing/2014/main" id="{00000000-0008-0000-0E00-0000B21C4300}"/>
              </a:ext>
            </a:extLst>
          </xdr:cNvPr>
          <xdr:cNvSpPr>
            <a:spLocks noChangeShapeType="1"/>
          </xdr:cNvSpPr>
        </xdr:nvSpPr>
        <xdr:spPr bwMode="auto">
          <a:xfrm>
            <a:off x="274" y="958"/>
            <a:ext cx="6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8259" name="Arc 47">
            <a:extLst>
              <a:ext uri="{FF2B5EF4-FFF2-40B4-BE49-F238E27FC236}">
                <a16:creationId xmlns="" xmlns:a16="http://schemas.microsoft.com/office/drawing/2014/main" id="{00000000-0008-0000-0E00-0000B31C4300}"/>
              </a:ext>
            </a:extLst>
          </xdr:cNvPr>
          <xdr:cNvSpPr>
            <a:spLocks/>
          </xdr:cNvSpPr>
        </xdr:nvSpPr>
        <xdr:spPr bwMode="auto">
          <a:xfrm>
            <a:off x="342" y="958"/>
            <a:ext cx="8" cy="10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8260" name="Oval 48">
            <a:extLst>
              <a:ext uri="{FF2B5EF4-FFF2-40B4-BE49-F238E27FC236}">
                <a16:creationId xmlns="" xmlns:a16="http://schemas.microsoft.com/office/drawing/2014/main" id="{00000000-0008-0000-0E00-0000B41C4300}"/>
              </a:ext>
            </a:extLst>
          </xdr:cNvPr>
          <xdr:cNvSpPr>
            <a:spLocks noChangeArrowheads="1"/>
          </xdr:cNvSpPr>
        </xdr:nvSpPr>
        <xdr:spPr bwMode="auto">
          <a:xfrm>
            <a:off x="344" y="969"/>
            <a:ext cx="12" cy="8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104775</xdr:colOff>
      <xdr:row>33</xdr:row>
      <xdr:rowOff>228600</xdr:rowOff>
    </xdr:from>
    <xdr:to>
      <xdr:col>5</xdr:col>
      <xdr:colOff>38100</xdr:colOff>
      <xdr:row>34</xdr:row>
      <xdr:rowOff>161925</xdr:rowOff>
    </xdr:to>
    <xdr:grpSp>
      <xdr:nvGrpSpPr>
        <xdr:cNvPr id="4398090" name="Group 49">
          <a:extLst>
            <a:ext uri="{FF2B5EF4-FFF2-40B4-BE49-F238E27FC236}">
              <a16:creationId xmlns="" xmlns:a16="http://schemas.microsoft.com/office/drawing/2014/main" id="{00000000-0008-0000-0E00-00000A1C4300}"/>
            </a:ext>
          </a:extLst>
        </xdr:cNvPr>
        <xdr:cNvGrpSpPr>
          <a:grpSpLocks/>
        </xdr:cNvGrpSpPr>
      </xdr:nvGrpSpPr>
      <xdr:grpSpPr bwMode="auto">
        <a:xfrm>
          <a:off x="3171825" y="11744325"/>
          <a:ext cx="1095375" cy="257175"/>
          <a:chOff x="274" y="1019"/>
          <a:chExt cx="83" cy="23"/>
        </a:xfrm>
      </xdr:grpSpPr>
      <xdr:sp macro="" textlink="">
        <xdr:nvSpPr>
          <xdr:cNvPr id="4398255" name="Line 50">
            <a:extLst>
              <a:ext uri="{FF2B5EF4-FFF2-40B4-BE49-F238E27FC236}">
                <a16:creationId xmlns="" xmlns:a16="http://schemas.microsoft.com/office/drawing/2014/main" id="{00000000-0008-0000-0E00-0000AF1C4300}"/>
              </a:ext>
            </a:extLst>
          </xdr:cNvPr>
          <xdr:cNvSpPr>
            <a:spLocks noChangeShapeType="1"/>
          </xdr:cNvSpPr>
        </xdr:nvSpPr>
        <xdr:spPr bwMode="auto">
          <a:xfrm>
            <a:off x="274" y="1019"/>
            <a:ext cx="6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8256" name="Arc 51">
            <a:extLst>
              <a:ext uri="{FF2B5EF4-FFF2-40B4-BE49-F238E27FC236}">
                <a16:creationId xmlns="" xmlns:a16="http://schemas.microsoft.com/office/drawing/2014/main" id="{00000000-0008-0000-0E00-0000B01C4300}"/>
              </a:ext>
            </a:extLst>
          </xdr:cNvPr>
          <xdr:cNvSpPr>
            <a:spLocks/>
          </xdr:cNvSpPr>
        </xdr:nvSpPr>
        <xdr:spPr bwMode="auto">
          <a:xfrm>
            <a:off x="339" y="1019"/>
            <a:ext cx="14" cy="1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8257" name="Oval 52">
            <a:extLst>
              <a:ext uri="{FF2B5EF4-FFF2-40B4-BE49-F238E27FC236}">
                <a16:creationId xmlns="" xmlns:a16="http://schemas.microsoft.com/office/drawing/2014/main" id="{00000000-0008-0000-0E00-0000B11C4300}"/>
              </a:ext>
            </a:extLst>
          </xdr:cNvPr>
          <xdr:cNvSpPr>
            <a:spLocks noChangeArrowheads="1"/>
          </xdr:cNvSpPr>
        </xdr:nvSpPr>
        <xdr:spPr bwMode="auto">
          <a:xfrm>
            <a:off x="346" y="1034"/>
            <a:ext cx="11" cy="8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85725</xdr:colOff>
      <xdr:row>39</xdr:row>
      <xdr:rowOff>47625</xdr:rowOff>
    </xdr:from>
    <xdr:to>
      <xdr:col>5</xdr:col>
      <xdr:colOff>0</xdr:colOff>
      <xdr:row>39</xdr:row>
      <xdr:rowOff>209550</xdr:rowOff>
    </xdr:to>
    <xdr:grpSp>
      <xdr:nvGrpSpPr>
        <xdr:cNvPr id="4398091" name="Group 53">
          <a:extLst>
            <a:ext uri="{FF2B5EF4-FFF2-40B4-BE49-F238E27FC236}">
              <a16:creationId xmlns="" xmlns:a16="http://schemas.microsoft.com/office/drawing/2014/main" id="{00000000-0008-0000-0E00-00000B1C4300}"/>
            </a:ext>
          </a:extLst>
        </xdr:cNvPr>
        <xdr:cNvGrpSpPr>
          <a:grpSpLocks/>
        </xdr:cNvGrpSpPr>
      </xdr:nvGrpSpPr>
      <xdr:grpSpPr bwMode="auto">
        <a:xfrm>
          <a:off x="3152775" y="13506450"/>
          <a:ext cx="1076325" cy="161925"/>
          <a:chOff x="276" y="1142"/>
          <a:chExt cx="81" cy="17"/>
        </a:xfrm>
      </xdr:grpSpPr>
      <xdr:sp macro="" textlink="">
        <xdr:nvSpPr>
          <xdr:cNvPr id="4398252" name="Line 54">
            <a:extLst>
              <a:ext uri="{FF2B5EF4-FFF2-40B4-BE49-F238E27FC236}">
                <a16:creationId xmlns="" xmlns:a16="http://schemas.microsoft.com/office/drawing/2014/main" id="{00000000-0008-0000-0E00-0000AC1C4300}"/>
              </a:ext>
            </a:extLst>
          </xdr:cNvPr>
          <xdr:cNvSpPr>
            <a:spLocks noChangeShapeType="1"/>
          </xdr:cNvSpPr>
        </xdr:nvSpPr>
        <xdr:spPr bwMode="auto">
          <a:xfrm>
            <a:off x="276" y="1159"/>
            <a:ext cx="6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8253" name="Arc 55">
            <a:extLst>
              <a:ext uri="{FF2B5EF4-FFF2-40B4-BE49-F238E27FC236}">
                <a16:creationId xmlns="" xmlns:a16="http://schemas.microsoft.com/office/drawing/2014/main" id="{00000000-0008-0000-0E00-0000AD1C4300}"/>
              </a:ext>
            </a:extLst>
          </xdr:cNvPr>
          <xdr:cNvSpPr>
            <a:spLocks/>
          </xdr:cNvSpPr>
        </xdr:nvSpPr>
        <xdr:spPr bwMode="auto">
          <a:xfrm flipV="1">
            <a:off x="343" y="1150"/>
            <a:ext cx="11" cy="9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8254" name="Oval 56">
            <a:extLst>
              <a:ext uri="{FF2B5EF4-FFF2-40B4-BE49-F238E27FC236}">
                <a16:creationId xmlns="" xmlns:a16="http://schemas.microsoft.com/office/drawing/2014/main" id="{00000000-0008-0000-0E00-0000AE1C4300}"/>
              </a:ext>
            </a:extLst>
          </xdr:cNvPr>
          <xdr:cNvSpPr>
            <a:spLocks noChangeArrowheads="1"/>
          </xdr:cNvSpPr>
        </xdr:nvSpPr>
        <xdr:spPr bwMode="auto">
          <a:xfrm>
            <a:off x="344" y="1142"/>
            <a:ext cx="13" cy="8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857250</xdr:colOff>
      <xdr:row>40</xdr:row>
      <xdr:rowOff>238125</xdr:rowOff>
    </xdr:from>
    <xdr:to>
      <xdr:col>5</xdr:col>
      <xdr:colOff>0</xdr:colOff>
      <xdr:row>41</xdr:row>
      <xdr:rowOff>19050</xdr:rowOff>
    </xdr:to>
    <xdr:sp macro="" textlink="">
      <xdr:nvSpPr>
        <xdr:cNvPr id="4398092" name="Oval 57">
          <a:extLst>
            <a:ext uri="{FF2B5EF4-FFF2-40B4-BE49-F238E27FC236}">
              <a16:creationId xmlns="" xmlns:a16="http://schemas.microsoft.com/office/drawing/2014/main" id="{00000000-0008-0000-0E00-00000C1C4300}"/>
            </a:ext>
          </a:extLst>
        </xdr:cNvPr>
        <xdr:cNvSpPr>
          <a:spLocks noChangeArrowheads="1"/>
        </xdr:cNvSpPr>
      </xdr:nvSpPr>
      <xdr:spPr bwMode="auto">
        <a:xfrm>
          <a:off x="3924300" y="14020800"/>
          <a:ext cx="304800" cy="1047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781050</xdr:colOff>
      <xdr:row>26</xdr:row>
      <xdr:rowOff>9525</xdr:rowOff>
    </xdr:from>
    <xdr:to>
      <xdr:col>4</xdr:col>
      <xdr:colOff>819150</xdr:colOff>
      <xdr:row>27</xdr:row>
      <xdr:rowOff>9525</xdr:rowOff>
    </xdr:to>
    <xdr:sp macro="" textlink="">
      <xdr:nvSpPr>
        <xdr:cNvPr id="4398093" name="Line 58">
          <a:extLst>
            <a:ext uri="{FF2B5EF4-FFF2-40B4-BE49-F238E27FC236}">
              <a16:creationId xmlns="" xmlns:a16="http://schemas.microsoft.com/office/drawing/2014/main" id="{00000000-0008-0000-0E00-00000D1C4300}"/>
            </a:ext>
          </a:extLst>
        </xdr:cNvPr>
        <xdr:cNvSpPr>
          <a:spLocks noChangeShapeType="1"/>
        </xdr:cNvSpPr>
      </xdr:nvSpPr>
      <xdr:spPr bwMode="auto">
        <a:xfrm flipH="1">
          <a:off x="3848100" y="9258300"/>
          <a:ext cx="3810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542925</xdr:colOff>
      <xdr:row>26</xdr:row>
      <xdr:rowOff>9525</xdr:rowOff>
    </xdr:from>
    <xdr:to>
      <xdr:col>4</xdr:col>
      <xdr:colOff>628650</xdr:colOff>
      <xdr:row>27</xdr:row>
      <xdr:rowOff>9525</xdr:rowOff>
    </xdr:to>
    <xdr:sp macro="" textlink="">
      <xdr:nvSpPr>
        <xdr:cNvPr id="4398094" name="Line 59">
          <a:extLst>
            <a:ext uri="{FF2B5EF4-FFF2-40B4-BE49-F238E27FC236}">
              <a16:creationId xmlns="" xmlns:a16="http://schemas.microsoft.com/office/drawing/2014/main" id="{00000000-0008-0000-0E00-00000E1C4300}"/>
            </a:ext>
          </a:extLst>
        </xdr:cNvPr>
        <xdr:cNvSpPr>
          <a:spLocks noChangeShapeType="1"/>
        </xdr:cNvSpPr>
      </xdr:nvSpPr>
      <xdr:spPr bwMode="auto">
        <a:xfrm flipH="1" flipV="1">
          <a:off x="3609975" y="9258300"/>
          <a:ext cx="85725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619125</xdr:colOff>
      <xdr:row>26</xdr:row>
      <xdr:rowOff>9525</xdr:rowOff>
    </xdr:from>
    <xdr:to>
      <xdr:col>4</xdr:col>
      <xdr:colOff>695325</xdr:colOff>
      <xdr:row>27</xdr:row>
      <xdr:rowOff>9525</xdr:rowOff>
    </xdr:to>
    <xdr:sp macro="" textlink="">
      <xdr:nvSpPr>
        <xdr:cNvPr id="4398095" name="Line 60">
          <a:extLst>
            <a:ext uri="{FF2B5EF4-FFF2-40B4-BE49-F238E27FC236}">
              <a16:creationId xmlns="" xmlns:a16="http://schemas.microsoft.com/office/drawing/2014/main" id="{00000000-0008-0000-0E00-00000F1C4300}"/>
            </a:ext>
          </a:extLst>
        </xdr:cNvPr>
        <xdr:cNvSpPr>
          <a:spLocks noChangeShapeType="1"/>
        </xdr:cNvSpPr>
      </xdr:nvSpPr>
      <xdr:spPr bwMode="auto">
        <a:xfrm flipH="1">
          <a:off x="3686175" y="9258300"/>
          <a:ext cx="7620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40</xdr:row>
      <xdr:rowOff>28575</xdr:rowOff>
    </xdr:from>
    <xdr:to>
      <xdr:col>2</xdr:col>
      <xdr:colOff>95250</xdr:colOff>
      <xdr:row>40</xdr:row>
      <xdr:rowOff>190500</xdr:rowOff>
    </xdr:to>
    <xdr:sp macro="" textlink="">
      <xdr:nvSpPr>
        <xdr:cNvPr id="4398096" name="Rectangle 61">
          <a:extLst>
            <a:ext uri="{FF2B5EF4-FFF2-40B4-BE49-F238E27FC236}">
              <a16:creationId xmlns="" xmlns:a16="http://schemas.microsoft.com/office/drawing/2014/main" id="{00000000-0008-0000-0E00-0000101C4300}"/>
            </a:ext>
          </a:extLst>
        </xdr:cNvPr>
        <xdr:cNvSpPr>
          <a:spLocks noChangeArrowheads="1"/>
        </xdr:cNvSpPr>
      </xdr:nvSpPr>
      <xdr:spPr bwMode="auto">
        <a:xfrm>
          <a:off x="1238250" y="13811250"/>
          <a:ext cx="85725" cy="161925"/>
        </a:xfrm>
        <a:prstGeom prst="rect">
          <a:avLst/>
        </a:prstGeom>
        <a:solidFill>
          <a:srgbClr val="969696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31</xdr:row>
      <xdr:rowOff>180975</xdr:rowOff>
    </xdr:from>
    <xdr:to>
      <xdr:col>2</xdr:col>
      <xdr:colOff>104775</xdr:colOff>
      <xdr:row>32</xdr:row>
      <xdr:rowOff>57150</xdr:rowOff>
    </xdr:to>
    <xdr:sp macro="" textlink="">
      <xdr:nvSpPr>
        <xdr:cNvPr id="4398097" name="Rectangle 62">
          <a:extLst>
            <a:ext uri="{FF2B5EF4-FFF2-40B4-BE49-F238E27FC236}">
              <a16:creationId xmlns="" xmlns:a16="http://schemas.microsoft.com/office/drawing/2014/main" id="{00000000-0008-0000-0E00-0000111C4300}"/>
            </a:ext>
          </a:extLst>
        </xdr:cNvPr>
        <xdr:cNvSpPr>
          <a:spLocks noChangeArrowheads="1"/>
        </xdr:cNvSpPr>
      </xdr:nvSpPr>
      <xdr:spPr bwMode="auto">
        <a:xfrm>
          <a:off x="1238250" y="11049000"/>
          <a:ext cx="95250" cy="200025"/>
        </a:xfrm>
        <a:prstGeom prst="rect">
          <a:avLst/>
        </a:prstGeom>
        <a:solidFill>
          <a:srgbClr val="969696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571500</xdr:colOff>
      <xdr:row>32</xdr:row>
      <xdr:rowOff>104775</xdr:rowOff>
    </xdr:from>
    <xdr:to>
      <xdr:col>2</xdr:col>
      <xdr:colOff>38100</xdr:colOff>
      <xdr:row>44</xdr:row>
      <xdr:rowOff>47625</xdr:rowOff>
    </xdr:to>
    <xdr:sp macro="" textlink="">
      <xdr:nvSpPr>
        <xdr:cNvPr id="4398098" name="Line 63">
          <a:extLst>
            <a:ext uri="{FF2B5EF4-FFF2-40B4-BE49-F238E27FC236}">
              <a16:creationId xmlns="" xmlns:a16="http://schemas.microsoft.com/office/drawing/2014/main" id="{00000000-0008-0000-0E00-0000121C4300}"/>
            </a:ext>
          </a:extLst>
        </xdr:cNvPr>
        <xdr:cNvSpPr>
          <a:spLocks noChangeShapeType="1"/>
        </xdr:cNvSpPr>
      </xdr:nvSpPr>
      <xdr:spPr bwMode="auto">
        <a:xfrm flipH="1">
          <a:off x="866775" y="11296650"/>
          <a:ext cx="400050" cy="3829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590550</xdr:colOff>
      <xdr:row>40</xdr:row>
      <xdr:rowOff>180975</xdr:rowOff>
    </xdr:from>
    <xdr:to>
      <xdr:col>2</xdr:col>
      <xdr:colOff>57150</xdr:colOff>
      <xdr:row>44</xdr:row>
      <xdr:rowOff>28575</xdr:rowOff>
    </xdr:to>
    <xdr:sp macro="" textlink="">
      <xdr:nvSpPr>
        <xdr:cNvPr id="4398099" name="Line 64">
          <a:extLst>
            <a:ext uri="{FF2B5EF4-FFF2-40B4-BE49-F238E27FC236}">
              <a16:creationId xmlns="" xmlns:a16="http://schemas.microsoft.com/office/drawing/2014/main" id="{00000000-0008-0000-0E00-0000131C4300}"/>
            </a:ext>
          </a:extLst>
        </xdr:cNvPr>
        <xdr:cNvSpPr>
          <a:spLocks noChangeShapeType="1"/>
        </xdr:cNvSpPr>
      </xdr:nvSpPr>
      <xdr:spPr bwMode="auto">
        <a:xfrm flipH="1">
          <a:off x="885825" y="13963650"/>
          <a:ext cx="400050" cy="1143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542925</xdr:colOff>
      <xdr:row>44</xdr:row>
      <xdr:rowOff>38100</xdr:rowOff>
    </xdr:from>
    <xdr:to>
      <xdr:col>4</xdr:col>
      <xdr:colOff>57150</xdr:colOff>
      <xdr:row>44</xdr:row>
      <xdr:rowOff>38100</xdr:rowOff>
    </xdr:to>
    <xdr:sp macro="" textlink="">
      <xdr:nvSpPr>
        <xdr:cNvPr id="4398100" name="Line 65">
          <a:extLst>
            <a:ext uri="{FF2B5EF4-FFF2-40B4-BE49-F238E27FC236}">
              <a16:creationId xmlns="" xmlns:a16="http://schemas.microsoft.com/office/drawing/2014/main" id="{00000000-0008-0000-0E00-0000141C4300}"/>
            </a:ext>
          </a:extLst>
        </xdr:cNvPr>
        <xdr:cNvSpPr>
          <a:spLocks noChangeShapeType="1"/>
        </xdr:cNvSpPr>
      </xdr:nvSpPr>
      <xdr:spPr bwMode="auto">
        <a:xfrm flipH="1">
          <a:off x="838200" y="15116175"/>
          <a:ext cx="2286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45</xdr:row>
      <xdr:rowOff>152400</xdr:rowOff>
    </xdr:from>
    <xdr:to>
      <xdr:col>23</xdr:col>
      <xdr:colOff>0</xdr:colOff>
      <xdr:row>47</xdr:row>
      <xdr:rowOff>104775</xdr:rowOff>
    </xdr:to>
    <xdr:grpSp>
      <xdr:nvGrpSpPr>
        <xdr:cNvPr id="4398101" name="Group 66">
          <a:extLst>
            <a:ext uri="{FF2B5EF4-FFF2-40B4-BE49-F238E27FC236}">
              <a16:creationId xmlns="" xmlns:a16="http://schemas.microsoft.com/office/drawing/2014/main" id="{00000000-0008-0000-0E00-0000151C4300}"/>
            </a:ext>
          </a:extLst>
        </xdr:cNvPr>
        <xdr:cNvGrpSpPr>
          <a:grpSpLocks/>
        </xdr:cNvGrpSpPr>
      </xdr:nvGrpSpPr>
      <xdr:grpSpPr bwMode="auto">
        <a:xfrm>
          <a:off x="16687800" y="15554325"/>
          <a:ext cx="5314950" cy="600075"/>
          <a:chOff x="2047" y="332"/>
          <a:chExt cx="445" cy="63"/>
        </a:xfrm>
      </xdr:grpSpPr>
      <xdr:sp macro="" textlink="">
        <xdr:nvSpPr>
          <xdr:cNvPr id="4398249" name="Line 67">
            <a:extLst>
              <a:ext uri="{FF2B5EF4-FFF2-40B4-BE49-F238E27FC236}">
                <a16:creationId xmlns="" xmlns:a16="http://schemas.microsoft.com/office/drawing/2014/main" id="{00000000-0008-0000-0E00-0000A91C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47" y="332"/>
            <a:ext cx="0" cy="6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8250" name="Line 68">
            <a:extLst>
              <a:ext uri="{FF2B5EF4-FFF2-40B4-BE49-F238E27FC236}">
                <a16:creationId xmlns="" xmlns:a16="http://schemas.microsoft.com/office/drawing/2014/main" id="{00000000-0008-0000-0E00-0000AA1C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492" y="332"/>
            <a:ext cx="0" cy="6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8251" name="Line 69">
            <a:extLst>
              <a:ext uri="{FF2B5EF4-FFF2-40B4-BE49-F238E27FC236}">
                <a16:creationId xmlns="" xmlns:a16="http://schemas.microsoft.com/office/drawing/2014/main" id="{00000000-0008-0000-0E00-0000AB1C4300}"/>
              </a:ext>
            </a:extLst>
          </xdr:cNvPr>
          <xdr:cNvSpPr>
            <a:spLocks noChangeShapeType="1"/>
          </xdr:cNvSpPr>
        </xdr:nvSpPr>
        <xdr:spPr bwMode="auto">
          <a:xfrm>
            <a:off x="2047" y="350"/>
            <a:ext cx="44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24</xdr:col>
      <xdr:colOff>942975</xdr:colOff>
      <xdr:row>19</xdr:row>
      <xdr:rowOff>123825</xdr:rowOff>
    </xdr:from>
    <xdr:to>
      <xdr:col>30</xdr:col>
      <xdr:colOff>0</xdr:colOff>
      <xdr:row>19</xdr:row>
      <xdr:rowOff>200025</xdr:rowOff>
    </xdr:to>
    <xdr:sp macro="" textlink="">
      <xdr:nvSpPr>
        <xdr:cNvPr id="4398102" name="Rectangle 70">
          <a:extLst>
            <a:ext uri="{FF2B5EF4-FFF2-40B4-BE49-F238E27FC236}">
              <a16:creationId xmlns="" xmlns:a16="http://schemas.microsoft.com/office/drawing/2014/main" id="{00000000-0008-0000-0E00-0000161C4300}"/>
            </a:ext>
          </a:extLst>
        </xdr:cNvPr>
        <xdr:cNvSpPr>
          <a:spLocks noChangeArrowheads="1"/>
        </xdr:cNvSpPr>
      </xdr:nvSpPr>
      <xdr:spPr bwMode="auto">
        <a:xfrm>
          <a:off x="22888575" y="7105650"/>
          <a:ext cx="5105400" cy="76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25</xdr:col>
      <xdr:colOff>647700</xdr:colOff>
      <xdr:row>18</xdr:row>
      <xdr:rowOff>161925</xdr:rowOff>
    </xdr:from>
    <xdr:to>
      <xdr:col>26</xdr:col>
      <xdr:colOff>9525</xdr:colOff>
      <xdr:row>19</xdr:row>
      <xdr:rowOff>95250</xdr:rowOff>
    </xdr:to>
    <xdr:sp macro="" textlink="">
      <xdr:nvSpPr>
        <xdr:cNvPr id="4398103" name="Freeform 71">
          <a:extLst>
            <a:ext uri="{FF2B5EF4-FFF2-40B4-BE49-F238E27FC236}">
              <a16:creationId xmlns="" xmlns:a16="http://schemas.microsoft.com/office/drawing/2014/main" id="{00000000-0008-0000-0E00-0000171C4300}"/>
            </a:ext>
          </a:extLst>
        </xdr:cNvPr>
        <xdr:cNvSpPr>
          <a:spLocks/>
        </xdr:cNvSpPr>
      </xdr:nvSpPr>
      <xdr:spPr bwMode="auto">
        <a:xfrm>
          <a:off x="23536275" y="6819900"/>
          <a:ext cx="352425" cy="257175"/>
        </a:xfrm>
        <a:custGeom>
          <a:avLst/>
          <a:gdLst>
            <a:gd name="T0" fmla="*/ 2147483647 w 38"/>
            <a:gd name="T1" fmla="*/ 0 h 29"/>
            <a:gd name="T2" fmla="*/ 0 w 38"/>
            <a:gd name="T3" fmla="*/ 0 h 29"/>
            <a:gd name="T4" fmla="*/ 2147483647 w 38"/>
            <a:gd name="T5" fmla="*/ 2147483647 h 29"/>
            <a:gd name="T6" fmla="*/ 2147483647 w 38"/>
            <a:gd name="T7" fmla="*/ 2147483647 h 29"/>
            <a:gd name="T8" fmla="*/ 2147483647 w 38"/>
            <a:gd name="T9" fmla="*/ 2147483647 h 29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38"/>
            <a:gd name="T16" fmla="*/ 0 h 29"/>
            <a:gd name="T17" fmla="*/ 38 w 38"/>
            <a:gd name="T18" fmla="*/ 29 h 29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38" h="29">
              <a:moveTo>
                <a:pt x="37" y="0"/>
              </a:moveTo>
              <a:lnTo>
                <a:pt x="0" y="0"/>
              </a:lnTo>
              <a:lnTo>
                <a:pt x="25" y="15"/>
              </a:lnTo>
              <a:lnTo>
                <a:pt x="1" y="29"/>
              </a:lnTo>
              <a:lnTo>
                <a:pt x="38" y="2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390525</xdr:colOff>
      <xdr:row>18</xdr:row>
      <xdr:rowOff>161925</xdr:rowOff>
    </xdr:from>
    <xdr:to>
      <xdr:col>27</xdr:col>
      <xdr:colOff>742950</xdr:colOff>
      <xdr:row>19</xdr:row>
      <xdr:rowOff>95250</xdr:rowOff>
    </xdr:to>
    <xdr:sp macro="" textlink="">
      <xdr:nvSpPr>
        <xdr:cNvPr id="4398104" name="Freeform 72">
          <a:extLst>
            <a:ext uri="{FF2B5EF4-FFF2-40B4-BE49-F238E27FC236}">
              <a16:creationId xmlns="" xmlns:a16="http://schemas.microsoft.com/office/drawing/2014/main" id="{00000000-0008-0000-0E00-0000181C4300}"/>
            </a:ext>
          </a:extLst>
        </xdr:cNvPr>
        <xdr:cNvSpPr>
          <a:spLocks/>
        </xdr:cNvSpPr>
      </xdr:nvSpPr>
      <xdr:spPr bwMode="auto">
        <a:xfrm>
          <a:off x="25298400" y="6819900"/>
          <a:ext cx="352425" cy="257175"/>
        </a:xfrm>
        <a:custGeom>
          <a:avLst/>
          <a:gdLst>
            <a:gd name="T0" fmla="*/ 2147483647 w 38"/>
            <a:gd name="T1" fmla="*/ 0 h 29"/>
            <a:gd name="T2" fmla="*/ 0 w 38"/>
            <a:gd name="T3" fmla="*/ 0 h 29"/>
            <a:gd name="T4" fmla="*/ 2147483647 w 38"/>
            <a:gd name="T5" fmla="*/ 2147483647 h 29"/>
            <a:gd name="T6" fmla="*/ 2147483647 w 38"/>
            <a:gd name="T7" fmla="*/ 2147483647 h 29"/>
            <a:gd name="T8" fmla="*/ 2147483647 w 38"/>
            <a:gd name="T9" fmla="*/ 2147483647 h 29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38"/>
            <a:gd name="T16" fmla="*/ 0 h 29"/>
            <a:gd name="T17" fmla="*/ 38 w 38"/>
            <a:gd name="T18" fmla="*/ 29 h 29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38" h="29">
              <a:moveTo>
                <a:pt x="37" y="0"/>
              </a:moveTo>
              <a:lnTo>
                <a:pt x="0" y="0"/>
              </a:lnTo>
              <a:lnTo>
                <a:pt x="25" y="15"/>
              </a:lnTo>
              <a:lnTo>
                <a:pt x="1" y="29"/>
              </a:lnTo>
              <a:lnTo>
                <a:pt x="38" y="2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0</xdr:colOff>
      <xdr:row>18</xdr:row>
      <xdr:rowOff>161925</xdr:rowOff>
    </xdr:from>
    <xdr:to>
      <xdr:col>29</xdr:col>
      <xdr:colOff>352425</xdr:colOff>
      <xdr:row>19</xdr:row>
      <xdr:rowOff>95250</xdr:rowOff>
    </xdr:to>
    <xdr:sp macro="" textlink="">
      <xdr:nvSpPr>
        <xdr:cNvPr id="4398105" name="Freeform 73">
          <a:extLst>
            <a:ext uri="{FF2B5EF4-FFF2-40B4-BE49-F238E27FC236}">
              <a16:creationId xmlns="" xmlns:a16="http://schemas.microsoft.com/office/drawing/2014/main" id="{00000000-0008-0000-0E00-0000191C4300}"/>
            </a:ext>
          </a:extLst>
        </xdr:cNvPr>
        <xdr:cNvSpPr>
          <a:spLocks/>
        </xdr:cNvSpPr>
      </xdr:nvSpPr>
      <xdr:spPr bwMode="auto">
        <a:xfrm rot="-10782695">
          <a:off x="26955750" y="6819900"/>
          <a:ext cx="352425" cy="257175"/>
        </a:xfrm>
        <a:custGeom>
          <a:avLst/>
          <a:gdLst>
            <a:gd name="T0" fmla="*/ 2147483647 w 38"/>
            <a:gd name="T1" fmla="*/ 0 h 29"/>
            <a:gd name="T2" fmla="*/ 0 w 38"/>
            <a:gd name="T3" fmla="*/ 0 h 29"/>
            <a:gd name="T4" fmla="*/ 2147483647 w 38"/>
            <a:gd name="T5" fmla="*/ 2147483647 h 29"/>
            <a:gd name="T6" fmla="*/ 2147483647 w 38"/>
            <a:gd name="T7" fmla="*/ 2147483647 h 29"/>
            <a:gd name="T8" fmla="*/ 2147483647 w 38"/>
            <a:gd name="T9" fmla="*/ 2147483647 h 29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38"/>
            <a:gd name="T16" fmla="*/ 0 h 29"/>
            <a:gd name="T17" fmla="*/ 38 w 38"/>
            <a:gd name="T18" fmla="*/ 29 h 29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38" h="29">
              <a:moveTo>
                <a:pt x="37" y="0"/>
              </a:moveTo>
              <a:lnTo>
                <a:pt x="0" y="0"/>
              </a:lnTo>
              <a:lnTo>
                <a:pt x="25" y="15"/>
              </a:lnTo>
              <a:lnTo>
                <a:pt x="1" y="29"/>
              </a:lnTo>
              <a:lnTo>
                <a:pt x="38" y="2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190500</xdr:colOff>
      <xdr:row>22</xdr:row>
      <xdr:rowOff>171450</xdr:rowOff>
    </xdr:from>
    <xdr:to>
      <xdr:col>22</xdr:col>
      <xdr:colOff>742950</xdr:colOff>
      <xdr:row>28</xdr:row>
      <xdr:rowOff>9525</xdr:rowOff>
    </xdr:to>
    <xdr:grpSp>
      <xdr:nvGrpSpPr>
        <xdr:cNvPr id="4398106" name="Group 74">
          <a:extLst>
            <a:ext uri="{FF2B5EF4-FFF2-40B4-BE49-F238E27FC236}">
              <a16:creationId xmlns="" xmlns:a16="http://schemas.microsoft.com/office/drawing/2014/main" id="{00000000-0008-0000-0E00-00001A1C4300}"/>
            </a:ext>
          </a:extLst>
        </xdr:cNvPr>
        <xdr:cNvGrpSpPr>
          <a:grpSpLocks/>
        </xdr:cNvGrpSpPr>
      </xdr:nvGrpSpPr>
      <xdr:grpSpPr bwMode="auto">
        <a:xfrm>
          <a:off x="16878300" y="8124825"/>
          <a:ext cx="4876800" cy="1781175"/>
          <a:chOff x="2080" y="433"/>
          <a:chExt cx="362" cy="159"/>
        </a:xfrm>
      </xdr:grpSpPr>
      <xdr:sp macro="" textlink="">
        <xdr:nvSpPr>
          <xdr:cNvPr id="4398247" name="Line 75">
            <a:extLst>
              <a:ext uri="{FF2B5EF4-FFF2-40B4-BE49-F238E27FC236}">
                <a16:creationId xmlns="" xmlns:a16="http://schemas.microsoft.com/office/drawing/2014/main" id="{00000000-0008-0000-0E00-0000A71C4300}"/>
              </a:ext>
            </a:extLst>
          </xdr:cNvPr>
          <xdr:cNvSpPr>
            <a:spLocks noChangeShapeType="1"/>
          </xdr:cNvSpPr>
        </xdr:nvSpPr>
        <xdr:spPr bwMode="auto">
          <a:xfrm>
            <a:off x="2080" y="592"/>
            <a:ext cx="36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8248" name="Line 76">
            <a:extLst>
              <a:ext uri="{FF2B5EF4-FFF2-40B4-BE49-F238E27FC236}">
                <a16:creationId xmlns="" xmlns:a16="http://schemas.microsoft.com/office/drawing/2014/main" id="{00000000-0008-0000-0E00-0000A81C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80" y="433"/>
            <a:ext cx="28" cy="15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</xdr:grpSp>
    <xdr:clientData/>
  </xdr:twoCellAnchor>
  <xdr:twoCellAnchor>
    <xdr:from>
      <xdr:col>4</xdr:col>
      <xdr:colOff>85725</xdr:colOff>
      <xdr:row>37</xdr:row>
      <xdr:rowOff>219075</xdr:rowOff>
    </xdr:from>
    <xdr:to>
      <xdr:col>5</xdr:col>
      <xdr:colOff>19050</xdr:colOff>
      <xdr:row>38</xdr:row>
      <xdr:rowOff>47625</xdr:rowOff>
    </xdr:to>
    <xdr:grpSp>
      <xdr:nvGrpSpPr>
        <xdr:cNvPr id="4398107" name="Group 77">
          <a:extLst>
            <a:ext uri="{FF2B5EF4-FFF2-40B4-BE49-F238E27FC236}">
              <a16:creationId xmlns="" xmlns:a16="http://schemas.microsoft.com/office/drawing/2014/main" id="{00000000-0008-0000-0E00-00001B1C4300}"/>
            </a:ext>
          </a:extLst>
        </xdr:cNvPr>
        <xdr:cNvGrpSpPr>
          <a:grpSpLocks/>
        </xdr:cNvGrpSpPr>
      </xdr:nvGrpSpPr>
      <xdr:grpSpPr bwMode="auto">
        <a:xfrm>
          <a:off x="3152775" y="13030200"/>
          <a:ext cx="1095375" cy="152400"/>
          <a:chOff x="273" y="1084"/>
          <a:chExt cx="83" cy="17"/>
        </a:xfrm>
      </xdr:grpSpPr>
      <xdr:sp macro="" textlink="">
        <xdr:nvSpPr>
          <xdr:cNvPr id="4398244" name="Line 78">
            <a:extLst>
              <a:ext uri="{FF2B5EF4-FFF2-40B4-BE49-F238E27FC236}">
                <a16:creationId xmlns="" xmlns:a16="http://schemas.microsoft.com/office/drawing/2014/main" id="{00000000-0008-0000-0E00-0000A41C4300}"/>
              </a:ext>
            </a:extLst>
          </xdr:cNvPr>
          <xdr:cNvSpPr>
            <a:spLocks noChangeShapeType="1"/>
          </xdr:cNvSpPr>
        </xdr:nvSpPr>
        <xdr:spPr bwMode="auto">
          <a:xfrm>
            <a:off x="273" y="1101"/>
            <a:ext cx="6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8245" name="Arc 79">
            <a:extLst>
              <a:ext uri="{FF2B5EF4-FFF2-40B4-BE49-F238E27FC236}">
                <a16:creationId xmlns="" xmlns:a16="http://schemas.microsoft.com/office/drawing/2014/main" id="{00000000-0008-0000-0E00-0000A51C4300}"/>
              </a:ext>
            </a:extLst>
          </xdr:cNvPr>
          <xdr:cNvSpPr>
            <a:spLocks/>
          </xdr:cNvSpPr>
        </xdr:nvSpPr>
        <xdr:spPr bwMode="auto">
          <a:xfrm flipV="1">
            <a:off x="340" y="1092"/>
            <a:ext cx="11" cy="9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8246" name="Oval 80">
            <a:extLst>
              <a:ext uri="{FF2B5EF4-FFF2-40B4-BE49-F238E27FC236}">
                <a16:creationId xmlns="" xmlns:a16="http://schemas.microsoft.com/office/drawing/2014/main" id="{00000000-0008-0000-0E00-0000A61C4300}"/>
              </a:ext>
            </a:extLst>
          </xdr:cNvPr>
          <xdr:cNvSpPr>
            <a:spLocks noChangeArrowheads="1"/>
          </xdr:cNvSpPr>
        </xdr:nvSpPr>
        <xdr:spPr bwMode="auto">
          <a:xfrm>
            <a:off x="343" y="1084"/>
            <a:ext cx="13" cy="8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76200</xdr:colOff>
      <xdr:row>36</xdr:row>
      <xdr:rowOff>0</xdr:rowOff>
    </xdr:from>
    <xdr:to>
      <xdr:col>5</xdr:col>
      <xdr:colOff>9525</xdr:colOff>
      <xdr:row>36</xdr:row>
      <xdr:rowOff>219075</xdr:rowOff>
    </xdr:to>
    <xdr:grpSp>
      <xdr:nvGrpSpPr>
        <xdr:cNvPr id="4398108" name="Group 81">
          <a:extLst>
            <a:ext uri="{FF2B5EF4-FFF2-40B4-BE49-F238E27FC236}">
              <a16:creationId xmlns="" xmlns:a16="http://schemas.microsoft.com/office/drawing/2014/main" id="{00000000-0008-0000-0E00-00001C1C4300}"/>
            </a:ext>
          </a:extLst>
        </xdr:cNvPr>
        <xdr:cNvGrpSpPr>
          <a:grpSpLocks/>
        </xdr:cNvGrpSpPr>
      </xdr:nvGrpSpPr>
      <xdr:grpSpPr bwMode="auto">
        <a:xfrm>
          <a:off x="3143250" y="12487275"/>
          <a:ext cx="1095375" cy="219075"/>
          <a:chOff x="274" y="1019"/>
          <a:chExt cx="83" cy="23"/>
        </a:xfrm>
      </xdr:grpSpPr>
      <xdr:sp macro="" textlink="">
        <xdr:nvSpPr>
          <xdr:cNvPr id="4398241" name="Line 82">
            <a:extLst>
              <a:ext uri="{FF2B5EF4-FFF2-40B4-BE49-F238E27FC236}">
                <a16:creationId xmlns="" xmlns:a16="http://schemas.microsoft.com/office/drawing/2014/main" id="{00000000-0008-0000-0E00-0000A11C4300}"/>
              </a:ext>
            </a:extLst>
          </xdr:cNvPr>
          <xdr:cNvSpPr>
            <a:spLocks noChangeShapeType="1"/>
          </xdr:cNvSpPr>
        </xdr:nvSpPr>
        <xdr:spPr bwMode="auto">
          <a:xfrm>
            <a:off x="274" y="1019"/>
            <a:ext cx="6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8242" name="Arc 83">
            <a:extLst>
              <a:ext uri="{FF2B5EF4-FFF2-40B4-BE49-F238E27FC236}">
                <a16:creationId xmlns="" xmlns:a16="http://schemas.microsoft.com/office/drawing/2014/main" id="{00000000-0008-0000-0E00-0000A21C4300}"/>
              </a:ext>
            </a:extLst>
          </xdr:cNvPr>
          <xdr:cNvSpPr>
            <a:spLocks/>
          </xdr:cNvSpPr>
        </xdr:nvSpPr>
        <xdr:spPr bwMode="auto">
          <a:xfrm>
            <a:off x="339" y="1019"/>
            <a:ext cx="14" cy="1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  <a:gd name="T9" fmla="*/ 0 w 21600"/>
              <a:gd name="T10" fmla="*/ 0 h 21600"/>
              <a:gd name="T11" fmla="*/ 21600 w 21600"/>
              <a:gd name="T12" fmla="*/ 21600 h 2160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8243" name="Oval 84">
            <a:extLst>
              <a:ext uri="{FF2B5EF4-FFF2-40B4-BE49-F238E27FC236}">
                <a16:creationId xmlns="" xmlns:a16="http://schemas.microsoft.com/office/drawing/2014/main" id="{00000000-0008-0000-0E00-0000A31C4300}"/>
              </a:ext>
            </a:extLst>
          </xdr:cNvPr>
          <xdr:cNvSpPr>
            <a:spLocks noChangeArrowheads="1"/>
          </xdr:cNvSpPr>
        </xdr:nvSpPr>
        <xdr:spPr bwMode="auto">
          <a:xfrm>
            <a:off x="346" y="1034"/>
            <a:ext cx="11" cy="8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21</xdr:col>
      <xdr:colOff>0</xdr:colOff>
      <xdr:row>43</xdr:row>
      <xdr:rowOff>28575</xdr:rowOff>
    </xdr:from>
    <xdr:to>
      <xdr:col>22</xdr:col>
      <xdr:colOff>523875</xdr:colOff>
      <xdr:row>43</xdr:row>
      <xdr:rowOff>28575</xdr:rowOff>
    </xdr:to>
    <xdr:sp macro="" textlink="">
      <xdr:nvSpPr>
        <xdr:cNvPr id="4398109" name="Line 85">
          <a:extLst>
            <a:ext uri="{FF2B5EF4-FFF2-40B4-BE49-F238E27FC236}">
              <a16:creationId xmlns="" xmlns:a16="http://schemas.microsoft.com/office/drawing/2014/main" id="{00000000-0008-0000-0E00-00001D1C4300}"/>
            </a:ext>
          </a:extLst>
        </xdr:cNvPr>
        <xdr:cNvSpPr>
          <a:spLocks noChangeShapeType="1"/>
        </xdr:cNvSpPr>
      </xdr:nvSpPr>
      <xdr:spPr bwMode="auto">
        <a:xfrm>
          <a:off x="19488150" y="14782800"/>
          <a:ext cx="2047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504825</xdr:colOff>
      <xdr:row>40</xdr:row>
      <xdr:rowOff>28575</xdr:rowOff>
    </xdr:from>
    <xdr:to>
      <xdr:col>22</xdr:col>
      <xdr:colOff>619125</xdr:colOff>
      <xdr:row>43</xdr:row>
      <xdr:rowOff>57150</xdr:rowOff>
    </xdr:to>
    <xdr:sp macro="" textlink="">
      <xdr:nvSpPr>
        <xdr:cNvPr id="4398110" name="Line 86">
          <a:extLst>
            <a:ext uri="{FF2B5EF4-FFF2-40B4-BE49-F238E27FC236}">
              <a16:creationId xmlns="" xmlns:a16="http://schemas.microsoft.com/office/drawing/2014/main" id="{00000000-0008-0000-0E00-00001E1C4300}"/>
            </a:ext>
          </a:extLst>
        </xdr:cNvPr>
        <xdr:cNvSpPr>
          <a:spLocks noChangeShapeType="1"/>
        </xdr:cNvSpPr>
      </xdr:nvSpPr>
      <xdr:spPr bwMode="auto">
        <a:xfrm flipH="1">
          <a:off x="21516975" y="13811250"/>
          <a:ext cx="114300" cy="1000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257175</xdr:colOff>
      <xdr:row>39</xdr:row>
      <xdr:rowOff>190500</xdr:rowOff>
    </xdr:from>
    <xdr:to>
      <xdr:col>22</xdr:col>
      <xdr:colOff>704850</xdr:colOff>
      <xdr:row>39</xdr:row>
      <xdr:rowOff>266700</xdr:rowOff>
    </xdr:to>
    <xdr:sp macro="" textlink="">
      <xdr:nvSpPr>
        <xdr:cNvPr id="4398111" name="Rectangle 87">
          <a:extLst>
            <a:ext uri="{FF2B5EF4-FFF2-40B4-BE49-F238E27FC236}">
              <a16:creationId xmlns="" xmlns:a16="http://schemas.microsoft.com/office/drawing/2014/main" id="{00000000-0008-0000-0E00-00001F1C4300}"/>
            </a:ext>
          </a:extLst>
        </xdr:cNvPr>
        <xdr:cNvSpPr>
          <a:spLocks noChangeArrowheads="1"/>
        </xdr:cNvSpPr>
      </xdr:nvSpPr>
      <xdr:spPr bwMode="auto">
        <a:xfrm>
          <a:off x="21269325" y="13649325"/>
          <a:ext cx="447675" cy="76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447675</xdr:colOff>
      <xdr:row>22</xdr:row>
      <xdr:rowOff>114300</xdr:rowOff>
    </xdr:from>
    <xdr:to>
      <xdr:col>18</xdr:col>
      <xdr:colOff>657225</xdr:colOff>
      <xdr:row>22</xdr:row>
      <xdr:rowOff>228600</xdr:rowOff>
    </xdr:to>
    <xdr:sp macro="" textlink="">
      <xdr:nvSpPr>
        <xdr:cNvPr id="4398112" name="Rectangle 88" descr="10%">
          <a:extLst>
            <a:ext uri="{FF2B5EF4-FFF2-40B4-BE49-F238E27FC236}">
              <a16:creationId xmlns="" xmlns:a16="http://schemas.microsoft.com/office/drawing/2014/main" id="{00000000-0008-0000-0E00-0000201C4300}"/>
            </a:ext>
          </a:extLst>
        </xdr:cNvPr>
        <xdr:cNvSpPr>
          <a:spLocks noChangeArrowheads="1"/>
        </xdr:cNvSpPr>
      </xdr:nvSpPr>
      <xdr:spPr bwMode="auto">
        <a:xfrm>
          <a:off x="17135475" y="8067675"/>
          <a:ext cx="209550" cy="114300"/>
        </a:xfrm>
        <a:prstGeom prst="rect">
          <a:avLst/>
        </a:prstGeom>
        <a:pattFill prst="pct10">
          <a:fgClr>
            <a:srgbClr val="000000"/>
          </a:fgClr>
          <a:bgClr>
            <a:srgbClr val="FFFFFF"/>
          </a:bgClr>
        </a:patt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0</xdr:colOff>
      <xdr:row>40</xdr:row>
      <xdr:rowOff>257175</xdr:rowOff>
    </xdr:from>
    <xdr:to>
      <xdr:col>3</xdr:col>
      <xdr:colOff>0</xdr:colOff>
      <xdr:row>41</xdr:row>
      <xdr:rowOff>38100</xdr:rowOff>
    </xdr:to>
    <xdr:sp macro="" textlink="">
      <xdr:nvSpPr>
        <xdr:cNvPr id="4398113" name="Oval 89">
          <a:extLst>
            <a:ext uri="{FF2B5EF4-FFF2-40B4-BE49-F238E27FC236}">
              <a16:creationId xmlns="" xmlns:a16="http://schemas.microsoft.com/office/drawing/2014/main" id="{00000000-0008-0000-0E00-0000211C4300}"/>
            </a:ext>
          </a:extLst>
        </xdr:cNvPr>
        <xdr:cNvSpPr>
          <a:spLocks noChangeArrowheads="1"/>
        </xdr:cNvSpPr>
      </xdr:nvSpPr>
      <xdr:spPr bwMode="auto">
        <a:xfrm flipH="1">
          <a:off x="2076450" y="14039850"/>
          <a:ext cx="0" cy="1047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1133475</xdr:colOff>
      <xdr:row>30</xdr:row>
      <xdr:rowOff>0</xdr:rowOff>
    </xdr:from>
    <xdr:to>
      <xdr:col>3</xdr:col>
      <xdr:colOff>1152525</xdr:colOff>
      <xdr:row>42</xdr:row>
      <xdr:rowOff>9525</xdr:rowOff>
    </xdr:to>
    <xdr:sp macro="" textlink="">
      <xdr:nvSpPr>
        <xdr:cNvPr id="4398114" name="Line 90">
          <a:extLst>
            <a:ext uri="{FF2B5EF4-FFF2-40B4-BE49-F238E27FC236}">
              <a16:creationId xmlns="" xmlns:a16="http://schemas.microsoft.com/office/drawing/2014/main" id="{00000000-0008-0000-0E00-0000221C4300}"/>
            </a:ext>
          </a:extLst>
        </xdr:cNvPr>
        <xdr:cNvSpPr>
          <a:spLocks noChangeShapeType="1"/>
        </xdr:cNvSpPr>
      </xdr:nvSpPr>
      <xdr:spPr bwMode="auto">
        <a:xfrm flipH="1">
          <a:off x="3067050" y="10544175"/>
          <a:ext cx="0" cy="389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8</xdr:col>
      <xdr:colOff>552450</xdr:colOff>
      <xdr:row>8</xdr:row>
      <xdr:rowOff>238125</xdr:rowOff>
    </xdr:from>
    <xdr:to>
      <xdr:col>11</xdr:col>
      <xdr:colOff>381000</xdr:colOff>
      <xdr:row>11</xdr:row>
      <xdr:rowOff>304800</xdr:rowOff>
    </xdr:to>
    <xdr:grpSp>
      <xdr:nvGrpSpPr>
        <xdr:cNvPr id="4398115" name="Group 92">
          <a:extLst>
            <a:ext uri="{FF2B5EF4-FFF2-40B4-BE49-F238E27FC236}">
              <a16:creationId xmlns="" xmlns:a16="http://schemas.microsoft.com/office/drawing/2014/main" id="{00000000-0008-0000-0E00-0000231C4300}"/>
            </a:ext>
          </a:extLst>
        </xdr:cNvPr>
        <xdr:cNvGrpSpPr>
          <a:grpSpLocks/>
        </xdr:cNvGrpSpPr>
      </xdr:nvGrpSpPr>
      <xdr:grpSpPr bwMode="auto">
        <a:xfrm>
          <a:off x="7200900" y="3657600"/>
          <a:ext cx="2800350" cy="1038225"/>
          <a:chOff x="358" y="540"/>
          <a:chExt cx="293" cy="139"/>
        </a:xfrm>
      </xdr:grpSpPr>
      <xdr:sp macro="" textlink="">
        <xdr:nvSpPr>
          <xdr:cNvPr id="4398182" name="Line 93">
            <a:extLst>
              <a:ext uri="{FF2B5EF4-FFF2-40B4-BE49-F238E27FC236}">
                <a16:creationId xmlns="" xmlns:a16="http://schemas.microsoft.com/office/drawing/2014/main" id="{00000000-0008-0000-0E00-0000661C43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98183" name="Group 94">
            <a:extLst>
              <a:ext uri="{FF2B5EF4-FFF2-40B4-BE49-F238E27FC236}">
                <a16:creationId xmlns="" xmlns:a16="http://schemas.microsoft.com/office/drawing/2014/main" id="{00000000-0008-0000-0E00-0000671C43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398239" name="Line 95">
              <a:extLst>
                <a:ext uri="{FF2B5EF4-FFF2-40B4-BE49-F238E27FC236}">
                  <a16:creationId xmlns="" xmlns:a16="http://schemas.microsoft.com/office/drawing/2014/main" id="{00000000-0008-0000-0E00-00009F1C43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8240" name="Line 96">
              <a:extLst>
                <a:ext uri="{FF2B5EF4-FFF2-40B4-BE49-F238E27FC236}">
                  <a16:creationId xmlns="" xmlns:a16="http://schemas.microsoft.com/office/drawing/2014/main" id="{00000000-0008-0000-0E00-0000A01C43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98184" name="Line 97">
            <a:extLst>
              <a:ext uri="{FF2B5EF4-FFF2-40B4-BE49-F238E27FC236}">
                <a16:creationId xmlns="" xmlns:a16="http://schemas.microsoft.com/office/drawing/2014/main" id="{00000000-0008-0000-0E00-0000681C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8185" name="Line 98">
            <a:extLst>
              <a:ext uri="{FF2B5EF4-FFF2-40B4-BE49-F238E27FC236}">
                <a16:creationId xmlns="" xmlns:a16="http://schemas.microsoft.com/office/drawing/2014/main" id="{00000000-0008-0000-0E00-0000691C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8186" name="Line 99">
            <a:extLst>
              <a:ext uri="{FF2B5EF4-FFF2-40B4-BE49-F238E27FC236}">
                <a16:creationId xmlns="" xmlns:a16="http://schemas.microsoft.com/office/drawing/2014/main" id="{00000000-0008-0000-0E00-00006A1C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8187" name="Line 100">
            <a:extLst>
              <a:ext uri="{FF2B5EF4-FFF2-40B4-BE49-F238E27FC236}">
                <a16:creationId xmlns="" xmlns:a16="http://schemas.microsoft.com/office/drawing/2014/main" id="{00000000-0008-0000-0E00-00006B1C43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8188" name="Line 101">
            <a:extLst>
              <a:ext uri="{FF2B5EF4-FFF2-40B4-BE49-F238E27FC236}">
                <a16:creationId xmlns="" xmlns:a16="http://schemas.microsoft.com/office/drawing/2014/main" id="{00000000-0008-0000-0E00-00006C1C43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98189" name="Group 102">
            <a:extLst>
              <a:ext uri="{FF2B5EF4-FFF2-40B4-BE49-F238E27FC236}">
                <a16:creationId xmlns="" xmlns:a16="http://schemas.microsoft.com/office/drawing/2014/main" id="{00000000-0008-0000-0E00-00006D1C43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398233" name="Line 103">
              <a:extLst>
                <a:ext uri="{FF2B5EF4-FFF2-40B4-BE49-F238E27FC236}">
                  <a16:creationId xmlns="" xmlns:a16="http://schemas.microsoft.com/office/drawing/2014/main" id="{00000000-0008-0000-0E00-0000991C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8234" name="Group 104">
              <a:extLst>
                <a:ext uri="{FF2B5EF4-FFF2-40B4-BE49-F238E27FC236}">
                  <a16:creationId xmlns="" xmlns:a16="http://schemas.microsoft.com/office/drawing/2014/main" id="{00000000-0008-0000-0E00-00009A1C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8235" name="Line 105">
                <a:extLst>
                  <a:ext uri="{FF2B5EF4-FFF2-40B4-BE49-F238E27FC236}">
                    <a16:creationId xmlns="" xmlns:a16="http://schemas.microsoft.com/office/drawing/2014/main" id="{00000000-0008-0000-0E00-00009B1C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8236" name="Group 106">
                <a:extLst>
                  <a:ext uri="{FF2B5EF4-FFF2-40B4-BE49-F238E27FC236}">
                    <a16:creationId xmlns="" xmlns:a16="http://schemas.microsoft.com/office/drawing/2014/main" id="{00000000-0008-0000-0E00-00009C1C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8237" name="Line 107">
                  <a:extLst>
                    <a:ext uri="{FF2B5EF4-FFF2-40B4-BE49-F238E27FC236}">
                      <a16:creationId xmlns="" xmlns:a16="http://schemas.microsoft.com/office/drawing/2014/main" id="{00000000-0008-0000-0E00-00009D1C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8238" name="Line 108">
                  <a:extLst>
                    <a:ext uri="{FF2B5EF4-FFF2-40B4-BE49-F238E27FC236}">
                      <a16:creationId xmlns="" xmlns:a16="http://schemas.microsoft.com/office/drawing/2014/main" id="{00000000-0008-0000-0E00-00009E1C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8190" name="Group 109">
            <a:extLst>
              <a:ext uri="{FF2B5EF4-FFF2-40B4-BE49-F238E27FC236}">
                <a16:creationId xmlns="" xmlns:a16="http://schemas.microsoft.com/office/drawing/2014/main" id="{00000000-0008-0000-0E00-00006E1C43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398227" name="Line 110">
              <a:extLst>
                <a:ext uri="{FF2B5EF4-FFF2-40B4-BE49-F238E27FC236}">
                  <a16:creationId xmlns="" xmlns:a16="http://schemas.microsoft.com/office/drawing/2014/main" id="{00000000-0008-0000-0E00-0000931C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8228" name="Group 111">
              <a:extLst>
                <a:ext uri="{FF2B5EF4-FFF2-40B4-BE49-F238E27FC236}">
                  <a16:creationId xmlns="" xmlns:a16="http://schemas.microsoft.com/office/drawing/2014/main" id="{00000000-0008-0000-0E00-0000941C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8229" name="Line 112">
                <a:extLst>
                  <a:ext uri="{FF2B5EF4-FFF2-40B4-BE49-F238E27FC236}">
                    <a16:creationId xmlns="" xmlns:a16="http://schemas.microsoft.com/office/drawing/2014/main" id="{00000000-0008-0000-0E00-0000951C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8230" name="Group 113">
                <a:extLst>
                  <a:ext uri="{FF2B5EF4-FFF2-40B4-BE49-F238E27FC236}">
                    <a16:creationId xmlns="" xmlns:a16="http://schemas.microsoft.com/office/drawing/2014/main" id="{00000000-0008-0000-0E00-0000961C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8231" name="Line 114">
                  <a:extLst>
                    <a:ext uri="{FF2B5EF4-FFF2-40B4-BE49-F238E27FC236}">
                      <a16:creationId xmlns="" xmlns:a16="http://schemas.microsoft.com/office/drawing/2014/main" id="{00000000-0008-0000-0E00-0000971C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8232" name="Line 115">
                  <a:extLst>
                    <a:ext uri="{FF2B5EF4-FFF2-40B4-BE49-F238E27FC236}">
                      <a16:creationId xmlns="" xmlns:a16="http://schemas.microsoft.com/office/drawing/2014/main" id="{00000000-0008-0000-0E00-0000981C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8191" name="Group 116">
            <a:extLst>
              <a:ext uri="{FF2B5EF4-FFF2-40B4-BE49-F238E27FC236}">
                <a16:creationId xmlns="" xmlns:a16="http://schemas.microsoft.com/office/drawing/2014/main" id="{00000000-0008-0000-0E00-00006F1C43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398221" name="Line 117">
              <a:extLst>
                <a:ext uri="{FF2B5EF4-FFF2-40B4-BE49-F238E27FC236}">
                  <a16:creationId xmlns="" xmlns:a16="http://schemas.microsoft.com/office/drawing/2014/main" id="{00000000-0008-0000-0E00-00008D1C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8222" name="Group 118">
              <a:extLst>
                <a:ext uri="{FF2B5EF4-FFF2-40B4-BE49-F238E27FC236}">
                  <a16:creationId xmlns="" xmlns:a16="http://schemas.microsoft.com/office/drawing/2014/main" id="{00000000-0008-0000-0E00-00008E1C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8223" name="Line 119">
                <a:extLst>
                  <a:ext uri="{FF2B5EF4-FFF2-40B4-BE49-F238E27FC236}">
                    <a16:creationId xmlns="" xmlns:a16="http://schemas.microsoft.com/office/drawing/2014/main" id="{00000000-0008-0000-0E00-00008F1C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8224" name="Group 120">
                <a:extLst>
                  <a:ext uri="{FF2B5EF4-FFF2-40B4-BE49-F238E27FC236}">
                    <a16:creationId xmlns="" xmlns:a16="http://schemas.microsoft.com/office/drawing/2014/main" id="{00000000-0008-0000-0E00-0000901C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8225" name="Line 121">
                  <a:extLst>
                    <a:ext uri="{FF2B5EF4-FFF2-40B4-BE49-F238E27FC236}">
                      <a16:creationId xmlns="" xmlns:a16="http://schemas.microsoft.com/office/drawing/2014/main" id="{00000000-0008-0000-0E00-0000911C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8226" name="Line 122">
                  <a:extLst>
                    <a:ext uri="{FF2B5EF4-FFF2-40B4-BE49-F238E27FC236}">
                      <a16:creationId xmlns="" xmlns:a16="http://schemas.microsoft.com/office/drawing/2014/main" id="{00000000-0008-0000-0E00-0000921C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8192" name="Group 123">
            <a:extLst>
              <a:ext uri="{FF2B5EF4-FFF2-40B4-BE49-F238E27FC236}">
                <a16:creationId xmlns="" xmlns:a16="http://schemas.microsoft.com/office/drawing/2014/main" id="{00000000-0008-0000-0E00-0000701C43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398215" name="Line 124">
              <a:extLst>
                <a:ext uri="{FF2B5EF4-FFF2-40B4-BE49-F238E27FC236}">
                  <a16:creationId xmlns="" xmlns:a16="http://schemas.microsoft.com/office/drawing/2014/main" id="{00000000-0008-0000-0E00-0000871C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8216" name="Group 125">
              <a:extLst>
                <a:ext uri="{FF2B5EF4-FFF2-40B4-BE49-F238E27FC236}">
                  <a16:creationId xmlns="" xmlns:a16="http://schemas.microsoft.com/office/drawing/2014/main" id="{00000000-0008-0000-0E00-0000881C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8217" name="Line 126">
                <a:extLst>
                  <a:ext uri="{FF2B5EF4-FFF2-40B4-BE49-F238E27FC236}">
                    <a16:creationId xmlns="" xmlns:a16="http://schemas.microsoft.com/office/drawing/2014/main" id="{00000000-0008-0000-0E00-0000891C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8218" name="Group 127">
                <a:extLst>
                  <a:ext uri="{FF2B5EF4-FFF2-40B4-BE49-F238E27FC236}">
                    <a16:creationId xmlns="" xmlns:a16="http://schemas.microsoft.com/office/drawing/2014/main" id="{00000000-0008-0000-0E00-00008A1C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8219" name="Line 128">
                  <a:extLst>
                    <a:ext uri="{FF2B5EF4-FFF2-40B4-BE49-F238E27FC236}">
                      <a16:creationId xmlns="" xmlns:a16="http://schemas.microsoft.com/office/drawing/2014/main" id="{00000000-0008-0000-0E00-00008B1C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8220" name="Line 129">
                  <a:extLst>
                    <a:ext uri="{FF2B5EF4-FFF2-40B4-BE49-F238E27FC236}">
                      <a16:creationId xmlns="" xmlns:a16="http://schemas.microsoft.com/office/drawing/2014/main" id="{00000000-0008-0000-0E00-00008C1C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8193" name="Group 130">
            <a:extLst>
              <a:ext uri="{FF2B5EF4-FFF2-40B4-BE49-F238E27FC236}">
                <a16:creationId xmlns="" xmlns:a16="http://schemas.microsoft.com/office/drawing/2014/main" id="{00000000-0008-0000-0E00-0000711C43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398209" name="Line 131">
              <a:extLst>
                <a:ext uri="{FF2B5EF4-FFF2-40B4-BE49-F238E27FC236}">
                  <a16:creationId xmlns="" xmlns:a16="http://schemas.microsoft.com/office/drawing/2014/main" id="{00000000-0008-0000-0E00-0000811C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8210" name="Group 132">
              <a:extLst>
                <a:ext uri="{FF2B5EF4-FFF2-40B4-BE49-F238E27FC236}">
                  <a16:creationId xmlns="" xmlns:a16="http://schemas.microsoft.com/office/drawing/2014/main" id="{00000000-0008-0000-0E00-0000821C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8211" name="Line 133">
                <a:extLst>
                  <a:ext uri="{FF2B5EF4-FFF2-40B4-BE49-F238E27FC236}">
                    <a16:creationId xmlns="" xmlns:a16="http://schemas.microsoft.com/office/drawing/2014/main" id="{00000000-0008-0000-0E00-0000831C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8212" name="Group 134">
                <a:extLst>
                  <a:ext uri="{FF2B5EF4-FFF2-40B4-BE49-F238E27FC236}">
                    <a16:creationId xmlns="" xmlns:a16="http://schemas.microsoft.com/office/drawing/2014/main" id="{00000000-0008-0000-0E00-0000841C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8213" name="Line 135">
                  <a:extLst>
                    <a:ext uri="{FF2B5EF4-FFF2-40B4-BE49-F238E27FC236}">
                      <a16:creationId xmlns="" xmlns:a16="http://schemas.microsoft.com/office/drawing/2014/main" id="{00000000-0008-0000-0E00-0000851C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8214" name="Line 136">
                  <a:extLst>
                    <a:ext uri="{FF2B5EF4-FFF2-40B4-BE49-F238E27FC236}">
                      <a16:creationId xmlns="" xmlns:a16="http://schemas.microsoft.com/office/drawing/2014/main" id="{00000000-0008-0000-0E00-0000861C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8194" name="Group 137">
            <a:extLst>
              <a:ext uri="{FF2B5EF4-FFF2-40B4-BE49-F238E27FC236}">
                <a16:creationId xmlns="" xmlns:a16="http://schemas.microsoft.com/office/drawing/2014/main" id="{00000000-0008-0000-0E00-0000721C43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398203" name="Line 138">
              <a:extLst>
                <a:ext uri="{FF2B5EF4-FFF2-40B4-BE49-F238E27FC236}">
                  <a16:creationId xmlns="" xmlns:a16="http://schemas.microsoft.com/office/drawing/2014/main" id="{00000000-0008-0000-0E00-00007B1C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8204" name="Group 139">
              <a:extLst>
                <a:ext uri="{FF2B5EF4-FFF2-40B4-BE49-F238E27FC236}">
                  <a16:creationId xmlns="" xmlns:a16="http://schemas.microsoft.com/office/drawing/2014/main" id="{00000000-0008-0000-0E00-00007C1C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8205" name="Line 140">
                <a:extLst>
                  <a:ext uri="{FF2B5EF4-FFF2-40B4-BE49-F238E27FC236}">
                    <a16:creationId xmlns="" xmlns:a16="http://schemas.microsoft.com/office/drawing/2014/main" id="{00000000-0008-0000-0E00-00007D1C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8206" name="Group 141">
                <a:extLst>
                  <a:ext uri="{FF2B5EF4-FFF2-40B4-BE49-F238E27FC236}">
                    <a16:creationId xmlns="" xmlns:a16="http://schemas.microsoft.com/office/drawing/2014/main" id="{00000000-0008-0000-0E00-00007E1C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8207" name="Line 142">
                  <a:extLst>
                    <a:ext uri="{FF2B5EF4-FFF2-40B4-BE49-F238E27FC236}">
                      <a16:creationId xmlns="" xmlns:a16="http://schemas.microsoft.com/office/drawing/2014/main" id="{00000000-0008-0000-0E00-00007F1C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8208" name="Line 143">
                  <a:extLst>
                    <a:ext uri="{FF2B5EF4-FFF2-40B4-BE49-F238E27FC236}">
                      <a16:creationId xmlns="" xmlns:a16="http://schemas.microsoft.com/office/drawing/2014/main" id="{00000000-0008-0000-0E00-0000801C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8195" name="Group 144">
            <a:extLst>
              <a:ext uri="{FF2B5EF4-FFF2-40B4-BE49-F238E27FC236}">
                <a16:creationId xmlns="" xmlns:a16="http://schemas.microsoft.com/office/drawing/2014/main" id="{00000000-0008-0000-0E00-0000731C43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398197" name="Line 145">
              <a:extLst>
                <a:ext uri="{FF2B5EF4-FFF2-40B4-BE49-F238E27FC236}">
                  <a16:creationId xmlns="" xmlns:a16="http://schemas.microsoft.com/office/drawing/2014/main" id="{00000000-0008-0000-0E00-0000751C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8198" name="Group 146">
              <a:extLst>
                <a:ext uri="{FF2B5EF4-FFF2-40B4-BE49-F238E27FC236}">
                  <a16:creationId xmlns="" xmlns:a16="http://schemas.microsoft.com/office/drawing/2014/main" id="{00000000-0008-0000-0E00-0000761C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8199" name="Line 147">
                <a:extLst>
                  <a:ext uri="{FF2B5EF4-FFF2-40B4-BE49-F238E27FC236}">
                    <a16:creationId xmlns="" xmlns:a16="http://schemas.microsoft.com/office/drawing/2014/main" id="{00000000-0008-0000-0E00-0000771C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8200" name="Group 148">
                <a:extLst>
                  <a:ext uri="{FF2B5EF4-FFF2-40B4-BE49-F238E27FC236}">
                    <a16:creationId xmlns="" xmlns:a16="http://schemas.microsoft.com/office/drawing/2014/main" id="{00000000-0008-0000-0E00-0000781C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8201" name="Line 149">
                  <a:extLst>
                    <a:ext uri="{FF2B5EF4-FFF2-40B4-BE49-F238E27FC236}">
                      <a16:creationId xmlns="" xmlns:a16="http://schemas.microsoft.com/office/drawing/2014/main" id="{00000000-0008-0000-0E00-0000791C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8202" name="Line 150">
                  <a:extLst>
                    <a:ext uri="{FF2B5EF4-FFF2-40B4-BE49-F238E27FC236}">
                      <a16:creationId xmlns="" xmlns:a16="http://schemas.microsoft.com/office/drawing/2014/main" id="{00000000-0008-0000-0E00-00007A1C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98196" name="Line 151">
            <a:extLst>
              <a:ext uri="{FF2B5EF4-FFF2-40B4-BE49-F238E27FC236}">
                <a16:creationId xmlns="" xmlns:a16="http://schemas.microsoft.com/office/drawing/2014/main" id="{00000000-0008-0000-0E00-0000741C43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276225</xdr:colOff>
      <xdr:row>17</xdr:row>
      <xdr:rowOff>295275</xdr:rowOff>
    </xdr:from>
    <xdr:to>
      <xdr:col>8</xdr:col>
      <xdr:colOff>742950</xdr:colOff>
      <xdr:row>17</xdr:row>
      <xdr:rowOff>295275</xdr:rowOff>
    </xdr:to>
    <xdr:sp macro="" textlink="">
      <xdr:nvSpPr>
        <xdr:cNvPr id="4398116" name="Line 152">
          <a:extLst>
            <a:ext uri="{FF2B5EF4-FFF2-40B4-BE49-F238E27FC236}">
              <a16:creationId xmlns="" xmlns:a16="http://schemas.microsoft.com/office/drawing/2014/main" id="{00000000-0008-0000-0E00-0000241C4300}"/>
            </a:ext>
          </a:extLst>
        </xdr:cNvPr>
        <xdr:cNvSpPr>
          <a:spLocks noChangeShapeType="1"/>
        </xdr:cNvSpPr>
      </xdr:nvSpPr>
      <xdr:spPr bwMode="auto">
        <a:xfrm flipV="1">
          <a:off x="6924675" y="6629400"/>
          <a:ext cx="466725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8</xdr:col>
      <xdr:colOff>276225</xdr:colOff>
      <xdr:row>15</xdr:row>
      <xdr:rowOff>180975</xdr:rowOff>
    </xdr:from>
    <xdr:to>
      <xdr:col>8</xdr:col>
      <xdr:colOff>276225</xdr:colOff>
      <xdr:row>28</xdr:row>
      <xdr:rowOff>47625</xdr:rowOff>
    </xdr:to>
    <xdr:sp macro="" textlink="">
      <xdr:nvSpPr>
        <xdr:cNvPr id="4398117" name="Line 153">
          <a:extLst>
            <a:ext uri="{FF2B5EF4-FFF2-40B4-BE49-F238E27FC236}">
              <a16:creationId xmlns="" xmlns:a16="http://schemas.microsoft.com/office/drawing/2014/main" id="{00000000-0008-0000-0E00-0000251C4300}"/>
            </a:ext>
          </a:extLst>
        </xdr:cNvPr>
        <xdr:cNvSpPr>
          <a:spLocks noChangeShapeType="1"/>
        </xdr:cNvSpPr>
      </xdr:nvSpPr>
      <xdr:spPr bwMode="auto">
        <a:xfrm>
          <a:off x="6924675" y="5867400"/>
          <a:ext cx="0" cy="407670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8</xdr:col>
      <xdr:colOff>285750</xdr:colOff>
      <xdr:row>18</xdr:row>
      <xdr:rowOff>314325</xdr:rowOff>
    </xdr:from>
    <xdr:to>
      <xdr:col>10</xdr:col>
      <xdr:colOff>152400</xdr:colOff>
      <xdr:row>18</xdr:row>
      <xdr:rowOff>314325</xdr:rowOff>
    </xdr:to>
    <xdr:sp macro="" textlink="">
      <xdr:nvSpPr>
        <xdr:cNvPr id="4398118" name="Line 154">
          <a:extLst>
            <a:ext uri="{FF2B5EF4-FFF2-40B4-BE49-F238E27FC236}">
              <a16:creationId xmlns="" xmlns:a16="http://schemas.microsoft.com/office/drawing/2014/main" id="{00000000-0008-0000-0E00-0000261C4300}"/>
            </a:ext>
          </a:extLst>
        </xdr:cNvPr>
        <xdr:cNvSpPr>
          <a:spLocks noChangeShapeType="1"/>
        </xdr:cNvSpPr>
      </xdr:nvSpPr>
      <xdr:spPr bwMode="auto">
        <a:xfrm>
          <a:off x="6934200" y="6972300"/>
          <a:ext cx="1847850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8</xdr:col>
      <xdr:colOff>276225</xdr:colOff>
      <xdr:row>19</xdr:row>
      <xdr:rowOff>314325</xdr:rowOff>
    </xdr:from>
    <xdr:to>
      <xdr:col>11</xdr:col>
      <xdr:colOff>342900</xdr:colOff>
      <xdr:row>19</xdr:row>
      <xdr:rowOff>314325</xdr:rowOff>
    </xdr:to>
    <xdr:sp macro="" textlink="">
      <xdr:nvSpPr>
        <xdr:cNvPr id="4398119" name="Line 155">
          <a:extLst>
            <a:ext uri="{FF2B5EF4-FFF2-40B4-BE49-F238E27FC236}">
              <a16:creationId xmlns="" xmlns:a16="http://schemas.microsoft.com/office/drawing/2014/main" id="{00000000-0008-0000-0E00-0000271C4300}"/>
            </a:ext>
          </a:extLst>
        </xdr:cNvPr>
        <xdr:cNvSpPr>
          <a:spLocks noChangeShapeType="1"/>
        </xdr:cNvSpPr>
      </xdr:nvSpPr>
      <xdr:spPr bwMode="auto">
        <a:xfrm>
          <a:off x="6924675" y="7296150"/>
          <a:ext cx="3038475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8</xdr:col>
      <xdr:colOff>285750</xdr:colOff>
      <xdr:row>20</xdr:row>
      <xdr:rowOff>314325</xdr:rowOff>
    </xdr:from>
    <xdr:to>
      <xdr:col>12</xdr:col>
      <xdr:colOff>180975</xdr:colOff>
      <xdr:row>20</xdr:row>
      <xdr:rowOff>314325</xdr:rowOff>
    </xdr:to>
    <xdr:sp macro="" textlink="">
      <xdr:nvSpPr>
        <xdr:cNvPr id="4398120" name="Line 156">
          <a:extLst>
            <a:ext uri="{FF2B5EF4-FFF2-40B4-BE49-F238E27FC236}">
              <a16:creationId xmlns="" xmlns:a16="http://schemas.microsoft.com/office/drawing/2014/main" id="{00000000-0008-0000-0E00-0000281C4300}"/>
            </a:ext>
          </a:extLst>
        </xdr:cNvPr>
        <xdr:cNvSpPr>
          <a:spLocks noChangeShapeType="1"/>
        </xdr:cNvSpPr>
      </xdr:nvSpPr>
      <xdr:spPr bwMode="auto">
        <a:xfrm flipH="1">
          <a:off x="6934200" y="7620000"/>
          <a:ext cx="4162425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8</xdr:col>
      <xdr:colOff>752475</xdr:colOff>
      <xdr:row>14</xdr:row>
      <xdr:rowOff>104775</xdr:rowOff>
    </xdr:from>
    <xdr:to>
      <xdr:col>8</xdr:col>
      <xdr:colOff>752475</xdr:colOff>
      <xdr:row>18</xdr:row>
      <xdr:rowOff>85725</xdr:rowOff>
    </xdr:to>
    <xdr:sp macro="" textlink="">
      <xdr:nvSpPr>
        <xdr:cNvPr id="4398121" name="Line 157">
          <a:extLst>
            <a:ext uri="{FF2B5EF4-FFF2-40B4-BE49-F238E27FC236}">
              <a16:creationId xmlns="" xmlns:a16="http://schemas.microsoft.com/office/drawing/2014/main" id="{00000000-0008-0000-0E00-0000291C4300}"/>
            </a:ext>
          </a:extLst>
        </xdr:cNvPr>
        <xdr:cNvSpPr>
          <a:spLocks noChangeShapeType="1"/>
        </xdr:cNvSpPr>
      </xdr:nvSpPr>
      <xdr:spPr bwMode="auto">
        <a:xfrm>
          <a:off x="7400925" y="5467350"/>
          <a:ext cx="0" cy="127635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8</xdr:col>
      <xdr:colOff>314325</xdr:colOff>
      <xdr:row>14</xdr:row>
      <xdr:rowOff>171450</xdr:rowOff>
    </xdr:from>
    <xdr:to>
      <xdr:col>8</xdr:col>
      <xdr:colOff>876300</xdr:colOff>
      <xdr:row>14</xdr:row>
      <xdr:rowOff>171450</xdr:rowOff>
    </xdr:to>
    <xdr:sp macro="" textlink="">
      <xdr:nvSpPr>
        <xdr:cNvPr id="4398122" name="Line 158">
          <a:extLst>
            <a:ext uri="{FF2B5EF4-FFF2-40B4-BE49-F238E27FC236}">
              <a16:creationId xmlns="" xmlns:a16="http://schemas.microsoft.com/office/drawing/2014/main" id="{00000000-0008-0000-0E00-00002A1C4300}"/>
            </a:ext>
          </a:extLst>
        </xdr:cNvPr>
        <xdr:cNvSpPr>
          <a:spLocks noChangeShapeType="1"/>
        </xdr:cNvSpPr>
      </xdr:nvSpPr>
      <xdr:spPr bwMode="auto">
        <a:xfrm>
          <a:off x="6962775" y="5534025"/>
          <a:ext cx="56197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10</xdr:col>
      <xdr:colOff>142875</xdr:colOff>
      <xdr:row>14</xdr:row>
      <xdr:rowOff>85725</xdr:rowOff>
    </xdr:from>
    <xdr:to>
      <xdr:col>10</xdr:col>
      <xdr:colOff>152400</xdr:colOff>
      <xdr:row>19</xdr:row>
      <xdr:rowOff>28575</xdr:rowOff>
    </xdr:to>
    <xdr:sp macro="" textlink="">
      <xdr:nvSpPr>
        <xdr:cNvPr id="4398123" name="Line 159">
          <a:extLst>
            <a:ext uri="{FF2B5EF4-FFF2-40B4-BE49-F238E27FC236}">
              <a16:creationId xmlns="" xmlns:a16="http://schemas.microsoft.com/office/drawing/2014/main" id="{00000000-0008-0000-0E00-00002B1C4300}"/>
            </a:ext>
          </a:extLst>
        </xdr:cNvPr>
        <xdr:cNvSpPr>
          <a:spLocks noChangeShapeType="1"/>
        </xdr:cNvSpPr>
      </xdr:nvSpPr>
      <xdr:spPr bwMode="auto">
        <a:xfrm flipH="1">
          <a:off x="8772525" y="5448300"/>
          <a:ext cx="9525" cy="156210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9</xdr:col>
      <xdr:colOff>371475</xdr:colOff>
      <xdr:row>14</xdr:row>
      <xdr:rowOff>180975</xdr:rowOff>
    </xdr:from>
    <xdr:to>
      <xdr:col>10</xdr:col>
      <xdr:colOff>590550</xdr:colOff>
      <xdr:row>14</xdr:row>
      <xdr:rowOff>180975</xdr:rowOff>
    </xdr:to>
    <xdr:sp macro="" textlink="">
      <xdr:nvSpPr>
        <xdr:cNvPr id="4398124" name="Line 160">
          <a:extLst>
            <a:ext uri="{FF2B5EF4-FFF2-40B4-BE49-F238E27FC236}">
              <a16:creationId xmlns="" xmlns:a16="http://schemas.microsoft.com/office/drawing/2014/main" id="{00000000-0008-0000-0E00-00002C1C4300}"/>
            </a:ext>
          </a:extLst>
        </xdr:cNvPr>
        <xdr:cNvSpPr>
          <a:spLocks noChangeShapeType="1"/>
        </xdr:cNvSpPr>
      </xdr:nvSpPr>
      <xdr:spPr bwMode="auto">
        <a:xfrm>
          <a:off x="8010525" y="5543550"/>
          <a:ext cx="120967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11</xdr:col>
      <xdr:colOff>276225</xdr:colOff>
      <xdr:row>14</xdr:row>
      <xdr:rowOff>104775</xdr:rowOff>
    </xdr:from>
    <xdr:to>
      <xdr:col>11</xdr:col>
      <xdr:colOff>314325</xdr:colOff>
      <xdr:row>20</xdr:row>
      <xdr:rowOff>95250</xdr:rowOff>
    </xdr:to>
    <xdr:grpSp>
      <xdr:nvGrpSpPr>
        <xdr:cNvPr id="4398125" name="Group 161">
          <a:extLst>
            <a:ext uri="{FF2B5EF4-FFF2-40B4-BE49-F238E27FC236}">
              <a16:creationId xmlns="" xmlns:a16="http://schemas.microsoft.com/office/drawing/2014/main" id="{00000000-0008-0000-0E00-00002D1C4300}"/>
            </a:ext>
          </a:extLst>
        </xdr:cNvPr>
        <xdr:cNvGrpSpPr>
          <a:grpSpLocks/>
        </xdr:cNvGrpSpPr>
      </xdr:nvGrpSpPr>
      <xdr:grpSpPr bwMode="auto">
        <a:xfrm flipH="1">
          <a:off x="9896475" y="5467350"/>
          <a:ext cx="38100" cy="1933575"/>
          <a:chOff x="759" y="438"/>
          <a:chExt cx="10" cy="121"/>
        </a:xfrm>
      </xdr:grpSpPr>
      <xdr:sp macro="" textlink="">
        <xdr:nvSpPr>
          <xdr:cNvPr id="4398180" name="Line 162">
            <a:extLst>
              <a:ext uri="{FF2B5EF4-FFF2-40B4-BE49-F238E27FC236}">
                <a16:creationId xmlns="" xmlns:a16="http://schemas.microsoft.com/office/drawing/2014/main" id="{00000000-0008-0000-0E00-0000641C43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8181" name="Line 163">
            <a:extLst>
              <a:ext uri="{FF2B5EF4-FFF2-40B4-BE49-F238E27FC236}">
                <a16:creationId xmlns="" xmlns:a16="http://schemas.microsoft.com/office/drawing/2014/main" id="{00000000-0008-0000-0E00-0000651C43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76200</xdr:colOff>
      <xdr:row>14</xdr:row>
      <xdr:rowOff>114300</xdr:rowOff>
    </xdr:from>
    <xdr:to>
      <xdr:col>12</xdr:col>
      <xdr:colOff>285750</xdr:colOff>
      <xdr:row>21</xdr:row>
      <xdr:rowOff>123825</xdr:rowOff>
    </xdr:to>
    <xdr:grpSp>
      <xdr:nvGrpSpPr>
        <xdr:cNvPr id="4398126" name="Group 164">
          <a:extLst>
            <a:ext uri="{FF2B5EF4-FFF2-40B4-BE49-F238E27FC236}">
              <a16:creationId xmlns="" xmlns:a16="http://schemas.microsoft.com/office/drawing/2014/main" id="{00000000-0008-0000-0E00-00002E1C4300}"/>
            </a:ext>
          </a:extLst>
        </xdr:cNvPr>
        <xdr:cNvGrpSpPr>
          <a:grpSpLocks/>
        </xdr:cNvGrpSpPr>
      </xdr:nvGrpSpPr>
      <xdr:grpSpPr bwMode="auto">
        <a:xfrm>
          <a:off x="10991850" y="5476875"/>
          <a:ext cx="209550" cy="2276475"/>
          <a:chOff x="842" y="438"/>
          <a:chExt cx="10" cy="147"/>
        </a:xfrm>
      </xdr:grpSpPr>
      <xdr:sp macro="" textlink="">
        <xdr:nvSpPr>
          <xdr:cNvPr id="4398178" name="Line 165">
            <a:extLst>
              <a:ext uri="{FF2B5EF4-FFF2-40B4-BE49-F238E27FC236}">
                <a16:creationId xmlns="" xmlns:a16="http://schemas.microsoft.com/office/drawing/2014/main" id="{00000000-0008-0000-0E00-0000621C43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8179" name="Line 166">
            <a:extLst>
              <a:ext uri="{FF2B5EF4-FFF2-40B4-BE49-F238E27FC236}">
                <a16:creationId xmlns="" xmlns:a16="http://schemas.microsoft.com/office/drawing/2014/main" id="{00000000-0008-0000-0E00-0000631C43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276225</xdr:colOff>
      <xdr:row>14</xdr:row>
      <xdr:rowOff>47625</xdr:rowOff>
    </xdr:from>
    <xdr:to>
      <xdr:col>16</xdr:col>
      <xdr:colOff>581025</xdr:colOff>
      <xdr:row>15</xdr:row>
      <xdr:rowOff>123825</xdr:rowOff>
    </xdr:to>
    <xdr:sp macro="" textlink="">
      <xdr:nvSpPr>
        <xdr:cNvPr id="4398127" name="Rectangle 167">
          <a:extLst>
            <a:ext uri="{FF2B5EF4-FFF2-40B4-BE49-F238E27FC236}">
              <a16:creationId xmlns="" xmlns:a16="http://schemas.microsoft.com/office/drawing/2014/main" id="{00000000-0008-0000-0E00-00002F1C4300}"/>
            </a:ext>
          </a:extLst>
        </xdr:cNvPr>
        <xdr:cNvSpPr>
          <a:spLocks noChangeArrowheads="1"/>
        </xdr:cNvSpPr>
      </xdr:nvSpPr>
      <xdr:spPr bwMode="auto">
        <a:xfrm>
          <a:off x="6924675" y="5410200"/>
          <a:ext cx="8553450" cy="400050"/>
        </a:xfrm>
        <a:prstGeom prst="rect">
          <a:avLst/>
        </a:prstGeom>
        <a:noFill/>
        <a:ln w="158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152400</xdr:colOff>
      <xdr:row>14</xdr:row>
      <xdr:rowOff>85725</xdr:rowOff>
    </xdr:from>
    <xdr:to>
      <xdr:col>16</xdr:col>
      <xdr:colOff>152400</xdr:colOff>
      <xdr:row>27</xdr:row>
      <xdr:rowOff>314325</xdr:rowOff>
    </xdr:to>
    <xdr:sp macro="" textlink="">
      <xdr:nvSpPr>
        <xdr:cNvPr id="4398128" name="Line 168">
          <a:extLst>
            <a:ext uri="{FF2B5EF4-FFF2-40B4-BE49-F238E27FC236}">
              <a16:creationId xmlns="" xmlns:a16="http://schemas.microsoft.com/office/drawing/2014/main" id="{00000000-0008-0000-0E00-0000301C4300}"/>
            </a:ext>
          </a:extLst>
        </xdr:cNvPr>
        <xdr:cNvSpPr>
          <a:spLocks noChangeShapeType="1"/>
        </xdr:cNvSpPr>
      </xdr:nvSpPr>
      <xdr:spPr bwMode="auto">
        <a:xfrm>
          <a:off x="15049500" y="5448300"/>
          <a:ext cx="0" cy="443865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13</xdr:col>
      <xdr:colOff>809625</xdr:colOff>
      <xdr:row>14</xdr:row>
      <xdr:rowOff>180975</xdr:rowOff>
    </xdr:from>
    <xdr:to>
      <xdr:col>14</xdr:col>
      <xdr:colOff>9525</xdr:colOff>
      <xdr:row>14</xdr:row>
      <xdr:rowOff>180975</xdr:rowOff>
    </xdr:to>
    <xdr:sp macro="" textlink="">
      <xdr:nvSpPr>
        <xdr:cNvPr id="4398129" name="Line 169">
          <a:extLst>
            <a:ext uri="{FF2B5EF4-FFF2-40B4-BE49-F238E27FC236}">
              <a16:creationId xmlns="" xmlns:a16="http://schemas.microsoft.com/office/drawing/2014/main" id="{00000000-0008-0000-0E00-0000311C4300}"/>
            </a:ext>
          </a:extLst>
        </xdr:cNvPr>
        <xdr:cNvSpPr>
          <a:spLocks noChangeShapeType="1"/>
        </xdr:cNvSpPr>
      </xdr:nvSpPr>
      <xdr:spPr bwMode="auto">
        <a:xfrm>
          <a:off x="12715875" y="5543550"/>
          <a:ext cx="23812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8</xdr:col>
      <xdr:colOff>266700</xdr:colOff>
      <xdr:row>27</xdr:row>
      <xdr:rowOff>76200</xdr:rowOff>
    </xdr:from>
    <xdr:to>
      <xdr:col>16</xdr:col>
      <xdr:colOff>142875</xdr:colOff>
      <xdr:row>27</xdr:row>
      <xdr:rowOff>76200</xdr:rowOff>
    </xdr:to>
    <xdr:sp macro="" textlink="">
      <xdr:nvSpPr>
        <xdr:cNvPr id="4398130" name="Line 170">
          <a:extLst>
            <a:ext uri="{FF2B5EF4-FFF2-40B4-BE49-F238E27FC236}">
              <a16:creationId xmlns="" xmlns:a16="http://schemas.microsoft.com/office/drawing/2014/main" id="{00000000-0008-0000-0E00-0000321C4300}"/>
            </a:ext>
          </a:extLst>
        </xdr:cNvPr>
        <xdr:cNvSpPr>
          <a:spLocks noChangeShapeType="1"/>
        </xdr:cNvSpPr>
      </xdr:nvSpPr>
      <xdr:spPr bwMode="auto">
        <a:xfrm flipV="1">
          <a:off x="6915150" y="9648825"/>
          <a:ext cx="8124825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13</xdr:col>
      <xdr:colOff>123825</xdr:colOff>
      <xdr:row>14</xdr:row>
      <xdr:rowOff>104775</xdr:rowOff>
    </xdr:from>
    <xdr:to>
      <xdr:col>13</xdr:col>
      <xdr:colOff>152400</xdr:colOff>
      <xdr:row>22</xdr:row>
      <xdr:rowOff>171450</xdr:rowOff>
    </xdr:to>
    <xdr:grpSp>
      <xdr:nvGrpSpPr>
        <xdr:cNvPr id="4398131" name="Group 171">
          <a:extLst>
            <a:ext uri="{FF2B5EF4-FFF2-40B4-BE49-F238E27FC236}">
              <a16:creationId xmlns="" xmlns:a16="http://schemas.microsoft.com/office/drawing/2014/main" id="{00000000-0008-0000-0E00-0000331C4300}"/>
            </a:ext>
          </a:extLst>
        </xdr:cNvPr>
        <xdr:cNvGrpSpPr>
          <a:grpSpLocks/>
        </xdr:cNvGrpSpPr>
      </xdr:nvGrpSpPr>
      <xdr:grpSpPr bwMode="auto">
        <a:xfrm flipH="1">
          <a:off x="12030075" y="5467350"/>
          <a:ext cx="28575" cy="2657475"/>
          <a:chOff x="912" y="438"/>
          <a:chExt cx="11" cy="175"/>
        </a:xfrm>
      </xdr:grpSpPr>
      <xdr:sp macro="" textlink="">
        <xdr:nvSpPr>
          <xdr:cNvPr id="4398176" name="Line 172">
            <a:extLst>
              <a:ext uri="{FF2B5EF4-FFF2-40B4-BE49-F238E27FC236}">
                <a16:creationId xmlns="" xmlns:a16="http://schemas.microsoft.com/office/drawing/2014/main" id="{00000000-0008-0000-0E00-0000601C43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8177" name="Line 173">
            <a:extLst>
              <a:ext uri="{FF2B5EF4-FFF2-40B4-BE49-F238E27FC236}">
                <a16:creationId xmlns="" xmlns:a16="http://schemas.microsoft.com/office/drawing/2014/main" id="{00000000-0008-0000-0E00-0000611C43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266700</xdr:colOff>
      <xdr:row>22</xdr:row>
      <xdr:rowOff>76200</xdr:rowOff>
    </xdr:from>
    <xdr:to>
      <xdr:col>13</xdr:col>
      <xdr:colOff>123825</xdr:colOff>
      <xdr:row>22</xdr:row>
      <xdr:rowOff>76200</xdr:rowOff>
    </xdr:to>
    <xdr:sp macro="" textlink="">
      <xdr:nvSpPr>
        <xdr:cNvPr id="4398132" name="Line 174">
          <a:extLst>
            <a:ext uri="{FF2B5EF4-FFF2-40B4-BE49-F238E27FC236}">
              <a16:creationId xmlns="" xmlns:a16="http://schemas.microsoft.com/office/drawing/2014/main" id="{00000000-0008-0000-0E00-0000341C4300}"/>
            </a:ext>
          </a:extLst>
        </xdr:cNvPr>
        <xdr:cNvSpPr>
          <a:spLocks noChangeShapeType="1"/>
        </xdr:cNvSpPr>
      </xdr:nvSpPr>
      <xdr:spPr bwMode="auto">
        <a:xfrm flipH="1">
          <a:off x="6915150" y="8029575"/>
          <a:ext cx="5114925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8</xdr:col>
      <xdr:colOff>266700</xdr:colOff>
      <xdr:row>24</xdr:row>
      <xdr:rowOff>47625</xdr:rowOff>
    </xdr:from>
    <xdr:to>
      <xdr:col>14</xdr:col>
      <xdr:colOff>0</xdr:colOff>
      <xdr:row>24</xdr:row>
      <xdr:rowOff>57150</xdr:rowOff>
    </xdr:to>
    <xdr:sp macro="" textlink="">
      <xdr:nvSpPr>
        <xdr:cNvPr id="4398133" name="Line 175">
          <a:extLst>
            <a:ext uri="{FF2B5EF4-FFF2-40B4-BE49-F238E27FC236}">
              <a16:creationId xmlns="" xmlns:a16="http://schemas.microsoft.com/office/drawing/2014/main" id="{00000000-0008-0000-0E00-0000351C4300}"/>
            </a:ext>
          </a:extLst>
        </xdr:cNvPr>
        <xdr:cNvSpPr>
          <a:spLocks noChangeShapeType="1"/>
        </xdr:cNvSpPr>
      </xdr:nvSpPr>
      <xdr:spPr bwMode="auto">
        <a:xfrm flipH="1" flipV="1">
          <a:off x="6915150" y="8648700"/>
          <a:ext cx="6029325" cy="9525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8</xdr:col>
      <xdr:colOff>266700</xdr:colOff>
      <xdr:row>25</xdr:row>
      <xdr:rowOff>123825</xdr:rowOff>
    </xdr:from>
    <xdr:to>
      <xdr:col>15</xdr:col>
      <xdr:colOff>95250</xdr:colOff>
      <xdr:row>25</xdr:row>
      <xdr:rowOff>123825</xdr:rowOff>
    </xdr:to>
    <xdr:sp macro="" textlink="">
      <xdr:nvSpPr>
        <xdr:cNvPr id="4398134" name="Line 176">
          <a:extLst>
            <a:ext uri="{FF2B5EF4-FFF2-40B4-BE49-F238E27FC236}">
              <a16:creationId xmlns="" xmlns:a16="http://schemas.microsoft.com/office/drawing/2014/main" id="{00000000-0008-0000-0E00-0000361C4300}"/>
            </a:ext>
          </a:extLst>
        </xdr:cNvPr>
        <xdr:cNvSpPr>
          <a:spLocks noChangeShapeType="1"/>
        </xdr:cNvSpPr>
      </xdr:nvSpPr>
      <xdr:spPr bwMode="auto">
        <a:xfrm flipH="1">
          <a:off x="6915150" y="9048750"/>
          <a:ext cx="7086600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13</xdr:col>
      <xdr:colOff>1028700</xdr:colOff>
      <xdr:row>14</xdr:row>
      <xdr:rowOff>104775</xdr:rowOff>
    </xdr:from>
    <xdr:to>
      <xdr:col>14</xdr:col>
      <xdr:colOff>19050</xdr:colOff>
      <xdr:row>24</xdr:row>
      <xdr:rowOff>95250</xdr:rowOff>
    </xdr:to>
    <xdr:grpSp>
      <xdr:nvGrpSpPr>
        <xdr:cNvPr id="4398135" name="Group 177">
          <a:extLst>
            <a:ext uri="{FF2B5EF4-FFF2-40B4-BE49-F238E27FC236}">
              <a16:creationId xmlns="" xmlns:a16="http://schemas.microsoft.com/office/drawing/2014/main" id="{00000000-0008-0000-0E00-0000371C4300}"/>
            </a:ext>
          </a:extLst>
        </xdr:cNvPr>
        <xdr:cNvGrpSpPr>
          <a:grpSpLocks/>
        </xdr:cNvGrpSpPr>
      </xdr:nvGrpSpPr>
      <xdr:grpSpPr bwMode="auto">
        <a:xfrm>
          <a:off x="12934950" y="5467350"/>
          <a:ext cx="28575" cy="3228975"/>
          <a:chOff x="912" y="438"/>
          <a:chExt cx="11" cy="175"/>
        </a:xfrm>
      </xdr:grpSpPr>
      <xdr:sp macro="" textlink="">
        <xdr:nvSpPr>
          <xdr:cNvPr id="4398174" name="Line 178">
            <a:extLst>
              <a:ext uri="{FF2B5EF4-FFF2-40B4-BE49-F238E27FC236}">
                <a16:creationId xmlns="" xmlns:a16="http://schemas.microsoft.com/office/drawing/2014/main" id="{00000000-0008-0000-0E00-00005E1C43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8175" name="Line 179">
            <a:extLst>
              <a:ext uri="{FF2B5EF4-FFF2-40B4-BE49-F238E27FC236}">
                <a16:creationId xmlns="" xmlns:a16="http://schemas.microsoft.com/office/drawing/2014/main" id="{00000000-0008-0000-0E00-00005F1C43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15</xdr:col>
      <xdr:colOff>76200</xdr:colOff>
      <xdr:row>14</xdr:row>
      <xdr:rowOff>104775</xdr:rowOff>
    </xdr:from>
    <xdr:to>
      <xdr:col>15</xdr:col>
      <xdr:colOff>114300</xdr:colOff>
      <xdr:row>25</xdr:row>
      <xdr:rowOff>142875</xdr:rowOff>
    </xdr:to>
    <xdr:grpSp>
      <xdr:nvGrpSpPr>
        <xdr:cNvPr id="4398136" name="Group 180">
          <a:extLst>
            <a:ext uri="{FF2B5EF4-FFF2-40B4-BE49-F238E27FC236}">
              <a16:creationId xmlns="" xmlns:a16="http://schemas.microsoft.com/office/drawing/2014/main" id="{00000000-0008-0000-0E00-0000381C4300}"/>
            </a:ext>
          </a:extLst>
        </xdr:cNvPr>
        <xdr:cNvGrpSpPr>
          <a:grpSpLocks/>
        </xdr:cNvGrpSpPr>
      </xdr:nvGrpSpPr>
      <xdr:grpSpPr bwMode="auto">
        <a:xfrm>
          <a:off x="13982700" y="5467350"/>
          <a:ext cx="38100" cy="3600450"/>
          <a:chOff x="912" y="438"/>
          <a:chExt cx="11" cy="175"/>
        </a:xfrm>
      </xdr:grpSpPr>
      <xdr:sp macro="" textlink="">
        <xdr:nvSpPr>
          <xdr:cNvPr id="4398172" name="Line 181">
            <a:extLst>
              <a:ext uri="{FF2B5EF4-FFF2-40B4-BE49-F238E27FC236}">
                <a16:creationId xmlns="" xmlns:a16="http://schemas.microsoft.com/office/drawing/2014/main" id="{00000000-0008-0000-0E00-00005C1C43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8173" name="Line 182">
            <a:extLst>
              <a:ext uri="{FF2B5EF4-FFF2-40B4-BE49-F238E27FC236}">
                <a16:creationId xmlns="" xmlns:a16="http://schemas.microsoft.com/office/drawing/2014/main" id="{00000000-0008-0000-0E00-00005D1C43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16</xdr:col>
      <xdr:colOff>28575</xdr:colOff>
      <xdr:row>14</xdr:row>
      <xdr:rowOff>180975</xdr:rowOff>
    </xdr:from>
    <xdr:to>
      <xdr:col>16</xdr:col>
      <xdr:colOff>266700</xdr:colOff>
      <xdr:row>14</xdr:row>
      <xdr:rowOff>180975</xdr:rowOff>
    </xdr:to>
    <xdr:sp macro="" textlink="">
      <xdr:nvSpPr>
        <xdr:cNvPr id="4398137" name="Line 183">
          <a:extLst>
            <a:ext uri="{FF2B5EF4-FFF2-40B4-BE49-F238E27FC236}">
              <a16:creationId xmlns="" xmlns:a16="http://schemas.microsoft.com/office/drawing/2014/main" id="{00000000-0008-0000-0E00-0000391C4300}"/>
            </a:ext>
          </a:extLst>
        </xdr:cNvPr>
        <xdr:cNvSpPr>
          <a:spLocks noChangeShapeType="1"/>
        </xdr:cNvSpPr>
      </xdr:nvSpPr>
      <xdr:spPr bwMode="auto">
        <a:xfrm>
          <a:off x="14925675" y="5543550"/>
          <a:ext cx="23812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8</xdr:col>
      <xdr:colOff>247650</xdr:colOff>
      <xdr:row>33</xdr:row>
      <xdr:rowOff>219075</xdr:rowOff>
    </xdr:from>
    <xdr:to>
      <xdr:col>13</xdr:col>
      <xdr:colOff>247650</xdr:colOff>
      <xdr:row>52</xdr:row>
      <xdr:rowOff>123825</xdr:rowOff>
    </xdr:to>
    <xdr:grpSp>
      <xdr:nvGrpSpPr>
        <xdr:cNvPr id="4398138" name="Gruppo 216">
          <a:extLst>
            <a:ext uri="{FF2B5EF4-FFF2-40B4-BE49-F238E27FC236}">
              <a16:creationId xmlns="" xmlns:a16="http://schemas.microsoft.com/office/drawing/2014/main" id="{00000000-0008-0000-0E00-00003A1C4300}"/>
            </a:ext>
          </a:extLst>
        </xdr:cNvPr>
        <xdr:cNvGrpSpPr>
          <a:grpSpLocks/>
        </xdr:cNvGrpSpPr>
      </xdr:nvGrpSpPr>
      <xdr:grpSpPr bwMode="auto">
        <a:xfrm>
          <a:off x="6896100" y="11734800"/>
          <a:ext cx="5257800" cy="6057900"/>
          <a:chOff x="6891338" y="11572875"/>
          <a:chExt cx="5286375" cy="6238875"/>
        </a:xfrm>
      </xdr:grpSpPr>
      <xdr:sp macro="" textlink="">
        <xdr:nvSpPr>
          <xdr:cNvPr id="4398139" name="Line 184">
            <a:extLst>
              <a:ext uri="{FF2B5EF4-FFF2-40B4-BE49-F238E27FC236}">
                <a16:creationId xmlns="" xmlns:a16="http://schemas.microsoft.com/office/drawing/2014/main" id="{00000000-0008-0000-0E00-00003B1C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7396163" y="16478250"/>
            <a:ext cx="0" cy="247650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98140" name="Line 185">
            <a:extLst>
              <a:ext uri="{FF2B5EF4-FFF2-40B4-BE49-F238E27FC236}">
                <a16:creationId xmlns="" xmlns:a16="http://schemas.microsoft.com/office/drawing/2014/main" id="{00000000-0008-0000-0E00-00003C1C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1444288" y="12277725"/>
            <a:ext cx="19050" cy="219075"/>
          </a:xfrm>
          <a:prstGeom prst="line">
            <a:avLst/>
          </a:prstGeom>
          <a:noFill/>
          <a:ln w="9525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98141" name="Line 186">
            <a:extLst>
              <a:ext uri="{FF2B5EF4-FFF2-40B4-BE49-F238E27FC236}">
                <a16:creationId xmlns="" xmlns:a16="http://schemas.microsoft.com/office/drawing/2014/main" id="{00000000-0008-0000-0E00-00003D1C4300}"/>
              </a:ext>
            </a:extLst>
          </xdr:cNvPr>
          <xdr:cNvSpPr>
            <a:spLocks noChangeShapeType="1"/>
          </xdr:cNvSpPr>
        </xdr:nvSpPr>
        <xdr:spPr bwMode="auto">
          <a:xfrm>
            <a:off x="7462838" y="14192250"/>
            <a:ext cx="0" cy="257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8142" name="Line 187">
            <a:extLst>
              <a:ext uri="{FF2B5EF4-FFF2-40B4-BE49-F238E27FC236}">
                <a16:creationId xmlns="" xmlns:a16="http://schemas.microsoft.com/office/drawing/2014/main" id="{00000000-0008-0000-0E00-00003E1C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1482388" y="14211300"/>
            <a:ext cx="0" cy="13335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8143" name="Line 188">
            <a:extLst>
              <a:ext uri="{FF2B5EF4-FFF2-40B4-BE49-F238E27FC236}">
                <a16:creationId xmlns="" xmlns:a16="http://schemas.microsoft.com/office/drawing/2014/main" id="{00000000-0008-0000-0E00-00003F1C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1482388" y="15211425"/>
            <a:ext cx="0" cy="15240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8144" name="Line 189">
            <a:extLst>
              <a:ext uri="{FF2B5EF4-FFF2-40B4-BE49-F238E27FC236}">
                <a16:creationId xmlns="" xmlns:a16="http://schemas.microsoft.com/office/drawing/2014/main" id="{00000000-0008-0000-0E00-0000401C4300}"/>
              </a:ext>
            </a:extLst>
          </xdr:cNvPr>
          <xdr:cNvSpPr>
            <a:spLocks noChangeShapeType="1"/>
          </xdr:cNvSpPr>
        </xdr:nvSpPr>
        <xdr:spPr bwMode="auto">
          <a:xfrm>
            <a:off x="7386638" y="15163800"/>
            <a:ext cx="0" cy="45720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8145" name="Line 190">
            <a:extLst>
              <a:ext uri="{FF2B5EF4-FFF2-40B4-BE49-F238E27FC236}">
                <a16:creationId xmlns="" xmlns:a16="http://schemas.microsoft.com/office/drawing/2014/main" id="{00000000-0008-0000-0E00-0000411C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558463" y="11572875"/>
            <a:ext cx="0" cy="361950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 type="triangle" w="lg" len="lg"/>
          </a:ln>
        </xdr:spPr>
      </xdr:sp>
      <xdr:sp macro="" textlink="">
        <xdr:nvSpPr>
          <xdr:cNvPr id="4398146" name="Line 191">
            <a:extLst>
              <a:ext uri="{FF2B5EF4-FFF2-40B4-BE49-F238E27FC236}">
                <a16:creationId xmlns="" xmlns:a16="http://schemas.microsoft.com/office/drawing/2014/main" id="{00000000-0008-0000-0E00-0000421C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234613" y="11906250"/>
            <a:ext cx="0" cy="230505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 type="triangle" w="lg" len="lg"/>
          </a:ln>
        </xdr:spPr>
      </xdr:sp>
      <xdr:sp macro="" textlink="">
        <xdr:nvSpPr>
          <xdr:cNvPr id="4398147" name="Line 192">
            <a:extLst>
              <a:ext uri="{FF2B5EF4-FFF2-40B4-BE49-F238E27FC236}">
                <a16:creationId xmlns="" xmlns:a16="http://schemas.microsoft.com/office/drawing/2014/main" id="{00000000-0008-0000-0E00-0000431C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872663" y="12239625"/>
            <a:ext cx="85725" cy="5534025"/>
          </a:xfrm>
          <a:prstGeom prst="line">
            <a:avLst/>
          </a:prstGeom>
          <a:noFill/>
          <a:ln w="25400">
            <a:solidFill>
              <a:srgbClr val="FF0000"/>
            </a:solidFill>
            <a:round/>
            <a:headEnd/>
            <a:tailEnd type="triangle" w="lg" len="lg"/>
          </a:ln>
        </xdr:spPr>
      </xdr:sp>
      <xdr:sp macro="" textlink="">
        <xdr:nvSpPr>
          <xdr:cNvPr id="4398148" name="Line 193">
            <a:extLst>
              <a:ext uri="{FF2B5EF4-FFF2-40B4-BE49-F238E27FC236}">
                <a16:creationId xmlns="" xmlns:a16="http://schemas.microsoft.com/office/drawing/2014/main" id="{00000000-0008-0000-0E00-0000441C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8405813" y="17811750"/>
            <a:ext cx="1514475" cy="0"/>
          </a:xfrm>
          <a:prstGeom prst="line">
            <a:avLst/>
          </a:prstGeom>
          <a:noFill/>
          <a:ln w="25400">
            <a:solidFill>
              <a:srgbClr val="FF0000"/>
            </a:solidFill>
            <a:round/>
            <a:headEnd/>
            <a:tailEnd type="triangle" w="lg" len="lg"/>
          </a:ln>
        </xdr:spPr>
      </xdr:sp>
      <xdr:sp macro="" textlink="">
        <xdr:nvSpPr>
          <xdr:cNvPr id="4398149" name="Line 194">
            <a:extLst>
              <a:ext uri="{FF2B5EF4-FFF2-40B4-BE49-F238E27FC236}">
                <a16:creationId xmlns="" xmlns:a16="http://schemas.microsoft.com/office/drawing/2014/main" id="{00000000-0008-0000-0E00-0000451C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8453438" y="16573500"/>
            <a:ext cx="9525" cy="1200150"/>
          </a:xfrm>
          <a:prstGeom prst="line">
            <a:avLst/>
          </a:prstGeom>
          <a:noFill/>
          <a:ln w="25400">
            <a:solidFill>
              <a:srgbClr val="FF0000"/>
            </a:solidFill>
            <a:round/>
            <a:headEnd/>
            <a:tailEnd type="triangle" w="lg" len="lg"/>
          </a:ln>
        </xdr:spPr>
      </xdr:sp>
      <xdr:sp macro="" textlink="">
        <xdr:nvSpPr>
          <xdr:cNvPr id="4398150" name="Line 195">
            <a:extLst>
              <a:ext uri="{FF2B5EF4-FFF2-40B4-BE49-F238E27FC236}">
                <a16:creationId xmlns="" xmlns:a16="http://schemas.microsoft.com/office/drawing/2014/main" id="{00000000-0008-0000-0E00-0000461C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424738" y="16563975"/>
            <a:ext cx="1009650" cy="0"/>
          </a:xfrm>
          <a:prstGeom prst="line">
            <a:avLst/>
          </a:prstGeom>
          <a:noFill/>
          <a:ln w="25400">
            <a:solidFill>
              <a:srgbClr val="FF0000"/>
            </a:solidFill>
            <a:round/>
            <a:headEnd/>
            <a:tailEnd type="triangle" w="lg" len="lg"/>
          </a:ln>
        </xdr:spPr>
      </xdr:sp>
      <xdr:sp macro="" textlink="">
        <xdr:nvSpPr>
          <xdr:cNvPr id="4398151" name="Line 196">
            <a:extLst>
              <a:ext uri="{FF2B5EF4-FFF2-40B4-BE49-F238E27FC236}">
                <a16:creationId xmlns="" xmlns:a16="http://schemas.microsoft.com/office/drawing/2014/main" id="{00000000-0008-0000-0E00-0000471C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8824913" y="11591925"/>
            <a:ext cx="1733550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 type="triangle" w="lg" len="lg"/>
          </a:ln>
        </xdr:spPr>
      </xdr:sp>
      <xdr:sp macro="" textlink="">
        <xdr:nvSpPr>
          <xdr:cNvPr id="4398152" name="Line 197">
            <a:extLst>
              <a:ext uri="{FF2B5EF4-FFF2-40B4-BE49-F238E27FC236}">
                <a16:creationId xmlns="" xmlns:a16="http://schemas.microsoft.com/office/drawing/2014/main" id="{00000000-0008-0000-0E00-0000481C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8843963" y="11677650"/>
            <a:ext cx="9525" cy="3514725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 type="triangle" w="lg" len="lg"/>
          </a:ln>
        </xdr:spPr>
      </xdr:sp>
      <xdr:sp macro="" textlink="">
        <xdr:nvSpPr>
          <xdr:cNvPr id="4398153" name="Line 198">
            <a:extLst>
              <a:ext uri="{FF2B5EF4-FFF2-40B4-BE49-F238E27FC236}">
                <a16:creationId xmlns="" xmlns:a16="http://schemas.microsoft.com/office/drawing/2014/main" id="{00000000-0008-0000-0E00-0000491C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396163" y="15173325"/>
            <a:ext cx="1390650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 type="triangle" w="lg" len="lg"/>
          </a:ln>
        </xdr:spPr>
      </xdr:sp>
      <xdr:sp macro="" textlink="">
        <xdr:nvSpPr>
          <xdr:cNvPr id="4398154" name="Line 199">
            <a:extLst>
              <a:ext uri="{FF2B5EF4-FFF2-40B4-BE49-F238E27FC236}">
                <a16:creationId xmlns="" xmlns:a16="http://schemas.microsoft.com/office/drawing/2014/main" id="{00000000-0008-0000-0E00-00004A1C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8501063" y="11877675"/>
            <a:ext cx="1733550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 type="triangle" w="lg" len="lg"/>
          </a:ln>
        </xdr:spPr>
      </xdr:sp>
      <xdr:sp macro="" textlink="">
        <xdr:nvSpPr>
          <xdr:cNvPr id="4398155" name="Line 200">
            <a:extLst>
              <a:ext uri="{FF2B5EF4-FFF2-40B4-BE49-F238E27FC236}">
                <a16:creationId xmlns="" xmlns:a16="http://schemas.microsoft.com/office/drawing/2014/main" id="{00000000-0008-0000-0E00-00004B1C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967913" y="12239625"/>
            <a:ext cx="1485900" cy="0"/>
          </a:xfrm>
          <a:prstGeom prst="line">
            <a:avLst/>
          </a:prstGeom>
          <a:noFill/>
          <a:ln w="25400">
            <a:solidFill>
              <a:srgbClr val="FF0000"/>
            </a:solidFill>
            <a:round/>
            <a:headEnd/>
            <a:tailEnd type="triangle" w="lg" len="lg"/>
          </a:ln>
        </xdr:spPr>
      </xdr:sp>
      <xdr:sp macro="" textlink="">
        <xdr:nvSpPr>
          <xdr:cNvPr id="4398156" name="Line 201">
            <a:extLst>
              <a:ext uri="{FF2B5EF4-FFF2-40B4-BE49-F238E27FC236}">
                <a16:creationId xmlns="" xmlns:a16="http://schemas.microsoft.com/office/drawing/2014/main" id="{00000000-0008-0000-0E00-00004C1C4300}"/>
              </a:ext>
            </a:extLst>
          </xdr:cNvPr>
          <xdr:cNvSpPr>
            <a:spLocks noChangeShapeType="1"/>
          </xdr:cNvSpPr>
        </xdr:nvSpPr>
        <xdr:spPr bwMode="auto">
          <a:xfrm>
            <a:off x="8520113" y="11877675"/>
            <a:ext cx="9525" cy="234315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 type="triangle" w="lg" len="lg"/>
          </a:ln>
        </xdr:spPr>
      </xdr:sp>
      <xdr:sp macro="" textlink="">
        <xdr:nvSpPr>
          <xdr:cNvPr id="4398157" name="Line 202">
            <a:extLst>
              <a:ext uri="{FF2B5EF4-FFF2-40B4-BE49-F238E27FC236}">
                <a16:creationId xmlns="" xmlns:a16="http://schemas.microsoft.com/office/drawing/2014/main" id="{00000000-0008-0000-0E00-00004D1C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481888" y="14201775"/>
            <a:ext cx="1047750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 type="triangle" w="lg" len="lg"/>
          </a:ln>
        </xdr:spPr>
      </xdr:sp>
      <xdr:sp macro="" textlink="">
        <xdr:nvSpPr>
          <xdr:cNvPr id="4398158" name="Line 203">
            <a:extLst>
              <a:ext uri="{FF2B5EF4-FFF2-40B4-BE49-F238E27FC236}">
                <a16:creationId xmlns="" xmlns:a16="http://schemas.microsoft.com/office/drawing/2014/main" id="{00000000-0008-0000-0E00-00004E1C43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0253663" y="14239875"/>
            <a:ext cx="1247775" cy="9525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 type="triangle" w="lg" len="lg"/>
          </a:ln>
        </xdr:spPr>
      </xdr:sp>
      <xdr:sp macro="" textlink="">
        <xdr:nvSpPr>
          <xdr:cNvPr id="4398159" name="Line 204">
            <a:extLst>
              <a:ext uri="{FF2B5EF4-FFF2-40B4-BE49-F238E27FC236}">
                <a16:creationId xmlns="" xmlns:a16="http://schemas.microsoft.com/office/drawing/2014/main" id="{00000000-0008-0000-0E00-00004F1C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0577513" y="15173325"/>
            <a:ext cx="923925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 type="triangle" w="lg" len="lg"/>
          </a:ln>
        </xdr:spPr>
      </xdr:sp>
      <xdr:sp macro="" textlink="">
        <xdr:nvSpPr>
          <xdr:cNvPr id="4398160" name="Oval 205">
            <a:extLst>
              <a:ext uri="{FF2B5EF4-FFF2-40B4-BE49-F238E27FC236}">
                <a16:creationId xmlns="" xmlns:a16="http://schemas.microsoft.com/office/drawing/2014/main" id="{00000000-0008-0000-0E00-0000501C4300}"/>
              </a:ext>
            </a:extLst>
          </xdr:cNvPr>
          <xdr:cNvSpPr>
            <a:spLocks noChangeArrowheads="1"/>
          </xdr:cNvSpPr>
        </xdr:nvSpPr>
        <xdr:spPr bwMode="auto">
          <a:xfrm>
            <a:off x="11101388" y="12163425"/>
            <a:ext cx="85725" cy="142875"/>
          </a:xfrm>
          <a:prstGeom prst="ellipse">
            <a:avLst/>
          </a:prstGeom>
          <a:solidFill>
            <a:srgbClr val="FFFFFF"/>
          </a:solidFill>
          <a:ln w="9525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98161" name="Oval 206">
            <a:extLst>
              <a:ext uri="{FF2B5EF4-FFF2-40B4-BE49-F238E27FC236}">
                <a16:creationId xmlns="" xmlns:a16="http://schemas.microsoft.com/office/drawing/2014/main" id="{00000000-0008-0000-0E00-0000511C4300}"/>
              </a:ext>
            </a:extLst>
          </xdr:cNvPr>
          <xdr:cNvSpPr>
            <a:spLocks noChangeArrowheads="1"/>
          </xdr:cNvSpPr>
        </xdr:nvSpPr>
        <xdr:spPr bwMode="auto">
          <a:xfrm>
            <a:off x="11139488" y="14163675"/>
            <a:ext cx="85725" cy="142875"/>
          </a:xfrm>
          <a:prstGeom prst="ellipse">
            <a:avLst/>
          </a:prstGeom>
          <a:solidFill>
            <a:srgbClr val="FFFFFF"/>
          </a:solidFill>
          <a:ln w="9525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98162" name="Oval 207">
            <a:extLst>
              <a:ext uri="{FF2B5EF4-FFF2-40B4-BE49-F238E27FC236}">
                <a16:creationId xmlns="" xmlns:a16="http://schemas.microsoft.com/office/drawing/2014/main" id="{00000000-0008-0000-0E00-0000521C4300}"/>
              </a:ext>
            </a:extLst>
          </xdr:cNvPr>
          <xdr:cNvSpPr>
            <a:spLocks noChangeArrowheads="1"/>
          </xdr:cNvSpPr>
        </xdr:nvSpPr>
        <xdr:spPr bwMode="auto">
          <a:xfrm>
            <a:off x="11120438" y="15116175"/>
            <a:ext cx="85725" cy="142875"/>
          </a:xfrm>
          <a:prstGeom prst="ellipse">
            <a:avLst/>
          </a:prstGeom>
          <a:solidFill>
            <a:srgbClr val="FFFFFF"/>
          </a:solidFill>
          <a:ln w="9525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98163" name="Oval 208">
            <a:extLst>
              <a:ext uri="{FF2B5EF4-FFF2-40B4-BE49-F238E27FC236}">
                <a16:creationId xmlns="" xmlns:a16="http://schemas.microsoft.com/office/drawing/2014/main" id="{00000000-0008-0000-0E00-0000531C4300}"/>
              </a:ext>
            </a:extLst>
          </xdr:cNvPr>
          <xdr:cNvSpPr>
            <a:spLocks noChangeArrowheads="1"/>
          </xdr:cNvSpPr>
        </xdr:nvSpPr>
        <xdr:spPr bwMode="auto">
          <a:xfrm>
            <a:off x="7862888" y="16554450"/>
            <a:ext cx="85725" cy="114300"/>
          </a:xfrm>
          <a:prstGeom prst="ellipse">
            <a:avLst/>
          </a:prstGeom>
          <a:solidFill>
            <a:srgbClr val="FFFFFF"/>
          </a:solidFill>
          <a:ln w="9525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210" name="Text Box 209">
            <a:extLst>
              <a:ext uri="{FF2B5EF4-FFF2-40B4-BE49-F238E27FC236}">
                <a16:creationId xmlns="" xmlns:a16="http://schemas.microsoft.com/office/drawing/2014/main" id="{00000000-0008-0000-0E00-0000D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891338" y="16428603"/>
            <a:ext cx="459685" cy="735716"/>
          </a:xfrm>
          <a:prstGeom prst="rect">
            <a:avLst/>
          </a:prstGeom>
          <a:solidFill>
            <a:srgbClr val="FFFFFF"/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45720" tIns="41148" rIns="0" bIns="0" anchor="t" upright="1"/>
          <a:lstStyle/>
          <a:p>
            <a:pPr algn="l" rtl="0">
              <a:defRPr sz="1000"/>
            </a:pPr>
            <a:r>
              <a:rPr lang="it-IT" sz="2200" b="1" i="0" strike="noStrike">
                <a:solidFill>
                  <a:srgbClr val="000000"/>
                </a:solidFill>
                <a:latin typeface="Arial"/>
                <a:cs typeface="Arial"/>
              </a:rPr>
              <a:t>2°</a:t>
            </a:r>
          </a:p>
          <a:p>
            <a:pPr algn="l" rtl="0">
              <a:defRPr sz="1000"/>
            </a:pPr>
            <a:endParaRPr lang="it-IT" sz="2200" b="1" i="0" strike="noStrike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11" name="Text Box 210">
            <a:extLst>
              <a:ext uri="{FF2B5EF4-FFF2-40B4-BE49-F238E27FC236}">
                <a16:creationId xmlns="" xmlns:a16="http://schemas.microsoft.com/office/drawing/2014/main" id="{00000000-0008-0000-0E00-0000D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536070" y="11984876"/>
            <a:ext cx="574606" cy="46104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45720" tIns="41148" rIns="0" bIns="0" anchor="t" upright="1"/>
          <a:lstStyle/>
          <a:p>
            <a:pPr algn="l" rtl="0">
              <a:defRPr sz="1000"/>
            </a:pPr>
            <a:r>
              <a:rPr lang="it-IT" sz="2200" b="1" i="0" strike="noStrike">
                <a:solidFill>
                  <a:srgbClr val="000000"/>
                </a:solidFill>
                <a:latin typeface="Arial"/>
                <a:cs typeface="Arial"/>
              </a:rPr>
              <a:t>1°</a:t>
            </a:r>
          </a:p>
        </xdr:txBody>
      </xdr:sp>
      <xdr:sp macro="" textlink="">
        <xdr:nvSpPr>
          <xdr:cNvPr id="212" name="Text Box 211">
            <a:extLst>
              <a:ext uri="{FF2B5EF4-FFF2-40B4-BE49-F238E27FC236}">
                <a16:creationId xmlns="" xmlns:a16="http://schemas.microsoft.com/office/drawing/2014/main" id="{00000000-0008-0000-0E00-0000D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583953" y="13917358"/>
            <a:ext cx="593760" cy="451239"/>
          </a:xfrm>
          <a:prstGeom prst="rect">
            <a:avLst/>
          </a:prstGeom>
          <a:solidFill>
            <a:srgbClr val="FFFFFF"/>
          </a:solidFill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45720" tIns="41148" rIns="0" bIns="0" anchor="t" upright="1"/>
          <a:lstStyle/>
          <a:p>
            <a:pPr algn="l" rtl="0">
              <a:defRPr sz="1000"/>
            </a:pPr>
            <a:r>
              <a:rPr lang="it-IT" sz="2200" b="1" i="0" strike="noStrike">
                <a:solidFill>
                  <a:srgbClr val="000000"/>
                </a:solidFill>
                <a:latin typeface="Arial"/>
                <a:cs typeface="Arial"/>
              </a:rPr>
              <a:t>3°</a:t>
            </a:r>
          </a:p>
        </xdr:txBody>
      </xdr:sp>
      <xdr:sp macro="" textlink="">
        <xdr:nvSpPr>
          <xdr:cNvPr id="213" name="Text Box 212">
            <a:extLst>
              <a:ext uri="{FF2B5EF4-FFF2-40B4-BE49-F238E27FC236}">
                <a16:creationId xmlns="" xmlns:a16="http://schemas.microsoft.com/office/drawing/2014/main" id="{00000000-0008-0000-0E00-0000D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545646" y="15123933"/>
            <a:ext cx="469262" cy="490478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45720" tIns="41148" rIns="0" bIns="0" anchor="t" upright="1"/>
          <a:lstStyle/>
          <a:p>
            <a:pPr algn="l" rtl="0">
              <a:defRPr sz="1000"/>
            </a:pPr>
            <a:r>
              <a:rPr lang="it-IT" sz="2200" b="1" i="0" strike="noStrike">
                <a:solidFill>
                  <a:srgbClr val="000000"/>
                </a:solidFill>
                <a:latin typeface="Arial"/>
                <a:cs typeface="Arial"/>
              </a:rPr>
              <a:t>4°</a:t>
            </a:r>
          </a:p>
          <a:p>
            <a:pPr algn="l" rtl="0">
              <a:defRPr sz="1000"/>
            </a:pPr>
            <a:endParaRPr lang="it-IT" sz="2200" b="1" i="0" strike="noStrike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14" name="Text Box 213">
            <a:extLst>
              <a:ext uri="{FF2B5EF4-FFF2-40B4-BE49-F238E27FC236}">
                <a16:creationId xmlns="" xmlns:a16="http://schemas.microsoft.com/office/drawing/2014/main" id="{00000000-0008-0000-0E00-0000D6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226525" y="14339169"/>
            <a:ext cx="526722" cy="490478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45720" tIns="41148" rIns="0" bIns="0" anchor="t" upright="1"/>
          <a:lstStyle/>
          <a:p>
            <a:pPr algn="l" rtl="0">
              <a:defRPr sz="1000"/>
            </a:pPr>
            <a:r>
              <a:rPr lang="it-IT" sz="2200" b="1" i="0" strike="noStrike">
                <a:solidFill>
                  <a:srgbClr val="000000"/>
                </a:solidFill>
                <a:latin typeface="Arial"/>
                <a:cs typeface="Arial"/>
              </a:rPr>
              <a:t>3°</a:t>
            </a:r>
          </a:p>
        </xdr:txBody>
      </xdr:sp>
      <xdr:sp macro="" textlink="">
        <xdr:nvSpPr>
          <xdr:cNvPr id="215" name="Text Box 214">
            <a:extLst>
              <a:ext uri="{FF2B5EF4-FFF2-40B4-BE49-F238E27FC236}">
                <a16:creationId xmlns="" xmlns:a16="http://schemas.microsoft.com/office/drawing/2014/main" id="{00000000-0008-0000-0E00-0000D7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092450" y="15172981"/>
            <a:ext cx="459685" cy="490478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  <a:effectLst/>
        </xdr:spPr>
        <xdr:txBody>
          <a:bodyPr vertOverflow="clip" wrap="square" lIns="45720" tIns="41148" rIns="0" bIns="0" anchor="t" upright="1"/>
          <a:lstStyle/>
          <a:p>
            <a:pPr algn="l" rtl="0">
              <a:defRPr sz="1000"/>
            </a:pPr>
            <a:r>
              <a:rPr lang="it-IT" sz="2200" b="1" i="0" strike="noStrike">
                <a:solidFill>
                  <a:srgbClr val="000000"/>
                </a:solidFill>
                <a:latin typeface="Arial"/>
                <a:cs typeface="Arial"/>
              </a:rPr>
              <a:t>4°</a:t>
            </a:r>
          </a:p>
          <a:p>
            <a:pPr algn="l" rtl="0">
              <a:defRPr sz="1000"/>
            </a:pPr>
            <a:endParaRPr lang="it-IT" sz="2200" b="1" i="0" strike="noStrike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4398170" name="Oval 215">
            <a:extLst>
              <a:ext uri="{FF2B5EF4-FFF2-40B4-BE49-F238E27FC236}">
                <a16:creationId xmlns="" xmlns:a16="http://schemas.microsoft.com/office/drawing/2014/main" id="{00000000-0008-0000-0E00-00005A1C4300}"/>
              </a:ext>
            </a:extLst>
          </xdr:cNvPr>
          <xdr:cNvSpPr>
            <a:spLocks noChangeArrowheads="1"/>
          </xdr:cNvSpPr>
        </xdr:nvSpPr>
        <xdr:spPr bwMode="auto">
          <a:xfrm>
            <a:off x="7824788" y="14135100"/>
            <a:ext cx="85725" cy="142875"/>
          </a:xfrm>
          <a:prstGeom prst="ellipse">
            <a:avLst/>
          </a:prstGeom>
          <a:solidFill>
            <a:srgbClr val="FFFFFF"/>
          </a:solidFill>
          <a:ln w="9525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398171" name="Oval 216">
            <a:extLst>
              <a:ext uri="{FF2B5EF4-FFF2-40B4-BE49-F238E27FC236}">
                <a16:creationId xmlns="" xmlns:a16="http://schemas.microsoft.com/office/drawing/2014/main" id="{00000000-0008-0000-0E00-00005B1C4300}"/>
              </a:ext>
            </a:extLst>
          </xdr:cNvPr>
          <xdr:cNvSpPr>
            <a:spLocks noChangeArrowheads="1"/>
          </xdr:cNvSpPr>
        </xdr:nvSpPr>
        <xdr:spPr bwMode="auto">
          <a:xfrm>
            <a:off x="7824788" y="14982825"/>
            <a:ext cx="85725" cy="190500"/>
          </a:xfrm>
          <a:prstGeom prst="ellipse">
            <a:avLst/>
          </a:prstGeom>
          <a:solidFill>
            <a:srgbClr val="FFFFFF"/>
          </a:solidFill>
          <a:ln w="9525" algn="ctr">
            <a:solidFill>
              <a:srgbClr val="FF0000"/>
            </a:solidFill>
            <a:round/>
            <a:headEnd/>
            <a:tailEnd/>
          </a:ln>
        </xdr:spPr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48</xdr:row>
      <xdr:rowOff>0</xdr:rowOff>
    </xdr:from>
    <xdr:to>
      <xdr:col>4</xdr:col>
      <xdr:colOff>352425</xdr:colOff>
      <xdr:row>55</xdr:row>
      <xdr:rowOff>0</xdr:rowOff>
    </xdr:to>
    <xdr:sp macro="" textlink="">
      <xdr:nvSpPr>
        <xdr:cNvPr id="2" name="Line 29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SpPr>
          <a:spLocks noChangeShapeType="1"/>
        </xdr:cNvSpPr>
      </xdr:nvSpPr>
      <xdr:spPr bwMode="auto">
        <a:xfrm>
          <a:off x="9972675" y="17716500"/>
          <a:ext cx="0" cy="2124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0</xdr:colOff>
      <xdr:row>18</xdr:row>
      <xdr:rowOff>333375</xdr:rowOff>
    </xdr:from>
    <xdr:to>
      <xdr:col>31</xdr:col>
      <xdr:colOff>47625</xdr:colOff>
      <xdr:row>19</xdr:row>
      <xdr:rowOff>104775</xdr:rowOff>
    </xdr:to>
    <xdr:sp macro="" textlink="">
      <xdr:nvSpPr>
        <xdr:cNvPr id="3" name="Rectangle 139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SpPr>
          <a:spLocks noChangeArrowheads="1"/>
        </xdr:cNvSpPr>
      </xdr:nvSpPr>
      <xdr:spPr bwMode="auto">
        <a:xfrm>
          <a:off x="30318075" y="7591425"/>
          <a:ext cx="6334125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266700</xdr:colOff>
      <xdr:row>37</xdr:row>
      <xdr:rowOff>38100</xdr:rowOff>
    </xdr:from>
    <xdr:to>
      <xdr:col>12</xdr:col>
      <xdr:colOff>352425</xdr:colOff>
      <xdr:row>38</xdr:row>
      <xdr:rowOff>161925</xdr:rowOff>
    </xdr:to>
    <xdr:sp macro="" textlink="">
      <xdr:nvSpPr>
        <xdr:cNvPr id="4" name="Text Box 150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SpPr txBox="1">
          <a:spLocks noChangeArrowheads="1"/>
        </xdr:cNvSpPr>
      </xdr:nvSpPr>
      <xdr:spPr bwMode="auto">
        <a:xfrm>
          <a:off x="15411450" y="14363700"/>
          <a:ext cx="800100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26</xdr:col>
      <xdr:colOff>38100</xdr:colOff>
      <xdr:row>18</xdr:row>
      <xdr:rowOff>104775</xdr:rowOff>
    </xdr:from>
    <xdr:to>
      <xdr:col>31</xdr:col>
      <xdr:colOff>0</xdr:colOff>
      <xdr:row>18</xdr:row>
      <xdr:rowOff>190500</xdr:rowOff>
    </xdr:to>
    <xdr:grpSp>
      <xdr:nvGrpSpPr>
        <xdr:cNvPr id="5" name="Group 266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GrpSpPr>
          <a:grpSpLocks/>
        </xdr:cNvGrpSpPr>
      </xdr:nvGrpSpPr>
      <xdr:grpSpPr bwMode="auto">
        <a:xfrm>
          <a:off x="21255038" y="7224713"/>
          <a:ext cx="6224587" cy="85725"/>
          <a:chOff x="2020" y="383"/>
          <a:chExt cx="656" cy="22"/>
        </a:xfrm>
      </xdr:grpSpPr>
      <xdr:sp macro="" textlink="">
        <xdr:nvSpPr>
          <xdr:cNvPr id="6" name="Line 267">
            <a:extLst>
              <a:ext uri="{FF2B5EF4-FFF2-40B4-BE49-F238E27FC236}">
                <a16:creationId xmlns="" xmlns:a16="http://schemas.microsoft.com/office/drawing/2014/main" id="{00000000-0008-0000-0F00-00000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" name="Line 268">
            <a:extLst>
              <a:ext uri="{FF2B5EF4-FFF2-40B4-BE49-F238E27FC236}">
                <a16:creationId xmlns="" xmlns:a16="http://schemas.microsoft.com/office/drawing/2014/main" id="{00000000-0008-0000-0F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8" name="Line 269">
            <a:extLst>
              <a:ext uri="{FF2B5EF4-FFF2-40B4-BE49-F238E27FC236}">
                <a16:creationId xmlns="" xmlns:a16="http://schemas.microsoft.com/office/drawing/2014/main" id="{00000000-0008-0000-0F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19</xdr:col>
      <xdr:colOff>4762</xdr:colOff>
      <xdr:row>8</xdr:row>
      <xdr:rowOff>309563</xdr:rowOff>
    </xdr:from>
    <xdr:to>
      <xdr:col>24</xdr:col>
      <xdr:colOff>500062</xdr:colOff>
      <xdr:row>9</xdr:row>
      <xdr:rowOff>52388</xdr:rowOff>
    </xdr:to>
    <xdr:grpSp>
      <xdr:nvGrpSpPr>
        <xdr:cNvPr id="9" name="Group 270">
          <a:extLst>
            <a:ext uri="{FF2B5EF4-FFF2-40B4-BE49-F238E27FC236}">
              <a16:creationId xmlns="" xmlns:a16="http://schemas.microsoft.com/office/drawing/2014/main" id="{00000000-0008-0000-0F00-000009000000}"/>
            </a:ext>
          </a:extLst>
        </xdr:cNvPr>
        <xdr:cNvGrpSpPr>
          <a:grpSpLocks/>
        </xdr:cNvGrpSpPr>
      </xdr:nvGrpSpPr>
      <xdr:grpSpPr bwMode="auto">
        <a:xfrm>
          <a:off x="14387512" y="3619501"/>
          <a:ext cx="5448300" cy="123825"/>
          <a:chOff x="2020" y="383"/>
          <a:chExt cx="656" cy="22"/>
        </a:xfrm>
      </xdr:grpSpPr>
      <xdr:sp macro="" textlink="">
        <xdr:nvSpPr>
          <xdr:cNvPr id="10" name="Line 271">
            <a:extLst>
              <a:ext uri="{FF2B5EF4-FFF2-40B4-BE49-F238E27FC236}">
                <a16:creationId xmlns="" xmlns:a16="http://schemas.microsoft.com/office/drawing/2014/main" id="{00000000-0008-0000-0F00-00000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272">
            <a:extLst>
              <a:ext uri="{FF2B5EF4-FFF2-40B4-BE49-F238E27FC236}">
                <a16:creationId xmlns="" xmlns:a16="http://schemas.microsoft.com/office/drawing/2014/main" id="{00000000-0008-0000-0F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12" name="Line 273">
            <a:extLst>
              <a:ext uri="{FF2B5EF4-FFF2-40B4-BE49-F238E27FC236}">
                <a16:creationId xmlns="" xmlns:a16="http://schemas.microsoft.com/office/drawing/2014/main" id="{00000000-0008-0000-0F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19</xdr:col>
      <xdr:colOff>4763</xdr:colOff>
      <xdr:row>9</xdr:row>
      <xdr:rowOff>185738</xdr:rowOff>
    </xdr:from>
    <xdr:to>
      <xdr:col>24</xdr:col>
      <xdr:colOff>500063</xdr:colOff>
      <xdr:row>10</xdr:row>
      <xdr:rowOff>147638</xdr:rowOff>
    </xdr:to>
    <xdr:sp macro="" textlink="">
      <xdr:nvSpPr>
        <xdr:cNvPr id="13" name="Rectangle 274">
          <a:extLst>
            <a:ext uri="{FF2B5EF4-FFF2-40B4-BE49-F238E27FC236}">
              <a16:creationId xmlns="" xmlns:a16="http://schemas.microsoft.com/office/drawing/2014/main" id="{00000000-0008-0000-0F00-00000D000000}"/>
            </a:ext>
          </a:extLst>
        </xdr:cNvPr>
        <xdr:cNvSpPr>
          <a:spLocks noChangeArrowheads="1"/>
        </xdr:cNvSpPr>
      </xdr:nvSpPr>
      <xdr:spPr bwMode="auto">
        <a:xfrm>
          <a:off x="23512463" y="3929063"/>
          <a:ext cx="5438775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4762</xdr:colOff>
      <xdr:row>24</xdr:row>
      <xdr:rowOff>314326</xdr:rowOff>
    </xdr:from>
    <xdr:to>
      <xdr:col>24</xdr:col>
      <xdr:colOff>500062</xdr:colOff>
      <xdr:row>25</xdr:row>
      <xdr:rowOff>114301</xdr:rowOff>
    </xdr:to>
    <xdr:grpSp>
      <xdr:nvGrpSpPr>
        <xdr:cNvPr id="14" name="Group 275">
          <a:extLst>
            <a:ext uri="{FF2B5EF4-FFF2-40B4-BE49-F238E27FC236}">
              <a16:creationId xmlns="" xmlns:a16="http://schemas.microsoft.com/office/drawing/2014/main" id="{00000000-0008-0000-0F00-00000E000000}"/>
            </a:ext>
          </a:extLst>
        </xdr:cNvPr>
        <xdr:cNvGrpSpPr>
          <a:grpSpLocks/>
        </xdr:cNvGrpSpPr>
      </xdr:nvGrpSpPr>
      <xdr:grpSpPr bwMode="auto">
        <a:xfrm>
          <a:off x="14387512" y="9720264"/>
          <a:ext cx="5448300" cy="180975"/>
          <a:chOff x="2020" y="383"/>
          <a:chExt cx="656" cy="22"/>
        </a:xfrm>
      </xdr:grpSpPr>
      <xdr:sp macro="" textlink="">
        <xdr:nvSpPr>
          <xdr:cNvPr id="15" name="Line 276">
            <a:extLst>
              <a:ext uri="{FF2B5EF4-FFF2-40B4-BE49-F238E27FC236}">
                <a16:creationId xmlns="" xmlns:a16="http://schemas.microsoft.com/office/drawing/2014/main" id="{00000000-0008-0000-0F00-00000F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" name="Line 277">
            <a:extLst>
              <a:ext uri="{FF2B5EF4-FFF2-40B4-BE49-F238E27FC236}">
                <a16:creationId xmlns="" xmlns:a16="http://schemas.microsoft.com/office/drawing/2014/main" id="{00000000-0008-0000-0F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17" name="Line 278">
            <a:extLst>
              <a:ext uri="{FF2B5EF4-FFF2-40B4-BE49-F238E27FC236}">
                <a16:creationId xmlns="" xmlns:a16="http://schemas.microsoft.com/office/drawing/2014/main" id="{00000000-0008-0000-0F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18</xdr:col>
      <xdr:colOff>600075</xdr:colOff>
      <xdr:row>25</xdr:row>
      <xdr:rowOff>285750</xdr:rowOff>
    </xdr:from>
    <xdr:to>
      <xdr:col>24</xdr:col>
      <xdr:colOff>476250</xdr:colOff>
      <xdr:row>26</xdr:row>
      <xdr:rowOff>247650</xdr:rowOff>
    </xdr:to>
    <xdr:sp macro="" textlink="">
      <xdr:nvSpPr>
        <xdr:cNvPr id="18" name="Rectangle 279">
          <a:extLst>
            <a:ext uri="{FF2B5EF4-FFF2-40B4-BE49-F238E27FC236}">
              <a16:creationId xmlns="" xmlns:a16="http://schemas.microsoft.com/office/drawing/2014/main" id="{00000000-0008-0000-0F00-000012000000}"/>
            </a:ext>
          </a:extLst>
        </xdr:cNvPr>
        <xdr:cNvSpPr>
          <a:spLocks noChangeArrowheads="1"/>
        </xdr:cNvSpPr>
      </xdr:nvSpPr>
      <xdr:spPr bwMode="auto">
        <a:xfrm>
          <a:off x="23498175" y="10277475"/>
          <a:ext cx="542925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133350</xdr:colOff>
      <xdr:row>9</xdr:row>
      <xdr:rowOff>161925</xdr:rowOff>
    </xdr:from>
    <xdr:to>
      <xdr:col>17</xdr:col>
      <xdr:colOff>95250</xdr:colOff>
      <xdr:row>22</xdr:row>
      <xdr:rowOff>19783</xdr:rowOff>
    </xdr:to>
    <xdr:grpSp>
      <xdr:nvGrpSpPr>
        <xdr:cNvPr id="19" name="Group 370">
          <a:extLst>
            <a:ext uri="{FF2B5EF4-FFF2-40B4-BE49-F238E27FC236}">
              <a16:creationId xmlns="" xmlns:a16="http://schemas.microsoft.com/office/drawing/2014/main" id="{00000000-0008-0000-0F00-000013000000}"/>
            </a:ext>
          </a:extLst>
        </xdr:cNvPr>
        <xdr:cNvGrpSpPr>
          <a:grpSpLocks/>
        </xdr:cNvGrpSpPr>
      </xdr:nvGrpSpPr>
      <xdr:grpSpPr bwMode="auto">
        <a:xfrm>
          <a:off x="5514975" y="3852863"/>
          <a:ext cx="7462838" cy="4810858"/>
          <a:chOff x="1540" y="414"/>
          <a:chExt cx="619" cy="518"/>
        </a:xfrm>
      </xdr:grpSpPr>
      <xdr:sp macro="" textlink="">
        <xdr:nvSpPr>
          <xdr:cNvPr id="20" name="Line 37">
            <a:extLst>
              <a:ext uri="{FF2B5EF4-FFF2-40B4-BE49-F238E27FC236}">
                <a16:creationId xmlns="" xmlns:a16="http://schemas.microsoft.com/office/drawing/2014/main" id="{00000000-0008-0000-0F00-000014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588" y="414"/>
            <a:ext cx="0" cy="8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" name="Line 38">
            <a:extLst>
              <a:ext uri="{FF2B5EF4-FFF2-40B4-BE49-F238E27FC236}">
                <a16:creationId xmlns="" xmlns:a16="http://schemas.microsoft.com/office/drawing/2014/main" id="{00000000-0008-0000-0F00-00001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159" y="414"/>
            <a:ext cx="0" cy="8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" name="Line 40">
            <a:extLst>
              <a:ext uri="{FF2B5EF4-FFF2-40B4-BE49-F238E27FC236}">
                <a16:creationId xmlns="" xmlns:a16="http://schemas.microsoft.com/office/drawing/2014/main" id="{00000000-0008-0000-0F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1588" y="564"/>
            <a:ext cx="0" cy="36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" name="Line 41">
            <a:extLst>
              <a:ext uri="{FF2B5EF4-FFF2-40B4-BE49-F238E27FC236}">
                <a16:creationId xmlns="" xmlns:a16="http://schemas.microsoft.com/office/drawing/2014/main" id="{00000000-0008-0000-0F00-000017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540" y="640"/>
            <a:ext cx="5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" name="Line 42">
            <a:extLst>
              <a:ext uri="{FF2B5EF4-FFF2-40B4-BE49-F238E27FC236}">
                <a16:creationId xmlns="" xmlns:a16="http://schemas.microsoft.com/office/drawing/2014/main" id="{00000000-0008-0000-0F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1588" y="680"/>
            <a:ext cx="7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" name="Line 43">
            <a:extLst>
              <a:ext uri="{FF2B5EF4-FFF2-40B4-BE49-F238E27FC236}">
                <a16:creationId xmlns="" xmlns:a16="http://schemas.microsoft.com/office/drawing/2014/main" id="{00000000-0008-0000-0F00-000019000000}"/>
              </a:ext>
            </a:extLst>
          </xdr:cNvPr>
          <xdr:cNvSpPr>
            <a:spLocks noChangeShapeType="1"/>
          </xdr:cNvSpPr>
        </xdr:nvSpPr>
        <xdr:spPr bwMode="auto">
          <a:xfrm>
            <a:off x="1588" y="722"/>
            <a:ext cx="1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" name="Line 44">
            <a:extLst>
              <a:ext uri="{FF2B5EF4-FFF2-40B4-BE49-F238E27FC236}">
                <a16:creationId xmlns="" xmlns:a16="http://schemas.microsoft.com/office/drawing/2014/main" id="{00000000-0008-0000-0F00-00001A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588" y="763"/>
            <a:ext cx="26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" name="Line 45">
            <a:extLst>
              <a:ext uri="{FF2B5EF4-FFF2-40B4-BE49-F238E27FC236}">
                <a16:creationId xmlns="" xmlns:a16="http://schemas.microsoft.com/office/drawing/2014/main" id="{00000000-0008-0000-0F00-00001B000000}"/>
              </a:ext>
            </a:extLst>
          </xdr:cNvPr>
          <xdr:cNvSpPr>
            <a:spLocks noChangeShapeType="1"/>
          </xdr:cNvSpPr>
        </xdr:nvSpPr>
        <xdr:spPr bwMode="auto">
          <a:xfrm>
            <a:off x="1588" y="803"/>
            <a:ext cx="3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8" name="Group 46">
            <a:extLst>
              <a:ext uri="{FF2B5EF4-FFF2-40B4-BE49-F238E27FC236}">
                <a16:creationId xmlns="" xmlns:a16="http://schemas.microsoft.com/office/drawing/2014/main" id="{00000000-0008-0000-0F00-00001C000000}"/>
              </a:ext>
            </a:extLst>
          </xdr:cNvPr>
          <xdr:cNvGrpSpPr>
            <a:grpSpLocks/>
          </xdr:cNvGrpSpPr>
        </xdr:nvGrpSpPr>
        <xdr:grpSpPr bwMode="auto">
          <a:xfrm>
            <a:off x="1590" y="524"/>
            <a:ext cx="6" cy="124"/>
            <a:chOff x="554" y="439"/>
            <a:chExt cx="10" cy="76"/>
          </a:xfrm>
        </xdr:grpSpPr>
        <xdr:sp macro="" textlink="">
          <xdr:nvSpPr>
            <xdr:cNvPr id="50" name="Line 47">
              <a:extLst>
                <a:ext uri="{FF2B5EF4-FFF2-40B4-BE49-F238E27FC236}">
                  <a16:creationId xmlns="" xmlns:a16="http://schemas.microsoft.com/office/drawing/2014/main" id="{00000000-0008-0000-0F00-00003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58" y="439"/>
              <a:ext cx="0" cy="7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" name="Line 48">
              <a:extLst>
                <a:ext uri="{FF2B5EF4-FFF2-40B4-BE49-F238E27FC236}">
                  <a16:creationId xmlns="" xmlns:a16="http://schemas.microsoft.com/office/drawing/2014/main" id="{00000000-0008-0000-0F00-00003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54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9" name="Group 49">
            <a:extLst>
              <a:ext uri="{FF2B5EF4-FFF2-40B4-BE49-F238E27FC236}">
                <a16:creationId xmlns="" xmlns:a16="http://schemas.microsoft.com/office/drawing/2014/main" id="{00000000-0008-0000-0F00-00001D000000}"/>
              </a:ext>
            </a:extLst>
          </xdr:cNvPr>
          <xdr:cNvGrpSpPr>
            <a:grpSpLocks/>
          </xdr:cNvGrpSpPr>
        </xdr:nvGrpSpPr>
        <xdr:grpSpPr bwMode="auto">
          <a:xfrm>
            <a:off x="1657" y="524"/>
            <a:ext cx="12" cy="162"/>
            <a:chOff x="680" y="439"/>
            <a:chExt cx="10" cy="98"/>
          </a:xfrm>
        </xdr:grpSpPr>
        <xdr:sp macro="" textlink="">
          <xdr:nvSpPr>
            <xdr:cNvPr id="48" name="Line 50">
              <a:extLst>
                <a:ext uri="{FF2B5EF4-FFF2-40B4-BE49-F238E27FC236}">
                  <a16:creationId xmlns="" xmlns:a16="http://schemas.microsoft.com/office/drawing/2014/main" id="{00000000-0008-0000-0F00-00003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85" y="439"/>
              <a:ext cx="0" cy="9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" name="Line 51">
              <a:extLst>
                <a:ext uri="{FF2B5EF4-FFF2-40B4-BE49-F238E27FC236}">
                  <a16:creationId xmlns="" xmlns:a16="http://schemas.microsoft.com/office/drawing/2014/main" id="{00000000-0008-0000-0F00-00003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80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0" name="Group 52">
            <a:extLst>
              <a:ext uri="{FF2B5EF4-FFF2-40B4-BE49-F238E27FC236}">
                <a16:creationId xmlns="" xmlns:a16="http://schemas.microsoft.com/office/drawing/2014/main" id="{00000000-0008-0000-0F00-00001E000000}"/>
              </a:ext>
            </a:extLst>
          </xdr:cNvPr>
          <xdr:cNvGrpSpPr>
            <a:grpSpLocks/>
          </xdr:cNvGrpSpPr>
        </xdr:nvGrpSpPr>
        <xdr:grpSpPr bwMode="auto">
          <a:xfrm>
            <a:off x="1731" y="523"/>
            <a:ext cx="19" cy="201"/>
            <a:chOff x="759" y="438"/>
            <a:chExt cx="10" cy="121"/>
          </a:xfrm>
        </xdr:grpSpPr>
        <xdr:sp macro="" textlink="">
          <xdr:nvSpPr>
            <xdr:cNvPr id="46" name="Line 53">
              <a:extLst>
                <a:ext uri="{FF2B5EF4-FFF2-40B4-BE49-F238E27FC236}">
                  <a16:creationId xmlns="" xmlns:a16="http://schemas.microsoft.com/office/drawing/2014/main" id="{00000000-0008-0000-0F00-00002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64" y="438"/>
              <a:ext cx="0" cy="12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7" name="Line 54">
              <a:extLst>
                <a:ext uri="{FF2B5EF4-FFF2-40B4-BE49-F238E27FC236}">
                  <a16:creationId xmlns="" xmlns:a16="http://schemas.microsoft.com/office/drawing/2014/main" id="{00000000-0008-0000-0F00-00002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59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1" name="Group 55">
            <a:extLst>
              <a:ext uri="{FF2B5EF4-FFF2-40B4-BE49-F238E27FC236}">
                <a16:creationId xmlns="" xmlns:a16="http://schemas.microsoft.com/office/drawing/2014/main" id="{00000000-0008-0000-0F00-00001F000000}"/>
              </a:ext>
            </a:extLst>
          </xdr:cNvPr>
          <xdr:cNvGrpSpPr>
            <a:grpSpLocks/>
          </xdr:cNvGrpSpPr>
        </xdr:nvGrpSpPr>
        <xdr:grpSpPr bwMode="auto">
          <a:xfrm>
            <a:off x="1812" y="523"/>
            <a:ext cx="45" cy="243"/>
            <a:chOff x="842" y="438"/>
            <a:chExt cx="10" cy="147"/>
          </a:xfrm>
        </xdr:grpSpPr>
        <xdr:sp macro="" textlink="">
          <xdr:nvSpPr>
            <xdr:cNvPr id="44" name="Line 56">
              <a:extLst>
                <a:ext uri="{FF2B5EF4-FFF2-40B4-BE49-F238E27FC236}">
                  <a16:creationId xmlns="" xmlns:a16="http://schemas.microsoft.com/office/drawing/2014/main" id="{00000000-0008-0000-0F00-00002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47" y="438"/>
              <a:ext cx="0" cy="147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5" name="Line 57">
              <a:extLst>
                <a:ext uri="{FF2B5EF4-FFF2-40B4-BE49-F238E27FC236}">
                  <a16:creationId xmlns="" xmlns:a16="http://schemas.microsoft.com/office/drawing/2014/main" id="{00000000-0008-0000-0F00-00002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42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" name="Group 58">
            <a:extLst>
              <a:ext uri="{FF2B5EF4-FFF2-40B4-BE49-F238E27FC236}">
                <a16:creationId xmlns="" xmlns:a16="http://schemas.microsoft.com/office/drawing/2014/main" id="{00000000-0008-0000-0F00-000020000000}"/>
              </a:ext>
            </a:extLst>
          </xdr:cNvPr>
          <xdr:cNvGrpSpPr>
            <a:grpSpLocks/>
          </xdr:cNvGrpSpPr>
        </xdr:nvGrpSpPr>
        <xdr:grpSpPr bwMode="auto">
          <a:xfrm>
            <a:off x="1949" y="526"/>
            <a:ext cx="55" cy="283"/>
            <a:chOff x="911" y="440"/>
            <a:chExt cx="12" cy="175"/>
          </a:xfrm>
        </xdr:grpSpPr>
        <xdr:sp macro="" textlink="">
          <xdr:nvSpPr>
            <xdr:cNvPr id="42" name="Line 59">
              <a:extLst>
                <a:ext uri="{FF2B5EF4-FFF2-40B4-BE49-F238E27FC236}">
                  <a16:creationId xmlns="" xmlns:a16="http://schemas.microsoft.com/office/drawing/2014/main" id="{00000000-0008-0000-0F00-00002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1" y="440"/>
              <a:ext cx="0" cy="17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" name="Line 60">
              <a:extLst>
                <a:ext uri="{FF2B5EF4-FFF2-40B4-BE49-F238E27FC236}">
                  <a16:creationId xmlns="" xmlns:a16="http://schemas.microsoft.com/office/drawing/2014/main" id="{00000000-0008-0000-0F00-00002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3" name="Rectangle 61">
            <a:extLst>
              <a:ext uri="{FF2B5EF4-FFF2-40B4-BE49-F238E27FC236}">
                <a16:creationId xmlns="" xmlns:a16="http://schemas.microsoft.com/office/drawing/2014/main" id="{00000000-0008-0000-0F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1588" y="516"/>
            <a:ext cx="569" cy="41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4" name="Line 62">
            <a:extLst>
              <a:ext uri="{FF2B5EF4-FFF2-40B4-BE49-F238E27FC236}">
                <a16:creationId xmlns="" xmlns:a16="http://schemas.microsoft.com/office/drawing/2014/main" id="{00000000-0008-0000-0F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2149" y="523"/>
            <a:ext cx="0" cy="40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" name="Line 63">
            <a:extLst>
              <a:ext uri="{FF2B5EF4-FFF2-40B4-BE49-F238E27FC236}">
                <a16:creationId xmlns="" xmlns:a16="http://schemas.microsoft.com/office/drawing/2014/main" id="{00000000-0008-0000-0F00-000023000000}"/>
              </a:ext>
            </a:extLst>
          </xdr:cNvPr>
          <xdr:cNvSpPr>
            <a:spLocks noChangeShapeType="1"/>
          </xdr:cNvSpPr>
        </xdr:nvSpPr>
        <xdr:spPr bwMode="auto">
          <a:xfrm>
            <a:off x="2127" y="527"/>
            <a:ext cx="2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" name="Line 64">
            <a:extLst>
              <a:ext uri="{FF2B5EF4-FFF2-40B4-BE49-F238E27FC236}">
                <a16:creationId xmlns="" xmlns:a16="http://schemas.microsoft.com/office/drawing/2014/main" id="{00000000-0008-0000-0F00-000024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588" y="844"/>
            <a:ext cx="47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" name="Line 65">
            <a:extLst>
              <a:ext uri="{FF2B5EF4-FFF2-40B4-BE49-F238E27FC236}">
                <a16:creationId xmlns="" xmlns:a16="http://schemas.microsoft.com/office/drawing/2014/main" id="{00000000-0008-0000-0F00-00002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587" y="886"/>
            <a:ext cx="52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8" name="Group 66">
            <a:extLst>
              <a:ext uri="{FF2B5EF4-FFF2-40B4-BE49-F238E27FC236}">
                <a16:creationId xmlns="" xmlns:a16="http://schemas.microsoft.com/office/drawing/2014/main" id="{00000000-0008-0000-0F00-000026000000}"/>
              </a:ext>
            </a:extLst>
          </xdr:cNvPr>
          <xdr:cNvGrpSpPr>
            <a:grpSpLocks/>
          </xdr:cNvGrpSpPr>
        </xdr:nvGrpSpPr>
        <xdr:grpSpPr bwMode="auto">
          <a:xfrm>
            <a:off x="1992" y="523"/>
            <a:ext cx="52" cy="326"/>
            <a:chOff x="907" y="438"/>
            <a:chExt cx="16" cy="175"/>
          </a:xfrm>
        </xdr:grpSpPr>
        <xdr:sp macro="" textlink="">
          <xdr:nvSpPr>
            <xdr:cNvPr id="40" name="Line 67">
              <a:extLst>
                <a:ext uri="{FF2B5EF4-FFF2-40B4-BE49-F238E27FC236}">
                  <a16:creationId xmlns="" xmlns:a16="http://schemas.microsoft.com/office/drawing/2014/main" id="{00000000-0008-0000-0F00-00002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07" y="438"/>
              <a:ext cx="0" cy="17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" name="Line 68">
              <a:extLst>
                <a:ext uri="{FF2B5EF4-FFF2-40B4-BE49-F238E27FC236}">
                  <a16:creationId xmlns="" xmlns:a16="http://schemas.microsoft.com/office/drawing/2014/main" id="{00000000-0008-0000-0F00-00002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9" name="Line 293">
            <a:extLst>
              <a:ext uri="{FF2B5EF4-FFF2-40B4-BE49-F238E27FC236}">
                <a16:creationId xmlns="" xmlns:a16="http://schemas.microsoft.com/office/drawing/2014/main" id="{00000000-0008-0000-0F00-000027000000}"/>
              </a:ext>
            </a:extLst>
          </xdr:cNvPr>
          <xdr:cNvSpPr>
            <a:spLocks noChangeShapeType="1"/>
          </xdr:cNvSpPr>
        </xdr:nvSpPr>
        <xdr:spPr bwMode="auto">
          <a:xfrm>
            <a:off x="1586" y="447"/>
            <a:ext cx="57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</xdr:grpSp>
    <xdr:clientData/>
  </xdr:twoCellAnchor>
  <xdr:twoCellAnchor>
    <xdr:from>
      <xdr:col>4</xdr:col>
      <xdr:colOff>657225</xdr:colOff>
      <xdr:row>24</xdr:row>
      <xdr:rowOff>238125</xdr:rowOff>
    </xdr:from>
    <xdr:to>
      <xdr:col>4</xdr:col>
      <xdr:colOff>657225</xdr:colOff>
      <xdr:row>28</xdr:row>
      <xdr:rowOff>295275</xdr:rowOff>
    </xdr:to>
    <xdr:sp macro="" textlink="">
      <xdr:nvSpPr>
        <xdr:cNvPr id="52" name="Line 1">
          <a:extLst>
            <a:ext uri="{FF2B5EF4-FFF2-40B4-BE49-F238E27FC236}">
              <a16:creationId xmlns="" xmlns:a16="http://schemas.microsoft.com/office/drawing/2014/main" id="{00000000-0008-0000-0F00-000034000000}"/>
            </a:ext>
          </a:extLst>
        </xdr:cNvPr>
        <xdr:cNvSpPr>
          <a:spLocks noChangeShapeType="1"/>
        </xdr:cNvSpPr>
      </xdr:nvSpPr>
      <xdr:spPr bwMode="auto">
        <a:xfrm flipV="1">
          <a:off x="10277475" y="9839325"/>
          <a:ext cx="0" cy="1619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657225</xdr:colOff>
      <xdr:row>24</xdr:row>
      <xdr:rowOff>219075</xdr:rowOff>
    </xdr:from>
    <xdr:to>
      <xdr:col>7</xdr:col>
      <xdr:colOff>657225</xdr:colOff>
      <xdr:row>28</xdr:row>
      <xdr:rowOff>285750</xdr:rowOff>
    </xdr:to>
    <xdr:sp macro="" textlink="">
      <xdr:nvSpPr>
        <xdr:cNvPr id="53" name="Line 2">
          <a:extLst>
            <a:ext uri="{FF2B5EF4-FFF2-40B4-BE49-F238E27FC236}">
              <a16:creationId xmlns="" xmlns:a16="http://schemas.microsoft.com/office/drawing/2014/main" id="{00000000-0008-0000-0F00-000035000000}"/>
            </a:ext>
          </a:extLst>
        </xdr:cNvPr>
        <xdr:cNvSpPr>
          <a:spLocks noChangeShapeType="1"/>
        </xdr:cNvSpPr>
      </xdr:nvSpPr>
      <xdr:spPr bwMode="auto">
        <a:xfrm flipV="1">
          <a:off x="13115925" y="9820275"/>
          <a:ext cx="0" cy="1628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809625</xdr:colOff>
      <xdr:row>32</xdr:row>
      <xdr:rowOff>190500</xdr:rowOff>
    </xdr:from>
    <xdr:to>
      <xdr:col>4</xdr:col>
      <xdr:colOff>809625</xdr:colOff>
      <xdr:row>45</xdr:row>
      <xdr:rowOff>66675</xdr:rowOff>
    </xdr:to>
    <xdr:sp macro="" textlink="">
      <xdr:nvSpPr>
        <xdr:cNvPr id="54" name="Line 30">
          <a:extLst>
            <a:ext uri="{FF2B5EF4-FFF2-40B4-BE49-F238E27FC236}">
              <a16:creationId xmlns="" xmlns:a16="http://schemas.microsoft.com/office/drawing/2014/main" id="{00000000-0008-0000-0F00-000036000000}"/>
            </a:ext>
          </a:extLst>
        </xdr:cNvPr>
        <xdr:cNvSpPr>
          <a:spLocks noChangeShapeType="1"/>
        </xdr:cNvSpPr>
      </xdr:nvSpPr>
      <xdr:spPr bwMode="auto">
        <a:xfrm>
          <a:off x="10429875" y="12982575"/>
          <a:ext cx="0" cy="400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504825</xdr:colOff>
      <xdr:row>32</xdr:row>
      <xdr:rowOff>228600</xdr:rowOff>
    </xdr:from>
    <xdr:to>
      <xdr:col>7</xdr:col>
      <xdr:colOff>504825</xdr:colOff>
      <xdr:row>45</xdr:row>
      <xdr:rowOff>76200</xdr:rowOff>
    </xdr:to>
    <xdr:sp macro="" textlink="">
      <xdr:nvSpPr>
        <xdr:cNvPr id="55" name="Line 31">
          <a:extLst>
            <a:ext uri="{FF2B5EF4-FFF2-40B4-BE49-F238E27FC236}">
              <a16:creationId xmlns="" xmlns:a16="http://schemas.microsoft.com/office/drawing/2014/main" id="{00000000-0008-0000-0F00-000037000000}"/>
            </a:ext>
          </a:extLst>
        </xdr:cNvPr>
        <xdr:cNvSpPr>
          <a:spLocks noChangeShapeType="1"/>
        </xdr:cNvSpPr>
      </xdr:nvSpPr>
      <xdr:spPr bwMode="auto">
        <a:xfrm>
          <a:off x="12963525" y="13020675"/>
          <a:ext cx="0" cy="397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41</xdr:row>
      <xdr:rowOff>57150</xdr:rowOff>
    </xdr:from>
    <xdr:to>
      <xdr:col>7</xdr:col>
      <xdr:colOff>323850</xdr:colOff>
      <xdr:row>41</xdr:row>
      <xdr:rowOff>57150</xdr:rowOff>
    </xdr:to>
    <xdr:sp macro="" textlink="">
      <xdr:nvSpPr>
        <xdr:cNvPr id="56" name="Line 32">
          <a:extLst>
            <a:ext uri="{FF2B5EF4-FFF2-40B4-BE49-F238E27FC236}">
              <a16:creationId xmlns="" xmlns:a16="http://schemas.microsoft.com/office/drawing/2014/main" id="{00000000-0008-0000-0F00-000038000000}"/>
            </a:ext>
          </a:extLst>
        </xdr:cNvPr>
        <xdr:cNvSpPr>
          <a:spLocks noChangeShapeType="1"/>
        </xdr:cNvSpPr>
      </xdr:nvSpPr>
      <xdr:spPr bwMode="auto">
        <a:xfrm flipV="1">
          <a:off x="10439400" y="15601950"/>
          <a:ext cx="2343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35</xdr:row>
      <xdr:rowOff>266700</xdr:rowOff>
    </xdr:from>
    <xdr:to>
      <xdr:col>7</xdr:col>
      <xdr:colOff>342900</xdr:colOff>
      <xdr:row>35</xdr:row>
      <xdr:rowOff>266700</xdr:rowOff>
    </xdr:to>
    <xdr:sp macro="" textlink="">
      <xdr:nvSpPr>
        <xdr:cNvPr id="57" name="Line 33">
          <a:extLst>
            <a:ext uri="{FF2B5EF4-FFF2-40B4-BE49-F238E27FC236}">
              <a16:creationId xmlns="" xmlns:a16="http://schemas.microsoft.com/office/drawing/2014/main" id="{00000000-0008-0000-0F00-000039000000}"/>
            </a:ext>
          </a:extLst>
        </xdr:cNvPr>
        <xdr:cNvSpPr>
          <a:spLocks noChangeShapeType="1"/>
        </xdr:cNvSpPr>
      </xdr:nvSpPr>
      <xdr:spPr bwMode="auto">
        <a:xfrm flipV="1">
          <a:off x="10439400" y="13944600"/>
          <a:ext cx="2362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44</xdr:row>
      <xdr:rowOff>171450</xdr:rowOff>
    </xdr:from>
    <xdr:to>
      <xdr:col>7</xdr:col>
      <xdr:colOff>314325</xdr:colOff>
      <xdr:row>44</xdr:row>
      <xdr:rowOff>171450</xdr:rowOff>
    </xdr:to>
    <xdr:sp macro="" textlink="">
      <xdr:nvSpPr>
        <xdr:cNvPr id="58" name="Line 69">
          <a:extLst>
            <a:ext uri="{FF2B5EF4-FFF2-40B4-BE49-F238E27FC236}">
              <a16:creationId xmlns="" xmlns:a16="http://schemas.microsoft.com/office/drawing/2014/main" id="{00000000-0008-0000-0F00-00003A000000}"/>
            </a:ext>
          </a:extLst>
        </xdr:cNvPr>
        <xdr:cNvSpPr>
          <a:spLocks noChangeShapeType="1"/>
        </xdr:cNvSpPr>
      </xdr:nvSpPr>
      <xdr:spPr bwMode="auto">
        <a:xfrm>
          <a:off x="10439400" y="16849725"/>
          <a:ext cx="2333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32</xdr:row>
      <xdr:rowOff>266700</xdr:rowOff>
    </xdr:from>
    <xdr:to>
      <xdr:col>7</xdr:col>
      <xdr:colOff>323850</xdr:colOff>
      <xdr:row>32</xdr:row>
      <xdr:rowOff>266700</xdr:rowOff>
    </xdr:to>
    <xdr:sp macro="" textlink="">
      <xdr:nvSpPr>
        <xdr:cNvPr id="59" name="Line 70">
          <a:extLst>
            <a:ext uri="{FF2B5EF4-FFF2-40B4-BE49-F238E27FC236}">
              <a16:creationId xmlns="" xmlns:a16="http://schemas.microsoft.com/office/drawing/2014/main" id="{00000000-0008-0000-0F00-00003B000000}"/>
            </a:ext>
          </a:extLst>
        </xdr:cNvPr>
        <xdr:cNvSpPr>
          <a:spLocks noChangeShapeType="1"/>
        </xdr:cNvSpPr>
      </xdr:nvSpPr>
      <xdr:spPr bwMode="auto">
        <a:xfrm>
          <a:off x="10439400" y="13058775"/>
          <a:ext cx="2343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314325</xdr:colOff>
      <xdr:row>44</xdr:row>
      <xdr:rowOff>171450</xdr:rowOff>
    </xdr:from>
    <xdr:to>
      <xdr:col>7</xdr:col>
      <xdr:colOff>657225</xdr:colOff>
      <xdr:row>44</xdr:row>
      <xdr:rowOff>171450</xdr:rowOff>
    </xdr:to>
    <xdr:sp macro="" textlink="">
      <xdr:nvSpPr>
        <xdr:cNvPr id="60" name="Line 71">
          <a:extLst>
            <a:ext uri="{FF2B5EF4-FFF2-40B4-BE49-F238E27FC236}">
              <a16:creationId xmlns="" xmlns:a16="http://schemas.microsoft.com/office/drawing/2014/main" id="{00000000-0008-0000-0F00-00003C000000}"/>
            </a:ext>
          </a:extLst>
        </xdr:cNvPr>
        <xdr:cNvSpPr>
          <a:spLocks noChangeShapeType="1"/>
        </xdr:cNvSpPr>
      </xdr:nvSpPr>
      <xdr:spPr bwMode="auto">
        <a:xfrm>
          <a:off x="12773025" y="16849725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314325</xdr:colOff>
      <xdr:row>32</xdr:row>
      <xdr:rowOff>266700</xdr:rowOff>
    </xdr:from>
    <xdr:to>
      <xdr:col>7</xdr:col>
      <xdr:colOff>457200</xdr:colOff>
      <xdr:row>32</xdr:row>
      <xdr:rowOff>266700</xdr:rowOff>
    </xdr:to>
    <xdr:sp macro="" textlink="">
      <xdr:nvSpPr>
        <xdr:cNvPr id="61" name="Line 72">
          <a:extLst>
            <a:ext uri="{FF2B5EF4-FFF2-40B4-BE49-F238E27FC236}">
              <a16:creationId xmlns="" xmlns:a16="http://schemas.microsoft.com/office/drawing/2014/main" id="{00000000-0008-0000-0F00-00003D000000}"/>
            </a:ext>
          </a:extLst>
        </xdr:cNvPr>
        <xdr:cNvSpPr>
          <a:spLocks noChangeShapeType="1"/>
        </xdr:cNvSpPr>
      </xdr:nvSpPr>
      <xdr:spPr bwMode="auto">
        <a:xfrm>
          <a:off x="12773025" y="1305877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876300</xdr:colOff>
      <xdr:row>32</xdr:row>
      <xdr:rowOff>276225</xdr:rowOff>
    </xdr:from>
    <xdr:to>
      <xdr:col>4</xdr:col>
      <xdr:colOff>876300</xdr:colOff>
      <xdr:row>35</xdr:row>
      <xdr:rowOff>142875</xdr:rowOff>
    </xdr:to>
    <xdr:sp macro="" textlink="">
      <xdr:nvSpPr>
        <xdr:cNvPr id="62" name="Line 73">
          <a:extLst>
            <a:ext uri="{FF2B5EF4-FFF2-40B4-BE49-F238E27FC236}">
              <a16:creationId xmlns="" xmlns:a16="http://schemas.microsoft.com/office/drawing/2014/main" id="{00000000-0008-0000-0F00-00003E000000}"/>
            </a:ext>
          </a:extLst>
        </xdr:cNvPr>
        <xdr:cNvSpPr>
          <a:spLocks noChangeShapeType="1"/>
        </xdr:cNvSpPr>
      </xdr:nvSpPr>
      <xdr:spPr bwMode="auto">
        <a:xfrm>
          <a:off x="10496550" y="13068300"/>
          <a:ext cx="0" cy="752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38100</xdr:colOff>
      <xdr:row>32</xdr:row>
      <xdr:rowOff>276225</xdr:rowOff>
    </xdr:from>
    <xdr:to>
      <xdr:col>5</xdr:col>
      <xdr:colOff>38100</xdr:colOff>
      <xdr:row>34</xdr:row>
      <xdr:rowOff>238125</xdr:rowOff>
    </xdr:to>
    <xdr:sp macro="" textlink="">
      <xdr:nvSpPr>
        <xdr:cNvPr id="63" name="Line 74">
          <a:extLst>
            <a:ext uri="{FF2B5EF4-FFF2-40B4-BE49-F238E27FC236}">
              <a16:creationId xmlns="" xmlns:a16="http://schemas.microsoft.com/office/drawing/2014/main" id="{00000000-0008-0000-0F00-00003F000000}"/>
            </a:ext>
          </a:extLst>
        </xdr:cNvPr>
        <xdr:cNvSpPr>
          <a:spLocks noChangeShapeType="1"/>
        </xdr:cNvSpPr>
      </xdr:nvSpPr>
      <xdr:spPr bwMode="auto">
        <a:xfrm>
          <a:off x="10620375" y="13068300"/>
          <a:ext cx="0" cy="571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104775</xdr:colOff>
      <xdr:row>32</xdr:row>
      <xdr:rowOff>276225</xdr:rowOff>
    </xdr:from>
    <xdr:to>
      <xdr:col>5</xdr:col>
      <xdr:colOff>104775</xdr:colOff>
      <xdr:row>34</xdr:row>
      <xdr:rowOff>19050</xdr:rowOff>
    </xdr:to>
    <xdr:sp macro="" textlink="">
      <xdr:nvSpPr>
        <xdr:cNvPr id="64" name="Line 75">
          <a:extLst>
            <a:ext uri="{FF2B5EF4-FFF2-40B4-BE49-F238E27FC236}">
              <a16:creationId xmlns="" xmlns:a16="http://schemas.microsoft.com/office/drawing/2014/main" id="{00000000-0008-0000-0F00-000040000000}"/>
            </a:ext>
          </a:extLst>
        </xdr:cNvPr>
        <xdr:cNvSpPr>
          <a:spLocks noChangeShapeType="1"/>
        </xdr:cNvSpPr>
      </xdr:nvSpPr>
      <xdr:spPr bwMode="auto">
        <a:xfrm>
          <a:off x="10687050" y="13068300"/>
          <a:ext cx="0" cy="352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161925</xdr:colOff>
      <xdr:row>32</xdr:row>
      <xdr:rowOff>276225</xdr:rowOff>
    </xdr:from>
    <xdr:to>
      <xdr:col>5</xdr:col>
      <xdr:colOff>161925</xdr:colOff>
      <xdr:row>33</xdr:row>
      <xdr:rowOff>123825</xdr:rowOff>
    </xdr:to>
    <xdr:sp macro="" textlink="">
      <xdr:nvSpPr>
        <xdr:cNvPr id="65" name="Line 76">
          <a:extLst>
            <a:ext uri="{FF2B5EF4-FFF2-40B4-BE49-F238E27FC236}">
              <a16:creationId xmlns="" xmlns:a16="http://schemas.microsoft.com/office/drawing/2014/main" id="{00000000-0008-0000-0F00-000041000000}"/>
            </a:ext>
          </a:extLst>
        </xdr:cNvPr>
        <xdr:cNvSpPr>
          <a:spLocks noChangeShapeType="1"/>
        </xdr:cNvSpPr>
      </xdr:nvSpPr>
      <xdr:spPr bwMode="auto">
        <a:xfrm>
          <a:off x="10744200" y="1306830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33</xdr:row>
      <xdr:rowOff>47625</xdr:rowOff>
    </xdr:from>
    <xdr:to>
      <xdr:col>5</xdr:col>
      <xdr:colOff>219075</xdr:colOff>
      <xdr:row>33</xdr:row>
      <xdr:rowOff>47625</xdr:rowOff>
    </xdr:to>
    <xdr:sp macro="" textlink="">
      <xdr:nvSpPr>
        <xdr:cNvPr id="66" name="Line 77">
          <a:extLst>
            <a:ext uri="{FF2B5EF4-FFF2-40B4-BE49-F238E27FC236}">
              <a16:creationId xmlns="" xmlns:a16="http://schemas.microsoft.com/office/drawing/2014/main" id="{00000000-0008-0000-0F00-000042000000}"/>
            </a:ext>
          </a:extLst>
        </xdr:cNvPr>
        <xdr:cNvSpPr>
          <a:spLocks noChangeShapeType="1"/>
        </xdr:cNvSpPr>
      </xdr:nvSpPr>
      <xdr:spPr bwMode="auto">
        <a:xfrm>
          <a:off x="10439400" y="13144500"/>
          <a:ext cx="361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809625</xdr:colOff>
      <xdr:row>33</xdr:row>
      <xdr:rowOff>123825</xdr:rowOff>
    </xdr:from>
    <xdr:to>
      <xdr:col>5</xdr:col>
      <xdr:colOff>142875</xdr:colOff>
      <xdr:row>33</xdr:row>
      <xdr:rowOff>123825</xdr:rowOff>
    </xdr:to>
    <xdr:sp macro="" textlink="">
      <xdr:nvSpPr>
        <xdr:cNvPr id="67" name="Line 78">
          <a:extLst>
            <a:ext uri="{FF2B5EF4-FFF2-40B4-BE49-F238E27FC236}">
              <a16:creationId xmlns="" xmlns:a16="http://schemas.microsoft.com/office/drawing/2014/main" id="{00000000-0008-0000-0F00-000043000000}"/>
            </a:ext>
          </a:extLst>
        </xdr:cNvPr>
        <xdr:cNvSpPr>
          <a:spLocks noChangeShapeType="1"/>
        </xdr:cNvSpPr>
      </xdr:nvSpPr>
      <xdr:spPr bwMode="auto">
        <a:xfrm>
          <a:off x="10429875" y="13220700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34</xdr:row>
      <xdr:rowOff>19050</xdr:rowOff>
    </xdr:from>
    <xdr:to>
      <xdr:col>5</xdr:col>
      <xdr:colOff>85725</xdr:colOff>
      <xdr:row>34</xdr:row>
      <xdr:rowOff>19050</xdr:rowOff>
    </xdr:to>
    <xdr:sp macro="" textlink="">
      <xdr:nvSpPr>
        <xdr:cNvPr id="68" name="Line 79">
          <a:extLst>
            <a:ext uri="{FF2B5EF4-FFF2-40B4-BE49-F238E27FC236}">
              <a16:creationId xmlns="" xmlns:a16="http://schemas.microsoft.com/office/drawing/2014/main" id="{00000000-0008-0000-0F00-000044000000}"/>
            </a:ext>
          </a:extLst>
        </xdr:cNvPr>
        <xdr:cNvSpPr>
          <a:spLocks noChangeShapeType="1"/>
        </xdr:cNvSpPr>
      </xdr:nvSpPr>
      <xdr:spPr bwMode="auto">
        <a:xfrm>
          <a:off x="10439400" y="1342072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657225</xdr:colOff>
      <xdr:row>32</xdr:row>
      <xdr:rowOff>200025</xdr:rowOff>
    </xdr:from>
    <xdr:to>
      <xdr:col>4</xdr:col>
      <xdr:colOff>657225</xdr:colOff>
      <xdr:row>45</xdr:row>
      <xdr:rowOff>66675</xdr:rowOff>
    </xdr:to>
    <xdr:sp macro="" textlink="">
      <xdr:nvSpPr>
        <xdr:cNvPr id="69" name="Line 80">
          <a:extLst>
            <a:ext uri="{FF2B5EF4-FFF2-40B4-BE49-F238E27FC236}">
              <a16:creationId xmlns="" xmlns:a16="http://schemas.microsoft.com/office/drawing/2014/main" id="{00000000-0008-0000-0F00-000045000000}"/>
            </a:ext>
          </a:extLst>
        </xdr:cNvPr>
        <xdr:cNvSpPr>
          <a:spLocks noChangeShapeType="1"/>
        </xdr:cNvSpPr>
      </xdr:nvSpPr>
      <xdr:spPr bwMode="auto">
        <a:xfrm>
          <a:off x="10277475" y="12992100"/>
          <a:ext cx="0" cy="399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828675</xdr:colOff>
      <xdr:row>32</xdr:row>
      <xdr:rowOff>190500</xdr:rowOff>
    </xdr:from>
    <xdr:to>
      <xdr:col>7</xdr:col>
      <xdr:colOff>352425</xdr:colOff>
      <xdr:row>32</xdr:row>
      <xdr:rowOff>266700</xdr:rowOff>
    </xdr:to>
    <xdr:grpSp>
      <xdr:nvGrpSpPr>
        <xdr:cNvPr id="70" name="Group 81">
          <a:extLst>
            <a:ext uri="{FF2B5EF4-FFF2-40B4-BE49-F238E27FC236}">
              <a16:creationId xmlns="" xmlns:a16="http://schemas.microsoft.com/office/drawing/2014/main" id="{00000000-0008-0000-0F00-000046000000}"/>
            </a:ext>
          </a:extLst>
        </xdr:cNvPr>
        <xdr:cNvGrpSpPr>
          <a:grpSpLocks/>
        </xdr:cNvGrpSpPr>
      </xdr:nvGrpSpPr>
      <xdr:grpSpPr bwMode="auto">
        <a:xfrm>
          <a:off x="1352550" y="12739688"/>
          <a:ext cx="2333625" cy="76200"/>
          <a:chOff x="89" y="756"/>
          <a:chExt cx="186" cy="8"/>
        </a:xfrm>
      </xdr:grpSpPr>
      <xdr:grpSp>
        <xdr:nvGrpSpPr>
          <xdr:cNvPr id="71" name="Group 82">
            <a:extLst>
              <a:ext uri="{FF2B5EF4-FFF2-40B4-BE49-F238E27FC236}">
                <a16:creationId xmlns="" xmlns:a16="http://schemas.microsoft.com/office/drawing/2014/main" id="{00000000-0008-0000-0F00-000047000000}"/>
              </a:ext>
            </a:extLst>
          </xdr:cNvPr>
          <xdr:cNvGrpSpPr>
            <a:grpSpLocks/>
          </xdr:cNvGrpSpPr>
        </xdr:nvGrpSpPr>
        <xdr:grpSpPr bwMode="auto">
          <a:xfrm>
            <a:off x="89" y="756"/>
            <a:ext cx="86" cy="8"/>
            <a:chOff x="89" y="756"/>
            <a:chExt cx="86" cy="8"/>
          </a:xfrm>
        </xdr:grpSpPr>
        <xdr:grpSp>
          <xdr:nvGrpSpPr>
            <xdr:cNvPr id="87" name="Group 83">
              <a:extLst>
                <a:ext uri="{FF2B5EF4-FFF2-40B4-BE49-F238E27FC236}">
                  <a16:creationId xmlns="" xmlns:a16="http://schemas.microsoft.com/office/drawing/2014/main" id="{00000000-0008-0000-0F00-000057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94" name="Oval 84">
                <a:extLst>
                  <a:ext uri="{FF2B5EF4-FFF2-40B4-BE49-F238E27FC236}">
                    <a16:creationId xmlns="" xmlns:a16="http://schemas.microsoft.com/office/drawing/2014/main" id="{00000000-0008-0000-0F00-00005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5" name="Oval 85">
                <a:extLst>
                  <a:ext uri="{FF2B5EF4-FFF2-40B4-BE49-F238E27FC236}">
                    <a16:creationId xmlns="" xmlns:a16="http://schemas.microsoft.com/office/drawing/2014/main" id="{00000000-0008-0000-0F00-00005F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96" name="Group 86">
                <a:extLst>
                  <a:ext uri="{FF2B5EF4-FFF2-40B4-BE49-F238E27FC236}">
                    <a16:creationId xmlns="" xmlns:a16="http://schemas.microsoft.com/office/drawing/2014/main" id="{00000000-0008-0000-0F00-000060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97" name="Oval 87">
                  <a:extLst>
                    <a:ext uri="{FF2B5EF4-FFF2-40B4-BE49-F238E27FC236}">
                      <a16:creationId xmlns="" xmlns:a16="http://schemas.microsoft.com/office/drawing/2014/main" id="{00000000-0008-0000-0F00-000061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98" name="Oval 88">
                  <a:extLst>
                    <a:ext uri="{FF2B5EF4-FFF2-40B4-BE49-F238E27FC236}">
                      <a16:creationId xmlns="" xmlns:a16="http://schemas.microsoft.com/office/drawing/2014/main" id="{00000000-0008-0000-0F00-000062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88" name="Group 89">
              <a:extLst>
                <a:ext uri="{FF2B5EF4-FFF2-40B4-BE49-F238E27FC236}">
                  <a16:creationId xmlns="" xmlns:a16="http://schemas.microsoft.com/office/drawing/2014/main" id="{00000000-0008-0000-0F00-000058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89" name="Oval 90">
                <a:extLst>
                  <a:ext uri="{FF2B5EF4-FFF2-40B4-BE49-F238E27FC236}">
                    <a16:creationId xmlns="" xmlns:a16="http://schemas.microsoft.com/office/drawing/2014/main" id="{00000000-0008-0000-0F00-00005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0" name="Oval 91">
                <a:extLst>
                  <a:ext uri="{FF2B5EF4-FFF2-40B4-BE49-F238E27FC236}">
                    <a16:creationId xmlns="" xmlns:a16="http://schemas.microsoft.com/office/drawing/2014/main" id="{00000000-0008-0000-0F00-00005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91" name="Group 92">
                <a:extLst>
                  <a:ext uri="{FF2B5EF4-FFF2-40B4-BE49-F238E27FC236}">
                    <a16:creationId xmlns="" xmlns:a16="http://schemas.microsoft.com/office/drawing/2014/main" id="{00000000-0008-0000-0F00-00005B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92" name="Oval 93">
                  <a:extLst>
                    <a:ext uri="{FF2B5EF4-FFF2-40B4-BE49-F238E27FC236}">
                      <a16:creationId xmlns="" xmlns:a16="http://schemas.microsoft.com/office/drawing/2014/main" id="{00000000-0008-0000-0F00-00005C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93" name="Oval 94">
                  <a:extLst>
                    <a:ext uri="{FF2B5EF4-FFF2-40B4-BE49-F238E27FC236}">
                      <a16:creationId xmlns="" xmlns:a16="http://schemas.microsoft.com/office/drawing/2014/main" id="{00000000-0008-0000-0F00-00005D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72" name="Group 95">
            <a:extLst>
              <a:ext uri="{FF2B5EF4-FFF2-40B4-BE49-F238E27FC236}">
                <a16:creationId xmlns="" xmlns:a16="http://schemas.microsoft.com/office/drawing/2014/main" id="{00000000-0008-0000-0F00-000048000000}"/>
              </a:ext>
            </a:extLst>
          </xdr:cNvPr>
          <xdr:cNvGrpSpPr>
            <a:grpSpLocks/>
          </xdr:cNvGrpSpPr>
        </xdr:nvGrpSpPr>
        <xdr:grpSpPr bwMode="auto">
          <a:xfrm>
            <a:off x="170" y="756"/>
            <a:ext cx="86" cy="8"/>
            <a:chOff x="89" y="756"/>
            <a:chExt cx="86" cy="8"/>
          </a:xfrm>
        </xdr:grpSpPr>
        <xdr:grpSp>
          <xdr:nvGrpSpPr>
            <xdr:cNvPr id="75" name="Group 96">
              <a:extLst>
                <a:ext uri="{FF2B5EF4-FFF2-40B4-BE49-F238E27FC236}">
                  <a16:creationId xmlns="" xmlns:a16="http://schemas.microsoft.com/office/drawing/2014/main" id="{00000000-0008-0000-0F00-00004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82" name="Oval 97">
                <a:extLst>
                  <a:ext uri="{FF2B5EF4-FFF2-40B4-BE49-F238E27FC236}">
                    <a16:creationId xmlns="" xmlns:a16="http://schemas.microsoft.com/office/drawing/2014/main" id="{00000000-0008-0000-0F00-00005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3" name="Oval 98">
                <a:extLst>
                  <a:ext uri="{FF2B5EF4-FFF2-40B4-BE49-F238E27FC236}">
                    <a16:creationId xmlns="" xmlns:a16="http://schemas.microsoft.com/office/drawing/2014/main" id="{00000000-0008-0000-0F00-00005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84" name="Group 99">
                <a:extLst>
                  <a:ext uri="{FF2B5EF4-FFF2-40B4-BE49-F238E27FC236}">
                    <a16:creationId xmlns="" xmlns:a16="http://schemas.microsoft.com/office/drawing/2014/main" id="{00000000-0008-0000-0F00-000054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85" name="Oval 100">
                  <a:extLst>
                    <a:ext uri="{FF2B5EF4-FFF2-40B4-BE49-F238E27FC236}">
                      <a16:creationId xmlns="" xmlns:a16="http://schemas.microsoft.com/office/drawing/2014/main" id="{00000000-0008-0000-0F00-000055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86" name="Oval 101">
                  <a:extLst>
                    <a:ext uri="{FF2B5EF4-FFF2-40B4-BE49-F238E27FC236}">
                      <a16:creationId xmlns="" xmlns:a16="http://schemas.microsoft.com/office/drawing/2014/main" id="{00000000-0008-0000-0F00-000056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76" name="Group 102">
              <a:extLst>
                <a:ext uri="{FF2B5EF4-FFF2-40B4-BE49-F238E27FC236}">
                  <a16:creationId xmlns="" xmlns:a16="http://schemas.microsoft.com/office/drawing/2014/main" id="{00000000-0008-0000-0F00-00004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77" name="Oval 103">
                <a:extLst>
                  <a:ext uri="{FF2B5EF4-FFF2-40B4-BE49-F238E27FC236}">
                    <a16:creationId xmlns="" xmlns:a16="http://schemas.microsoft.com/office/drawing/2014/main" id="{00000000-0008-0000-0F00-00004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8" name="Oval 104">
                <a:extLst>
                  <a:ext uri="{FF2B5EF4-FFF2-40B4-BE49-F238E27FC236}">
                    <a16:creationId xmlns="" xmlns:a16="http://schemas.microsoft.com/office/drawing/2014/main" id="{00000000-0008-0000-0F00-00004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79" name="Group 105">
                <a:extLst>
                  <a:ext uri="{FF2B5EF4-FFF2-40B4-BE49-F238E27FC236}">
                    <a16:creationId xmlns="" xmlns:a16="http://schemas.microsoft.com/office/drawing/2014/main" id="{00000000-0008-0000-0F00-00004F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80" name="Oval 106">
                  <a:extLst>
                    <a:ext uri="{FF2B5EF4-FFF2-40B4-BE49-F238E27FC236}">
                      <a16:creationId xmlns="" xmlns:a16="http://schemas.microsoft.com/office/drawing/2014/main" id="{00000000-0008-0000-0F00-000050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81" name="Oval 107">
                  <a:extLst>
                    <a:ext uri="{FF2B5EF4-FFF2-40B4-BE49-F238E27FC236}">
                      <a16:creationId xmlns="" xmlns:a16="http://schemas.microsoft.com/office/drawing/2014/main" id="{00000000-0008-0000-0F00-000051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73" name="Oval 108">
            <a:extLst>
              <a:ext uri="{FF2B5EF4-FFF2-40B4-BE49-F238E27FC236}">
                <a16:creationId xmlns="" xmlns:a16="http://schemas.microsoft.com/office/drawing/2014/main" id="{00000000-0008-0000-0F00-000049000000}"/>
              </a:ext>
            </a:extLst>
          </xdr:cNvPr>
          <xdr:cNvSpPr>
            <a:spLocks noChangeArrowheads="1"/>
          </xdr:cNvSpPr>
        </xdr:nvSpPr>
        <xdr:spPr bwMode="auto">
          <a:xfrm>
            <a:off x="25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4" name="Oval 109">
            <a:extLst>
              <a:ext uri="{FF2B5EF4-FFF2-40B4-BE49-F238E27FC236}">
                <a16:creationId xmlns="" xmlns:a16="http://schemas.microsoft.com/office/drawing/2014/main" id="{00000000-0008-0000-0F00-00004A000000}"/>
              </a:ext>
            </a:extLst>
          </xdr:cNvPr>
          <xdr:cNvSpPr>
            <a:spLocks noChangeArrowheads="1"/>
          </xdr:cNvSpPr>
        </xdr:nvSpPr>
        <xdr:spPr bwMode="auto">
          <a:xfrm>
            <a:off x="26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809625</xdr:colOff>
      <xdr:row>44</xdr:row>
      <xdr:rowOff>171450</xdr:rowOff>
    </xdr:from>
    <xdr:to>
      <xdr:col>7</xdr:col>
      <xdr:colOff>333375</xdr:colOff>
      <xdr:row>45</xdr:row>
      <xdr:rowOff>66675</xdr:rowOff>
    </xdr:to>
    <xdr:grpSp>
      <xdr:nvGrpSpPr>
        <xdr:cNvPr id="99" name="Group 110">
          <a:extLst>
            <a:ext uri="{FF2B5EF4-FFF2-40B4-BE49-F238E27FC236}">
              <a16:creationId xmlns="" xmlns:a16="http://schemas.microsoft.com/office/drawing/2014/main" id="{00000000-0008-0000-0F00-000063000000}"/>
            </a:ext>
          </a:extLst>
        </xdr:cNvPr>
        <xdr:cNvGrpSpPr>
          <a:grpSpLocks/>
        </xdr:cNvGrpSpPr>
      </xdr:nvGrpSpPr>
      <xdr:grpSpPr bwMode="auto">
        <a:xfrm>
          <a:off x="1333500" y="16649700"/>
          <a:ext cx="2333625" cy="133350"/>
          <a:chOff x="89" y="756"/>
          <a:chExt cx="186" cy="8"/>
        </a:xfrm>
      </xdr:grpSpPr>
      <xdr:grpSp>
        <xdr:nvGrpSpPr>
          <xdr:cNvPr id="100" name="Group 111">
            <a:extLst>
              <a:ext uri="{FF2B5EF4-FFF2-40B4-BE49-F238E27FC236}">
                <a16:creationId xmlns="" xmlns:a16="http://schemas.microsoft.com/office/drawing/2014/main" id="{00000000-0008-0000-0F00-000064000000}"/>
              </a:ext>
            </a:extLst>
          </xdr:cNvPr>
          <xdr:cNvGrpSpPr>
            <a:grpSpLocks/>
          </xdr:cNvGrpSpPr>
        </xdr:nvGrpSpPr>
        <xdr:grpSpPr bwMode="auto">
          <a:xfrm>
            <a:off x="89" y="756"/>
            <a:ext cx="86" cy="8"/>
            <a:chOff x="89" y="756"/>
            <a:chExt cx="86" cy="8"/>
          </a:xfrm>
        </xdr:grpSpPr>
        <xdr:grpSp>
          <xdr:nvGrpSpPr>
            <xdr:cNvPr id="116" name="Group 112">
              <a:extLst>
                <a:ext uri="{FF2B5EF4-FFF2-40B4-BE49-F238E27FC236}">
                  <a16:creationId xmlns="" xmlns:a16="http://schemas.microsoft.com/office/drawing/2014/main" id="{00000000-0008-0000-0F00-00007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123" name="Oval 113">
                <a:extLst>
                  <a:ext uri="{FF2B5EF4-FFF2-40B4-BE49-F238E27FC236}">
                    <a16:creationId xmlns="" xmlns:a16="http://schemas.microsoft.com/office/drawing/2014/main" id="{00000000-0008-0000-0F00-00007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24" name="Oval 114">
                <a:extLst>
                  <a:ext uri="{FF2B5EF4-FFF2-40B4-BE49-F238E27FC236}">
                    <a16:creationId xmlns="" xmlns:a16="http://schemas.microsoft.com/office/drawing/2014/main" id="{00000000-0008-0000-0F00-00007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25" name="Group 115">
                <a:extLst>
                  <a:ext uri="{FF2B5EF4-FFF2-40B4-BE49-F238E27FC236}">
                    <a16:creationId xmlns="" xmlns:a16="http://schemas.microsoft.com/office/drawing/2014/main" id="{00000000-0008-0000-0F00-00007D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126" name="Oval 116">
                  <a:extLst>
                    <a:ext uri="{FF2B5EF4-FFF2-40B4-BE49-F238E27FC236}">
                      <a16:creationId xmlns="" xmlns:a16="http://schemas.microsoft.com/office/drawing/2014/main" id="{00000000-0008-0000-0F00-00007E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27" name="Oval 117">
                  <a:extLst>
                    <a:ext uri="{FF2B5EF4-FFF2-40B4-BE49-F238E27FC236}">
                      <a16:creationId xmlns="" xmlns:a16="http://schemas.microsoft.com/office/drawing/2014/main" id="{00000000-0008-0000-0F00-00007F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117" name="Group 118">
              <a:extLst>
                <a:ext uri="{FF2B5EF4-FFF2-40B4-BE49-F238E27FC236}">
                  <a16:creationId xmlns="" xmlns:a16="http://schemas.microsoft.com/office/drawing/2014/main" id="{00000000-0008-0000-0F00-00007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118" name="Oval 119">
                <a:extLst>
                  <a:ext uri="{FF2B5EF4-FFF2-40B4-BE49-F238E27FC236}">
                    <a16:creationId xmlns="" xmlns:a16="http://schemas.microsoft.com/office/drawing/2014/main" id="{00000000-0008-0000-0F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9" name="Oval 120">
                <a:extLst>
                  <a:ext uri="{FF2B5EF4-FFF2-40B4-BE49-F238E27FC236}">
                    <a16:creationId xmlns="" xmlns:a16="http://schemas.microsoft.com/office/drawing/2014/main" id="{00000000-0008-0000-0F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20" name="Group 121">
                <a:extLst>
                  <a:ext uri="{FF2B5EF4-FFF2-40B4-BE49-F238E27FC236}">
                    <a16:creationId xmlns="" xmlns:a16="http://schemas.microsoft.com/office/drawing/2014/main" id="{00000000-0008-0000-0F00-000078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121" name="Oval 122">
                  <a:extLst>
                    <a:ext uri="{FF2B5EF4-FFF2-40B4-BE49-F238E27FC236}">
                      <a16:creationId xmlns="" xmlns:a16="http://schemas.microsoft.com/office/drawing/2014/main" id="{00000000-0008-0000-0F00-000079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22" name="Oval 123">
                  <a:extLst>
                    <a:ext uri="{FF2B5EF4-FFF2-40B4-BE49-F238E27FC236}">
                      <a16:creationId xmlns="" xmlns:a16="http://schemas.microsoft.com/office/drawing/2014/main" id="{00000000-0008-0000-0F00-00007A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101" name="Group 124">
            <a:extLst>
              <a:ext uri="{FF2B5EF4-FFF2-40B4-BE49-F238E27FC236}">
                <a16:creationId xmlns="" xmlns:a16="http://schemas.microsoft.com/office/drawing/2014/main" id="{00000000-0008-0000-0F00-000065000000}"/>
              </a:ext>
            </a:extLst>
          </xdr:cNvPr>
          <xdr:cNvGrpSpPr>
            <a:grpSpLocks/>
          </xdr:cNvGrpSpPr>
        </xdr:nvGrpSpPr>
        <xdr:grpSpPr bwMode="auto">
          <a:xfrm>
            <a:off x="170" y="756"/>
            <a:ext cx="86" cy="8"/>
            <a:chOff x="89" y="756"/>
            <a:chExt cx="86" cy="8"/>
          </a:xfrm>
        </xdr:grpSpPr>
        <xdr:grpSp>
          <xdr:nvGrpSpPr>
            <xdr:cNvPr id="104" name="Group 125">
              <a:extLst>
                <a:ext uri="{FF2B5EF4-FFF2-40B4-BE49-F238E27FC236}">
                  <a16:creationId xmlns="" xmlns:a16="http://schemas.microsoft.com/office/drawing/2014/main" id="{00000000-0008-0000-0F00-000068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111" name="Oval 126">
                <a:extLst>
                  <a:ext uri="{FF2B5EF4-FFF2-40B4-BE49-F238E27FC236}">
                    <a16:creationId xmlns="" xmlns:a16="http://schemas.microsoft.com/office/drawing/2014/main" id="{00000000-0008-0000-0F00-00006F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" name="Oval 127">
                <a:extLst>
                  <a:ext uri="{FF2B5EF4-FFF2-40B4-BE49-F238E27FC236}">
                    <a16:creationId xmlns="" xmlns:a16="http://schemas.microsoft.com/office/drawing/2014/main" id="{00000000-0008-0000-0F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13" name="Group 128">
                <a:extLst>
                  <a:ext uri="{FF2B5EF4-FFF2-40B4-BE49-F238E27FC236}">
                    <a16:creationId xmlns="" xmlns:a16="http://schemas.microsoft.com/office/drawing/2014/main" id="{00000000-0008-0000-0F00-000071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114" name="Oval 129">
                  <a:extLst>
                    <a:ext uri="{FF2B5EF4-FFF2-40B4-BE49-F238E27FC236}">
                      <a16:creationId xmlns="" xmlns:a16="http://schemas.microsoft.com/office/drawing/2014/main" id="{00000000-0008-0000-0F00-000072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15" name="Oval 130">
                  <a:extLst>
                    <a:ext uri="{FF2B5EF4-FFF2-40B4-BE49-F238E27FC236}">
                      <a16:creationId xmlns="" xmlns:a16="http://schemas.microsoft.com/office/drawing/2014/main" id="{00000000-0008-0000-0F00-000073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105" name="Group 131">
              <a:extLst>
                <a:ext uri="{FF2B5EF4-FFF2-40B4-BE49-F238E27FC236}">
                  <a16:creationId xmlns="" xmlns:a16="http://schemas.microsoft.com/office/drawing/2014/main" id="{00000000-0008-0000-0F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106" name="Oval 132">
                <a:extLst>
                  <a:ext uri="{FF2B5EF4-FFF2-40B4-BE49-F238E27FC236}">
                    <a16:creationId xmlns="" xmlns:a16="http://schemas.microsoft.com/office/drawing/2014/main" id="{00000000-0008-0000-0F00-00006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7" name="Oval 133">
                <a:extLst>
                  <a:ext uri="{FF2B5EF4-FFF2-40B4-BE49-F238E27FC236}">
                    <a16:creationId xmlns="" xmlns:a16="http://schemas.microsoft.com/office/drawing/2014/main" id="{00000000-0008-0000-0F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08" name="Group 134">
                <a:extLst>
                  <a:ext uri="{FF2B5EF4-FFF2-40B4-BE49-F238E27FC236}">
                    <a16:creationId xmlns="" xmlns:a16="http://schemas.microsoft.com/office/drawing/2014/main" id="{00000000-0008-0000-0F00-00006C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109" name="Oval 135">
                  <a:extLst>
                    <a:ext uri="{FF2B5EF4-FFF2-40B4-BE49-F238E27FC236}">
                      <a16:creationId xmlns="" xmlns:a16="http://schemas.microsoft.com/office/drawing/2014/main" id="{00000000-0008-0000-0F00-00006D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10" name="Oval 136">
                  <a:extLst>
                    <a:ext uri="{FF2B5EF4-FFF2-40B4-BE49-F238E27FC236}">
                      <a16:creationId xmlns="" xmlns:a16="http://schemas.microsoft.com/office/drawing/2014/main" id="{00000000-0008-0000-0F00-00006E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102" name="Oval 137">
            <a:extLst>
              <a:ext uri="{FF2B5EF4-FFF2-40B4-BE49-F238E27FC236}">
                <a16:creationId xmlns="" xmlns:a16="http://schemas.microsoft.com/office/drawing/2014/main" id="{00000000-0008-0000-0F00-000066000000}"/>
              </a:ext>
            </a:extLst>
          </xdr:cNvPr>
          <xdr:cNvSpPr>
            <a:spLocks noChangeArrowheads="1"/>
          </xdr:cNvSpPr>
        </xdr:nvSpPr>
        <xdr:spPr bwMode="auto">
          <a:xfrm>
            <a:off x="25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3" name="Oval 138">
            <a:extLst>
              <a:ext uri="{FF2B5EF4-FFF2-40B4-BE49-F238E27FC236}">
                <a16:creationId xmlns="" xmlns:a16="http://schemas.microsoft.com/office/drawing/2014/main" id="{00000000-0008-0000-0F00-000067000000}"/>
              </a:ext>
            </a:extLst>
          </xdr:cNvPr>
          <xdr:cNvSpPr>
            <a:spLocks noChangeArrowheads="1"/>
          </xdr:cNvSpPr>
        </xdr:nvSpPr>
        <xdr:spPr bwMode="auto">
          <a:xfrm>
            <a:off x="26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133350</xdr:colOff>
      <xdr:row>45</xdr:row>
      <xdr:rowOff>66675</xdr:rowOff>
    </xdr:from>
    <xdr:to>
      <xdr:col>8</xdr:col>
      <xdr:colOff>704850</xdr:colOff>
      <xdr:row>45</xdr:row>
      <xdr:rowOff>66675</xdr:rowOff>
    </xdr:to>
    <xdr:sp macro="" textlink="">
      <xdr:nvSpPr>
        <xdr:cNvPr id="128" name="Line 239">
          <a:extLst>
            <a:ext uri="{FF2B5EF4-FFF2-40B4-BE49-F238E27FC236}">
              <a16:creationId xmlns="" xmlns:a16="http://schemas.microsoft.com/office/drawing/2014/main" id="{00000000-0008-0000-0F00-000080000000}"/>
            </a:ext>
          </a:extLst>
        </xdr:cNvPr>
        <xdr:cNvSpPr>
          <a:spLocks noChangeShapeType="1"/>
        </xdr:cNvSpPr>
      </xdr:nvSpPr>
      <xdr:spPr bwMode="auto">
        <a:xfrm>
          <a:off x="13315950" y="16983075"/>
          <a:ext cx="571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123825</xdr:colOff>
      <xdr:row>29</xdr:row>
      <xdr:rowOff>152400</xdr:rowOff>
    </xdr:from>
    <xdr:to>
      <xdr:col>8</xdr:col>
      <xdr:colOff>704850</xdr:colOff>
      <xdr:row>29</xdr:row>
      <xdr:rowOff>152400</xdr:rowOff>
    </xdr:to>
    <xdr:sp macro="" textlink="">
      <xdr:nvSpPr>
        <xdr:cNvPr id="129" name="Line 240">
          <a:extLst>
            <a:ext uri="{FF2B5EF4-FFF2-40B4-BE49-F238E27FC236}">
              <a16:creationId xmlns="" xmlns:a16="http://schemas.microsoft.com/office/drawing/2014/main" id="{00000000-0008-0000-0F00-000081000000}"/>
            </a:ext>
          </a:extLst>
        </xdr:cNvPr>
        <xdr:cNvSpPr>
          <a:spLocks noChangeShapeType="1"/>
        </xdr:cNvSpPr>
      </xdr:nvSpPr>
      <xdr:spPr bwMode="auto">
        <a:xfrm>
          <a:off x="13306425" y="11706225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657225</xdr:colOff>
      <xdr:row>24</xdr:row>
      <xdr:rowOff>371475</xdr:rowOff>
    </xdr:from>
    <xdr:to>
      <xdr:col>7</xdr:col>
      <xdr:colOff>657225</xdr:colOff>
      <xdr:row>26</xdr:row>
      <xdr:rowOff>371475</xdr:rowOff>
    </xdr:to>
    <xdr:grpSp>
      <xdr:nvGrpSpPr>
        <xdr:cNvPr id="130" name="Group 289">
          <a:extLst>
            <a:ext uri="{FF2B5EF4-FFF2-40B4-BE49-F238E27FC236}">
              <a16:creationId xmlns="" xmlns:a16="http://schemas.microsoft.com/office/drawing/2014/main" id="{00000000-0008-0000-0F00-000082000000}"/>
            </a:ext>
          </a:extLst>
        </xdr:cNvPr>
        <xdr:cNvGrpSpPr>
          <a:grpSpLocks/>
        </xdr:cNvGrpSpPr>
      </xdr:nvGrpSpPr>
      <xdr:grpSpPr bwMode="auto">
        <a:xfrm>
          <a:off x="1181100" y="9777413"/>
          <a:ext cx="2809875" cy="762000"/>
          <a:chOff x="2020" y="383"/>
          <a:chExt cx="656" cy="22"/>
        </a:xfrm>
      </xdr:grpSpPr>
      <xdr:sp macro="" textlink="">
        <xdr:nvSpPr>
          <xdr:cNvPr id="131" name="Line 290">
            <a:extLst>
              <a:ext uri="{FF2B5EF4-FFF2-40B4-BE49-F238E27FC236}">
                <a16:creationId xmlns="" xmlns:a16="http://schemas.microsoft.com/office/drawing/2014/main" id="{00000000-0008-0000-0F00-00008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291">
            <a:extLst>
              <a:ext uri="{FF2B5EF4-FFF2-40B4-BE49-F238E27FC236}">
                <a16:creationId xmlns="" xmlns:a16="http://schemas.microsoft.com/office/drawing/2014/main" id="{00000000-0008-0000-0F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133" name="Line 292">
            <a:extLst>
              <a:ext uri="{FF2B5EF4-FFF2-40B4-BE49-F238E27FC236}">
                <a16:creationId xmlns="" xmlns:a16="http://schemas.microsoft.com/office/drawing/2014/main" id="{00000000-0008-0000-0F00-0000850000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542925</xdr:colOff>
      <xdr:row>29</xdr:row>
      <xdr:rowOff>152400</xdr:rowOff>
    </xdr:from>
    <xdr:to>
      <xdr:col>8</xdr:col>
      <xdr:colOff>542925</xdr:colOff>
      <xdr:row>45</xdr:row>
      <xdr:rowOff>38100</xdr:rowOff>
    </xdr:to>
    <xdr:sp macro="" textlink="">
      <xdr:nvSpPr>
        <xdr:cNvPr id="134" name="Line 298">
          <a:extLst>
            <a:ext uri="{FF2B5EF4-FFF2-40B4-BE49-F238E27FC236}">
              <a16:creationId xmlns="" xmlns:a16="http://schemas.microsoft.com/office/drawing/2014/main" id="{00000000-0008-0000-0F00-000086000000}"/>
            </a:ext>
          </a:extLst>
        </xdr:cNvPr>
        <xdr:cNvSpPr>
          <a:spLocks noChangeShapeType="1"/>
        </xdr:cNvSpPr>
      </xdr:nvSpPr>
      <xdr:spPr bwMode="auto">
        <a:xfrm>
          <a:off x="13725525" y="11706225"/>
          <a:ext cx="0" cy="5248275"/>
        </a:xfrm>
        <a:prstGeom prst="line">
          <a:avLst/>
        </a:prstGeom>
        <a:noFill/>
        <a:ln w="9525">
          <a:solidFill>
            <a:srgbClr val="000000"/>
          </a:solidFill>
          <a:round/>
          <a:headEnd type="stealth" w="med" len="lg"/>
          <a:tailEnd type="stealth" w="med" len="lg"/>
        </a:ln>
      </xdr:spPr>
    </xdr:sp>
    <xdr:clientData/>
  </xdr:twoCellAnchor>
  <xdr:twoCellAnchor>
    <xdr:from>
      <xdr:col>4</xdr:col>
      <xdr:colOff>666750</xdr:colOff>
      <xdr:row>29</xdr:row>
      <xdr:rowOff>142875</xdr:rowOff>
    </xdr:from>
    <xdr:to>
      <xdr:col>7</xdr:col>
      <xdr:colOff>666750</xdr:colOff>
      <xdr:row>30</xdr:row>
      <xdr:rowOff>171450</xdr:rowOff>
    </xdr:to>
    <xdr:sp macro="" textlink="">
      <xdr:nvSpPr>
        <xdr:cNvPr id="135" name="Rectangle 300">
          <a:extLst>
            <a:ext uri="{FF2B5EF4-FFF2-40B4-BE49-F238E27FC236}">
              <a16:creationId xmlns="" xmlns:a16="http://schemas.microsoft.com/office/drawing/2014/main" id="{00000000-0008-0000-0F00-000087000000}"/>
            </a:ext>
          </a:extLst>
        </xdr:cNvPr>
        <xdr:cNvSpPr>
          <a:spLocks noChangeArrowheads="1"/>
        </xdr:cNvSpPr>
      </xdr:nvSpPr>
      <xdr:spPr bwMode="auto">
        <a:xfrm>
          <a:off x="10287000" y="11696700"/>
          <a:ext cx="2838450" cy="419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657225</xdr:colOff>
      <xdr:row>32</xdr:row>
      <xdr:rowOff>161925</xdr:rowOff>
    </xdr:from>
    <xdr:to>
      <xdr:col>7</xdr:col>
      <xdr:colOff>657225</xdr:colOff>
      <xdr:row>45</xdr:row>
      <xdr:rowOff>85725</xdr:rowOff>
    </xdr:to>
    <xdr:sp macro="" textlink="">
      <xdr:nvSpPr>
        <xdr:cNvPr id="136" name="Rectangle 302">
          <a:extLst>
            <a:ext uri="{FF2B5EF4-FFF2-40B4-BE49-F238E27FC236}">
              <a16:creationId xmlns="" xmlns:a16="http://schemas.microsoft.com/office/drawing/2014/main" id="{00000000-0008-0000-0F00-000088000000}"/>
            </a:ext>
          </a:extLst>
        </xdr:cNvPr>
        <xdr:cNvSpPr>
          <a:spLocks noChangeArrowheads="1"/>
        </xdr:cNvSpPr>
      </xdr:nvSpPr>
      <xdr:spPr bwMode="auto">
        <a:xfrm>
          <a:off x="10277475" y="12954000"/>
          <a:ext cx="2838450" cy="40481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428625</xdr:colOff>
      <xdr:row>32</xdr:row>
      <xdr:rowOff>209550</xdr:rowOff>
    </xdr:from>
    <xdr:to>
      <xdr:col>4</xdr:col>
      <xdr:colOff>485775</xdr:colOff>
      <xdr:row>32</xdr:row>
      <xdr:rowOff>209550</xdr:rowOff>
    </xdr:to>
    <xdr:sp macro="" textlink="">
      <xdr:nvSpPr>
        <xdr:cNvPr id="137" name="Line 305">
          <a:extLst>
            <a:ext uri="{FF2B5EF4-FFF2-40B4-BE49-F238E27FC236}">
              <a16:creationId xmlns="" xmlns:a16="http://schemas.microsoft.com/office/drawing/2014/main" id="{00000000-0008-0000-0F00-000089000000}"/>
            </a:ext>
          </a:extLst>
        </xdr:cNvPr>
        <xdr:cNvSpPr>
          <a:spLocks noChangeShapeType="1"/>
        </xdr:cNvSpPr>
      </xdr:nvSpPr>
      <xdr:spPr bwMode="auto">
        <a:xfrm>
          <a:off x="9534525" y="13001625"/>
          <a:ext cx="571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32</xdr:row>
      <xdr:rowOff>180975</xdr:rowOff>
    </xdr:from>
    <xdr:to>
      <xdr:col>4</xdr:col>
      <xdr:colOff>9525</xdr:colOff>
      <xdr:row>45</xdr:row>
      <xdr:rowOff>38100</xdr:rowOff>
    </xdr:to>
    <xdr:sp macro="" textlink="">
      <xdr:nvSpPr>
        <xdr:cNvPr id="138" name="Line 306">
          <a:extLst>
            <a:ext uri="{FF2B5EF4-FFF2-40B4-BE49-F238E27FC236}">
              <a16:creationId xmlns="" xmlns:a16="http://schemas.microsoft.com/office/drawing/2014/main" id="{00000000-0008-0000-0F00-00008A000000}"/>
            </a:ext>
          </a:extLst>
        </xdr:cNvPr>
        <xdr:cNvSpPr>
          <a:spLocks noChangeShapeType="1"/>
        </xdr:cNvSpPr>
      </xdr:nvSpPr>
      <xdr:spPr bwMode="auto">
        <a:xfrm>
          <a:off x="9629775" y="12973050"/>
          <a:ext cx="0" cy="3981450"/>
        </a:xfrm>
        <a:prstGeom prst="line">
          <a:avLst/>
        </a:prstGeom>
        <a:noFill/>
        <a:ln w="9525">
          <a:solidFill>
            <a:srgbClr val="000000"/>
          </a:solidFill>
          <a:round/>
          <a:headEnd type="stealth" w="med" len="lg"/>
          <a:tailEnd type="stealth" w="med" len="lg"/>
        </a:ln>
      </xdr:spPr>
    </xdr:sp>
    <xdr:clientData/>
  </xdr:twoCellAnchor>
  <xdr:twoCellAnchor>
    <xdr:from>
      <xdr:col>3</xdr:col>
      <xdr:colOff>428625</xdr:colOff>
      <xdr:row>45</xdr:row>
      <xdr:rowOff>57150</xdr:rowOff>
    </xdr:from>
    <xdr:to>
      <xdr:col>4</xdr:col>
      <xdr:colOff>485775</xdr:colOff>
      <xdr:row>45</xdr:row>
      <xdr:rowOff>57150</xdr:rowOff>
    </xdr:to>
    <xdr:sp macro="" textlink="">
      <xdr:nvSpPr>
        <xdr:cNvPr id="139" name="Line 307">
          <a:extLst>
            <a:ext uri="{FF2B5EF4-FFF2-40B4-BE49-F238E27FC236}">
              <a16:creationId xmlns="" xmlns:a16="http://schemas.microsoft.com/office/drawing/2014/main" id="{00000000-0008-0000-0F00-00008B000000}"/>
            </a:ext>
          </a:extLst>
        </xdr:cNvPr>
        <xdr:cNvSpPr>
          <a:spLocks noChangeShapeType="1"/>
        </xdr:cNvSpPr>
      </xdr:nvSpPr>
      <xdr:spPr bwMode="auto">
        <a:xfrm>
          <a:off x="9534525" y="16973550"/>
          <a:ext cx="571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12</xdr:col>
      <xdr:colOff>476250</xdr:colOff>
      <xdr:row>5</xdr:row>
      <xdr:rowOff>190500</xdr:rowOff>
    </xdr:from>
    <xdr:to>
      <xdr:col>15</xdr:col>
      <xdr:colOff>304800</xdr:colOff>
      <xdr:row>8</xdr:row>
      <xdr:rowOff>47625</xdr:rowOff>
    </xdr:to>
    <xdr:grpSp>
      <xdr:nvGrpSpPr>
        <xdr:cNvPr id="140" name="Group 310">
          <a:extLst>
            <a:ext uri="{FF2B5EF4-FFF2-40B4-BE49-F238E27FC236}">
              <a16:creationId xmlns="" xmlns:a16="http://schemas.microsoft.com/office/drawing/2014/main" id="{00000000-0008-0000-0F00-00008C000000}"/>
            </a:ext>
          </a:extLst>
        </xdr:cNvPr>
        <xdr:cNvGrpSpPr>
          <a:grpSpLocks/>
        </xdr:cNvGrpSpPr>
      </xdr:nvGrpSpPr>
      <xdr:grpSpPr bwMode="auto">
        <a:xfrm>
          <a:off x="7191375" y="2357438"/>
          <a:ext cx="2805113" cy="1000125"/>
          <a:chOff x="358" y="540"/>
          <a:chExt cx="293" cy="139"/>
        </a:xfrm>
      </xdr:grpSpPr>
      <xdr:sp macro="" textlink="">
        <xdr:nvSpPr>
          <xdr:cNvPr id="141" name="Line 311">
            <a:extLst>
              <a:ext uri="{FF2B5EF4-FFF2-40B4-BE49-F238E27FC236}">
                <a16:creationId xmlns="" xmlns:a16="http://schemas.microsoft.com/office/drawing/2014/main" id="{00000000-0008-0000-0F00-00008D0000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42" name="Group 312">
            <a:extLst>
              <a:ext uri="{FF2B5EF4-FFF2-40B4-BE49-F238E27FC236}">
                <a16:creationId xmlns="" xmlns:a16="http://schemas.microsoft.com/office/drawing/2014/main" id="{00000000-0008-0000-0F00-00008E0000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198" name="Line 313">
              <a:extLst>
                <a:ext uri="{FF2B5EF4-FFF2-40B4-BE49-F238E27FC236}">
                  <a16:creationId xmlns="" xmlns:a16="http://schemas.microsoft.com/office/drawing/2014/main" id="{00000000-0008-0000-0F00-0000C6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9" name="Line 314">
              <a:extLst>
                <a:ext uri="{FF2B5EF4-FFF2-40B4-BE49-F238E27FC236}">
                  <a16:creationId xmlns="" xmlns:a16="http://schemas.microsoft.com/office/drawing/2014/main" id="{00000000-0008-0000-0F00-0000C7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43" name="Line 315">
            <a:extLst>
              <a:ext uri="{FF2B5EF4-FFF2-40B4-BE49-F238E27FC236}">
                <a16:creationId xmlns="" xmlns:a16="http://schemas.microsoft.com/office/drawing/2014/main" id="{00000000-0008-0000-0F00-00008F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4" name="Line 316">
            <a:extLst>
              <a:ext uri="{FF2B5EF4-FFF2-40B4-BE49-F238E27FC236}">
                <a16:creationId xmlns="" xmlns:a16="http://schemas.microsoft.com/office/drawing/2014/main" id="{00000000-0008-0000-0F00-000090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145" name="Line 317">
            <a:extLst>
              <a:ext uri="{FF2B5EF4-FFF2-40B4-BE49-F238E27FC236}">
                <a16:creationId xmlns="" xmlns:a16="http://schemas.microsoft.com/office/drawing/2014/main" id="{00000000-0008-0000-0F00-000091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146" name="Line 318">
            <a:extLst>
              <a:ext uri="{FF2B5EF4-FFF2-40B4-BE49-F238E27FC236}">
                <a16:creationId xmlns="" xmlns:a16="http://schemas.microsoft.com/office/drawing/2014/main" id="{00000000-0008-0000-0F00-0000920000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147" name="Line 319">
            <a:extLst>
              <a:ext uri="{FF2B5EF4-FFF2-40B4-BE49-F238E27FC236}">
                <a16:creationId xmlns="" xmlns:a16="http://schemas.microsoft.com/office/drawing/2014/main" id="{00000000-0008-0000-0F00-0000930000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48" name="Group 320">
            <a:extLst>
              <a:ext uri="{FF2B5EF4-FFF2-40B4-BE49-F238E27FC236}">
                <a16:creationId xmlns="" xmlns:a16="http://schemas.microsoft.com/office/drawing/2014/main" id="{00000000-0008-0000-0F00-0000940000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192" name="Line 321">
              <a:extLst>
                <a:ext uri="{FF2B5EF4-FFF2-40B4-BE49-F238E27FC236}">
                  <a16:creationId xmlns="" xmlns:a16="http://schemas.microsoft.com/office/drawing/2014/main" id="{00000000-0008-0000-0F00-0000C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93" name="Group 322">
              <a:extLst>
                <a:ext uri="{FF2B5EF4-FFF2-40B4-BE49-F238E27FC236}">
                  <a16:creationId xmlns="" xmlns:a16="http://schemas.microsoft.com/office/drawing/2014/main" id="{00000000-0008-0000-0F00-0000C1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194" name="Line 323">
                <a:extLst>
                  <a:ext uri="{FF2B5EF4-FFF2-40B4-BE49-F238E27FC236}">
                    <a16:creationId xmlns="" xmlns:a16="http://schemas.microsoft.com/office/drawing/2014/main" id="{00000000-0008-0000-0F00-0000C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95" name="Group 324">
                <a:extLst>
                  <a:ext uri="{FF2B5EF4-FFF2-40B4-BE49-F238E27FC236}">
                    <a16:creationId xmlns="" xmlns:a16="http://schemas.microsoft.com/office/drawing/2014/main" id="{00000000-0008-0000-0F00-0000C3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196" name="Line 325">
                  <a:extLst>
                    <a:ext uri="{FF2B5EF4-FFF2-40B4-BE49-F238E27FC236}">
                      <a16:creationId xmlns="" xmlns:a16="http://schemas.microsoft.com/office/drawing/2014/main" id="{00000000-0008-0000-0F00-0000C4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97" name="Line 326">
                  <a:extLst>
                    <a:ext uri="{FF2B5EF4-FFF2-40B4-BE49-F238E27FC236}">
                      <a16:creationId xmlns="" xmlns:a16="http://schemas.microsoft.com/office/drawing/2014/main" id="{00000000-0008-0000-0F00-0000C5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149" name="Group 327">
            <a:extLst>
              <a:ext uri="{FF2B5EF4-FFF2-40B4-BE49-F238E27FC236}">
                <a16:creationId xmlns="" xmlns:a16="http://schemas.microsoft.com/office/drawing/2014/main" id="{00000000-0008-0000-0F00-0000950000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186" name="Line 328">
              <a:extLst>
                <a:ext uri="{FF2B5EF4-FFF2-40B4-BE49-F238E27FC236}">
                  <a16:creationId xmlns="" xmlns:a16="http://schemas.microsoft.com/office/drawing/2014/main" id="{00000000-0008-0000-0F00-0000B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87" name="Group 329">
              <a:extLst>
                <a:ext uri="{FF2B5EF4-FFF2-40B4-BE49-F238E27FC236}">
                  <a16:creationId xmlns="" xmlns:a16="http://schemas.microsoft.com/office/drawing/2014/main" id="{00000000-0008-0000-0F00-0000B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188" name="Line 330">
                <a:extLst>
                  <a:ext uri="{FF2B5EF4-FFF2-40B4-BE49-F238E27FC236}">
                    <a16:creationId xmlns="" xmlns:a16="http://schemas.microsoft.com/office/drawing/2014/main" id="{00000000-0008-0000-0F00-0000B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89" name="Group 331">
                <a:extLst>
                  <a:ext uri="{FF2B5EF4-FFF2-40B4-BE49-F238E27FC236}">
                    <a16:creationId xmlns="" xmlns:a16="http://schemas.microsoft.com/office/drawing/2014/main" id="{00000000-0008-0000-0F00-0000BD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190" name="Line 332">
                  <a:extLst>
                    <a:ext uri="{FF2B5EF4-FFF2-40B4-BE49-F238E27FC236}">
                      <a16:creationId xmlns="" xmlns:a16="http://schemas.microsoft.com/office/drawing/2014/main" id="{00000000-0008-0000-0F00-0000BE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91" name="Line 333">
                  <a:extLst>
                    <a:ext uri="{FF2B5EF4-FFF2-40B4-BE49-F238E27FC236}">
                      <a16:creationId xmlns="" xmlns:a16="http://schemas.microsoft.com/office/drawing/2014/main" id="{00000000-0008-0000-0F00-0000BF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150" name="Group 334">
            <a:extLst>
              <a:ext uri="{FF2B5EF4-FFF2-40B4-BE49-F238E27FC236}">
                <a16:creationId xmlns="" xmlns:a16="http://schemas.microsoft.com/office/drawing/2014/main" id="{00000000-0008-0000-0F00-0000960000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180" name="Line 335">
              <a:extLst>
                <a:ext uri="{FF2B5EF4-FFF2-40B4-BE49-F238E27FC236}">
                  <a16:creationId xmlns="" xmlns:a16="http://schemas.microsoft.com/office/drawing/2014/main" id="{00000000-0008-0000-0F00-0000B4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81" name="Group 336">
              <a:extLst>
                <a:ext uri="{FF2B5EF4-FFF2-40B4-BE49-F238E27FC236}">
                  <a16:creationId xmlns="" xmlns:a16="http://schemas.microsoft.com/office/drawing/2014/main" id="{00000000-0008-0000-0F00-0000B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182" name="Line 337">
                <a:extLst>
                  <a:ext uri="{FF2B5EF4-FFF2-40B4-BE49-F238E27FC236}">
                    <a16:creationId xmlns="" xmlns:a16="http://schemas.microsoft.com/office/drawing/2014/main" id="{00000000-0008-0000-0F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83" name="Group 338">
                <a:extLst>
                  <a:ext uri="{FF2B5EF4-FFF2-40B4-BE49-F238E27FC236}">
                    <a16:creationId xmlns="" xmlns:a16="http://schemas.microsoft.com/office/drawing/2014/main" id="{00000000-0008-0000-0F00-0000B7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184" name="Line 339">
                  <a:extLst>
                    <a:ext uri="{FF2B5EF4-FFF2-40B4-BE49-F238E27FC236}">
                      <a16:creationId xmlns="" xmlns:a16="http://schemas.microsoft.com/office/drawing/2014/main" id="{00000000-0008-0000-0F00-0000B8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85" name="Line 340">
                  <a:extLst>
                    <a:ext uri="{FF2B5EF4-FFF2-40B4-BE49-F238E27FC236}">
                      <a16:creationId xmlns="" xmlns:a16="http://schemas.microsoft.com/office/drawing/2014/main" id="{00000000-0008-0000-0F00-0000B9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151" name="Group 341">
            <a:extLst>
              <a:ext uri="{FF2B5EF4-FFF2-40B4-BE49-F238E27FC236}">
                <a16:creationId xmlns="" xmlns:a16="http://schemas.microsoft.com/office/drawing/2014/main" id="{00000000-0008-0000-0F00-0000970000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174" name="Line 342">
              <a:extLst>
                <a:ext uri="{FF2B5EF4-FFF2-40B4-BE49-F238E27FC236}">
                  <a16:creationId xmlns="" xmlns:a16="http://schemas.microsoft.com/office/drawing/2014/main" id="{00000000-0008-0000-0F00-0000A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75" name="Group 343">
              <a:extLst>
                <a:ext uri="{FF2B5EF4-FFF2-40B4-BE49-F238E27FC236}">
                  <a16:creationId xmlns="" xmlns:a16="http://schemas.microsoft.com/office/drawing/2014/main" id="{00000000-0008-0000-0F00-0000A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176" name="Line 344">
                <a:extLst>
                  <a:ext uri="{FF2B5EF4-FFF2-40B4-BE49-F238E27FC236}">
                    <a16:creationId xmlns="" xmlns:a16="http://schemas.microsoft.com/office/drawing/2014/main" id="{00000000-0008-0000-0F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77" name="Group 345">
                <a:extLst>
                  <a:ext uri="{FF2B5EF4-FFF2-40B4-BE49-F238E27FC236}">
                    <a16:creationId xmlns="" xmlns:a16="http://schemas.microsoft.com/office/drawing/2014/main" id="{00000000-0008-0000-0F00-0000B1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178" name="Line 346">
                  <a:extLst>
                    <a:ext uri="{FF2B5EF4-FFF2-40B4-BE49-F238E27FC236}">
                      <a16:creationId xmlns="" xmlns:a16="http://schemas.microsoft.com/office/drawing/2014/main" id="{00000000-0008-0000-0F00-0000B2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79" name="Line 347">
                  <a:extLst>
                    <a:ext uri="{FF2B5EF4-FFF2-40B4-BE49-F238E27FC236}">
                      <a16:creationId xmlns="" xmlns:a16="http://schemas.microsoft.com/office/drawing/2014/main" id="{00000000-0008-0000-0F00-0000B3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152" name="Group 348">
            <a:extLst>
              <a:ext uri="{FF2B5EF4-FFF2-40B4-BE49-F238E27FC236}">
                <a16:creationId xmlns="" xmlns:a16="http://schemas.microsoft.com/office/drawing/2014/main" id="{00000000-0008-0000-0F00-0000980000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168" name="Line 349">
              <a:extLst>
                <a:ext uri="{FF2B5EF4-FFF2-40B4-BE49-F238E27FC236}">
                  <a16:creationId xmlns="" xmlns:a16="http://schemas.microsoft.com/office/drawing/2014/main" id="{00000000-0008-0000-0F00-0000A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9" name="Group 350">
              <a:extLst>
                <a:ext uri="{FF2B5EF4-FFF2-40B4-BE49-F238E27FC236}">
                  <a16:creationId xmlns="" xmlns:a16="http://schemas.microsoft.com/office/drawing/2014/main" id="{00000000-0008-0000-0F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170" name="Line 351">
                <a:extLst>
                  <a:ext uri="{FF2B5EF4-FFF2-40B4-BE49-F238E27FC236}">
                    <a16:creationId xmlns="" xmlns:a16="http://schemas.microsoft.com/office/drawing/2014/main" id="{00000000-0008-0000-0F00-0000A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71" name="Group 352">
                <a:extLst>
                  <a:ext uri="{FF2B5EF4-FFF2-40B4-BE49-F238E27FC236}">
                    <a16:creationId xmlns="" xmlns:a16="http://schemas.microsoft.com/office/drawing/2014/main" id="{00000000-0008-0000-0F00-0000AB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172" name="Line 353">
                  <a:extLst>
                    <a:ext uri="{FF2B5EF4-FFF2-40B4-BE49-F238E27FC236}">
                      <a16:creationId xmlns="" xmlns:a16="http://schemas.microsoft.com/office/drawing/2014/main" id="{00000000-0008-0000-0F00-0000AC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73" name="Line 354">
                  <a:extLst>
                    <a:ext uri="{FF2B5EF4-FFF2-40B4-BE49-F238E27FC236}">
                      <a16:creationId xmlns="" xmlns:a16="http://schemas.microsoft.com/office/drawing/2014/main" id="{00000000-0008-0000-0F00-0000AD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153" name="Group 355">
            <a:extLst>
              <a:ext uri="{FF2B5EF4-FFF2-40B4-BE49-F238E27FC236}">
                <a16:creationId xmlns="" xmlns:a16="http://schemas.microsoft.com/office/drawing/2014/main" id="{00000000-0008-0000-0F00-0000990000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162" name="Line 356">
              <a:extLst>
                <a:ext uri="{FF2B5EF4-FFF2-40B4-BE49-F238E27FC236}">
                  <a16:creationId xmlns="" xmlns:a16="http://schemas.microsoft.com/office/drawing/2014/main" id="{00000000-0008-0000-0F00-0000A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3" name="Group 357">
              <a:extLst>
                <a:ext uri="{FF2B5EF4-FFF2-40B4-BE49-F238E27FC236}">
                  <a16:creationId xmlns="" xmlns:a16="http://schemas.microsoft.com/office/drawing/2014/main" id="{00000000-0008-0000-0F00-0000A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164" name="Line 358">
                <a:extLst>
                  <a:ext uri="{FF2B5EF4-FFF2-40B4-BE49-F238E27FC236}">
                    <a16:creationId xmlns="" xmlns:a16="http://schemas.microsoft.com/office/drawing/2014/main" id="{00000000-0008-0000-0F00-0000A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65" name="Group 359">
                <a:extLst>
                  <a:ext uri="{FF2B5EF4-FFF2-40B4-BE49-F238E27FC236}">
                    <a16:creationId xmlns="" xmlns:a16="http://schemas.microsoft.com/office/drawing/2014/main" id="{00000000-0008-0000-0F00-0000A5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166" name="Line 360">
                  <a:extLst>
                    <a:ext uri="{FF2B5EF4-FFF2-40B4-BE49-F238E27FC236}">
                      <a16:creationId xmlns="" xmlns:a16="http://schemas.microsoft.com/office/drawing/2014/main" id="{00000000-0008-0000-0F00-0000A6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67" name="Line 361">
                  <a:extLst>
                    <a:ext uri="{FF2B5EF4-FFF2-40B4-BE49-F238E27FC236}">
                      <a16:creationId xmlns="" xmlns:a16="http://schemas.microsoft.com/office/drawing/2014/main" id="{00000000-0008-0000-0F00-0000A7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154" name="Group 362">
            <a:extLst>
              <a:ext uri="{FF2B5EF4-FFF2-40B4-BE49-F238E27FC236}">
                <a16:creationId xmlns="" xmlns:a16="http://schemas.microsoft.com/office/drawing/2014/main" id="{00000000-0008-0000-0F00-00009A0000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156" name="Line 363">
              <a:extLst>
                <a:ext uri="{FF2B5EF4-FFF2-40B4-BE49-F238E27FC236}">
                  <a16:creationId xmlns="" xmlns:a16="http://schemas.microsoft.com/office/drawing/2014/main" id="{00000000-0008-0000-0F00-00009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57" name="Group 364">
              <a:extLst>
                <a:ext uri="{FF2B5EF4-FFF2-40B4-BE49-F238E27FC236}">
                  <a16:creationId xmlns="" xmlns:a16="http://schemas.microsoft.com/office/drawing/2014/main" id="{00000000-0008-0000-0F00-00009D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158" name="Line 365">
                <a:extLst>
                  <a:ext uri="{FF2B5EF4-FFF2-40B4-BE49-F238E27FC236}">
                    <a16:creationId xmlns="" xmlns:a16="http://schemas.microsoft.com/office/drawing/2014/main" id="{00000000-0008-0000-0F00-00009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59" name="Group 366">
                <a:extLst>
                  <a:ext uri="{FF2B5EF4-FFF2-40B4-BE49-F238E27FC236}">
                    <a16:creationId xmlns="" xmlns:a16="http://schemas.microsoft.com/office/drawing/2014/main" id="{00000000-0008-0000-0F00-00009F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160" name="Line 367">
                  <a:extLst>
                    <a:ext uri="{FF2B5EF4-FFF2-40B4-BE49-F238E27FC236}">
                      <a16:creationId xmlns="" xmlns:a16="http://schemas.microsoft.com/office/drawing/2014/main" id="{00000000-0008-0000-0F00-0000A0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61" name="Line 368">
                  <a:extLst>
                    <a:ext uri="{FF2B5EF4-FFF2-40B4-BE49-F238E27FC236}">
                      <a16:creationId xmlns="" xmlns:a16="http://schemas.microsoft.com/office/drawing/2014/main" id="{00000000-0008-0000-0F00-0000A1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155" name="Line 369">
            <a:extLst>
              <a:ext uri="{FF2B5EF4-FFF2-40B4-BE49-F238E27FC236}">
                <a16:creationId xmlns="" xmlns:a16="http://schemas.microsoft.com/office/drawing/2014/main" id="{00000000-0008-0000-0F00-00009B0000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18</xdr:col>
      <xdr:colOff>561976</xdr:colOff>
      <xdr:row>17</xdr:row>
      <xdr:rowOff>295276</xdr:rowOff>
    </xdr:from>
    <xdr:to>
      <xdr:col>24</xdr:col>
      <xdr:colOff>438151</xdr:colOff>
      <xdr:row>18</xdr:row>
      <xdr:rowOff>38101</xdr:rowOff>
    </xdr:to>
    <xdr:grpSp>
      <xdr:nvGrpSpPr>
        <xdr:cNvPr id="200" name="Group 270">
          <a:extLst>
            <a:ext uri="{FF2B5EF4-FFF2-40B4-BE49-F238E27FC236}">
              <a16:creationId xmlns="" xmlns:a16="http://schemas.microsoft.com/office/drawing/2014/main" id="{00000000-0008-0000-0F00-0000C8000000}"/>
            </a:ext>
          </a:extLst>
        </xdr:cNvPr>
        <xdr:cNvGrpSpPr>
          <a:grpSpLocks/>
        </xdr:cNvGrpSpPr>
      </xdr:nvGrpSpPr>
      <xdr:grpSpPr bwMode="auto">
        <a:xfrm>
          <a:off x="14325601" y="7034214"/>
          <a:ext cx="5448300" cy="123825"/>
          <a:chOff x="2020" y="383"/>
          <a:chExt cx="656" cy="22"/>
        </a:xfrm>
      </xdr:grpSpPr>
      <xdr:sp macro="" textlink="">
        <xdr:nvSpPr>
          <xdr:cNvPr id="201" name="Line 271">
            <a:extLst>
              <a:ext uri="{FF2B5EF4-FFF2-40B4-BE49-F238E27FC236}">
                <a16:creationId xmlns="" xmlns:a16="http://schemas.microsoft.com/office/drawing/2014/main" id="{00000000-0008-0000-0F00-0000C9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2" name="Line 272">
            <a:extLst>
              <a:ext uri="{FF2B5EF4-FFF2-40B4-BE49-F238E27FC236}">
                <a16:creationId xmlns="" xmlns:a16="http://schemas.microsoft.com/office/drawing/2014/main" id="{00000000-0008-0000-0F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203" name="Line 273">
            <a:extLst>
              <a:ext uri="{FF2B5EF4-FFF2-40B4-BE49-F238E27FC236}">
                <a16:creationId xmlns="" xmlns:a16="http://schemas.microsoft.com/office/drawing/2014/main" id="{00000000-0008-0000-0F00-0000CB0000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18</xdr:col>
      <xdr:colOff>538163</xdr:colOff>
      <xdr:row>18</xdr:row>
      <xdr:rowOff>195263</xdr:rowOff>
    </xdr:from>
    <xdr:to>
      <xdr:col>24</xdr:col>
      <xdr:colOff>414338</xdr:colOff>
      <xdr:row>19</xdr:row>
      <xdr:rowOff>157163</xdr:rowOff>
    </xdr:to>
    <xdr:sp macro="" textlink="">
      <xdr:nvSpPr>
        <xdr:cNvPr id="204" name="Rectangle 274">
          <a:extLst>
            <a:ext uri="{FF2B5EF4-FFF2-40B4-BE49-F238E27FC236}">
              <a16:creationId xmlns="" xmlns:a16="http://schemas.microsoft.com/office/drawing/2014/main" id="{00000000-0008-0000-0F00-0000CC000000}"/>
            </a:ext>
          </a:extLst>
        </xdr:cNvPr>
        <xdr:cNvSpPr>
          <a:spLocks noChangeArrowheads="1"/>
        </xdr:cNvSpPr>
      </xdr:nvSpPr>
      <xdr:spPr bwMode="auto">
        <a:xfrm>
          <a:off x="23436263" y="7453313"/>
          <a:ext cx="542925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523876</xdr:colOff>
      <xdr:row>24</xdr:row>
      <xdr:rowOff>352427</xdr:rowOff>
    </xdr:from>
    <xdr:to>
      <xdr:col>30</xdr:col>
      <xdr:colOff>733426</xdr:colOff>
      <xdr:row>25</xdr:row>
      <xdr:rowOff>95252</xdr:rowOff>
    </xdr:to>
    <xdr:grpSp>
      <xdr:nvGrpSpPr>
        <xdr:cNvPr id="205" name="Group 270">
          <a:extLst>
            <a:ext uri="{FF2B5EF4-FFF2-40B4-BE49-F238E27FC236}">
              <a16:creationId xmlns="" xmlns:a16="http://schemas.microsoft.com/office/drawing/2014/main" id="{00000000-0008-0000-0F00-0000CD000000}"/>
            </a:ext>
          </a:extLst>
        </xdr:cNvPr>
        <xdr:cNvGrpSpPr>
          <a:grpSpLocks/>
        </xdr:cNvGrpSpPr>
      </xdr:nvGrpSpPr>
      <xdr:grpSpPr bwMode="auto">
        <a:xfrm>
          <a:off x="21740814" y="9758365"/>
          <a:ext cx="5448300" cy="123825"/>
          <a:chOff x="2020" y="383"/>
          <a:chExt cx="656" cy="22"/>
        </a:xfrm>
      </xdr:grpSpPr>
      <xdr:sp macro="" textlink="">
        <xdr:nvSpPr>
          <xdr:cNvPr id="206" name="Line 271">
            <a:extLst>
              <a:ext uri="{FF2B5EF4-FFF2-40B4-BE49-F238E27FC236}">
                <a16:creationId xmlns="" xmlns:a16="http://schemas.microsoft.com/office/drawing/2014/main" id="{00000000-0008-0000-0F00-0000CE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7" name="Line 272">
            <a:extLst>
              <a:ext uri="{FF2B5EF4-FFF2-40B4-BE49-F238E27FC236}">
                <a16:creationId xmlns="" xmlns:a16="http://schemas.microsoft.com/office/drawing/2014/main" id="{00000000-0008-0000-0F00-0000CF0000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208" name="Line 273">
            <a:extLst>
              <a:ext uri="{FF2B5EF4-FFF2-40B4-BE49-F238E27FC236}">
                <a16:creationId xmlns="" xmlns:a16="http://schemas.microsoft.com/office/drawing/2014/main" id="{00000000-0008-0000-0F00-0000D00000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26</xdr:col>
      <xdr:colOff>500063</xdr:colOff>
      <xdr:row>25</xdr:row>
      <xdr:rowOff>252414</xdr:rowOff>
    </xdr:from>
    <xdr:to>
      <xdr:col>30</xdr:col>
      <xdr:colOff>709613</xdr:colOff>
      <xdr:row>26</xdr:row>
      <xdr:rowOff>214314</xdr:rowOff>
    </xdr:to>
    <xdr:sp macro="" textlink="">
      <xdr:nvSpPr>
        <xdr:cNvPr id="209" name="Rectangle 274">
          <a:extLst>
            <a:ext uri="{FF2B5EF4-FFF2-40B4-BE49-F238E27FC236}">
              <a16:creationId xmlns="" xmlns:a16="http://schemas.microsoft.com/office/drawing/2014/main" id="{00000000-0008-0000-0F00-0000D1000000}"/>
            </a:ext>
          </a:extLst>
        </xdr:cNvPr>
        <xdr:cNvSpPr>
          <a:spLocks noChangeArrowheads="1"/>
        </xdr:cNvSpPr>
      </xdr:nvSpPr>
      <xdr:spPr bwMode="auto">
        <a:xfrm>
          <a:off x="30818138" y="10244139"/>
          <a:ext cx="546735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414338</xdr:colOff>
      <xdr:row>9</xdr:row>
      <xdr:rowOff>100014</xdr:rowOff>
    </xdr:from>
    <xdr:to>
      <xdr:col>30</xdr:col>
      <xdr:colOff>623888</xdr:colOff>
      <xdr:row>9</xdr:row>
      <xdr:rowOff>223839</xdr:rowOff>
    </xdr:to>
    <xdr:grpSp>
      <xdr:nvGrpSpPr>
        <xdr:cNvPr id="210" name="Group 270">
          <a:extLst>
            <a:ext uri="{FF2B5EF4-FFF2-40B4-BE49-F238E27FC236}">
              <a16:creationId xmlns="" xmlns:a16="http://schemas.microsoft.com/office/drawing/2014/main" id="{00000000-0008-0000-0F00-0000D2000000}"/>
            </a:ext>
          </a:extLst>
        </xdr:cNvPr>
        <xdr:cNvGrpSpPr>
          <a:grpSpLocks/>
        </xdr:cNvGrpSpPr>
      </xdr:nvGrpSpPr>
      <xdr:grpSpPr bwMode="auto">
        <a:xfrm>
          <a:off x="21631276" y="3790952"/>
          <a:ext cx="5448300" cy="123825"/>
          <a:chOff x="2020" y="383"/>
          <a:chExt cx="656" cy="22"/>
        </a:xfrm>
      </xdr:grpSpPr>
      <xdr:sp macro="" textlink="">
        <xdr:nvSpPr>
          <xdr:cNvPr id="211" name="Line 271">
            <a:extLst>
              <a:ext uri="{FF2B5EF4-FFF2-40B4-BE49-F238E27FC236}">
                <a16:creationId xmlns="" xmlns:a16="http://schemas.microsoft.com/office/drawing/2014/main" id="{00000000-0008-0000-0F00-0000D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2" name="Line 272">
            <a:extLst>
              <a:ext uri="{FF2B5EF4-FFF2-40B4-BE49-F238E27FC236}">
                <a16:creationId xmlns="" xmlns:a16="http://schemas.microsoft.com/office/drawing/2014/main" id="{00000000-0008-0000-0F00-0000D40000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213" name="Line 273">
            <a:extLst>
              <a:ext uri="{FF2B5EF4-FFF2-40B4-BE49-F238E27FC236}">
                <a16:creationId xmlns="" xmlns:a16="http://schemas.microsoft.com/office/drawing/2014/main" id="{00000000-0008-0000-0F00-0000D50000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26</xdr:col>
      <xdr:colOff>390525</xdr:colOff>
      <xdr:row>10</xdr:row>
      <xdr:rowOff>1</xdr:rowOff>
    </xdr:from>
    <xdr:to>
      <xdr:col>30</xdr:col>
      <xdr:colOff>600075</xdr:colOff>
      <xdr:row>10</xdr:row>
      <xdr:rowOff>342901</xdr:rowOff>
    </xdr:to>
    <xdr:sp macro="" textlink="">
      <xdr:nvSpPr>
        <xdr:cNvPr id="214" name="Rectangle 274">
          <a:extLst>
            <a:ext uri="{FF2B5EF4-FFF2-40B4-BE49-F238E27FC236}">
              <a16:creationId xmlns="" xmlns:a16="http://schemas.microsoft.com/office/drawing/2014/main" id="{00000000-0008-0000-0F00-0000D6000000}"/>
            </a:ext>
          </a:extLst>
        </xdr:cNvPr>
        <xdr:cNvSpPr>
          <a:spLocks noChangeArrowheads="1"/>
        </xdr:cNvSpPr>
      </xdr:nvSpPr>
      <xdr:spPr bwMode="auto">
        <a:xfrm>
          <a:off x="30708600" y="4133851"/>
          <a:ext cx="5467350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990600</xdr:colOff>
      <xdr:row>11</xdr:row>
      <xdr:rowOff>376237</xdr:rowOff>
    </xdr:from>
    <xdr:to>
      <xdr:col>16</xdr:col>
      <xdr:colOff>990600</xdr:colOff>
      <xdr:row>21</xdr:row>
      <xdr:rowOff>0</xdr:rowOff>
    </xdr:to>
    <xdr:sp macro="" textlink="">
      <xdr:nvSpPr>
        <xdr:cNvPr id="215" name="Line 67">
          <a:extLst>
            <a:ext uri="{FF2B5EF4-FFF2-40B4-BE49-F238E27FC236}">
              <a16:creationId xmlns="" xmlns:a16="http://schemas.microsoft.com/office/drawing/2014/main" id="{00000000-0008-0000-0F00-0000D7000000}"/>
            </a:ext>
          </a:extLst>
        </xdr:cNvPr>
        <xdr:cNvSpPr>
          <a:spLocks noChangeShapeType="1"/>
        </xdr:cNvSpPr>
      </xdr:nvSpPr>
      <xdr:spPr bwMode="auto">
        <a:xfrm>
          <a:off x="21269325" y="4900612"/>
          <a:ext cx="0" cy="352901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85725</xdr:colOff>
      <xdr:row>21</xdr:row>
      <xdr:rowOff>376238</xdr:rowOff>
    </xdr:from>
    <xdr:to>
      <xdr:col>17</xdr:col>
      <xdr:colOff>214312</xdr:colOff>
      <xdr:row>21</xdr:row>
      <xdr:rowOff>376238</xdr:rowOff>
    </xdr:to>
    <xdr:sp macro="" textlink="">
      <xdr:nvSpPr>
        <xdr:cNvPr id="216" name="Line 65">
          <a:extLst>
            <a:ext uri="{FF2B5EF4-FFF2-40B4-BE49-F238E27FC236}">
              <a16:creationId xmlns="" xmlns:a16="http://schemas.microsoft.com/office/drawing/2014/main" id="{00000000-0008-0000-0F00-0000D8000000}"/>
            </a:ext>
          </a:extLst>
        </xdr:cNvPr>
        <xdr:cNvSpPr>
          <a:spLocks noChangeShapeType="1"/>
        </xdr:cNvSpPr>
      </xdr:nvSpPr>
      <xdr:spPr bwMode="auto">
        <a:xfrm flipV="1">
          <a:off x="15230475" y="8805863"/>
          <a:ext cx="699611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13</xdr:col>
      <xdr:colOff>95250</xdr:colOff>
      <xdr:row>40</xdr:row>
      <xdr:rowOff>95250</xdr:rowOff>
    </xdr:from>
    <xdr:to>
      <xdr:col>22</xdr:col>
      <xdr:colOff>342900</xdr:colOff>
      <xdr:row>52</xdr:row>
      <xdr:rowOff>123825</xdr:rowOff>
    </xdr:to>
    <xdr:pic>
      <xdr:nvPicPr>
        <xdr:cNvPr id="217" name="Picture 2">
          <a:extLst>
            <a:ext uri="{FF2B5EF4-FFF2-40B4-BE49-F238E27FC236}">
              <a16:creationId xmlns="" xmlns:a16="http://schemas.microsoft.com/office/drawing/2014/main" id="{00000000-0008-0000-0F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849725" y="15335250"/>
          <a:ext cx="10144125" cy="3752850"/>
        </a:xfrm>
        <a:prstGeom prst="rect">
          <a:avLst/>
        </a:prstGeom>
        <a:noFill/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152400</xdr:colOff>
      <xdr:row>40</xdr:row>
      <xdr:rowOff>95250</xdr:rowOff>
    </xdr:from>
    <xdr:to>
      <xdr:col>23</xdr:col>
      <xdr:colOff>819150</xdr:colOff>
      <xdr:row>52</xdr:row>
      <xdr:rowOff>171450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906875" y="15335250"/>
          <a:ext cx="11439525" cy="38004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4</xdr:col>
      <xdr:colOff>352425</xdr:colOff>
      <xdr:row>48</xdr:row>
      <xdr:rowOff>0</xdr:rowOff>
    </xdr:from>
    <xdr:to>
      <xdr:col>4</xdr:col>
      <xdr:colOff>352425</xdr:colOff>
      <xdr:row>55</xdr:row>
      <xdr:rowOff>0</xdr:rowOff>
    </xdr:to>
    <xdr:sp macro="" textlink="">
      <xdr:nvSpPr>
        <xdr:cNvPr id="3" name="Line 29">
          <a:extLst>
            <a:ext uri="{FF2B5EF4-FFF2-40B4-BE49-F238E27FC236}">
              <a16:creationId xmlns="" xmlns:a16="http://schemas.microsoft.com/office/drawing/2014/main" id="{00000000-0008-0000-1000-000003000000}"/>
            </a:ext>
          </a:extLst>
        </xdr:cNvPr>
        <xdr:cNvSpPr>
          <a:spLocks noChangeShapeType="1"/>
        </xdr:cNvSpPr>
      </xdr:nvSpPr>
      <xdr:spPr bwMode="auto">
        <a:xfrm>
          <a:off x="9972675" y="17716500"/>
          <a:ext cx="0" cy="2124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0</xdr:colOff>
      <xdr:row>18</xdr:row>
      <xdr:rowOff>333375</xdr:rowOff>
    </xdr:from>
    <xdr:to>
      <xdr:col>31</xdr:col>
      <xdr:colOff>47625</xdr:colOff>
      <xdr:row>19</xdr:row>
      <xdr:rowOff>104775</xdr:rowOff>
    </xdr:to>
    <xdr:sp macro="" textlink="">
      <xdr:nvSpPr>
        <xdr:cNvPr id="4" name="Rectangle 139">
          <a:extLst>
            <a:ext uri="{FF2B5EF4-FFF2-40B4-BE49-F238E27FC236}">
              <a16:creationId xmlns="" xmlns:a16="http://schemas.microsoft.com/office/drawing/2014/main" id="{00000000-0008-0000-1000-000004000000}"/>
            </a:ext>
          </a:extLst>
        </xdr:cNvPr>
        <xdr:cNvSpPr>
          <a:spLocks noChangeArrowheads="1"/>
        </xdr:cNvSpPr>
      </xdr:nvSpPr>
      <xdr:spPr bwMode="auto">
        <a:xfrm>
          <a:off x="30318075" y="7591425"/>
          <a:ext cx="6334125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266700</xdr:colOff>
      <xdr:row>37</xdr:row>
      <xdr:rowOff>38100</xdr:rowOff>
    </xdr:from>
    <xdr:to>
      <xdr:col>12</xdr:col>
      <xdr:colOff>352425</xdr:colOff>
      <xdr:row>38</xdr:row>
      <xdr:rowOff>161925</xdr:rowOff>
    </xdr:to>
    <xdr:sp macro="" textlink="">
      <xdr:nvSpPr>
        <xdr:cNvPr id="5" name="Text Box 150">
          <a:extLst>
            <a:ext uri="{FF2B5EF4-FFF2-40B4-BE49-F238E27FC236}">
              <a16:creationId xmlns="" xmlns:a16="http://schemas.microsoft.com/office/drawing/2014/main" id="{00000000-0008-0000-1000-000005000000}"/>
            </a:ext>
          </a:extLst>
        </xdr:cNvPr>
        <xdr:cNvSpPr txBox="1">
          <a:spLocks noChangeArrowheads="1"/>
        </xdr:cNvSpPr>
      </xdr:nvSpPr>
      <xdr:spPr bwMode="auto">
        <a:xfrm>
          <a:off x="15411450" y="14363700"/>
          <a:ext cx="800100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26</xdr:col>
      <xdr:colOff>38100</xdr:colOff>
      <xdr:row>18</xdr:row>
      <xdr:rowOff>104775</xdr:rowOff>
    </xdr:from>
    <xdr:to>
      <xdr:col>31</xdr:col>
      <xdr:colOff>0</xdr:colOff>
      <xdr:row>18</xdr:row>
      <xdr:rowOff>190500</xdr:rowOff>
    </xdr:to>
    <xdr:grpSp>
      <xdr:nvGrpSpPr>
        <xdr:cNvPr id="6" name="Group 266">
          <a:extLst>
            <a:ext uri="{FF2B5EF4-FFF2-40B4-BE49-F238E27FC236}">
              <a16:creationId xmlns="" xmlns:a16="http://schemas.microsoft.com/office/drawing/2014/main" id="{00000000-0008-0000-1000-000006000000}"/>
            </a:ext>
          </a:extLst>
        </xdr:cNvPr>
        <xdr:cNvGrpSpPr>
          <a:grpSpLocks/>
        </xdr:cNvGrpSpPr>
      </xdr:nvGrpSpPr>
      <xdr:grpSpPr bwMode="auto">
        <a:xfrm>
          <a:off x="21355050" y="7515225"/>
          <a:ext cx="6267450" cy="85725"/>
          <a:chOff x="2020" y="383"/>
          <a:chExt cx="656" cy="22"/>
        </a:xfrm>
      </xdr:grpSpPr>
      <xdr:sp macro="" textlink="">
        <xdr:nvSpPr>
          <xdr:cNvPr id="7" name="Line 267">
            <a:extLst>
              <a:ext uri="{FF2B5EF4-FFF2-40B4-BE49-F238E27FC236}">
                <a16:creationId xmlns="" xmlns:a16="http://schemas.microsoft.com/office/drawing/2014/main" id="{00000000-0008-0000-1000-000007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" name="Line 268">
            <a:extLst>
              <a:ext uri="{FF2B5EF4-FFF2-40B4-BE49-F238E27FC236}">
                <a16:creationId xmlns="" xmlns:a16="http://schemas.microsoft.com/office/drawing/2014/main" id="{00000000-0008-0000-10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9" name="Line 269">
            <a:extLst>
              <a:ext uri="{FF2B5EF4-FFF2-40B4-BE49-F238E27FC236}">
                <a16:creationId xmlns="" xmlns:a16="http://schemas.microsoft.com/office/drawing/2014/main" id="{00000000-0008-0000-10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19</xdr:col>
      <xdr:colOff>4762</xdr:colOff>
      <xdr:row>8</xdr:row>
      <xdr:rowOff>309563</xdr:rowOff>
    </xdr:from>
    <xdr:to>
      <xdr:col>24</xdr:col>
      <xdr:colOff>500062</xdr:colOff>
      <xdr:row>9</xdr:row>
      <xdr:rowOff>52388</xdr:rowOff>
    </xdr:to>
    <xdr:grpSp>
      <xdr:nvGrpSpPr>
        <xdr:cNvPr id="10" name="Group 270">
          <a:extLst>
            <a:ext uri="{FF2B5EF4-FFF2-40B4-BE49-F238E27FC236}">
              <a16:creationId xmlns="" xmlns:a16="http://schemas.microsoft.com/office/drawing/2014/main" id="{00000000-0008-0000-1000-00000A000000}"/>
            </a:ext>
          </a:extLst>
        </xdr:cNvPr>
        <xdr:cNvGrpSpPr>
          <a:grpSpLocks/>
        </xdr:cNvGrpSpPr>
      </xdr:nvGrpSpPr>
      <xdr:grpSpPr bwMode="auto">
        <a:xfrm>
          <a:off x="14463712" y="3719513"/>
          <a:ext cx="5467350" cy="142875"/>
          <a:chOff x="2020" y="383"/>
          <a:chExt cx="656" cy="22"/>
        </a:xfrm>
      </xdr:grpSpPr>
      <xdr:sp macro="" textlink="">
        <xdr:nvSpPr>
          <xdr:cNvPr id="11" name="Line 271">
            <a:extLst>
              <a:ext uri="{FF2B5EF4-FFF2-40B4-BE49-F238E27FC236}">
                <a16:creationId xmlns="" xmlns:a16="http://schemas.microsoft.com/office/drawing/2014/main" id="{00000000-0008-0000-1000-00000B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272">
            <a:extLst>
              <a:ext uri="{FF2B5EF4-FFF2-40B4-BE49-F238E27FC236}">
                <a16:creationId xmlns="" xmlns:a16="http://schemas.microsoft.com/office/drawing/2014/main" id="{00000000-0008-0000-1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13" name="Line 273">
            <a:extLst>
              <a:ext uri="{FF2B5EF4-FFF2-40B4-BE49-F238E27FC236}">
                <a16:creationId xmlns="" xmlns:a16="http://schemas.microsoft.com/office/drawing/2014/main" id="{00000000-0008-0000-1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19</xdr:col>
      <xdr:colOff>4763</xdr:colOff>
      <xdr:row>9</xdr:row>
      <xdr:rowOff>185738</xdr:rowOff>
    </xdr:from>
    <xdr:to>
      <xdr:col>24</xdr:col>
      <xdr:colOff>500063</xdr:colOff>
      <xdr:row>10</xdr:row>
      <xdr:rowOff>147638</xdr:rowOff>
    </xdr:to>
    <xdr:sp macro="" textlink="">
      <xdr:nvSpPr>
        <xdr:cNvPr id="14" name="Rectangle 274">
          <a:extLst>
            <a:ext uri="{FF2B5EF4-FFF2-40B4-BE49-F238E27FC236}">
              <a16:creationId xmlns="" xmlns:a16="http://schemas.microsoft.com/office/drawing/2014/main" id="{00000000-0008-0000-1000-00000E000000}"/>
            </a:ext>
          </a:extLst>
        </xdr:cNvPr>
        <xdr:cNvSpPr>
          <a:spLocks noChangeArrowheads="1"/>
        </xdr:cNvSpPr>
      </xdr:nvSpPr>
      <xdr:spPr bwMode="auto">
        <a:xfrm>
          <a:off x="23512463" y="3929063"/>
          <a:ext cx="5438775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4762</xdr:colOff>
      <xdr:row>24</xdr:row>
      <xdr:rowOff>314326</xdr:rowOff>
    </xdr:from>
    <xdr:to>
      <xdr:col>24</xdr:col>
      <xdr:colOff>500062</xdr:colOff>
      <xdr:row>25</xdr:row>
      <xdr:rowOff>114301</xdr:rowOff>
    </xdr:to>
    <xdr:grpSp>
      <xdr:nvGrpSpPr>
        <xdr:cNvPr id="15" name="Group 275">
          <a:extLst>
            <a:ext uri="{FF2B5EF4-FFF2-40B4-BE49-F238E27FC236}">
              <a16:creationId xmlns="" xmlns:a16="http://schemas.microsoft.com/office/drawing/2014/main" id="{00000000-0008-0000-1000-00000F000000}"/>
            </a:ext>
          </a:extLst>
        </xdr:cNvPr>
        <xdr:cNvGrpSpPr>
          <a:grpSpLocks/>
        </xdr:cNvGrpSpPr>
      </xdr:nvGrpSpPr>
      <xdr:grpSpPr bwMode="auto">
        <a:xfrm>
          <a:off x="14463712" y="10125076"/>
          <a:ext cx="5467350" cy="200025"/>
          <a:chOff x="2020" y="383"/>
          <a:chExt cx="656" cy="22"/>
        </a:xfrm>
      </xdr:grpSpPr>
      <xdr:sp macro="" textlink="">
        <xdr:nvSpPr>
          <xdr:cNvPr id="16" name="Line 276">
            <a:extLst>
              <a:ext uri="{FF2B5EF4-FFF2-40B4-BE49-F238E27FC236}">
                <a16:creationId xmlns="" xmlns:a16="http://schemas.microsoft.com/office/drawing/2014/main" id="{00000000-0008-0000-1000-000010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" name="Line 277">
            <a:extLst>
              <a:ext uri="{FF2B5EF4-FFF2-40B4-BE49-F238E27FC236}">
                <a16:creationId xmlns="" xmlns:a16="http://schemas.microsoft.com/office/drawing/2014/main" id="{00000000-0008-0000-10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18" name="Line 278">
            <a:extLst>
              <a:ext uri="{FF2B5EF4-FFF2-40B4-BE49-F238E27FC236}">
                <a16:creationId xmlns="" xmlns:a16="http://schemas.microsoft.com/office/drawing/2014/main" id="{00000000-0008-0000-10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18</xdr:col>
      <xdr:colOff>600075</xdr:colOff>
      <xdr:row>25</xdr:row>
      <xdr:rowOff>285750</xdr:rowOff>
    </xdr:from>
    <xdr:to>
      <xdr:col>24</xdr:col>
      <xdr:colOff>476250</xdr:colOff>
      <xdr:row>26</xdr:row>
      <xdr:rowOff>247650</xdr:rowOff>
    </xdr:to>
    <xdr:sp macro="" textlink="">
      <xdr:nvSpPr>
        <xdr:cNvPr id="19" name="Rectangle 279">
          <a:extLst>
            <a:ext uri="{FF2B5EF4-FFF2-40B4-BE49-F238E27FC236}">
              <a16:creationId xmlns="" xmlns:a16="http://schemas.microsoft.com/office/drawing/2014/main" id="{00000000-0008-0000-1000-000013000000}"/>
            </a:ext>
          </a:extLst>
        </xdr:cNvPr>
        <xdr:cNvSpPr>
          <a:spLocks noChangeArrowheads="1"/>
        </xdr:cNvSpPr>
      </xdr:nvSpPr>
      <xdr:spPr bwMode="auto">
        <a:xfrm>
          <a:off x="23498175" y="10277475"/>
          <a:ext cx="542925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133350</xdr:colOff>
      <xdr:row>9</xdr:row>
      <xdr:rowOff>161925</xdr:rowOff>
    </xdr:from>
    <xdr:to>
      <xdr:col>17</xdr:col>
      <xdr:colOff>95250</xdr:colOff>
      <xdr:row>22</xdr:row>
      <xdr:rowOff>19783</xdr:rowOff>
    </xdr:to>
    <xdr:grpSp>
      <xdr:nvGrpSpPr>
        <xdr:cNvPr id="20" name="Group 370">
          <a:extLst>
            <a:ext uri="{FF2B5EF4-FFF2-40B4-BE49-F238E27FC236}">
              <a16:creationId xmlns="" xmlns:a16="http://schemas.microsoft.com/office/drawing/2014/main" id="{00000000-0008-0000-1000-000014000000}"/>
            </a:ext>
          </a:extLst>
        </xdr:cNvPr>
        <xdr:cNvGrpSpPr>
          <a:grpSpLocks/>
        </xdr:cNvGrpSpPr>
      </xdr:nvGrpSpPr>
      <xdr:grpSpPr bwMode="auto">
        <a:xfrm>
          <a:off x="5581650" y="3971925"/>
          <a:ext cx="7467600" cy="5058508"/>
          <a:chOff x="1540" y="414"/>
          <a:chExt cx="619" cy="518"/>
        </a:xfrm>
      </xdr:grpSpPr>
      <xdr:sp macro="" textlink="">
        <xdr:nvSpPr>
          <xdr:cNvPr id="21" name="Line 37">
            <a:extLst>
              <a:ext uri="{FF2B5EF4-FFF2-40B4-BE49-F238E27FC236}">
                <a16:creationId xmlns="" xmlns:a16="http://schemas.microsoft.com/office/drawing/2014/main" id="{00000000-0008-0000-1000-00001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588" y="414"/>
            <a:ext cx="0" cy="8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" name="Line 38">
            <a:extLst>
              <a:ext uri="{FF2B5EF4-FFF2-40B4-BE49-F238E27FC236}">
                <a16:creationId xmlns="" xmlns:a16="http://schemas.microsoft.com/office/drawing/2014/main" id="{00000000-0008-0000-1000-00001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159" y="414"/>
            <a:ext cx="0" cy="8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" name="Line 40">
            <a:extLst>
              <a:ext uri="{FF2B5EF4-FFF2-40B4-BE49-F238E27FC236}">
                <a16:creationId xmlns="" xmlns:a16="http://schemas.microsoft.com/office/drawing/2014/main" id="{00000000-0008-0000-1000-000017000000}"/>
              </a:ext>
            </a:extLst>
          </xdr:cNvPr>
          <xdr:cNvSpPr>
            <a:spLocks noChangeShapeType="1"/>
          </xdr:cNvSpPr>
        </xdr:nvSpPr>
        <xdr:spPr bwMode="auto">
          <a:xfrm>
            <a:off x="1588" y="564"/>
            <a:ext cx="0" cy="36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" name="Line 41">
            <a:extLst>
              <a:ext uri="{FF2B5EF4-FFF2-40B4-BE49-F238E27FC236}">
                <a16:creationId xmlns="" xmlns:a16="http://schemas.microsoft.com/office/drawing/2014/main" id="{00000000-0008-0000-1000-000018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540" y="640"/>
            <a:ext cx="5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" name="Line 42">
            <a:extLst>
              <a:ext uri="{FF2B5EF4-FFF2-40B4-BE49-F238E27FC236}">
                <a16:creationId xmlns="" xmlns:a16="http://schemas.microsoft.com/office/drawing/2014/main" id="{00000000-0008-0000-1000-000019000000}"/>
              </a:ext>
            </a:extLst>
          </xdr:cNvPr>
          <xdr:cNvSpPr>
            <a:spLocks noChangeShapeType="1"/>
          </xdr:cNvSpPr>
        </xdr:nvSpPr>
        <xdr:spPr bwMode="auto">
          <a:xfrm>
            <a:off x="1588" y="680"/>
            <a:ext cx="7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" name="Line 43">
            <a:extLst>
              <a:ext uri="{FF2B5EF4-FFF2-40B4-BE49-F238E27FC236}">
                <a16:creationId xmlns="" xmlns:a16="http://schemas.microsoft.com/office/drawing/2014/main" id="{00000000-0008-0000-1000-00001A000000}"/>
              </a:ext>
            </a:extLst>
          </xdr:cNvPr>
          <xdr:cNvSpPr>
            <a:spLocks noChangeShapeType="1"/>
          </xdr:cNvSpPr>
        </xdr:nvSpPr>
        <xdr:spPr bwMode="auto">
          <a:xfrm>
            <a:off x="1588" y="722"/>
            <a:ext cx="1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" name="Line 44">
            <a:extLst>
              <a:ext uri="{FF2B5EF4-FFF2-40B4-BE49-F238E27FC236}">
                <a16:creationId xmlns="" xmlns:a16="http://schemas.microsoft.com/office/drawing/2014/main" id="{00000000-0008-0000-1000-00001B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588" y="763"/>
            <a:ext cx="26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" name="Line 45">
            <a:extLst>
              <a:ext uri="{FF2B5EF4-FFF2-40B4-BE49-F238E27FC236}">
                <a16:creationId xmlns="" xmlns:a16="http://schemas.microsoft.com/office/drawing/2014/main" id="{00000000-0008-0000-1000-00001C000000}"/>
              </a:ext>
            </a:extLst>
          </xdr:cNvPr>
          <xdr:cNvSpPr>
            <a:spLocks noChangeShapeType="1"/>
          </xdr:cNvSpPr>
        </xdr:nvSpPr>
        <xdr:spPr bwMode="auto">
          <a:xfrm>
            <a:off x="1588" y="803"/>
            <a:ext cx="3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9" name="Group 46">
            <a:extLst>
              <a:ext uri="{FF2B5EF4-FFF2-40B4-BE49-F238E27FC236}">
                <a16:creationId xmlns="" xmlns:a16="http://schemas.microsoft.com/office/drawing/2014/main" id="{00000000-0008-0000-1000-00001D000000}"/>
              </a:ext>
            </a:extLst>
          </xdr:cNvPr>
          <xdr:cNvGrpSpPr>
            <a:grpSpLocks/>
          </xdr:cNvGrpSpPr>
        </xdr:nvGrpSpPr>
        <xdr:grpSpPr bwMode="auto">
          <a:xfrm>
            <a:off x="1590" y="524"/>
            <a:ext cx="6" cy="124"/>
            <a:chOff x="554" y="439"/>
            <a:chExt cx="10" cy="76"/>
          </a:xfrm>
        </xdr:grpSpPr>
        <xdr:sp macro="" textlink="">
          <xdr:nvSpPr>
            <xdr:cNvPr id="51" name="Line 47">
              <a:extLst>
                <a:ext uri="{FF2B5EF4-FFF2-40B4-BE49-F238E27FC236}">
                  <a16:creationId xmlns="" xmlns:a16="http://schemas.microsoft.com/office/drawing/2014/main" id="{00000000-0008-0000-1000-00003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58" y="439"/>
              <a:ext cx="0" cy="7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" name="Line 48">
              <a:extLst>
                <a:ext uri="{FF2B5EF4-FFF2-40B4-BE49-F238E27FC236}">
                  <a16:creationId xmlns="" xmlns:a16="http://schemas.microsoft.com/office/drawing/2014/main" id="{00000000-0008-0000-1000-000034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54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0" name="Group 49">
            <a:extLst>
              <a:ext uri="{FF2B5EF4-FFF2-40B4-BE49-F238E27FC236}">
                <a16:creationId xmlns="" xmlns:a16="http://schemas.microsoft.com/office/drawing/2014/main" id="{00000000-0008-0000-1000-00001E000000}"/>
              </a:ext>
            </a:extLst>
          </xdr:cNvPr>
          <xdr:cNvGrpSpPr>
            <a:grpSpLocks/>
          </xdr:cNvGrpSpPr>
        </xdr:nvGrpSpPr>
        <xdr:grpSpPr bwMode="auto">
          <a:xfrm>
            <a:off x="1657" y="524"/>
            <a:ext cx="12" cy="162"/>
            <a:chOff x="680" y="439"/>
            <a:chExt cx="10" cy="98"/>
          </a:xfrm>
        </xdr:grpSpPr>
        <xdr:sp macro="" textlink="">
          <xdr:nvSpPr>
            <xdr:cNvPr id="49" name="Line 50">
              <a:extLst>
                <a:ext uri="{FF2B5EF4-FFF2-40B4-BE49-F238E27FC236}">
                  <a16:creationId xmlns="" xmlns:a16="http://schemas.microsoft.com/office/drawing/2014/main" id="{00000000-0008-0000-1000-00003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85" y="439"/>
              <a:ext cx="0" cy="9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" name="Line 51">
              <a:extLst>
                <a:ext uri="{FF2B5EF4-FFF2-40B4-BE49-F238E27FC236}">
                  <a16:creationId xmlns="" xmlns:a16="http://schemas.microsoft.com/office/drawing/2014/main" id="{00000000-0008-0000-1000-00003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80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1" name="Group 52">
            <a:extLst>
              <a:ext uri="{FF2B5EF4-FFF2-40B4-BE49-F238E27FC236}">
                <a16:creationId xmlns="" xmlns:a16="http://schemas.microsoft.com/office/drawing/2014/main" id="{00000000-0008-0000-1000-00001F000000}"/>
              </a:ext>
            </a:extLst>
          </xdr:cNvPr>
          <xdr:cNvGrpSpPr>
            <a:grpSpLocks/>
          </xdr:cNvGrpSpPr>
        </xdr:nvGrpSpPr>
        <xdr:grpSpPr bwMode="auto">
          <a:xfrm>
            <a:off x="1731" y="523"/>
            <a:ext cx="19" cy="201"/>
            <a:chOff x="759" y="438"/>
            <a:chExt cx="10" cy="121"/>
          </a:xfrm>
        </xdr:grpSpPr>
        <xdr:sp macro="" textlink="">
          <xdr:nvSpPr>
            <xdr:cNvPr id="47" name="Line 53">
              <a:extLst>
                <a:ext uri="{FF2B5EF4-FFF2-40B4-BE49-F238E27FC236}">
                  <a16:creationId xmlns="" xmlns:a16="http://schemas.microsoft.com/office/drawing/2014/main" id="{00000000-0008-0000-1000-00002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64" y="438"/>
              <a:ext cx="0" cy="12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" name="Line 54">
              <a:extLst>
                <a:ext uri="{FF2B5EF4-FFF2-40B4-BE49-F238E27FC236}">
                  <a16:creationId xmlns="" xmlns:a16="http://schemas.microsoft.com/office/drawing/2014/main" id="{00000000-0008-0000-1000-00003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59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" name="Group 55">
            <a:extLst>
              <a:ext uri="{FF2B5EF4-FFF2-40B4-BE49-F238E27FC236}">
                <a16:creationId xmlns="" xmlns:a16="http://schemas.microsoft.com/office/drawing/2014/main" id="{00000000-0008-0000-1000-000020000000}"/>
              </a:ext>
            </a:extLst>
          </xdr:cNvPr>
          <xdr:cNvGrpSpPr>
            <a:grpSpLocks/>
          </xdr:cNvGrpSpPr>
        </xdr:nvGrpSpPr>
        <xdr:grpSpPr bwMode="auto">
          <a:xfrm>
            <a:off x="1812" y="523"/>
            <a:ext cx="45" cy="243"/>
            <a:chOff x="842" y="438"/>
            <a:chExt cx="10" cy="147"/>
          </a:xfrm>
        </xdr:grpSpPr>
        <xdr:sp macro="" textlink="">
          <xdr:nvSpPr>
            <xdr:cNvPr id="45" name="Line 56">
              <a:extLst>
                <a:ext uri="{FF2B5EF4-FFF2-40B4-BE49-F238E27FC236}">
                  <a16:creationId xmlns="" xmlns:a16="http://schemas.microsoft.com/office/drawing/2014/main" id="{00000000-0008-0000-1000-00002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47" y="438"/>
              <a:ext cx="0" cy="147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6" name="Line 57">
              <a:extLst>
                <a:ext uri="{FF2B5EF4-FFF2-40B4-BE49-F238E27FC236}">
                  <a16:creationId xmlns="" xmlns:a16="http://schemas.microsoft.com/office/drawing/2014/main" id="{00000000-0008-0000-1000-00002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42" y="443"/>
              <a:ext cx="10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3" name="Group 58">
            <a:extLst>
              <a:ext uri="{FF2B5EF4-FFF2-40B4-BE49-F238E27FC236}">
                <a16:creationId xmlns="" xmlns:a16="http://schemas.microsoft.com/office/drawing/2014/main" id="{00000000-0008-0000-1000-000021000000}"/>
              </a:ext>
            </a:extLst>
          </xdr:cNvPr>
          <xdr:cNvGrpSpPr>
            <a:grpSpLocks/>
          </xdr:cNvGrpSpPr>
        </xdr:nvGrpSpPr>
        <xdr:grpSpPr bwMode="auto">
          <a:xfrm>
            <a:off x="1949" y="526"/>
            <a:ext cx="55" cy="283"/>
            <a:chOff x="911" y="440"/>
            <a:chExt cx="12" cy="175"/>
          </a:xfrm>
        </xdr:grpSpPr>
        <xdr:sp macro="" textlink="">
          <xdr:nvSpPr>
            <xdr:cNvPr id="43" name="Line 59">
              <a:extLst>
                <a:ext uri="{FF2B5EF4-FFF2-40B4-BE49-F238E27FC236}">
                  <a16:creationId xmlns="" xmlns:a16="http://schemas.microsoft.com/office/drawing/2014/main" id="{00000000-0008-0000-1000-00002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1" y="440"/>
              <a:ext cx="0" cy="17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4" name="Line 60">
              <a:extLst>
                <a:ext uri="{FF2B5EF4-FFF2-40B4-BE49-F238E27FC236}">
                  <a16:creationId xmlns="" xmlns:a16="http://schemas.microsoft.com/office/drawing/2014/main" id="{00000000-0008-0000-1000-00002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4" name="Rectangle 61">
            <a:extLst>
              <a:ext uri="{FF2B5EF4-FFF2-40B4-BE49-F238E27FC236}">
                <a16:creationId xmlns="" xmlns:a16="http://schemas.microsoft.com/office/drawing/2014/main" id="{00000000-0008-0000-1000-000022000000}"/>
              </a:ext>
            </a:extLst>
          </xdr:cNvPr>
          <xdr:cNvSpPr>
            <a:spLocks noChangeArrowheads="1"/>
          </xdr:cNvSpPr>
        </xdr:nvSpPr>
        <xdr:spPr bwMode="auto">
          <a:xfrm>
            <a:off x="1588" y="516"/>
            <a:ext cx="569" cy="41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5" name="Line 62">
            <a:extLst>
              <a:ext uri="{FF2B5EF4-FFF2-40B4-BE49-F238E27FC236}">
                <a16:creationId xmlns="" xmlns:a16="http://schemas.microsoft.com/office/drawing/2014/main" id="{00000000-0008-0000-1000-000023000000}"/>
              </a:ext>
            </a:extLst>
          </xdr:cNvPr>
          <xdr:cNvSpPr>
            <a:spLocks noChangeShapeType="1"/>
          </xdr:cNvSpPr>
        </xdr:nvSpPr>
        <xdr:spPr bwMode="auto">
          <a:xfrm>
            <a:off x="2149" y="523"/>
            <a:ext cx="0" cy="40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" name="Line 63">
            <a:extLst>
              <a:ext uri="{FF2B5EF4-FFF2-40B4-BE49-F238E27FC236}">
                <a16:creationId xmlns="" xmlns:a16="http://schemas.microsoft.com/office/drawing/2014/main" id="{00000000-0008-0000-1000-000024000000}"/>
              </a:ext>
            </a:extLst>
          </xdr:cNvPr>
          <xdr:cNvSpPr>
            <a:spLocks noChangeShapeType="1"/>
          </xdr:cNvSpPr>
        </xdr:nvSpPr>
        <xdr:spPr bwMode="auto">
          <a:xfrm>
            <a:off x="2127" y="527"/>
            <a:ext cx="2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" name="Line 64">
            <a:extLst>
              <a:ext uri="{FF2B5EF4-FFF2-40B4-BE49-F238E27FC236}">
                <a16:creationId xmlns="" xmlns:a16="http://schemas.microsoft.com/office/drawing/2014/main" id="{00000000-0008-0000-1000-00002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588" y="844"/>
            <a:ext cx="47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" name="Line 65">
            <a:extLst>
              <a:ext uri="{FF2B5EF4-FFF2-40B4-BE49-F238E27FC236}">
                <a16:creationId xmlns="" xmlns:a16="http://schemas.microsoft.com/office/drawing/2014/main" id="{00000000-0008-0000-1000-00002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587" y="886"/>
            <a:ext cx="52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9" name="Group 66">
            <a:extLst>
              <a:ext uri="{FF2B5EF4-FFF2-40B4-BE49-F238E27FC236}">
                <a16:creationId xmlns="" xmlns:a16="http://schemas.microsoft.com/office/drawing/2014/main" id="{00000000-0008-0000-1000-000027000000}"/>
              </a:ext>
            </a:extLst>
          </xdr:cNvPr>
          <xdr:cNvGrpSpPr>
            <a:grpSpLocks/>
          </xdr:cNvGrpSpPr>
        </xdr:nvGrpSpPr>
        <xdr:grpSpPr bwMode="auto">
          <a:xfrm>
            <a:off x="1992" y="523"/>
            <a:ext cx="52" cy="326"/>
            <a:chOff x="907" y="438"/>
            <a:chExt cx="16" cy="175"/>
          </a:xfrm>
        </xdr:grpSpPr>
        <xdr:sp macro="" textlink="">
          <xdr:nvSpPr>
            <xdr:cNvPr id="41" name="Line 67">
              <a:extLst>
                <a:ext uri="{FF2B5EF4-FFF2-40B4-BE49-F238E27FC236}">
                  <a16:creationId xmlns="" xmlns:a16="http://schemas.microsoft.com/office/drawing/2014/main" id="{00000000-0008-0000-1000-00002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07" y="438"/>
              <a:ext cx="0" cy="17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" name="Line 68">
              <a:extLst>
                <a:ext uri="{FF2B5EF4-FFF2-40B4-BE49-F238E27FC236}">
                  <a16:creationId xmlns="" xmlns:a16="http://schemas.microsoft.com/office/drawing/2014/main" id="{00000000-0008-0000-1000-00002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0" name="Line 293">
            <a:extLst>
              <a:ext uri="{FF2B5EF4-FFF2-40B4-BE49-F238E27FC236}">
                <a16:creationId xmlns="" xmlns:a16="http://schemas.microsoft.com/office/drawing/2014/main" id="{00000000-0008-0000-1000-000028000000}"/>
              </a:ext>
            </a:extLst>
          </xdr:cNvPr>
          <xdr:cNvSpPr>
            <a:spLocks noChangeShapeType="1"/>
          </xdr:cNvSpPr>
        </xdr:nvSpPr>
        <xdr:spPr bwMode="auto">
          <a:xfrm>
            <a:off x="1586" y="447"/>
            <a:ext cx="57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</xdr:grpSp>
    <xdr:clientData/>
  </xdr:twoCellAnchor>
  <xdr:twoCellAnchor>
    <xdr:from>
      <xdr:col>4</xdr:col>
      <xdr:colOff>657225</xdr:colOff>
      <xdr:row>24</xdr:row>
      <xdr:rowOff>238125</xdr:rowOff>
    </xdr:from>
    <xdr:to>
      <xdr:col>4</xdr:col>
      <xdr:colOff>657225</xdr:colOff>
      <xdr:row>28</xdr:row>
      <xdr:rowOff>295275</xdr:rowOff>
    </xdr:to>
    <xdr:sp macro="" textlink="">
      <xdr:nvSpPr>
        <xdr:cNvPr id="53" name="Line 1">
          <a:extLst>
            <a:ext uri="{FF2B5EF4-FFF2-40B4-BE49-F238E27FC236}">
              <a16:creationId xmlns="" xmlns:a16="http://schemas.microsoft.com/office/drawing/2014/main" id="{00000000-0008-0000-1000-000035000000}"/>
            </a:ext>
          </a:extLst>
        </xdr:cNvPr>
        <xdr:cNvSpPr>
          <a:spLocks noChangeShapeType="1"/>
        </xdr:cNvSpPr>
      </xdr:nvSpPr>
      <xdr:spPr bwMode="auto">
        <a:xfrm flipV="1">
          <a:off x="10277475" y="9839325"/>
          <a:ext cx="0" cy="1619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657225</xdr:colOff>
      <xdr:row>24</xdr:row>
      <xdr:rowOff>219075</xdr:rowOff>
    </xdr:from>
    <xdr:to>
      <xdr:col>7</xdr:col>
      <xdr:colOff>657225</xdr:colOff>
      <xdr:row>28</xdr:row>
      <xdr:rowOff>285750</xdr:rowOff>
    </xdr:to>
    <xdr:sp macro="" textlink="">
      <xdr:nvSpPr>
        <xdr:cNvPr id="54" name="Line 2">
          <a:extLst>
            <a:ext uri="{FF2B5EF4-FFF2-40B4-BE49-F238E27FC236}">
              <a16:creationId xmlns="" xmlns:a16="http://schemas.microsoft.com/office/drawing/2014/main" id="{00000000-0008-0000-1000-000036000000}"/>
            </a:ext>
          </a:extLst>
        </xdr:cNvPr>
        <xdr:cNvSpPr>
          <a:spLocks noChangeShapeType="1"/>
        </xdr:cNvSpPr>
      </xdr:nvSpPr>
      <xdr:spPr bwMode="auto">
        <a:xfrm flipV="1">
          <a:off x="13115925" y="9820275"/>
          <a:ext cx="0" cy="1628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809625</xdr:colOff>
      <xdr:row>32</xdr:row>
      <xdr:rowOff>190500</xdr:rowOff>
    </xdr:from>
    <xdr:to>
      <xdr:col>4</xdr:col>
      <xdr:colOff>809625</xdr:colOff>
      <xdr:row>45</xdr:row>
      <xdr:rowOff>66675</xdr:rowOff>
    </xdr:to>
    <xdr:sp macro="" textlink="">
      <xdr:nvSpPr>
        <xdr:cNvPr id="55" name="Line 30">
          <a:extLst>
            <a:ext uri="{FF2B5EF4-FFF2-40B4-BE49-F238E27FC236}">
              <a16:creationId xmlns="" xmlns:a16="http://schemas.microsoft.com/office/drawing/2014/main" id="{00000000-0008-0000-1000-000037000000}"/>
            </a:ext>
          </a:extLst>
        </xdr:cNvPr>
        <xdr:cNvSpPr>
          <a:spLocks noChangeShapeType="1"/>
        </xdr:cNvSpPr>
      </xdr:nvSpPr>
      <xdr:spPr bwMode="auto">
        <a:xfrm>
          <a:off x="10429875" y="12982575"/>
          <a:ext cx="0" cy="400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504825</xdr:colOff>
      <xdr:row>32</xdr:row>
      <xdr:rowOff>228600</xdr:rowOff>
    </xdr:from>
    <xdr:to>
      <xdr:col>7</xdr:col>
      <xdr:colOff>504825</xdr:colOff>
      <xdr:row>45</xdr:row>
      <xdr:rowOff>76200</xdr:rowOff>
    </xdr:to>
    <xdr:sp macro="" textlink="">
      <xdr:nvSpPr>
        <xdr:cNvPr id="56" name="Line 31">
          <a:extLst>
            <a:ext uri="{FF2B5EF4-FFF2-40B4-BE49-F238E27FC236}">
              <a16:creationId xmlns="" xmlns:a16="http://schemas.microsoft.com/office/drawing/2014/main" id="{00000000-0008-0000-1000-000038000000}"/>
            </a:ext>
          </a:extLst>
        </xdr:cNvPr>
        <xdr:cNvSpPr>
          <a:spLocks noChangeShapeType="1"/>
        </xdr:cNvSpPr>
      </xdr:nvSpPr>
      <xdr:spPr bwMode="auto">
        <a:xfrm>
          <a:off x="12963525" y="13020675"/>
          <a:ext cx="0" cy="397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41</xdr:row>
      <xdr:rowOff>57150</xdr:rowOff>
    </xdr:from>
    <xdr:to>
      <xdr:col>7</xdr:col>
      <xdr:colOff>323850</xdr:colOff>
      <xdr:row>41</xdr:row>
      <xdr:rowOff>57150</xdr:rowOff>
    </xdr:to>
    <xdr:sp macro="" textlink="">
      <xdr:nvSpPr>
        <xdr:cNvPr id="57" name="Line 32">
          <a:extLst>
            <a:ext uri="{FF2B5EF4-FFF2-40B4-BE49-F238E27FC236}">
              <a16:creationId xmlns="" xmlns:a16="http://schemas.microsoft.com/office/drawing/2014/main" id="{00000000-0008-0000-1000-000039000000}"/>
            </a:ext>
          </a:extLst>
        </xdr:cNvPr>
        <xdr:cNvSpPr>
          <a:spLocks noChangeShapeType="1"/>
        </xdr:cNvSpPr>
      </xdr:nvSpPr>
      <xdr:spPr bwMode="auto">
        <a:xfrm flipV="1">
          <a:off x="10439400" y="15601950"/>
          <a:ext cx="2343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35</xdr:row>
      <xdr:rowOff>266700</xdr:rowOff>
    </xdr:from>
    <xdr:to>
      <xdr:col>7</xdr:col>
      <xdr:colOff>342900</xdr:colOff>
      <xdr:row>35</xdr:row>
      <xdr:rowOff>266700</xdr:rowOff>
    </xdr:to>
    <xdr:sp macro="" textlink="">
      <xdr:nvSpPr>
        <xdr:cNvPr id="58" name="Line 33">
          <a:extLst>
            <a:ext uri="{FF2B5EF4-FFF2-40B4-BE49-F238E27FC236}">
              <a16:creationId xmlns="" xmlns:a16="http://schemas.microsoft.com/office/drawing/2014/main" id="{00000000-0008-0000-1000-00003A000000}"/>
            </a:ext>
          </a:extLst>
        </xdr:cNvPr>
        <xdr:cNvSpPr>
          <a:spLocks noChangeShapeType="1"/>
        </xdr:cNvSpPr>
      </xdr:nvSpPr>
      <xdr:spPr bwMode="auto">
        <a:xfrm flipV="1">
          <a:off x="10439400" y="13944600"/>
          <a:ext cx="2362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44</xdr:row>
      <xdr:rowOff>171450</xdr:rowOff>
    </xdr:from>
    <xdr:to>
      <xdr:col>7</xdr:col>
      <xdr:colOff>314325</xdr:colOff>
      <xdr:row>44</xdr:row>
      <xdr:rowOff>171450</xdr:rowOff>
    </xdr:to>
    <xdr:sp macro="" textlink="">
      <xdr:nvSpPr>
        <xdr:cNvPr id="59" name="Line 69">
          <a:extLst>
            <a:ext uri="{FF2B5EF4-FFF2-40B4-BE49-F238E27FC236}">
              <a16:creationId xmlns="" xmlns:a16="http://schemas.microsoft.com/office/drawing/2014/main" id="{00000000-0008-0000-1000-00003B000000}"/>
            </a:ext>
          </a:extLst>
        </xdr:cNvPr>
        <xdr:cNvSpPr>
          <a:spLocks noChangeShapeType="1"/>
        </xdr:cNvSpPr>
      </xdr:nvSpPr>
      <xdr:spPr bwMode="auto">
        <a:xfrm>
          <a:off x="10439400" y="16849725"/>
          <a:ext cx="2333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32</xdr:row>
      <xdr:rowOff>266700</xdr:rowOff>
    </xdr:from>
    <xdr:to>
      <xdr:col>7</xdr:col>
      <xdr:colOff>323850</xdr:colOff>
      <xdr:row>32</xdr:row>
      <xdr:rowOff>266700</xdr:rowOff>
    </xdr:to>
    <xdr:sp macro="" textlink="">
      <xdr:nvSpPr>
        <xdr:cNvPr id="60" name="Line 70">
          <a:extLst>
            <a:ext uri="{FF2B5EF4-FFF2-40B4-BE49-F238E27FC236}">
              <a16:creationId xmlns="" xmlns:a16="http://schemas.microsoft.com/office/drawing/2014/main" id="{00000000-0008-0000-1000-00003C000000}"/>
            </a:ext>
          </a:extLst>
        </xdr:cNvPr>
        <xdr:cNvSpPr>
          <a:spLocks noChangeShapeType="1"/>
        </xdr:cNvSpPr>
      </xdr:nvSpPr>
      <xdr:spPr bwMode="auto">
        <a:xfrm>
          <a:off x="10439400" y="13058775"/>
          <a:ext cx="2343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314325</xdr:colOff>
      <xdr:row>44</xdr:row>
      <xdr:rowOff>171450</xdr:rowOff>
    </xdr:from>
    <xdr:to>
      <xdr:col>7</xdr:col>
      <xdr:colOff>657225</xdr:colOff>
      <xdr:row>44</xdr:row>
      <xdr:rowOff>171450</xdr:rowOff>
    </xdr:to>
    <xdr:sp macro="" textlink="">
      <xdr:nvSpPr>
        <xdr:cNvPr id="61" name="Line 71">
          <a:extLst>
            <a:ext uri="{FF2B5EF4-FFF2-40B4-BE49-F238E27FC236}">
              <a16:creationId xmlns="" xmlns:a16="http://schemas.microsoft.com/office/drawing/2014/main" id="{00000000-0008-0000-1000-00003D000000}"/>
            </a:ext>
          </a:extLst>
        </xdr:cNvPr>
        <xdr:cNvSpPr>
          <a:spLocks noChangeShapeType="1"/>
        </xdr:cNvSpPr>
      </xdr:nvSpPr>
      <xdr:spPr bwMode="auto">
        <a:xfrm>
          <a:off x="12773025" y="16849725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314325</xdr:colOff>
      <xdr:row>32</xdr:row>
      <xdr:rowOff>266700</xdr:rowOff>
    </xdr:from>
    <xdr:to>
      <xdr:col>7</xdr:col>
      <xdr:colOff>457200</xdr:colOff>
      <xdr:row>32</xdr:row>
      <xdr:rowOff>266700</xdr:rowOff>
    </xdr:to>
    <xdr:sp macro="" textlink="">
      <xdr:nvSpPr>
        <xdr:cNvPr id="62" name="Line 72">
          <a:extLst>
            <a:ext uri="{FF2B5EF4-FFF2-40B4-BE49-F238E27FC236}">
              <a16:creationId xmlns="" xmlns:a16="http://schemas.microsoft.com/office/drawing/2014/main" id="{00000000-0008-0000-1000-00003E000000}"/>
            </a:ext>
          </a:extLst>
        </xdr:cNvPr>
        <xdr:cNvSpPr>
          <a:spLocks noChangeShapeType="1"/>
        </xdr:cNvSpPr>
      </xdr:nvSpPr>
      <xdr:spPr bwMode="auto">
        <a:xfrm>
          <a:off x="12773025" y="1305877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876300</xdr:colOff>
      <xdr:row>32</xdr:row>
      <xdr:rowOff>276225</xdr:rowOff>
    </xdr:from>
    <xdr:to>
      <xdr:col>4</xdr:col>
      <xdr:colOff>876300</xdr:colOff>
      <xdr:row>35</xdr:row>
      <xdr:rowOff>142875</xdr:rowOff>
    </xdr:to>
    <xdr:sp macro="" textlink="">
      <xdr:nvSpPr>
        <xdr:cNvPr id="63" name="Line 73">
          <a:extLst>
            <a:ext uri="{FF2B5EF4-FFF2-40B4-BE49-F238E27FC236}">
              <a16:creationId xmlns="" xmlns:a16="http://schemas.microsoft.com/office/drawing/2014/main" id="{00000000-0008-0000-1000-00003F000000}"/>
            </a:ext>
          </a:extLst>
        </xdr:cNvPr>
        <xdr:cNvSpPr>
          <a:spLocks noChangeShapeType="1"/>
        </xdr:cNvSpPr>
      </xdr:nvSpPr>
      <xdr:spPr bwMode="auto">
        <a:xfrm>
          <a:off x="10496550" y="13068300"/>
          <a:ext cx="0" cy="752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38100</xdr:colOff>
      <xdr:row>32</xdr:row>
      <xdr:rowOff>276225</xdr:rowOff>
    </xdr:from>
    <xdr:to>
      <xdr:col>5</xdr:col>
      <xdr:colOff>38100</xdr:colOff>
      <xdr:row>34</xdr:row>
      <xdr:rowOff>238125</xdr:rowOff>
    </xdr:to>
    <xdr:sp macro="" textlink="">
      <xdr:nvSpPr>
        <xdr:cNvPr id="64" name="Line 74">
          <a:extLst>
            <a:ext uri="{FF2B5EF4-FFF2-40B4-BE49-F238E27FC236}">
              <a16:creationId xmlns="" xmlns:a16="http://schemas.microsoft.com/office/drawing/2014/main" id="{00000000-0008-0000-1000-000040000000}"/>
            </a:ext>
          </a:extLst>
        </xdr:cNvPr>
        <xdr:cNvSpPr>
          <a:spLocks noChangeShapeType="1"/>
        </xdr:cNvSpPr>
      </xdr:nvSpPr>
      <xdr:spPr bwMode="auto">
        <a:xfrm>
          <a:off x="10620375" y="13068300"/>
          <a:ext cx="0" cy="571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104775</xdr:colOff>
      <xdr:row>32</xdr:row>
      <xdr:rowOff>276225</xdr:rowOff>
    </xdr:from>
    <xdr:to>
      <xdr:col>5</xdr:col>
      <xdr:colOff>104775</xdr:colOff>
      <xdr:row>34</xdr:row>
      <xdr:rowOff>19050</xdr:rowOff>
    </xdr:to>
    <xdr:sp macro="" textlink="">
      <xdr:nvSpPr>
        <xdr:cNvPr id="65" name="Line 75">
          <a:extLst>
            <a:ext uri="{FF2B5EF4-FFF2-40B4-BE49-F238E27FC236}">
              <a16:creationId xmlns="" xmlns:a16="http://schemas.microsoft.com/office/drawing/2014/main" id="{00000000-0008-0000-1000-000041000000}"/>
            </a:ext>
          </a:extLst>
        </xdr:cNvPr>
        <xdr:cNvSpPr>
          <a:spLocks noChangeShapeType="1"/>
        </xdr:cNvSpPr>
      </xdr:nvSpPr>
      <xdr:spPr bwMode="auto">
        <a:xfrm>
          <a:off x="10687050" y="13068300"/>
          <a:ext cx="0" cy="352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161925</xdr:colOff>
      <xdr:row>32</xdr:row>
      <xdr:rowOff>276225</xdr:rowOff>
    </xdr:from>
    <xdr:to>
      <xdr:col>5</xdr:col>
      <xdr:colOff>161925</xdr:colOff>
      <xdr:row>33</xdr:row>
      <xdr:rowOff>123825</xdr:rowOff>
    </xdr:to>
    <xdr:sp macro="" textlink="">
      <xdr:nvSpPr>
        <xdr:cNvPr id="66" name="Line 76">
          <a:extLst>
            <a:ext uri="{FF2B5EF4-FFF2-40B4-BE49-F238E27FC236}">
              <a16:creationId xmlns="" xmlns:a16="http://schemas.microsoft.com/office/drawing/2014/main" id="{00000000-0008-0000-1000-000042000000}"/>
            </a:ext>
          </a:extLst>
        </xdr:cNvPr>
        <xdr:cNvSpPr>
          <a:spLocks noChangeShapeType="1"/>
        </xdr:cNvSpPr>
      </xdr:nvSpPr>
      <xdr:spPr bwMode="auto">
        <a:xfrm>
          <a:off x="10744200" y="1306830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33</xdr:row>
      <xdr:rowOff>47625</xdr:rowOff>
    </xdr:from>
    <xdr:to>
      <xdr:col>5</xdr:col>
      <xdr:colOff>219075</xdr:colOff>
      <xdr:row>33</xdr:row>
      <xdr:rowOff>47625</xdr:rowOff>
    </xdr:to>
    <xdr:sp macro="" textlink="">
      <xdr:nvSpPr>
        <xdr:cNvPr id="67" name="Line 77">
          <a:extLst>
            <a:ext uri="{FF2B5EF4-FFF2-40B4-BE49-F238E27FC236}">
              <a16:creationId xmlns="" xmlns:a16="http://schemas.microsoft.com/office/drawing/2014/main" id="{00000000-0008-0000-1000-000043000000}"/>
            </a:ext>
          </a:extLst>
        </xdr:cNvPr>
        <xdr:cNvSpPr>
          <a:spLocks noChangeShapeType="1"/>
        </xdr:cNvSpPr>
      </xdr:nvSpPr>
      <xdr:spPr bwMode="auto">
        <a:xfrm>
          <a:off x="10439400" y="13144500"/>
          <a:ext cx="361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809625</xdr:colOff>
      <xdr:row>33</xdr:row>
      <xdr:rowOff>123825</xdr:rowOff>
    </xdr:from>
    <xdr:to>
      <xdr:col>5</xdr:col>
      <xdr:colOff>142875</xdr:colOff>
      <xdr:row>33</xdr:row>
      <xdr:rowOff>123825</xdr:rowOff>
    </xdr:to>
    <xdr:sp macro="" textlink="">
      <xdr:nvSpPr>
        <xdr:cNvPr id="68" name="Line 78">
          <a:extLst>
            <a:ext uri="{FF2B5EF4-FFF2-40B4-BE49-F238E27FC236}">
              <a16:creationId xmlns="" xmlns:a16="http://schemas.microsoft.com/office/drawing/2014/main" id="{00000000-0008-0000-1000-000044000000}"/>
            </a:ext>
          </a:extLst>
        </xdr:cNvPr>
        <xdr:cNvSpPr>
          <a:spLocks noChangeShapeType="1"/>
        </xdr:cNvSpPr>
      </xdr:nvSpPr>
      <xdr:spPr bwMode="auto">
        <a:xfrm>
          <a:off x="10429875" y="13220700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819150</xdr:colOff>
      <xdr:row>34</xdr:row>
      <xdr:rowOff>19050</xdr:rowOff>
    </xdr:from>
    <xdr:to>
      <xdr:col>5</xdr:col>
      <xdr:colOff>85725</xdr:colOff>
      <xdr:row>34</xdr:row>
      <xdr:rowOff>19050</xdr:rowOff>
    </xdr:to>
    <xdr:sp macro="" textlink="">
      <xdr:nvSpPr>
        <xdr:cNvPr id="69" name="Line 79">
          <a:extLst>
            <a:ext uri="{FF2B5EF4-FFF2-40B4-BE49-F238E27FC236}">
              <a16:creationId xmlns="" xmlns:a16="http://schemas.microsoft.com/office/drawing/2014/main" id="{00000000-0008-0000-1000-000045000000}"/>
            </a:ext>
          </a:extLst>
        </xdr:cNvPr>
        <xdr:cNvSpPr>
          <a:spLocks noChangeShapeType="1"/>
        </xdr:cNvSpPr>
      </xdr:nvSpPr>
      <xdr:spPr bwMode="auto">
        <a:xfrm>
          <a:off x="10439400" y="1342072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657225</xdr:colOff>
      <xdr:row>32</xdr:row>
      <xdr:rowOff>200025</xdr:rowOff>
    </xdr:from>
    <xdr:to>
      <xdr:col>4</xdr:col>
      <xdr:colOff>657225</xdr:colOff>
      <xdr:row>45</xdr:row>
      <xdr:rowOff>66675</xdr:rowOff>
    </xdr:to>
    <xdr:sp macro="" textlink="">
      <xdr:nvSpPr>
        <xdr:cNvPr id="70" name="Line 80">
          <a:extLst>
            <a:ext uri="{FF2B5EF4-FFF2-40B4-BE49-F238E27FC236}">
              <a16:creationId xmlns="" xmlns:a16="http://schemas.microsoft.com/office/drawing/2014/main" id="{00000000-0008-0000-1000-000046000000}"/>
            </a:ext>
          </a:extLst>
        </xdr:cNvPr>
        <xdr:cNvSpPr>
          <a:spLocks noChangeShapeType="1"/>
        </xdr:cNvSpPr>
      </xdr:nvSpPr>
      <xdr:spPr bwMode="auto">
        <a:xfrm>
          <a:off x="10277475" y="12992100"/>
          <a:ext cx="0" cy="399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828675</xdr:colOff>
      <xdr:row>32</xdr:row>
      <xdr:rowOff>190500</xdr:rowOff>
    </xdr:from>
    <xdr:to>
      <xdr:col>7</xdr:col>
      <xdr:colOff>352425</xdr:colOff>
      <xdr:row>32</xdr:row>
      <xdr:rowOff>266700</xdr:rowOff>
    </xdr:to>
    <xdr:grpSp>
      <xdr:nvGrpSpPr>
        <xdr:cNvPr id="71" name="Group 81">
          <a:extLst>
            <a:ext uri="{FF2B5EF4-FFF2-40B4-BE49-F238E27FC236}">
              <a16:creationId xmlns="" xmlns:a16="http://schemas.microsoft.com/office/drawing/2014/main" id="{00000000-0008-0000-1000-000047000000}"/>
            </a:ext>
          </a:extLst>
        </xdr:cNvPr>
        <xdr:cNvGrpSpPr>
          <a:grpSpLocks/>
        </xdr:cNvGrpSpPr>
      </xdr:nvGrpSpPr>
      <xdr:grpSpPr bwMode="auto">
        <a:xfrm>
          <a:off x="1343025" y="13258800"/>
          <a:ext cx="2381250" cy="76200"/>
          <a:chOff x="89" y="756"/>
          <a:chExt cx="186" cy="8"/>
        </a:xfrm>
      </xdr:grpSpPr>
      <xdr:grpSp>
        <xdr:nvGrpSpPr>
          <xdr:cNvPr id="72" name="Group 82">
            <a:extLst>
              <a:ext uri="{FF2B5EF4-FFF2-40B4-BE49-F238E27FC236}">
                <a16:creationId xmlns="" xmlns:a16="http://schemas.microsoft.com/office/drawing/2014/main" id="{00000000-0008-0000-1000-000048000000}"/>
              </a:ext>
            </a:extLst>
          </xdr:cNvPr>
          <xdr:cNvGrpSpPr>
            <a:grpSpLocks/>
          </xdr:cNvGrpSpPr>
        </xdr:nvGrpSpPr>
        <xdr:grpSpPr bwMode="auto">
          <a:xfrm>
            <a:off x="89" y="756"/>
            <a:ext cx="86" cy="8"/>
            <a:chOff x="89" y="756"/>
            <a:chExt cx="86" cy="8"/>
          </a:xfrm>
        </xdr:grpSpPr>
        <xdr:grpSp>
          <xdr:nvGrpSpPr>
            <xdr:cNvPr id="88" name="Group 83">
              <a:extLst>
                <a:ext uri="{FF2B5EF4-FFF2-40B4-BE49-F238E27FC236}">
                  <a16:creationId xmlns="" xmlns:a16="http://schemas.microsoft.com/office/drawing/2014/main" id="{00000000-0008-0000-1000-000058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95" name="Oval 84">
                <a:extLst>
                  <a:ext uri="{FF2B5EF4-FFF2-40B4-BE49-F238E27FC236}">
                    <a16:creationId xmlns="" xmlns:a16="http://schemas.microsoft.com/office/drawing/2014/main" id="{00000000-0008-0000-1000-00005F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6" name="Oval 85">
                <a:extLst>
                  <a:ext uri="{FF2B5EF4-FFF2-40B4-BE49-F238E27FC236}">
                    <a16:creationId xmlns="" xmlns:a16="http://schemas.microsoft.com/office/drawing/2014/main" id="{00000000-0008-0000-10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97" name="Group 86">
                <a:extLst>
                  <a:ext uri="{FF2B5EF4-FFF2-40B4-BE49-F238E27FC236}">
                    <a16:creationId xmlns="" xmlns:a16="http://schemas.microsoft.com/office/drawing/2014/main" id="{00000000-0008-0000-1000-000061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98" name="Oval 87">
                  <a:extLst>
                    <a:ext uri="{FF2B5EF4-FFF2-40B4-BE49-F238E27FC236}">
                      <a16:creationId xmlns="" xmlns:a16="http://schemas.microsoft.com/office/drawing/2014/main" id="{00000000-0008-0000-1000-000062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99" name="Oval 88">
                  <a:extLst>
                    <a:ext uri="{FF2B5EF4-FFF2-40B4-BE49-F238E27FC236}">
                      <a16:creationId xmlns="" xmlns:a16="http://schemas.microsoft.com/office/drawing/2014/main" id="{00000000-0008-0000-1000-000063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89" name="Group 89">
              <a:extLst>
                <a:ext uri="{FF2B5EF4-FFF2-40B4-BE49-F238E27FC236}">
                  <a16:creationId xmlns="" xmlns:a16="http://schemas.microsoft.com/office/drawing/2014/main" id="{00000000-0008-0000-1000-00005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90" name="Oval 90">
                <a:extLst>
                  <a:ext uri="{FF2B5EF4-FFF2-40B4-BE49-F238E27FC236}">
                    <a16:creationId xmlns="" xmlns:a16="http://schemas.microsoft.com/office/drawing/2014/main" id="{00000000-0008-0000-1000-00005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1" name="Oval 91">
                <a:extLst>
                  <a:ext uri="{FF2B5EF4-FFF2-40B4-BE49-F238E27FC236}">
                    <a16:creationId xmlns="" xmlns:a16="http://schemas.microsoft.com/office/drawing/2014/main" id="{00000000-0008-0000-1000-00005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92" name="Group 92">
                <a:extLst>
                  <a:ext uri="{FF2B5EF4-FFF2-40B4-BE49-F238E27FC236}">
                    <a16:creationId xmlns="" xmlns:a16="http://schemas.microsoft.com/office/drawing/2014/main" id="{00000000-0008-0000-1000-00005C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93" name="Oval 93">
                  <a:extLst>
                    <a:ext uri="{FF2B5EF4-FFF2-40B4-BE49-F238E27FC236}">
                      <a16:creationId xmlns="" xmlns:a16="http://schemas.microsoft.com/office/drawing/2014/main" id="{00000000-0008-0000-1000-00005D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94" name="Oval 94">
                  <a:extLst>
                    <a:ext uri="{FF2B5EF4-FFF2-40B4-BE49-F238E27FC236}">
                      <a16:creationId xmlns="" xmlns:a16="http://schemas.microsoft.com/office/drawing/2014/main" id="{00000000-0008-0000-1000-00005E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73" name="Group 95">
            <a:extLst>
              <a:ext uri="{FF2B5EF4-FFF2-40B4-BE49-F238E27FC236}">
                <a16:creationId xmlns="" xmlns:a16="http://schemas.microsoft.com/office/drawing/2014/main" id="{00000000-0008-0000-1000-000049000000}"/>
              </a:ext>
            </a:extLst>
          </xdr:cNvPr>
          <xdr:cNvGrpSpPr>
            <a:grpSpLocks/>
          </xdr:cNvGrpSpPr>
        </xdr:nvGrpSpPr>
        <xdr:grpSpPr bwMode="auto">
          <a:xfrm>
            <a:off x="170" y="756"/>
            <a:ext cx="86" cy="8"/>
            <a:chOff x="89" y="756"/>
            <a:chExt cx="86" cy="8"/>
          </a:xfrm>
        </xdr:grpSpPr>
        <xdr:grpSp>
          <xdr:nvGrpSpPr>
            <xdr:cNvPr id="76" name="Group 96">
              <a:extLst>
                <a:ext uri="{FF2B5EF4-FFF2-40B4-BE49-F238E27FC236}">
                  <a16:creationId xmlns="" xmlns:a16="http://schemas.microsoft.com/office/drawing/2014/main" id="{00000000-0008-0000-1000-00004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83" name="Oval 97">
                <a:extLst>
                  <a:ext uri="{FF2B5EF4-FFF2-40B4-BE49-F238E27FC236}">
                    <a16:creationId xmlns="" xmlns:a16="http://schemas.microsoft.com/office/drawing/2014/main" id="{00000000-0008-0000-1000-00005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4" name="Oval 98">
                <a:extLst>
                  <a:ext uri="{FF2B5EF4-FFF2-40B4-BE49-F238E27FC236}">
                    <a16:creationId xmlns="" xmlns:a16="http://schemas.microsoft.com/office/drawing/2014/main" id="{00000000-0008-0000-1000-00005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85" name="Group 99">
                <a:extLst>
                  <a:ext uri="{FF2B5EF4-FFF2-40B4-BE49-F238E27FC236}">
                    <a16:creationId xmlns="" xmlns:a16="http://schemas.microsoft.com/office/drawing/2014/main" id="{00000000-0008-0000-1000-000055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86" name="Oval 100">
                  <a:extLst>
                    <a:ext uri="{FF2B5EF4-FFF2-40B4-BE49-F238E27FC236}">
                      <a16:creationId xmlns="" xmlns:a16="http://schemas.microsoft.com/office/drawing/2014/main" id="{00000000-0008-0000-1000-000056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87" name="Oval 101">
                  <a:extLst>
                    <a:ext uri="{FF2B5EF4-FFF2-40B4-BE49-F238E27FC236}">
                      <a16:creationId xmlns="" xmlns:a16="http://schemas.microsoft.com/office/drawing/2014/main" id="{00000000-0008-0000-1000-000057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77" name="Group 102">
              <a:extLst>
                <a:ext uri="{FF2B5EF4-FFF2-40B4-BE49-F238E27FC236}">
                  <a16:creationId xmlns="" xmlns:a16="http://schemas.microsoft.com/office/drawing/2014/main" id="{00000000-0008-0000-1000-00004D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78" name="Oval 103">
                <a:extLst>
                  <a:ext uri="{FF2B5EF4-FFF2-40B4-BE49-F238E27FC236}">
                    <a16:creationId xmlns="" xmlns:a16="http://schemas.microsoft.com/office/drawing/2014/main" id="{00000000-0008-0000-1000-00004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9" name="Oval 104">
                <a:extLst>
                  <a:ext uri="{FF2B5EF4-FFF2-40B4-BE49-F238E27FC236}">
                    <a16:creationId xmlns="" xmlns:a16="http://schemas.microsoft.com/office/drawing/2014/main" id="{00000000-0008-0000-1000-00004F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80" name="Group 105">
                <a:extLst>
                  <a:ext uri="{FF2B5EF4-FFF2-40B4-BE49-F238E27FC236}">
                    <a16:creationId xmlns="" xmlns:a16="http://schemas.microsoft.com/office/drawing/2014/main" id="{00000000-0008-0000-1000-000050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81" name="Oval 106">
                  <a:extLst>
                    <a:ext uri="{FF2B5EF4-FFF2-40B4-BE49-F238E27FC236}">
                      <a16:creationId xmlns="" xmlns:a16="http://schemas.microsoft.com/office/drawing/2014/main" id="{00000000-0008-0000-1000-000051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82" name="Oval 107">
                  <a:extLst>
                    <a:ext uri="{FF2B5EF4-FFF2-40B4-BE49-F238E27FC236}">
                      <a16:creationId xmlns="" xmlns:a16="http://schemas.microsoft.com/office/drawing/2014/main" id="{00000000-0008-0000-1000-000052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74" name="Oval 108">
            <a:extLst>
              <a:ext uri="{FF2B5EF4-FFF2-40B4-BE49-F238E27FC236}">
                <a16:creationId xmlns="" xmlns:a16="http://schemas.microsoft.com/office/drawing/2014/main" id="{00000000-0008-0000-1000-00004A000000}"/>
              </a:ext>
            </a:extLst>
          </xdr:cNvPr>
          <xdr:cNvSpPr>
            <a:spLocks noChangeArrowheads="1"/>
          </xdr:cNvSpPr>
        </xdr:nvSpPr>
        <xdr:spPr bwMode="auto">
          <a:xfrm>
            <a:off x="25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" name="Oval 109">
            <a:extLst>
              <a:ext uri="{FF2B5EF4-FFF2-40B4-BE49-F238E27FC236}">
                <a16:creationId xmlns="" xmlns:a16="http://schemas.microsoft.com/office/drawing/2014/main" id="{00000000-0008-0000-1000-00004B000000}"/>
              </a:ext>
            </a:extLst>
          </xdr:cNvPr>
          <xdr:cNvSpPr>
            <a:spLocks noChangeArrowheads="1"/>
          </xdr:cNvSpPr>
        </xdr:nvSpPr>
        <xdr:spPr bwMode="auto">
          <a:xfrm>
            <a:off x="26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809625</xdr:colOff>
      <xdr:row>44</xdr:row>
      <xdr:rowOff>171450</xdr:rowOff>
    </xdr:from>
    <xdr:to>
      <xdr:col>7</xdr:col>
      <xdr:colOff>333375</xdr:colOff>
      <xdr:row>45</xdr:row>
      <xdr:rowOff>66675</xdr:rowOff>
    </xdr:to>
    <xdr:grpSp>
      <xdr:nvGrpSpPr>
        <xdr:cNvPr id="100" name="Group 110">
          <a:extLst>
            <a:ext uri="{FF2B5EF4-FFF2-40B4-BE49-F238E27FC236}">
              <a16:creationId xmlns="" xmlns:a16="http://schemas.microsoft.com/office/drawing/2014/main" id="{00000000-0008-0000-1000-000064000000}"/>
            </a:ext>
          </a:extLst>
        </xdr:cNvPr>
        <xdr:cNvGrpSpPr>
          <a:grpSpLocks/>
        </xdr:cNvGrpSpPr>
      </xdr:nvGrpSpPr>
      <xdr:grpSpPr bwMode="auto">
        <a:xfrm>
          <a:off x="1323975" y="17164050"/>
          <a:ext cx="2381250" cy="142875"/>
          <a:chOff x="89" y="756"/>
          <a:chExt cx="186" cy="8"/>
        </a:xfrm>
      </xdr:grpSpPr>
      <xdr:grpSp>
        <xdr:nvGrpSpPr>
          <xdr:cNvPr id="101" name="Group 111">
            <a:extLst>
              <a:ext uri="{FF2B5EF4-FFF2-40B4-BE49-F238E27FC236}">
                <a16:creationId xmlns="" xmlns:a16="http://schemas.microsoft.com/office/drawing/2014/main" id="{00000000-0008-0000-1000-000065000000}"/>
              </a:ext>
            </a:extLst>
          </xdr:cNvPr>
          <xdr:cNvGrpSpPr>
            <a:grpSpLocks/>
          </xdr:cNvGrpSpPr>
        </xdr:nvGrpSpPr>
        <xdr:grpSpPr bwMode="auto">
          <a:xfrm>
            <a:off x="89" y="756"/>
            <a:ext cx="86" cy="8"/>
            <a:chOff x="89" y="756"/>
            <a:chExt cx="86" cy="8"/>
          </a:xfrm>
        </xdr:grpSpPr>
        <xdr:grpSp>
          <xdr:nvGrpSpPr>
            <xdr:cNvPr id="117" name="Group 112">
              <a:extLst>
                <a:ext uri="{FF2B5EF4-FFF2-40B4-BE49-F238E27FC236}">
                  <a16:creationId xmlns="" xmlns:a16="http://schemas.microsoft.com/office/drawing/2014/main" id="{00000000-0008-0000-1000-00007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124" name="Oval 113">
                <a:extLst>
                  <a:ext uri="{FF2B5EF4-FFF2-40B4-BE49-F238E27FC236}">
                    <a16:creationId xmlns="" xmlns:a16="http://schemas.microsoft.com/office/drawing/2014/main" id="{00000000-0008-0000-1000-00007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25" name="Oval 114">
                <a:extLst>
                  <a:ext uri="{FF2B5EF4-FFF2-40B4-BE49-F238E27FC236}">
                    <a16:creationId xmlns="" xmlns:a16="http://schemas.microsoft.com/office/drawing/2014/main" id="{00000000-0008-0000-1000-00007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26" name="Group 115">
                <a:extLst>
                  <a:ext uri="{FF2B5EF4-FFF2-40B4-BE49-F238E27FC236}">
                    <a16:creationId xmlns="" xmlns:a16="http://schemas.microsoft.com/office/drawing/2014/main" id="{00000000-0008-0000-1000-00007E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127" name="Oval 116">
                  <a:extLst>
                    <a:ext uri="{FF2B5EF4-FFF2-40B4-BE49-F238E27FC236}">
                      <a16:creationId xmlns="" xmlns:a16="http://schemas.microsoft.com/office/drawing/2014/main" id="{00000000-0008-0000-1000-00007F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28" name="Oval 117">
                  <a:extLst>
                    <a:ext uri="{FF2B5EF4-FFF2-40B4-BE49-F238E27FC236}">
                      <a16:creationId xmlns="" xmlns:a16="http://schemas.microsoft.com/office/drawing/2014/main" id="{00000000-0008-0000-1000-000080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118" name="Group 118">
              <a:extLst>
                <a:ext uri="{FF2B5EF4-FFF2-40B4-BE49-F238E27FC236}">
                  <a16:creationId xmlns="" xmlns:a16="http://schemas.microsoft.com/office/drawing/2014/main" id="{00000000-0008-0000-1000-00007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119" name="Oval 119">
                <a:extLst>
                  <a:ext uri="{FF2B5EF4-FFF2-40B4-BE49-F238E27FC236}">
                    <a16:creationId xmlns="" xmlns:a16="http://schemas.microsoft.com/office/drawing/2014/main" id="{00000000-0008-0000-10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20" name="Oval 120">
                <a:extLst>
                  <a:ext uri="{FF2B5EF4-FFF2-40B4-BE49-F238E27FC236}">
                    <a16:creationId xmlns="" xmlns:a16="http://schemas.microsoft.com/office/drawing/2014/main" id="{00000000-0008-0000-10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21" name="Group 121">
                <a:extLst>
                  <a:ext uri="{FF2B5EF4-FFF2-40B4-BE49-F238E27FC236}">
                    <a16:creationId xmlns="" xmlns:a16="http://schemas.microsoft.com/office/drawing/2014/main" id="{00000000-0008-0000-1000-000079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122" name="Oval 122">
                  <a:extLst>
                    <a:ext uri="{FF2B5EF4-FFF2-40B4-BE49-F238E27FC236}">
                      <a16:creationId xmlns="" xmlns:a16="http://schemas.microsoft.com/office/drawing/2014/main" id="{00000000-0008-0000-1000-00007A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23" name="Oval 123">
                  <a:extLst>
                    <a:ext uri="{FF2B5EF4-FFF2-40B4-BE49-F238E27FC236}">
                      <a16:creationId xmlns="" xmlns:a16="http://schemas.microsoft.com/office/drawing/2014/main" id="{00000000-0008-0000-1000-00007B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102" name="Group 124">
            <a:extLst>
              <a:ext uri="{FF2B5EF4-FFF2-40B4-BE49-F238E27FC236}">
                <a16:creationId xmlns="" xmlns:a16="http://schemas.microsoft.com/office/drawing/2014/main" id="{00000000-0008-0000-1000-000066000000}"/>
              </a:ext>
            </a:extLst>
          </xdr:cNvPr>
          <xdr:cNvGrpSpPr>
            <a:grpSpLocks/>
          </xdr:cNvGrpSpPr>
        </xdr:nvGrpSpPr>
        <xdr:grpSpPr bwMode="auto">
          <a:xfrm>
            <a:off x="170" y="756"/>
            <a:ext cx="86" cy="8"/>
            <a:chOff x="89" y="756"/>
            <a:chExt cx="86" cy="8"/>
          </a:xfrm>
        </xdr:grpSpPr>
        <xdr:grpSp>
          <xdr:nvGrpSpPr>
            <xdr:cNvPr id="105" name="Group 125">
              <a:extLst>
                <a:ext uri="{FF2B5EF4-FFF2-40B4-BE49-F238E27FC236}">
                  <a16:creationId xmlns="" xmlns:a16="http://schemas.microsoft.com/office/drawing/2014/main" id="{00000000-0008-0000-10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9" y="756"/>
              <a:ext cx="45" cy="8"/>
              <a:chOff x="89" y="756"/>
              <a:chExt cx="45" cy="8"/>
            </a:xfrm>
          </xdr:grpSpPr>
          <xdr:sp macro="" textlink="">
            <xdr:nvSpPr>
              <xdr:cNvPr id="112" name="Oval 126">
                <a:extLst>
                  <a:ext uri="{FF2B5EF4-FFF2-40B4-BE49-F238E27FC236}">
                    <a16:creationId xmlns="" xmlns:a16="http://schemas.microsoft.com/office/drawing/2014/main" id="{00000000-0008-0000-10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3" name="Oval 127">
                <a:extLst>
                  <a:ext uri="{FF2B5EF4-FFF2-40B4-BE49-F238E27FC236}">
                    <a16:creationId xmlns="" xmlns:a16="http://schemas.microsoft.com/office/drawing/2014/main" id="{00000000-0008-0000-10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14" name="Group 128">
                <a:extLst>
                  <a:ext uri="{FF2B5EF4-FFF2-40B4-BE49-F238E27FC236}">
                    <a16:creationId xmlns="" xmlns:a16="http://schemas.microsoft.com/office/drawing/2014/main" id="{00000000-0008-0000-1000-000072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115" name="Oval 129">
                  <a:extLst>
                    <a:ext uri="{FF2B5EF4-FFF2-40B4-BE49-F238E27FC236}">
                      <a16:creationId xmlns="" xmlns:a16="http://schemas.microsoft.com/office/drawing/2014/main" id="{00000000-0008-0000-1000-000073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16" name="Oval 130">
                  <a:extLst>
                    <a:ext uri="{FF2B5EF4-FFF2-40B4-BE49-F238E27FC236}">
                      <a16:creationId xmlns="" xmlns:a16="http://schemas.microsoft.com/office/drawing/2014/main" id="{00000000-0008-0000-1000-000074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  <xdr:grpSp>
          <xdr:nvGrpSpPr>
            <xdr:cNvPr id="106" name="Group 131">
              <a:extLst>
                <a:ext uri="{FF2B5EF4-FFF2-40B4-BE49-F238E27FC236}">
                  <a16:creationId xmlns="" xmlns:a16="http://schemas.microsoft.com/office/drawing/2014/main" id="{00000000-0008-0000-1000-00006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30" y="756"/>
              <a:ext cx="45" cy="8"/>
              <a:chOff x="89" y="756"/>
              <a:chExt cx="45" cy="8"/>
            </a:xfrm>
          </xdr:grpSpPr>
          <xdr:sp macro="" textlink="">
            <xdr:nvSpPr>
              <xdr:cNvPr id="107" name="Oval 132">
                <a:extLst>
                  <a:ext uri="{FF2B5EF4-FFF2-40B4-BE49-F238E27FC236}">
                    <a16:creationId xmlns="" xmlns:a16="http://schemas.microsoft.com/office/drawing/2014/main" id="{00000000-0008-0000-10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9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8" name="Oval 133">
                <a:extLst>
                  <a:ext uri="{FF2B5EF4-FFF2-40B4-BE49-F238E27FC236}">
                    <a16:creationId xmlns="" xmlns:a16="http://schemas.microsoft.com/office/drawing/2014/main" id="{00000000-0008-0000-10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0" y="756"/>
                <a:ext cx="15" cy="8"/>
              </a:xfrm>
              <a:prstGeom prst="ellips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09" name="Group 134">
                <a:extLst>
                  <a:ext uri="{FF2B5EF4-FFF2-40B4-BE49-F238E27FC236}">
                    <a16:creationId xmlns="" xmlns:a16="http://schemas.microsoft.com/office/drawing/2014/main" id="{00000000-0008-0000-1000-00006D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00" y="756"/>
                <a:ext cx="34" cy="8"/>
                <a:chOff x="161" y="706"/>
                <a:chExt cx="34" cy="8"/>
              </a:xfrm>
            </xdr:grpSpPr>
            <xdr:sp macro="" textlink="">
              <xdr:nvSpPr>
                <xdr:cNvPr id="110" name="Oval 135">
                  <a:extLst>
                    <a:ext uri="{FF2B5EF4-FFF2-40B4-BE49-F238E27FC236}">
                      <a16:creationId xmlns="" xmlns:a16="http://schemas.microsoft.com/office/drawing/2014/main" id="{00000000-0008-0000-1000-00006E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61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11" name="Oval 136">
                  <a:extLst>
                    <a:ext uri="{FF2B5EF4-FFF2-40B4-BE49-F238E27FC236}">
                      <a16:creationId xmlns="" xmlns:a16="http://schemas.microsoft.com/office/drawing/2014/main" id="{00000000-0008-0000-1000-00006F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180" y="706"/>
                  <a:ext cx="15" cy="8"/>
                </a:xfrm>
                <a:prstGeom prst="ellips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103" name="Oval 137">
            <a:extLst>
              <a:ext uri="{FF2B5EF4-FFF2-40B4-BE49-F238E27FC236}">
                <a16:creationId xmlns="" xmlns:a16="http://schemas.microsoft.com/office/drawing/2014/main" id="{00000000-0008-0000-1000-000067000000}"/>
              </a:ext>
            </a:extLst>
          </xdr:cNvPr>
          <xdr:cNvSpPr>
            <a:spLocks noChangeArrowheads="1"/>
          </xdr:cNvSpPr>
        </xdr:nvSpPr>
        <xdr:spPr bwMode="auto">
          <a:xfrm>
            <a:off x="25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4" name="Oval 138">
            <a:extLst>
              <a:ext uri="{FF2B5EF4-FFF2-40B4-BE49-F238E27FC236}">
                <a16:creationId xmlns="" xmlns:a16="http://schemas.microsoft.com/office/drawing/2014/main" id="{00000000-0008-0000-1000-000068000000}"/>
              </a:ext>
            </a:extLst>
          </xdr:cNvPr>
          <xdr:cNvSpPr>
            <a:spLocks noChangeArrowheads="1"/>
          </xdr:cNvSpPr>
        </xdr:nvSpPr>
        <xdr:spPr bwMode="auto">
          <a:xfrm>
            <a:off x="262" y="756"/>
            <a:ext cx="13" cy="8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133350</xdr:colOff>
      <xdr:row>45</xdr:row>
      <xdr:rowOff>66675</xdr:rowOff>
    </xdr:from>
    <xdr:to>
      <xdr:col>8</xdr:col>
      <xdr:colOff>704850</xdr:colOff>
      <xdr:row>45</xdr:row>
      <xdr:rowOff>66675</xdr:rowOff>
    </xdr:to>
    <xdr:sp macro="" textlink="">
      <xdr:nvSpPr>
        <xdr:cNvPr id="129" name="Line 239">
          <a:extLst>
            <a:ext uri="{FF2B5EF4-FFF2-40B4-BE49-F238E27FC236}">
              <a16:creationId xmlns="" xmlns:a16="http://schemas.microsoft.com/office/drawing/2014/main" id="{00000000-0008-0000-1000-000081000000}"/>
            </a:ext>
          </a:extLst>
        </xdr:cNvPr>
        <xdr:cNvSpPr>
          <a:spLocks noChangeShapeType="1"/>
        </xdr:cNvSpPr>
      </xdr:nvSpPr>
      <xdr:spPr bwMode="auto">
        <a:xfrm>
          <a:off x="13315950" y="16983075"/>
          <a:ext cx="571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123825</xdr:colOff>
      <xdr:row>29</xdr:row>
      <xdr:rowOff>152400</xdr:rowOff>
    </xdr:from>
    <xdr:to>
      <xdr:col>8</xdr:col>
      <xdr:colOff>704850</xdr:colOff>
      <xdr:row>29</xdr:row>
      <xdr:rowOff>152400</xdr:rowOff>
    </xdr:to>
    <xdr:sp macro="" textlink="">
      <xdr:nvSpPr>
        <xdr:cNvPr id="130" name="Line 240">
          <a:extLst>
            <a:ext uri="{FF2B5EF4-FFF2-40B4-BE49-F238E27FC236}">
              <a16:creationId xmlns="" xmlns:a16="http://schemas.microsoft.com/office/drawing/2014/main" id="{00000000-0008-0000-1000-000082000000}"/>
            </a:ext>
          </a:extLst>
        </xdr:cNvPr>
        <xdr:cNvSpPr>
          <a:spLocks noChangeShapeType="1"/>
        </xdr:cNvSpPr>
      </xdr:nvSpPr>
      <xdr:spPr bwMode="auto">
        <a:xfrm>
          <a:off x="13306425" y="11706225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657225</xdr:colOff>
      <xdr:row>24</xdr:row>
      <xdr:rowOff>371475</xdr:rowOff>
    </xdr:from>
    <xdr:to>
      <xdr:col>7</xdr:col>
      <xdr:colOff>657225</xdr:colOff>
      <xdr:row>26</xdr:row>
      <xdr:rowOff>371475</xdr:rowOff>
    </xdr:to>
    <xdr:grpSp>
      <xdr:nvGrpSpPr>
        <xdr:cNvPr id="131" name="Group 289">
          <a:extLst>
            <a:ext uri="{FF2B5EF4-FFF2-40B4-BE49-F238E27FC236}">
              <a16:creationId xmlns="" xmlns:a16="http://schemas.microsoft.com/office/drawing/2014/main" id="{00000000-0008-0000-1000-000083000000}"/>
            </a:ext>
          </a:extLst>
        </xdr:cNvPr>
        <xdr:cNvGrpSpPr>
          <a:grpSpLocks/>
        </xdr:cNvGrpSpPr>
      </xdr:nvGrpSpPr>
      <xdr:grpSpPr bwMode="auto">
        <a:xfrm>
          <a:off x="1171575" y="10182225"/>
          <a:ext cx="2857500" cy="800100"/>
          <a:chOff x="2020" y="383"/>
          <a:chExt cx="656" cy="22"/>
        </a:xfrm>
      </xdr:grpSpPr>
      <xdr:sp macro="" textlink="">
        <xdr:nvSpPr>
          <xdr:cNvPr id="132" name="Line 290">
            <a:extLst>
              <a:ext uri="{FF2B5EF4-FFF2-40B4-BE49-F238E27FC236}">
                <a16:creationId xmlns="" xmlns:a16="http://schemas.microsoft.com/office/drawing/2014/main" id="{00000000-0008-0000-1000-000084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3" name="Line 291">
            <a:extLst>
              <a:ext uri="{FF2B5EF4-FFF2-40B4-BE49-F238E27FC236}">
                <a16:creationId xmlns="" xmlns:a16="http://schemas.microsoft.com/office/drawing/2014/main" id="{00000000-0008-0000-1000-0000850000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134" name="Line 292">
            <a:extLst>
              <a:ext uri="{FF2B5EF4-FFF2-40B4-BE49-F238E27FC236}">
                <a16:creationId xmlns="" xmlns:a16="http://schemas.microsoft.com/office/drawing/2014/main" id="{00000000-0008-0000-1000-0000860000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542925</xdr:colOff>
      <xdr:row>29</xdr:row>
      <xdr:rowOff>152400</xdr:rowOff>
    </xdr:from>
    <xdr:to>
      <xdr:col>8</xdr:col>
      <xdr:colOff>542925</xdr:colOff>
      <xdr:row>45</xdr:row>
      <xdr:rowOff>38100</xdr:rowOff>
    </xdr:to>
    <xdr:sp macro="" textlink="">
      <xdr:nvSpPr>
        <xdr:cNvPr id="135" name="Line 298">
          <a:extLst>
            <a:ext uri="{FF2B5EF4-FFF2-40B4-BE49-F238E27FC236}">
              <a16:creationId xmlns="" xmlns:a16="http://schemas.microsoft.com/office/drawing/2014/main" id="{00000000-0008-0000-1000-000087000000}"/>
            </a:ext>
          </a:extLst>
        </xdr:cNvPr>
        <xdr:cNvSpPr>
          <a:spLocks noChangeShapeType="1"/>
        </xdr:cNvSpPr>
      </xdr:nvSpPr>
      <xdr:spPr bwMode="auto">
        <a:xfrm>
          <a:off x="13725525" y="11706225"/>
          <a:ext cx="0" cy="5248275"/>
        </a:xfrm>
        <a:prstGeom prst="line">
          <a:avLst/>
        </a:prstGeom>
        <a:noFill/>
        <a:ln w="9525">
          <a:solidFill>
            <a:srgbClr val="000000"/>
          </a:solidFill>
          <a:round/>
          <a:headEnd type="stealth" w="med" len="lg"/>
          <a:tailEnd type="stealth" w="med" len="lg"/>
        </a:ln>
      </xdr:spPr>
    </xdr:sp>
    <xdr:clientData/>
  </xdr:twoCellAnchor>
  <xdr:twoCellAnchor>
    <xdr:from>
      <xdr:col>4</xdr:col>
      <xdr:colOff>666750</xdr:colOff>
      <xdr:row>29</xdr:row>
      <xdr:rowOff>142875</xdr:rowOff>
    </xdr:from>
    <xdr:to>
      <xdr:col>7</xdr:col>
      <xdr:colOff>666750</xdr:colOff>
      <xdr:row>30</xdr:row>
      <xdr:rowOff>171450</xdr:rowOff>
    </xdr:to>
    <xdr:sp macro="" textlink="">
      <xdr:nvSpPr>
        <xdr:cNvPr id="136" name="Rectangle 300">
          <a:extLst>
            <a:ext uri="{FF2B5EF4-FFF2-40B4-BE49-F238E27FC236}">
              <a16:creationId xmlns="" xmlns:a16="http://schemas.microsoft.com/office/drawing/2014/main" id="{00000000-0008-0000-1000-000088000000}"/>
            </a:ext>
          </a:extLst>
        </xdr:cNvPr>
        <xdr:cNvSpPr>
          <a:spLocks noChangeArrowheads="1"/>
        </xdr:cNvSpPr>
      </xdr:nvSpPr>
      <xdr:spPr bwMode="auto">
        <a:xfrm>
          <a:off x="10287000" y="11696700"/>
          <a:ext cx="2838450" cy="419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657225</xdr:colOff>
      <xdr:row>32</xdr:row>
      <xdr:rowOff>161925</xdr:rowOff>
    </xdr:from>
    <xdr:to>
      <xdr:col>7</xdr:col>
      <xdr:colOff>657225</xdr:colOff>
      <xdr:row>45</xdr:row>
      <xdr:rowOff>85725</xdr:rowOff>
    </xdr:to>
    <xdr:sp macro="" textlink="">
      <xdr:nvSpPr>
        <xdr:cNvPr id="137" name="Rectangle 302">
          <a:extLst>
            <a:ext uri="{FF2B5EF4-FFF2-40B4-BE49-F238E27FC236}">
              <a16:creationId xmlns="" xmlns:a16="http://schemas.microsoft.com/office/drawing/2014/main" id="{00000000-0008-0000-1000-000089000000}"/>
            </a:ext>
          </a:extLst>
        </xdr:cNvPr>
        <xdr:cNvSpPr>
          <a:spLocks noChangeArrowheads="1"/>
        </xdr:cNvSpPr>
      </xdr:nvSpPr>
      <xdr:spPr bwMode="auto">
        <a:xfrm>
          <a:off x="10277475" y="12954000"/>
          <a:ext cx="2838450" cy="40481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428625</xdr:colOff>
      <xdr:row>32</xdr:row>
      <xdr:rowOff>209550</xdr:rowOff>
    </xdr:from>
    <xdr:to>
      <xdr:col>4</xdr:col>
      <xdr:colOff>485775</xdr:colOff>
      <xdr:row>32</xdr:row>
      <xdr:rowOff>209550</xdr:rowOff>
    </xdr:to>
    <xdr:sp macro="" textlink="">
      <xdr:nvSpPr>
        <xdr:cNvPr id="138" name="Line 305">
          <a:extLst>
            <a:ext uri="{FF2B5EF4-FFF2-40B4-BE49-F238E27FC236}">
              <a16:creationId xmlns="" xmlns:a16="http://schemas.microsoft.com/office/drawing/2014/main" id="{00000000-0008-0000-1000-00008A000000}"/>
            </a:ext>
          </a:extLst>
        </xdr:cNvPr>
        <xdr:cNvSpPr>
          <a:spLocks noChangeShapeType="1"/>
        </xdr:cNvSpPr>
      </xdr:nvSpPr>
      <xdr:spPr bwMode="auto">
        <a:xfrm>
          <a:off x="9534525" y="13001625"/>
          <a:ext cx="571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32</xdr:row>
      <xdr:rowOff>180975</xdr:rowOff>
    </xdr:from>
    <xdr:to>
      <xdr:col>4</xdr:col>
      <xdr:colOff>9525</xdr:colOff>
      <xdr:row>45</xdr:row>
      <xdr:rowOff>38100</xdr:rowOff>
    </xdr:to>
    <xdr:sp macro="" textlink="">
      <xdr:nvSpPr>
        <xdr:cNvPr id="139" name="Line 306">
          <a:extLst>
            <a:ext uri="{FF2B5EF4-FFF2-40B4-BE49-F238E27FC236}">
              <a16:creationId xmlns="" xmlns:a16="http://schemas.microsoft.com/office/drawing/2014/main" id="{00000000-0008-0000-1000-00008B000000}"/>
            </a:ext>
          </a:extLst>
        </xdr:cNvPr>
        <xdr:cNvSpPr>
          <a:spLocks noChangeShapeType="1"/>
        </xdr:cNvSpPr>
      </xdr:nvSpPr>
      <xdr:spPr bwMode="auto">
        <a:xfrm>
          <a:off x="9629775" y="12973050"/>
          <a:ext cx="0" cy="3981450"/>
        </a:xfrm>
        <a:prstGeom prst="line">
          <a:avLst/>
        </a:prstGeom>
        <a:noFill/>
        <a:ln w="9525">
          <a:solidFill>
            <a:srgbClr val="000000"/>
          </a:solidFill>
          <a:round/>
          <a:headEnd type="stealth" w="med" len="lg"/>
          <a:tailEnd type="stealth" w="med" len="lg"/>
        </a:ln>
      </xdr:spPr>
    </xdr:sp>
    <xdr:clientData/>
  </xdr:twoCellAnchor>
  <xdr:twoCellAnchor>
    <xdr:from>
      <xdr:col>3</xdr:col>
      <xdr:colOff>428625</xdr:colOff>
      <xdr:row>45</xdr:row>
      <xdr:rowOff>57150</xdr:rowOff>
    </xdr:from>
    <xdr:to>
      <xdr:col>4</xdr:col>
      <xdr:colOff>485775</xdr:colOff>
      <xdr:row>45</xdr:row>
      <xdr:rowOff>57150</xdr:rowOff>
    </xdr:to>
    <xdr:sp macro="" textlink="">
      <xdr:nvSpPr>
        <xdr:cNvPr id="140" name="Line 307">
          <a:extLst>
            <a:ext uri="{FF2B5EF4-FFF2-40B4-BE49-F238E27FC236}">
              <a16:creationId xmlns="" xmlns:a16="http://schemas.microsoft.com/office/drawing/2014/main" id="{00000000-0008-0000-1000-00008C000000}"/>
            </a:ext>
          </a:extLst>
        </xdr:cNvPr>
        <xdr:cNvSpPr>
          <a:spLocks noChangeShapeType="1"/>
        </xdr:cNvSpPr>
      </xdr:nvSpPr>
      <xdr:spPr bwMode="auto">
        <a:xfrm>
          <a:off x="9534525" y="16973550"/>
          <a:ext cx="571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12</xdr:col>
      <xdr:colOff>476250</xdr:colOff>
      <xdr:row>5</xdr:row>
      <xdr:rowOff>190500</xdr:rowOff>
    </xdr:from>
    <xdr:to>
      <xdr:col>15</xdr:col>
      <xdr:colOff>304800</xdr:colOff>
      <xdr:row>8</xdr:row>
      <xdr:rowOff>47625</xdr:rowOff>
    </xdr:to>
    <xdr:grpSp>
      <xdr:nvGrpSpPr>
        <xdr:cNvPr id="141" name="Group 310">
          <a:extLst>
            <a:ext uri="{FF2B5EF4-FFF2-40B4-BE49-F238E27FC236}">
              <a16:creationId xmlns="" xmlns:a16="http://schemas.microsoft.com/office/drawing/2014/main" id="{00000000-0008-0000-1000-00008D000000}"/>
            </a:ext>
          </a:extLst>
        </xdr:cNvPr>
        <xdr:cNvGrpSpPr>
          <a:grpSpLocks/>
        </xdr:cNvGrpSpPr>
      </xdr:nvGrpSpPr>
      <xdr:grpSpPr bwMode="auto">
        <a:xfrm>
          <a:off x="7258050" y="2400300"/>
          <a:ext cx="2800350" cy="1057275"/>
          <a:chOff x="358" y="540"/>
          <a:chExt cx="293" cy="139"/>
        </a:xfrm>
      </xdr:grpSpPr>
      <xdr:sp macro="" textlink="">
        <xdr:nvSpPr>
          <xdr:cNvPr id="142" name="Line 311">
            <a:extLst>
              <a:ext uri="{FF2B5EF4-FFF2-40B4-BE49-F238E27FC236}">
                <a16:creationId xmlns="" xmlns:a16="http://schemas.microsoft.com/office/drawing/2014/main" id="{00000000-0008-0000-1000-00008E0000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43" name="Group 312">
            <a:extLst>
              <a:ext uri="{FF2B5EF4-FFF2-40B4-BE49-F238E27FC236}">
                <a16:creationId xmlns="" xmlns:a16="http://schemas.microsoft.com/office/drawing/2014/main" id="{00000000-0008-0000-1000-00008F0000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199" name="Line 313">
              <a:extLst>
                <a:ext uri="{FF2B5EF4-FFF2-40B4-BE49-F238E27FC236}">
                  <a16:creationId xmlns="" xmlns:a16="http://schemas.microsoft.com/office/drawing/2014/main" id="{00000000-0008-0000-1000-0000C7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0" name="Line 314">
              <a:extLst>
                <a:ext uri="{FF2B5EF4-FFF2-40B4-BE49-F238E27FC236}">
                  <a16:creationId xmlns="" xmlns:a16="http://schemas.microsoft.com/office/drawing/2014/main" id="{00000000-0008-0000-1000-0000C8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44" name="Line 315">
            <a:extLst>
              <a:ext uri="{FF2B5EF4-FFF2-40B4-BE49-F238E27FC236}">
                <a16:creationId xmlns="" xmlns:a16="http://schemas.microsoft.com/office/drawing/2014/main" id="{00000000-0008-0000-1000-000090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5" name="Line 316">
            <a:extLst>
              <a:ext uri="{FF2B5EF4-FFF2-40B4-BE49-F238E27FC236}">
                <a16:creationId xmlns="" xmlns:a16="http://schemas.microsoft.com/office/drawing/2014/main" id="{00000000-0008-0000-1000-000091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146" name="Line 317">
            <a:extLst>
              <a:ext uri="{FF2B5EF4-FFF2-40B4-BE49-F238E27FC236}">
                <a16:creationId xmlns="" xmlns:a16="http://schemas.microsoft.com/office/drawing/2014/main" id="{00000000-0008-0000-1000-000092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147" name="Line 318">
            <a:extLst>
              <a:ext uri="{FF2B5EF4-FFF2-40B4-BE49-F238E27FC236}">
                <a16:creationId xmlns="" xmlns:a16="http://schemas.microsoft.com/office/drawing/2014/main" id="{00000000-0008-0000-1000-0000930000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148" name="Line 319">
            <a:extLst>
              <a:ext uri="{FF2B5EF4-FFF2-40B4-BE49-F238E27FC236}">
                <a16:creationId xmlns="" xmlns:a16="http://schemas.microsoft.com/office/drawing/2014/main" id="{00000000-0008-0000-1000-0000940000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49" name="Group 320">
            <a:extLst>
              <a:ext uri="{FF2B5EF4-FFF2-40B4-BE49-F238E27FC236}">
                <a16:creationId xmlns="" xmlns:a16="http://schemas.microsoft.com/office/drawing/2014/main" id="{00000000-0008-0000-1000-0000950000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193" name="Line 321">
              <a:extLst>
                <a:ext uri="{FF2B5EF4-FFF2-40B4-BE49-F238E27FC236}">
                  <a16:creationId xmlns="" xmlns:a16="http://schemas.microsoft.com/office/drawing/2014/main" id="{00000000-0008-0000-1000-0000C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94" name="Group 322">
              <a:extLst>
                <a:ext uri="{FF2B5EF4-FFF2-40B4-BE49-F238E27FC236}">
                  <a16:creationId xmlns="" xmlns:a16="http://schemas.microsoft.com/office/drawing/2014/main" id="{00000000-0008-0000-1000-0000C2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195" name="Line 323">
                <a:extLst>
                  <a:ext uri="{FF2B5EF4-FFF2-40B4-BE49-F238E27FC236}">
                    <a16:creationId xmlns="" xmlns:a16="http://schemas.microsoft.com/office/drawing/2014/main" id="{00000000-0008-0000-1000-0000C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96" name="Group 324">
                <a:extLst>
                  <a:ext uri="{FF2B5EF4-FFF2-40B4-BE49-F238E27FC236}">
                    <a16:creationId xmlns="" xmlns:a16="http://schemas.microsoft.com/office/drawing/2014/main" id="{00000000-0008-0000-1000-0000C4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197" name="Line 325">
                  <a:extLst>
                    <a:ext uri="{FF2B5EF4-FFF2-40B4-BE49-F238E27FC236}">
                      <a16:creationId xmlns="" xmlns:a16="http://schemas.microsoft.com/office/drawing/2014/main" id="{00000000-0008-0000-1000-0000C5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98" name="Line 326">
                  <a:extLst>
                    <a:ext uri="{FF2B5EF4-FFF2-40B4-BE49-F238E27FC236}">
                      <a16:creationId xmlns="" xmlns:a16="http://schemas.microsoft.com/office/drawing/2014/main" id="{00000000-0008-0000-1000-0000C6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150" name="Group 327">
            <a:extLst>
              <a:ext uri="{FF2B5EF4-FFF2-40B4-BE49-F238E27FC236}">
                <a16:creationId xmlns="" xmlns:a16="http://schemas.microsoft.com/office/drawing/2014/main" id="{00000000-0008-0000-1000-0000960000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187" name="Line 328">
              <a:extLst>
                <a:ext uri="{FF2B5EF4-FFF2-40B4-BE49-F238E27FC236}">
                  <a16:creationId xmlns="" xmlns:a16="http://schemas.microsoft.com/office/drawing/2014/main" id="{00000000-0008-0000-1000-0000B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88" name="Group 329">
              <a:extLst>
                <a:ext uri="{FF2B5EF4-FFF2-40B4-BE49-F238E27FC236}">
                  <a16:creationId xmlns="" xmlns:a16="http://schemas.microsoft.com/office/drawing/2014/main" id="{00000000-0008-0000-1000-0000B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189" name="Line 330">
                <a:extLst>
                  <a:ext uri="{FF2B5EF4-FFF2-40B4-BE49-F238E27FC236}">
                    <a16:creationId xmlns="" xmlns:a16="http://schemas.microsoft.com/office/drawing/2014/main" id="{00000000-0008-0000-1000-0000B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90" name="Group 331">
                <a:extLst>
                  <a:ext uri="{FF2B5EF4-FFF2-40B4-BE49-F238E27FC236}">
                    <a16:creationId xmlns="" xmlns:a16="http://schemas.microsoft.com/office/drawing/2014/main" id="{00000000-0008-0000-1000-0000BE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191" name="Line 332">
                  <a:extLst>
                    <a:ext uri="{FF2B5EF4-FFF2-40B4-BE49-F238E27FC236}">
                      <a16:creationId xmlns="" xmlns:a16="http://schemas.microsoft.com/office/drawing/2014/main" id="{00000000-0008-0000-1000-0000BF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92" name="Line 333">
                  <a:extLst>
                    <a:ext uri="{FF2B5EF4-FFF2-40B4-BE49-F238E27FC236}">
                      <a16:creationId xmlns="" xmlns:a16="http://schemas.microsoft.com/office/drawing/2014/main" id="{00000000-0008-0000-1000-0000C0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151" name="Group 334">
            <a:extLst>
              <a:ext uri="{FF2B5EF4-FFF2-40B4-BE49-F238E27FC236}">
                <a16:creationId xmlns="" xmlns:a16="http://schemas.microsoft.com/office/drawing/2014/main" id="{00000000-0008-0000-1000-0000970000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181" name="Line 335">
              <a:extLst>
                <a:ext uri="{FF2B5EF4-FFF2-40B4-BE49-F238E27FC236}">
                  <a16:creationId xmlns="" xmlns:a16="http://schemas.microsoft.com/office/drawing/2014/main" id="{00000000-0008-0000-1000-0000B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82" name="Group 336">
              <a:extLst>
                <a:ext uri="{FF2B5EF4-FFF2-40B4-BE49-F238E27FC236}">
                  <a16:creationId xmlns="" xmlns:a16="http://schemas.microsoft.com/office/drawing/2014/main" id="{00000000-0008-0000-1000-0000B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183" name="Line 337">
                <a:extLst>
                  <a:ext uri="{FF2B5EF4-FFF2-40B4-BE49-F238E27FC236}">
                    <a16:creationId xmlns="" xmlns:a16="http://schemas.microsoft.com/office/drawing/2014/main" id="{00000000-0008-0000-10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84" name="Group 338">
                <a:extLst>
                  <a:ext uri="{FF2B5EF4-FFF2-40B4-BE49-F238E27FC236}">
                    <a16:creationId xmlns="" xmlns:a16="http://schemas.microsoft.com/office/drawing/2014/main" id="{00000000-0008-0000-1000-0000B8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185" name="Line 339">
                  <a:extLst>
                    <a:ext uri="{FF2B5EF4-FFF2-40B4-BE49-F238E27FC236}">
                      <a16:creationId xmlns="" xmlns:a16="http://schemas.microsoft.com/office/drawing/2014/main" id="{00000000-0008-0000-1000-0000B9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86" name="Line 340">
                  <a:extLst>
                    <a:ext uri="{FF2B5EF4-FFF2-40B4-BE49-F238E27FC236}">
                      <a16:creationId xmlns="" xmlns:a16="http://schemas.microsoft.com/office/drawing/2014/main" id="{00000000-0008-0000-1000-0000BA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152" name="Group 341">
            <a:extLst>
              <a:ext uri="{FF2B5EF4-FFF2-40B4-BE49-F238E27FC236}">
                <a16:creationId xmlns="" xmlns:a16="http://schemas.microsoft.com/office/drawing/2014/main" id="{00000000-0008-0000-1000-0000980000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175" name="Line 342">
              <a:extLst>
                <a:ext uri="{FF2B5EF4-FFF2-40B4-BE49-F238E27FC236}">
                  <a16:creationId xmlns="" xmlns:a16="http://schemas.microsoft.com/office/drawing/2014/main" id="{00000000-0008-0000-1000-0000A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76" name="Group 343">
              <a:extLst>
                <a:ext uri="{FF2B5EF4-FFF2-40B4-BE49-F238E27FC236}">
                  <a16:creationId xmlns="" xmlns:a16="http://schemas.microsoft.com/office/drawing/2014/main" id="{00000000-0008-0000-1000-0000B0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177" name="Line 344">
                <a:extLst>
                  <a:ext uri="{FF2B5EF4-FFF2-40B4-BE49-F238E27FC236}">
                    <a16:creationId xmlns="" xmlns:a16="http://schemas.microsoft.com/office/drawing/2014/main" id="{00000000-0008-0000-10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78" name="Group 345">
                <a:extLst>
                  <a:ext uri="{FF2B5EF4-FFF2-40B4-BE49-F238E27FC236}">
                    <a16:creationId xmlns="" xmlns:a16="http://schemas.microsoft.com/office/drawing/2014/main" id="{00000000-0008-0000-1000-0000B2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179" name="Line 346">
                  <a:extLst>
                    <a:ext uri="{FF2B5EF4-FFF2-40B4-BE49-F238E27FC236}">
                      <a16:creationId xmlns="" xmlns:a16="http://schemas.microsoft.com/office/drawing/2014/main" id="{00000000-0008-0000-1000-0000B3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80" name="Line 347">
                  <a:extLst>
                    <a:ext uri="{FF2B5EF4-FFF2-40B4-BE49-F238E27FC236}">
                      <a16:creationId xmlns="" xmlns:a16="http://schemas.microsoft.com/office/drawing/2014/main" id="{00000000-0008-0000-1000-0000B4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153" name="Group 348">
            <a:extLst>
              <a:ext uri="{FF2B5EF4-FFF2-40B4-BE49-F238E27FC236}">
                <a16:creationId xmlns="" xmlns:a16="http://schemas.microsoft.com/office/drawing/2014/main" id="{00000000-0008-0000-1000-0000990000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169" name="Line 349">
              <a:extLst>
                <a:ext uri="{FF2B5EF4-FFF2-40B4-BE49-F238E27FC236}">
                  <a16:creationId xmlns="" xmlns:a16="http://schemas.microsoft.com/office/drawing/2014/main" id="{00000000-0008-0000-1000-0000A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70" name="Group 350">
              <a:extLst>
                <a:ext uri="{FF2B5EF4-FFF2-40B4-BE49-F238E27FC236}">
                  <a16:creationId xmlns="" xmlns:a16="http://schemas.microsoft.com/office/drawing/2014/main" id="{00000000-0008-0000-10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171" name="Line 351">
                <a:extLst>
                  <a:ext uri="{FF2B5EF4-FFF2-40B4-BE49-F238E27FC236}">
                    <a16:creationId xmlns="" xmlns:a16="http://schemas.microsoft.com/office/drawing/2014/main" id="{00000000-0008-0000-1000-0000A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72" name="Group 352">
                <a:extLst>
                  <a:ext uri="{FF2B5EF4-FFF2-40B4-BE49-F238E27FC236}">
                    <a16:creationId xmlns="" xmlns:a16="http://schemas.microsoft.com/office/drawing/2014/main" id="{00000000-0008-0000-1000-0000AC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173" name="Line 353">
                  <a:extLst>
                    <a:ext uri="{FF2B5EF4-FFF2-40B4-BE49-F238E27FC236}">
                      <a16:creationId xmlns="" xmlns:a16="http://schemas.microsoft.com/office/drawing/2014/main" id="{00000000-0008-0000-1000-0000AD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74" name="Line 354">
                  <a:extLst>
                    <a:ext uri="{FF2B5EF4-FFF2-40B4-BE49-F238E27FC236}">
                      <a16:creationId xmlns="" xmlns:a16="http://schemas.microsoft.com/office/drawing/2014/main" id="{00000000-0008-0000-1000-0000AE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154" name="Group 355">
            <a:extLst>
              <a:ext uri="{FF2B5EF4-FFF2-40B4-BE49-F238E27FC236}">
                <a16:creationId xmlns="" xmlns:a16="http://schemas.microsoft.com/office/drawing/2014/main" id="{00000000-0008-0000-1000-00009A0000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163" name="Line 356">
              <a:extLst>
                <a:ext uri="{FF2B5EF4-FFF2-40B4-BE49-F238E27FC236}">
                  <a16:creationId xmlns="" xmlns:a16="http://schemas.microsoft.com/office/drawing/2014/main" id="{00000000-0008-0000-1000-0000A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4" name="Group 357">
              <a:extLst>
                <a:ext uri="{FF2B5EF4-FFF2-40B4-BE49-F238E27FC236}">
                  <a16:creationId xmlns="" xmlns:a16="http://schemas.microsoft.com/office/drawing/2014/main" id="{00000000-0008-0000-1000-0000A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165" name="Line 358">
                <a:extLst>
                  <a:ext uri="{FF2B5EF4-FFF2-40B4-BE49-F238E27FC236}">
                    <a16:creationId xmlns="" xmlns:a16="http://schemas.microsoft.com/office/drawing/2014/main" id="{00000000-0008-0000-1000-0000A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66" name="Group 359">
                <a:extLst>
                  <a:ext uri="{FF2B5EF4-FFF2-40B4-BE49-F238E27FC236}">
                    <a16:creationId xmlns="" xmlns:a16="http://schemas.microsoft.com/office/drawing/2014/main" id="{00000000-0008-0000-1000-0000A6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167" name="Line 360">
                  <a:extLst>
                    <a:ext uri="{FF2B5EF4-FFF2-40B4-BE49-F238E27FC236}">
                      <a16:creationId xmlns="" xmlns:a16="http://schemas.microsoft.com/office/drawing/2014/main" id="{00000000-0008-0000-1000-0000A7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68" name="Line 361">
                  <a:extLst>
                    <a:ext uri="{FF2B5EF4-FFF2-40B4-BE49-F238E27FC236}">
                      <a16:creationId xmlns="" xmlns:a16="http://schemas.microsoft.com/office/drawing/2014/main" id="{00000000-0008-0000-1000-0000A8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155" name="Group 362">
            <a:extLst>
              <a:ext uri="{FF2B5EF4-FFF2-40B4-BE49-F238E27FC236}">
                <a16:creationId xmlns="" xmlns:a16="http://schemas.microsoft.com/office/drawing/2014/main" id="{00000000-0008-0000-1000-00009B0000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157" name="Line 363">
              <a:extLst>
                <a:ext uri="{FF2B5EF4-FFF2-40B4-BE49-F238E27FC236}">
                  <a16:creationId xmlns="" xmlns:a16="http://schemas.microsoft.com/office/drawing/2014/main" id="{00000000-0008-0000-1000-00009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58" name="Group 364">
              <a:extLst>
                <a:ext uri="{FF2B5EF4-FFF2-40B4-BE49-F238E27FC236}">
                  <a16:creationId xmlns="" xmlns:a16="http://schemas.microsoft.com/office/drawing/2014/main" id="{00000000-0008-0000-1000-00009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159" name="Line 365">
                <a:extLst>
                  <a:ext uri="{FF2B5EF4-FFF2-40B4-BE49-F238E27FC236}">
                    <a16:creationId xmlns="" xmlns:a16="http://schemas.microsoft.com/office/drawing/2014/main" id="{00000000-0008-0000-1000-00009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60" name="Group 366">
                <a:extLst>
                  <a:ext uri="{FF2B5EF4-FFF2-40B4-BE49-F238E27FC236}">
                    <a16:creationId xmlns="" xmlns:a16="http://schemas.microsoft.com/office/drawing/2014/main" id="{00000000-0008-0000-1000-0000A0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161" name="Line 367">
                  <a:extLst>
                    <a:ext uri="{FF2B5EF4-FFF2-40B4-BE49-F238E27FC236}">
                      <a16:creationId xmlns="" xmlns:a16="http://schemas.microsoft.com/office/drawing/2014/main" id="{00000000-0008-0000-1000-0000A1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62" name="Line 368">
                  <a:extLst>
                    <a:ext uri="{FF2B5EF4-FFF2-40B4-BE49-F238E27FC236}">
                      <a16:creationId xmlns="" xmlns:a16="http://schemas.microsoft.com/office/drawing/2014/main" id="{00000000-0008-0000-1000-0000A2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156" name="Line 369">
            <a:extLst>
              <a:ext uri="{FF2B5EF4-FFF2-40B4-BE49-F238E27FC236}">
                <a16:creationId xmlns="" xmlns:a16="http://schemas.microsoft.com/office/drawing/2014/main" id="{00000000-0008-0000-10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18</xdr:col>
      <xdr:colOff>561976</xdr:colOff>
      <xdr:row>17</xdr:row>
      <xdr:rowOff>295276</xdr:rowOff>
    </xdr:from>
    <xdr:to>
      <xdr:col>24</xdr:col>
      <xdr:colOff>438151</xdr:colOff>
      <xdr:row>18</xdr:row>
      <xdr:rowOff>38101</xdr:rowOff>
    </xdr:to>
    <xdr:grpSp>
      <xdr:nvGrpSpPr>
        <xdr:cNvPr id="201" name="Group 270">
          <a:extLst>
            <a:ext uri="{FF2B5EF4-FFF2-40B4-BE49-F238E27FC236}">
              <a16:creationId xmlns="" xmlns:a16="http://schemas.microsoft.com/office/drawing/2014/main" id="{00000000-0008-0000-1000-0000C9000000}"/>
            </a:ext>
          </a:extLst>
        </xdr:cNvPr>
        <xdr:cNvGrpSpPr>
          <a:grpSpLocks/>
        </xdr:cNvGrpSpPr>
      </xdr:nvGrpSpPr>
      <xdr:grpSpPr bwMode="auto">
        <a:xfrm>
          <a:off x="14411326" y="7305676"/>
          <a:ext cx="5457825" cy="142875"/>
          <a:chOff x="2020" y="383"/>
          <a:chExt cx="656" cy="22"/>
        </a:xfrm>
      </xdr:grpSpPr>
      <xdr:sp macro="" textlink="">
        <xdr:nvSpPr>
          <xdr:cNvPr id="202" name="Line 271">
            <a:extLst>
              <a:ext uri="{FF2B5EF4-FFF2-40B4-BE49-F238E27FC236}">
                <a16:creationId xmlns="" xmlns:a16="http://schemas.microsoft.com/office/drawing/2014/main" id="{00000000-0008-0000-1000-0000C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3" name="Line 272">
            <a:extLst>
              <a:ext uri="{FF2B5EF4-FFF2-40B4-BE49-F238E27FC236}">
                <a16:creationId xmlns="" xmlns:a16="http://schemas.microsoft.com/office/drawing/2014/main" id="{00000000-0008-0000-1000-0000CB0000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204" name="Line 273">
            <a:extLst>
              <a:ext uri="{FF2B5EF4-FFF2-40B4-BE49-F238E27FC236}">
                <a16:creationId xmlns="" xmlns:a16="http://schemas.microsoft.com/office/drawing/2014/main" id="{00000000-0008-0000-1000-0000CC0000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18</xdr:col>
      <xdr:colOff>538163</xdr:colOff>
      <xdr:row>18</xdr:row>
      <xdr:rowOff>195263</xdr:rowOff>
    </xdr:from>
    <xdr:to>
      <xdr:col>24</xdr:col>
      <xdr:colOff>414338</xdr:colOff>
      <xdr:row>19</xdr:row>
      <xdr:rowOff>157163</xdr:rowOff>
    </xdr:to>
    <xdr:sp macro="" textlink="">
      <xdr:nvSpPr>
        <xdr:cNvPr id="205" name="Rectangle 274">
          <a:extLst>
            <a:ext uri="{FF2B5EF4-FFF2-40B4-BE49-F238E27FC236}">
              <a16:creationId xmlns="" xmlns:a16="http://schemas.microsoft.com/office/drawing/2014/main" id="{00000000-0008-0000-1000-0000CD000000}"/>
            </a:ext>
          </a:extLst>
        </xdr:cNvPr>
        <xdr:cNvSpPr>
          <a:spLocks noChangeArrowheads="1"/>
        </xdr:cNvSpPr>
      </xdr:nvSpPr>
      <xdr:spPr bwMode="auto">
        <a:xfrm>
          <a:off x="23436263" y="7453313"/>
          <a:ext cx="542925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523876</xdr:colOff>
      <xdr:row>24</xdr:row>
      <xdr:rowOff>352427</xdr:rowOff>
    </xdr:from>
    <xdr:to>
      <xdr:col>30</xdr:col>
      <xdr:colOff>733426</xdr:colOff>
      <xdr:row>25</xdr:row>
      <xdr:rowOff>95252</xdr:rowOff>
    </xdr:to>
    <xdr:grpSp>
      <xdr:nvGrpSpPr>
        <xdr:cNvPr id="206" name="Group 270">
          <a:extLst>
            <a:ext uri="{FF2B5EF4-FFF2-40B4-BE49-F238E27FC236}">
              <a16:creationId xmlns="" xmlns:a16="http://schemas.microsoft.com/office/drawing/2014/main" id="{00000000-0008-0000-1000-0000CE000000}"/>
            </a:ext>
          </a:extLst>
        </xdr:cNvPr>
        <xdr:cNvGrpSpPr>
          <a:grpSpLocks/>
        </xdr:cNvGrpSpPr>
      </xdr:nvGrpSpPr>
      <xdr:grpSpPr bwMode="auto">
        <a:xfrm>
          <a:off x="21840826" y="10163177"/>
          <a:ext cx="5486400" cy="142875"/>
          <a:chOff x="2020" y="383"/>
          <a:chExt cx="656" cy="22"/>
        </a:xfrm>
      </xdr:grpSpPr>
      <xdr:sp macro="" textlink="">
        <xdr:nvSpPr>
          <xdr:cNvPr id="207" name="Line 271">
            <a:extLst>
              <a:ext uri="{FF2B5EF4-FFF2-40B4-BE49-F238E27FC236}">
                <a16:creationId xmlns="" xmlns:a16="http://schemas.microsoft.com/office/drawing/2014/main" id="{00000000-0008-0000-1000-0000CF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8" name="Line 272">
            <a:extLst>
              <a:ext uri="{FF2B5EF4-FFF2-40B4-BE49-F238E27FC236}">
                <a16:creationId xmlns="" xmlns:a16="http://schemas.microsoft.com/office/drawing/2014/main" id="{00000000-0008-0000-1000-0000D00000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209" name="Line 273">
            <a:extLst>
              <a:ext uri="{FF2B5EF4-FFF2-40B4-BE49-F238E27FC236}">
                <a16:creationId xmlns="" xmlns:a16="http://schemas.microsoft.com/office/drawing/2014/main" id="{00000000-0008-0000-1000-0000D10000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26</xdr:col>
      <xdr:colOff>500063</xdr:colOff>
      <xdr:row>25</xdr:row>
      <xdr:rowOff>252414</xdr:rowOff>
    </xdr:from>
    <xdr:to>
      <xdr:col>30</xdr:col>
      <xdr:colOff>709613</xdr:colOff>
      <xdr:row>26</xdr:row>
      <xdr:rowOff>214314</xdr:rowOff>
    </xdr:to>
    <xdr:sp macro="" textlink="">
      <xdr:nvSpPr>
        <xdr:cNvPr id="210" name="Rectangle 274">
          <a:extLst>
            <a:ext uri="{FF2B5EF4-FFF2-40B4-BE49-F238E27FC236}">
              <a16:creationId xmlns="" xmlns:a16="http://schemas.microsoft.com/office/drawing/2014/main" id="{00000000-0008-0000-1000-0000D2000000}"/>
            </a:ext>
          </a:extLst>
        </xdr:cNvPr>
        <xdr:cNvSpPr>
          <a:spLocks noChangeArrowheads="1"/>
        </xdr:cNvSpPr>
      </xdr:nvSpPr>
      <xdr:spPr bwMode="auto">
        <a:xfrm>
          <a:off x="30818138" y="10244139"/>
          <a:ext cx="5467350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414338</xdr:colOff>
      <xdr:row>9</xdr:row>
      <xdr:rowOff>100014</xdr:rowOff>
    </xdr:from>
    <xdr:to>
      <xdr:col>30</xdr:col>
      <xdr:colOff>623888</xdr:colOff>
      <xdr:row>9</xdr:row>
      <xdr:rowOff>223839</xdr:rowOff>
    </xdr:to>
    <xdr:grpSp>
      <xdr:nvGrpSpPr>
        <xdr:cNvPr id="211" name="Group 270">
          <a:extLst>
            <a:ext uri="{FF2B5EF4-FFF2-40B4-BE49-F238E27FC236}">
              <a16:creationId xmlns="" xmlns:a16="http://schemas.microsoft.com/office/drawing/2014/main" id="{00000000-0008-0000-1000-0000D3000000}"/>
            </a:ext>
          </a:extLst>
        </xdr:cNvPr>
        <xdr:cNvGrpSpPr>
          <a:grpSpLocks/>
        </xdr:cNvGrpSpPr>
      </xdr:nvGrpSpPr>
      <xdr:grpSpPr bwMode="auto">
        <a:xfrm>
          <a:off x="21731288" y="3910014"/>
          <a:ext cx="5486400" cy="123825"/>
          <a:chOff x="2020" y="383"/>
          <a:chExt cx="656" cy="22"/>
        </a:xfrm>
      </xdr:grpSpPr>
      <xdr:sp macro="" textlink="">
        <xdr:nvSpPr>
          <xdr:cNvPr id="212" name="Line 271">
            <a:extLst>
              <a:ext uri="{FF2B5EF4-FFF2-40B4-BE49-F238E27FC236}">
                <a16:creationId xmlns="" xmlns:a16="http://schemas.microsoft.com/office/drawing/2014/main" id="{00000000-0008-0000-1000-0000D4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20" y="383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3" name="Line 272">
            <a:extLst>
              <a:ext uri="{FF2B5EF4-FFF2-40B4-BE49-F238E27FC236}">
                <a16:creationId xmlns="" xmlns:a16="http://schemas.microsoft.com/office/drawing/2014/main" id="{00000000-0008-0000-1000-0000D5000000}"/>
              </a:ext>
            </a:extLst>
          </xdr:cNvPr>
          <xdr:cNvSpPr>
            <a:spLocks noChangeShapeType="1"/>
          </xdr:cNvSpPr>
        </xdr:nvSpPr>
        <xdr:spPr bwMode="auto">
          <a:xfrm>
            <a:off x="2020" y="393"/>
            <a:ext cx="65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stealth" w="med" len="lg"/>
            <a:tailEnd type="stealth" w="med" len="lg"/>
          </a:ln>
        </xdr:spPr>
      </xdr:sp>
      <xdr:sp macro="" textlink="">
        <xdr:nvSpPr>
          <xdr:cNvPr id="214" name="Line 273">
            <a:extLst>
              <a:ext uri="{FF2B5EF4-FFF2-40B4-BE49-F238E27FC236}">
                <a16:creationId xmlns="" xmlns:a16="http://schemas.microsoft.com/office/drawing/2014/main" id="{00000000-0008-0000-1000-0000D6000000}"/>
              </a:ext>
            </a:extLst>
          </xdr:cNvPr>
          <xdr:cNvSpPr>
            <a:spLocks noChangeShapeType="1"/>
          </xdr:cNvSpPr>
        </xdr:nvSpPr>
        <xdr:spPr bwMode="auto">
          <a:xfrm>
            <a:off x="2676" y="386"/>
            <a:ext cx="0" cy="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26</xdr:col>
      <xdr:colOff>390525</xdr:colOff>
      <xdr:row>10</xdr:row>
      <xdr:rowOff>1</xdr:rowOff>
    </xdr:from>
    <xdr:to>
      <xdr:col>30</xdr:col>
      <xdr:colOff>600075</xdr:colOff>
      <xdr:row>10</xdr:row>
      <xdr:rowOff>342901</xdr:rowOff>
    </xdr:to>
    <xdr:sp macro="" textlink="">
      <xdr:nvSpPr>
        <xdr:cNvPr id="215" name="Rectangle 274">
          <a:extLst>
            <a:ext uri="{FF2B5EF4-FFF2-40B4-BE49-F238E27FC236}">
              <a16:creationId xmlns="" xmlns:a16="http://schemas.microsoft.com/office/drawing/2014/main" id="{00000000-0008-0000-1000-0000D7000000}"/>
            </a:ext>
          </a:extLst>
        </xdr:cNvPr>
        <xdr:cNvSpPr>
          <a:spLocks noChangeArrowheads="1"/>
        </xdr:cNvSpPr>
      </xdr:nvSpPr>
      <xdr:spPr bwMode="auto">
        <a:xfrm>
          <a:off x="30708600" y="4133851"/>
          <a:ext cx="5467350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990600</xdr:colOff>
      <xdr:row>11</xdr:row>
      <xdr:rowOff>376237</xdr:rowOff>
    </xdr:from>
    <xdr:to>
      <xdr:col>16</xdr:col>
      <xdr:colOff>990600</xdr:colOff>
      <xdr:row>21</xdr:row>
      <xdr:rowOff>0</xdr:rowOff>
    </xdr:to>
    <xdr:sp macro="" textlink="">
      <xdr:nvSpPr>
        <xdr:cNvPr id="216" name="Line 67">
          <a:extLst>
            <a:ext uri="{FF2B5EF4-FFF2-40B4-BE49-F238E27FC236}">
              <a16:creationId xmlns="" xmlns:a16="http://schemas.microsoft.com/office/drawing/2014/main" id="{00000000-0008-0000-1000-0000D8000000}"/>
            </a:ext>
          </a:extLst>
        </xdr:cNvPr>
        <xdr:cNvSpPr>
          <a:spLocks noChangeShapeType="1"/>
        </xdr:cNvSpPr>
      </xdr:nvSpPr>
      <xdr:spPr bwMode="auto">
        <a:xfrm>
          <a:off x="21269325" y="4900612"/>
          <a:ext cx="0" cy="352901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85725</xdr:colOff>
      <xdr:row>21</xdr:row>
      <xdr:rowOff>376238</xdr:rowOff>
    </xdr:from>
    <xdr:to>
      <xdr:col>17</xdr:col>
      <xdr:colOff>214312</xdr:colOff>
      <xdr:row>21</xdr:row>
      <xdr:rowOff>376238</xdr:rowOff>
    </xdr:to>
    <xdr:sp macro="" textlink="">
      <xdr:nvSpPr>
        <xdr:cNvPr id="217" name="Line 65">
          <a:extLst>
            <a:ext uri="{FF2B5EF4-FFF2-40B4-BE49-F238E27FC236}">
              <a16:creationId xmlns="" xmlns:a16="http://schemas.microsoft.com/office/drawing/2014/main" id="{00000000-0008-0000-1000-0000D9000000}"/>
            </a:ext>
          </a:extLst>
        </xdr:cNvPr>
        <xdr:cNvSpPr>
          <a:spLocks noChangeShapeType="1"/>
        </xdr:cNvSpPr>
      </xdr:nvSpPr>
      <xdr:spPr bwMode="auto">
        <a:xfrm flipV="1">
          <a:off x="15230475" y="8805863"/>
          <a:ext cx="699611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514350</xdr:colOff>
      <xdr:row>46</xdr:row>
      <xdr:rowOff>266700</xdr:rowOff>
    </xdr:from>
    <xdr:to>
      <xdr:col>13</xdr:col>
      <xdr:colOff>876300</xdr:colOff>
      <xdr:row>47</xdr:row>
      <xdr:rowOff>133350</xdr:rowOff>
    </xdr:to>
    <xdr:cxnSp macro="">
      <xdr:nvCxnSpPr>
        <xdr:cNvPr id="218" name="Connettore 2 217">
          <a:extLst>
            <a:ext uri="{FF2B5EF4-FFF2-40B4-BE49-F238E27FC236}">
              <a16:creationId xmlns="" xmlns:a16="http://schemas.microsoft.com/office/drawing/2014/main" id="{00000000-0008-0000-1000-0000DA000000}"/>
            </a:ext>
          </a:extLst>
        </xdr:cNvPr>
        <xdr:cNvCxnSpPr/>
      </xdr:nvCxnSpPr>
      <xdr:spPr bwMode="auto">
        <a:xfrm flipV="1">
          <a:off x="16373475" y="17411700"/>
          <a:ext cx="1257300" cy="200025"/>
        </a:xfrm>
        <a:prstGeom prst="straightConnector1">
          <a:avLst/>
        </a:prstGeom>
        <a:ln w="57150">
          <a:headEnd type="none" w="med" len="med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266700</xdr:colOff>
      <xdr:row>38</xdr:row>
      <xdr:rowOff>38100</xdr:rowOff>
    </xdr:from>
    <xdr:to>
      <xdr:col>12</xdr:col>
      <xdr:colOff>352425</xdr:colOff>
      <xdr:row>39</xdr:row>
      <xdr:rowOff>161925</xdr:rowOff>
    </xdr:to>
    <xdr:sp macro="" textlink="">
      <xdr:nvSpPr>
        <xdr:cNvPr id="219" name="Text Box 150">
          <a:extLst>
            <a:ext uri="{FF2B5EF4-FFF2-40B4-BE49-F238E27FC236}">
              <a16:creationId xmlns="" xmlns:a16="http://schemas.microsoft.com/office/drawing/2014/main" id="{00000000-0008-0000-1000-0000DB000000}"/>
            </a:ext>
          </a:extLst>
        </xdr:cNvPr>
        <xdr:cNvSpPr txBox="1">
          <a:spLocks noChangeArrowheads="1"/>
        </xdr:cNvSpPr>
      </xdr:nvSpPr>
      <xdr:spPr bwMode="auto">
        <a:xfrm>
          <a:off x="15411450" y="14668500"/>
          <a:ext cx="800100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85725</xdr:rowOff>
    </xdr:from>
    <xdr:to>
      <xdr:col>0</xdr:col>
      <xdr:colOff>0</xdr:colOff>
      <xdr:row>31</xdr:row>
      <xdr:rowOff>142875</xdr:rowOff>
    </xdr:to>
    <xdr:sp macro="" textlink="">
      <xdr:nvSpPr>
        <xdr:cNvPr id="4388944" name="Line 1">
          <a:extLst>
            <a:ext uri="{FF2B5EF4-FFF2-40B4-BE49-F238E27FC236}">
              <a16:creationId xmlns="" xmlns:a16="http://schemas.microsoft.com/office/drawing/2014/main" id="{00000000-0008-0000-1100-000050F84200}"/>
            </a:ext>
          </a:extLst>
        </xdr:cNvPr>
        <xdr:cNvSpPr>
          <a:spLocks noChangeShapeType="1"/>
        </xdr:cNvSpPr>
      </xdr:nvSpPr>
      <xdr:spPr bwMode="auto">
        <a:xfrm flipV="1">
          <a:off x="0" y="9286875"/>
          <a:ext cx="0" cy="1057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28</xdr:row>
      <xdr:rowOff>66675</xdr:rowOff>
    </xdr:from>
    <xdr:to>
      <xdr:col>0</xdr:col>
      <xdr:colOff>0</xdr:colOff>
      <xdr:row>31</xdr:row>
      <xdr:rowOff>133350</xdr:rowOff>
    </xdr:to>
    <xdr:sp macro="" textlink="">
      <xdr:nvSpPr>
        <xdr:cNvPr id="4388945" name="Line 2">
          <a:extLst>
            <a:ext uri="{FF2B5EF4-FFF2-40B4-BE49-F238E27FC236}">
              <a16:creationId xmlns="" xmlns:a16="http://schemas.microsoft.com/office/drawing/2014/main" id="{00000000-0008-0000-1100-000051F84200}"/>
            </a:ext>
          </a:extLst>
        </xdr:cNvPr>
        <xdr:cNvSpPr>
          <a:spLocks noChangeShapeType="1"/>
        </xdr:cNvSpPr>
      </xdr:nvSpPr>
      <xdr:spPr bwMode="auto">
        <a:xfrm flipV="1">
          <a:off x="0" y="9267825"/>
          <a:ext cx="0" cy="1066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0</xdr:colOff>
      <xdr:row>29</xdr:row>
      <xdr:rowOff>0</xdr:rowOff>
    </xdr:to>
    <xdr:sp macro="" textlink="">
      <xdr:nvSpPr>
        <xdr:cNvPr id="4388946" name="Line 3">
          <a:extLst>
            <a:ext uri="{FF2B5EF4-FFF2-40B4-BE49-F238E27FC236}">
              <a16:creationId xmlns="" xmlns:a16="http://schemas.microsoft.com/office/drawing/2014/main" id="{00000000-0008-0000-1100-000052F84200}"/>
            </a:ext>
          </a:extLst>
        </xdr:cNvPr>
        <xdr:cNvSpPr>
          <a:spLocks noChangeShapeType="1"/>
        </xdr:cNvSpPr>
      </xdr:nvSpPr>
      <xdr:spPr bwMode="auto">
        <a:xfrm>
          <a:off x="0" y="95345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37</xdr:row>
      <xdr:rowOff>0</xdr:rowOff>
    </xdr:from>
    <xdr:to>
      <xdr:col>0</xdr:col>
      <xdr:colOff>0</xdr:colOff>
      <xdr:row>37</xdr:row>
      <xdr:rowOff>0</xdr:rowOff>
    </xdr:to>
    <xdr:sp macro="" textlink="">
      <xdr:nvSpPr>
        <xdr:cNvPr id="4388947" name="Line 4">
          <a:extLst>
            <a:ext uri="{FF2B5EF4-FFF2-40B4-BE49-F238E27FC236}">
              <a16:creationId xmlns="" xmlns:a16="http://schemas.microsoft.com/office/drawing/2014/main" id="{00000000-0008-0000-1100-000053F84200}"/>
            </a:ext>
          </a:extLst>
        </xdr:cNvPr>
        <xdr:cNvSpPr>
          <a:spLocks noChangeShapeType="1"/>
        </xdr:cNvSpPr>
      </xdr:nvSpPr>
      <xdr:spPr bwMode="auto">
        <a:xfrm>
          <a:off x="0" y="123729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37</xdr:row>
      <xdr:rowOff>0</xdr:rowOff>
    </xdr:from>
    <xdr:to>
      <xdr:col>0</xdr:col>
      <xdr:colOff>0</xdr:colOff>
      <xdr:row>42</xdr:row>
      <xdr:rowOff>114300</xdr:rowOff>
    </xdr:to>
    <xdr:sp macro="" textlink="">
      <xdr:nvSpPr>
        <xdr:cNvPr id="4388948" name="Line 5">
          <a:extLst>
            <a:ext uri="{FF2B5EF4-FFF2-40B4-BE49-F238E27FC236}">
              <a16:creationId xmlns="" xmlns:a16="http://schemas.microsoft.com/office/drawing/2014/main" id="{00000000-0008-0000-1100-000054F84200}"/>
            </a:ext>
          </a:extLst>
        </xdr:cNvPr>
        <xdr:cNvSpPr>
          <a:spLocks noChangeShapeType="1"/>
        </xdr:cNvSpPr>
      </xdr:nvSpPr>
      <xdr:spPr bwMode="auto">
        <a:xfrm>
          <a:off x="0" y="12372975"/>
          <a:ext cx="0" cy="1962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44</xdr:row>
      <xdr:rowOff>0</xdr:rowOff>
    </xdr:from>
    <xdr:to>
      <xdr:col>0</xdr:col>
      <xdr:colOff>0</xdr:colOff>
      <xdr:row>47</xdr:row>
      <xdr:rowOff>0</xdr:rowOff>
    </xdr:to>
    <xdr:sp macro="" textlink="">
      <xdr:nvSpPr>
        <xdr:cNvPr id="4388949" name="Line 6">
          <a:extLst>
            <a:ext uri="{FF2B5EF4-FFF2-40B4-BE49-F238E27FC236}">
              <a16:creationId xmlns="" xmlns:a16="http://schemas.microsoft.com/office/drawing/2014/main" id="{00000000-0008-0000-1100-000055F84200}"/>
            </a:ext>
          </a:extLst>
        </xdr:cNvPr>
        <xdr:cNvSpPr>
          <a:spLocks noChangeShapeType="1"/>
        </xdr:cNvSpPr>
      </xdr:nvSpPr>
      <xdr:spPr bwMode="auto">
        <a:xfrm>
          <a:off x="0" y="14887575"/>
          <a:ext cx="0" cy="1038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47</xdr:row>
      <xdr:rowOff>0</xdr:rowOff>
    </xdr:from>
    <xdr:to>
      <xdr:col>0</xdr:col>
      <xdr:colOff>0</xdr:colOff>
      <xdr:row>47</xdr:row>
      <xdr:rowOff>0</xdr:rowOff>
    </xdr:to>
    <xdr:sp macro="" textlink="">
      <xdr:nvSpPr>
        <xdr:cNvPr id="4388950" name="Line 7">
          <a:extLst>
            <a:ext uri="{FF2B5EF4-FFF2-40B4-BE49-F238E27FC236}">
              <a16:creationId xmlns="" xmlns:a16="http://schemas.microsoft.com/office/drawing/2014/main" id="{00000000-0008-0000-1100-000056F84200}"/>
            </a:ext>
          </a:extLst>
        </xdr:cNvPr>
        <xdr:cNvSpPr>
          <a:spLocks noChangeShapeType="1"/>
        </xdr:cNvSpPr>
      </xdr:nvSpPr>
      <xdr:spPr bwMode="auto">
        <a:xfrm>
          <a:off x="0" y="159258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0</xdr:rowOff>
    </xdr:to>
    <xdr:sp macro="" textlink="">
      <xdr:nvSpPr>
        <xdr:cNvPr id="4388951" name="Line 8">
          <a:extLst>
            <a:ext uri="{FF2B5EF4-FFF2-40B4-BE49-F238E27FC236}">
              <a16:creationId xmlns="" xmlns:a16="http://schemas.microsoft.com/office/drawing/2014/main" id="{00000000-0008-0000-1100-000057F84200}"/>
            </a:ext>
          </a:extLst>
        </xdr:cNvPr>
        <xdr:cNvSpPr>
          <a:spLocks noChangeShapeType="1"/>
        </xdr:cNvSpPr>
      </xdr:nvSpPr>
      <xdr:spPr bwMode="auto">
        <a:xfrm>
          <a:off x="0" y="6172200"/>
          <a:ext cx="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0</xdr:rowOff>
    </xdr:to>
    <xdr:sp macro="" textlink="">
      <xdr:nvSpPr>
        <xdr:cNvPr id="4388952" name="Line 9">
          <a:extLst>
            <a:ext uri="{FF2B5EF4-FFF2-40B4-BE49-F238E27FC236}">
              <a16:creationId xmlns="" xmlns:a16="http://schemas.microsoft.com/office/drawing/2014/main" id="{00000000-0008-0000-1100-000058F84200}"/>
            </a:ext>
          </a:extLst>
        </xdr:cNvPr>
        <xdr:cNvSpPr>
          <a:spLocks noChangeShapeType="1"/>
        </xdr:cNvSpPr>
      </xdr:nvSpPr>
      <xdr:spPr bwMode="auto">
        <a:xfrm flipV="1">
          <a:off x="0" y="6172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0</xdr:rowOff>
    </xdr:to>
    <xdr:sp macro="" textlink="">
      <xdr:nvSpPr>
        <xdr:cNvPr id="4388953" name="Line 10">
          <a:extLst>
            <a:ext uri="{FF2B5EF4-FFF2-40B4-BE49-F238E27FC236}">
              <a16:creationId xmlns="" xmlns:a16="http://schemas.microsoft.com/office/drawing/2014/main" id="{00000000-0008-0000-1100-000059F84200}"/>
            </a:ext>
          </a:extLst>
        </xdr:cNvPr>
        <xdr:cNvSpPr>
          <a:spLocks noChangeShapeType="1"/>
        </xdr:cNvSpPr>
      </xdr:nvSpPr>
      <xdr:spPr bwMode="auto">
        <a:xfrm>
          <a:off x="0" y="6172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0</xdr:rowOff>
    </xdr:to>
    <xdr:sp macro="" textlink="">
      <xdr:nvSpPr>
        <xdr:cNvPr id="4388954" name="Line 11">
          <a:extLst>
            <a:ext uri="{FF2B5EF4-FFF2-40B4-BE49-F238E27FC236}">
              <a16:creationId xmlns="" xmlns:a16="http://schemas.microsoft.com/office/drawing/2014/main" id="{00000000-0008-0000-1100-00005AF84200}"/>
            </a:ext>
          </a:extLst>
        </xdr:cNvPr>
        <xdr:cNvSpPr>
          <a:spLocks noChangeShapeType="1"/>
        </xdr:cNvSpPr>
      </xdr:nvSpPr>
      <xdr:spPr bwMode="auto">
        <a:xfrm flipV="1">
          <a:off x="0" y="6172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0</xdr:rowOff>
    </xdr:to>
    <xdr:sp macro="" textlink="">
      <xdr:nvSpPr>
        <xdr:cNvPr id="4388955" name="Line 12">
          <a:extLst>
            <a:ext uri="{FF2B5EF4-FFF2-40B4-BE49-F238E27FC236}">
              <a16:creationId xmlns="" xmlns:a16="http://schemas.microsoft.com/office/drawing/2014/main" id="{00000000-0008-0000-1100-00005BF84200}"/>
            </a:ext>
          </a:extLst>
        </xdr:cNvPr>
        <xdr:cNvSpPr>
          <a:spLocks noChangeShapeType="1"/>
        </xdr:cNvSpPr>
      </xdr:nvSpPr>
      <xdr:spPr bwMode="auto">
        <a:xfrm>
          <a:off x="0" y="6172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0</xdr:rowOff>
    </xdr:to>
    <xdr:sp macro="" textlink="">
      <xdr:nvSpPr>
        <xdr:cNvPr id="4388956" name="Line 13">
          <a:extLst>
            <a:ext uri="{FF2B5EF4-FFF2-40B4-BE49-F238E27FC236}">
              <a16:creationId xmlns="" xmlns:a16="http://schemas.microsoft.com/office/drawing/2014/main" id="{00000000-0008-0000-1100-00005CF84200}"/>
            </a:ext>
          </a:extLst>
        </xdr:cNvPr>
        <xdr:cNvSpPr>
          <a:spLocks noChangeShapeType="1"/>
        </xdr:cNvSpPr>
      </xdr:nvSpPr>
      <xdr:spPr bwMode="auto">
        <a:xfrm flipV="1">
          <a:off x="0" y="6172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0</xdr:rowOff>
    </xdr:to>
    <xdr:sp macro="" textlink="">
      <xdr:nvSpPr>
        <xdr:cNvPr id="4388957" name="Line 14">
          <a:extLst>
            <a:ext uri="{FF2B5EF4-FFF2-40B4-BE49-F238E27FC236}">
              <a16:creationId xmlns="" xmlns:a16="http://schemas.microsoft.com/office/drawing/2014/main" id="{00000000-0008-0000-1100-00005DF84200}"/>
            </a:ext>
          </a:extLst>
        </xdr:cNvPr>
        <xdr:cNvSpPr>
          <a:spLocks noChangeShapeType="1"/>
        </xdr:cNvSpPr>
      </xdr:nvSpPr>
      <xdr:spPr bwMode="auto">
        <a:xfrm>
          <a:off x="0" y="6172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0</xdr:rowOff>
    </xdr:to>
    <xdr:sp macro="" textlink="">
      <xdr:nvSpPr>
        <xdr:cNvPr id="4388958" name="Line 15">
          <a:extLst>
            <a:ext uri="{FF2B5EF4-FFF2-40B4-BE49-F238E27FC236}">
              <a16:creationId xmlns="" xmlns:a16="http://schemas.microsoft.com/office/drawing/2014/main" id="{00000000-0008-0000-1100-00005EF84200}"/>
            </a:ext>
          </a:extLst>
        </xdr:cNvPr>
        <xdr:cNvSpPr>
          <a:spLocks noChangeShapeType="1"/>
        </xdr:cNvSpPr>
      </xdr:nvSpPr>
      <xdr:spPr bwMode="auto">
        <a:xfrm flipV="1">
          <a:off x="0" y="6172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0</xdr:rowOff>
    </xdr:to>
    <xdr:sp macro="" textlink="">
      <xdr:nvSpPr>
        <xdr:cNvPr id="4388959" name="Line 16">
          <a:extLst>
            <a:ext uri="{FF2B5EF4-FFF2-40B4-BE49-F238E27FC236}">
              <a16:creationId xmlns="" xmlns:a16="http://schemas.microsoft.com/office/drawing/2014/main" id="{00000000-0008-0000-1100-00005FF84200}"/>
            </a:ext>
          </a:extLst>
        </xdr:cNvPr>
        <xdr:cNvSpPr>
          <a:spLocks noChangeShapeType="1"/>
        </xdr:cNvSpPr>
      </xdr:nvSpPr>
      <xdr:spPr bwMode="auto">
        <a:xfrm>
          <a:off x="0" y="6172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0</xdr:rowOff>
    </xdr:to>
    <xdr:sp macro="" textlink="">
      <xdr:nvSpPr>
        <xdr:cNvPr id="4388960" name="Line 17">
          <a:extLst>
            <a:ext uri="{FF2B5EF4-FFF2-40B4-BE49-F238E27FC236}">
              <a16:creationId xmlns="" xmlns:a16="http://schemas.microsoft.com/office/drawing/2014/main" id="{00000000-0008-0000-1100-000060F84200}"/>
            </a:ext>
          </a:extLst>
        </xdr:cNvPr>
        <xdr:cNvSpPr>
          <a:spLocks noChangeShapeType="1"/>
        </xdr:cNvSpPr>
      </xdr:nvSpPr>
      <xdr:spPr bwMode="auto">
        <a:xfrm flipV="1">
          <a:off x="0" y="6172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0</xdr:rowOff>
    </xdr:to>
    <xdr:sp macro="" textlink="">
      <xdr:nvSpPr>
        <xdr:cNvPr id="4388961" name="Line 18">
          <a:extLst>
            <a:ext uri="{FF2B5EF4-FFF2-40B4-BE49-F238E27FC236}">
              <a16:creationId xmlns="" xmlns:a16="http://schemas.microsoft.com/office/drawing/2014/main" id="{00000000-0008-0000-1100-000061F84200}"/>
            </a:ext>
          </a:extLst>
        </xdr:cNvPr>
        <xdr:cNvSpPr>
          <a:spLocks noChangeShapeType="1"/>
        </xdr:cNvSpPr>
      </xdr:nvSpPr>
      <xdr:spPr bwMode="auto">
        <a:xfrm>
          <a:off x="0" y="6172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0</xdr:rowOff>
    </xdr:to>
    <xdr:sp macro="" textlink="">
      <xdr:nvSpPr>
        <xdr:cNvPr id="4388962" name="Line 19">
          <a:extLst>
            <a:ext uri="{FF2B5EF4-FFF2-40B4-BE49-F238E27FC236}">
              <a16:creationId xmlns="" xmlns:a16="http://schemas.microsoft.com/office/drawing/2014/main" id="{00000000-0008-0000-1100-000062F84200}"/>
            </a:ext>
          </a:extLst>
        </xdr:cNvPr>
        <xdr:cNvSpPr>
          <a:spLocks noChangeShapeType="1"/>
        </xdr:cNvSpPr>
      </xdr:nvSpPr>
      <xdr:spPr bwMode="auto">
        <a:xfrm flipV="1">
          <a:off x="0" y="6172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0</xdr:rowOff>
    </xdr:to>
    <xdr:sp macro="" textlink="">
      <xdr:nvSpPr>
        <xdr:cNvPr id="4388963" name="Line 20">
          <a:extLst>
            <a:ext uri="{FF2B5EF4-FFF2-40B4-BE49-F238E27FC236}">
              <a16:creationId xmlns="" xmlns:a16="http://schemas.microsoft.com/office/drawing/2014/main" id="{00000000-0008-0000-1100-000063F84200}"/>
            </a:ext>
          </a:extLst>
        </xdr:cNvPr>
        <xdr:cNvSpPr>
          <a:spLocks noChangeShapeType="1"/>
        </xdr:cNvSpPr>
      </xdr:nvSpPr>
      <xdr:spPr bwMode="auto">
        <a:xfrm>
          <a:off x="0" y="6172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0</xdr:rowOff>
    </xdr:to>
    <xdr:sp macro="" textlink="">
      <xdr:nvSpPr>
        <xdr:cNvPr id="4388964" name="Line 21">
          <a:extLst>
            <a:ext uri="{FF2B5EF4-FFF2-40B4-BE49-F238E27FC236}">
              <a16:creationId xmlns="" xmlns:a16="http://schemas.microsoft.com/office/drawing/2014/main" id="{00000000-0008-0000-1100-000064F84200}"/>
            </a:ext>
          </a:extLst>
        </xdr:cNvPr>
        <xdr:cNvSpPr>
          <a:spLocks noChangeShapeType="1"/>
        </xdr:cNvSpPr>
      </xdr:nvSpPr>
      <xdr:spPr bwMode="auto">
        <a:xfrm flipV="1">
          <a:off x="0" y="6172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0</xdr:rowOff>
    </xdr:to>
    <xdr:sp macro="" textlink="">
      <xdr:nvSpPr>
        <xdr:cNvPr id="4388965" name="Line 22">
          <a:extLst>
            <a:ext uri="{FF2B5EF4-FFF2-40B4-BE49-F238E27FC236}">
              <a16:creationId xmlns="" xmlns:a16="http://schemas.microsoft.com/office/drawing/2014/main" id="{00000000-0008-0000-1100-000065F84200}"/>
            </a:ext>
          </a:extLst>
        </xdr:cNvPr>
        <xdr:cNvSpPr>
          <a:spLocks noChangeShapeType="1"/>
        </xdr:cNvSpPr>
      </xdr:nvSpPr>
      <xdr:spPr bwMode="auto">
        <a:xfrm>
          <a:off x="0" y="6172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0</xdr:rowOff>
    </xdr:to>
    <xdr:sp macro="" textlink="">
      <xdr:nvSpPr>
        <xdr:cNvPr id="4388966" name="Line 23">
          <a:extLst>
            <a:ext uri="{FF2B5EF4-FFF2-40B4-BE49-F238E27FC236}">
              <a16:creationId xmlns="" xmlns:a16="http://schemas.microsoft.com/office/drawing/2014/main" id="{00000000-0008-0000-1100-000066F84200}"/>
            </a:ext>
          </a:extLst>
        </xdr:cNvPr>
        <xdr:cNvSpPr>
          <a:spLocks noChangeShapeType="1"/>
        </xdr:cNvSpPr>
      </xdr:nvSpPr>
      <xdr:spPr bwMode="auto">
        <a:xfrm flipV="1">
          <a:off x="0" y="6172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0</xdr:rowOff>
    </xdr:to>
    <xdr:sp macro="" textlink="">
      <xdr:nvSpPr>
        <xdr:cNvPr id="4388967" name="Line 24">
          <a:extLst>
            <a:ext uri="{FF2B5EF4-FFF2-40B4-BE49-F238E27FC236}">
              <a16:creationId xmlns="" xmlns:a16="http://schemas.microsoft.com/office/drawing/2014/main" id="{00000000-0008-0000-1100-000067F84200}"/>
            </a:ext>
          </a:extLst>
        </xdr:cNvPr>
        <xdr:cNvSpPr>
          <a:spLocks noChangeShapeType="1"/>
        </xdr:cNvSpPr>
      </xdr:nvSpPr>
      <xdr:spPr bwMode="auto">
        <a:xfrm>
          <a:off x="0" y="6172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0</xdr:rowOff>
    </xdr:to>
    <xdr:sp macro="" textlink="">
      <xdr:nvSpPr>
        <xdr:cNvPr id="4388968" name="Line 25">
          <a:extLst>
            <a:ext uri="{FF2B5EF4-FFF2-40B4-BE49-F238E27FC236}">
              <a16:creationId xmlns="" xmlns:a16="http://schemas.microsoft.com/office/drawing/2014/main" id="{00000000-0008-0000-1100-000068F84200}"/>
            </a:ext>
          </a:extLst>
        </xdr:cNvPr>
        <xdr:cNvSpPr>
          <a:spLocks noChangeShapeType="1"/>
        </xdr:cNvSpPr>
      </xdr:nvSpPr>
      <xdr:spPr bwMode="auto">
        <a:xfrm flipV="1">
          <a:off x="0" y="6172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15</xdr:row>
      <xdr:rowOff>180975</xdr:rowOff>
    </xdr:from>
    <xdr:to>
      <xdr:col>0</xdr:col>
      <xdr:colOff>0</xdr:colOff>
      <xdr:row>18</xdr:row>
      <xdr:rowOff>0</xdr:rowOff>
    </xdr:to>
    <xdr:sp macro="" textlink="">
      <xdr:nvSpPr>
        <xdr:cNvPr id="4388969" name="Line 26">
          <a:extLst>
            <a:ext uri="{FF2B5EF4-FFF2-40B4-BE49-F238E27FC236}">
              <a16:creationId xmlns="" xmlns:a16="http://schemas.microsoft.com/office/drawing/2014/main" id="{00000000-0008-0000-1100-000069F84200}"/>
            </a:ext>
          </a:extLst>
        </xdr:cNvPr>
        <xdr:cNvSpPr>
          <a:spLocks noChangeShapeType="1"/>
        </xdr:cNvSpPr>
      </xdr:nvSpPr>
      <xdr:spPr bwMode="auto">
        <a:xfrm flipV="1">
          <a:off x="0" y="5438775"/>
          <a:ext cx="0" cy="733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15</xdr:row>
      <xdr:rowOff>180975</xdr:rowOff>
    </xdr:from>
    <xdr:to>
      <xdr:col>0</xdr:col>
      <xdr:colOff>0</xdr:colOff>
      <xdr:row>18</xdr:row>
      <xdr:rowOff>0</xdr:rowOff>
    </xdr:to>
    <xdr:sp macro="" textlink="">
      <xdr:nvSpPr>
        <xdr:cNvPr id="4388970" name="Line 27">
          <a:extLst>
            <a:ext uri="{FF2B5EF4-FFF2-40B4-BE49-F238E27FC236}">
              <a16:creationId xmlns="" xmlns:a16="http://schemas.microsoft.com/office/drawing/2014/main" id="{00000000-0008-0000-1100-00006AF84200}"/>
            </a:ext>
          </a:extLst>
        </xdr:cNvPr>
        <xdr:cNvSpPr>
          <a:spLocks noChangeShapeType="1"/>
        </xdr:cNvSpPr>
      </xdr:nvSpPr>
      <xdr:spPr bwMode="auto">
        <a:xfrm flipV="1">
          <a:off x="0" y="5438775"/>
          <a:ext cx="0" cy="733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0</xdr:colOff>
      <xdr:row>16</xdr:row>
      <xdr:rowOff>0</xdr:rowOff>
    </xdr:to>
    <xdr:sp macro="" textlink="">
      <xdr:nvSpPr>
        <xdr:cNvPr id="4388971" name="Line 28">
          <a:extLst>
            <a:ext uri="{FF2B5EF4-FFF2-40B4-BE49-F238E27FC236}">
              <a16:creationId xmlns="" xmlns:a16="http://schemas.microsoft.com/office/drawing/2014/main" id="{00000000-0008-0000-1100-00006BF84200}"/>
            </a:ext>
          </a:extLst>
        </xdr:cNvPr>
        <xdr:cNvSpPr>
          <a:spLocks noChangeShapeType="1"/>
        </xdr:cNvSpPr>
      </xdr:nvSpPr>
      <xdr:spPr bwMode="auto">
        <a:xfrm>
          <a:off x="0" y="55054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52</xdr:row>
      <xdr:rowOff>0</xdr:rowOff>
    </xdr:from>
    <xdr:to>
      <xdr:col>0</xdr:col>
      <xdr:colOff>0</xdr:colOff>
      <xdr:row>59</xdr:row>
      <xdr:rowOff>0</xdr:rowOff>
    </xdr:to>
    <xdr:sp macro="" textlink="">
      <xdr:nvSpPr>
        <xdr:cNvPr id="4388972" name="Line 29">
          <a:extLst>
            <a:ext uri="{FF2B5EF4-FFF2-40B4-BE49-F238E27FC236}">
              <a16:creationId xmlns="" xmlns:a16="http://schemas.microsoft.com/office/drawing/2014/main" id="{00000000-0008-0000-1100-00006CF84200}"/>
            </a:ext>
          </a:extLst>
        </xdr:cNvPr>
        <xdr:cNvSpPr>
          <a:spLocks noChangeShapeType="1"/>
        </xdr:cNvSpPr>
      </xdr:nvSpPr>
      <xdr:spPr bwMode="auto">
        <a:xfrm>
          <a:off x="0" y="17764125"/>
          <a:ext cx="0" cy="2343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37</xdr:row>
      <xdr:rowOff>0</xdr:rowOff>
    </xdr:from>
    <xdr:to>
      <xdr:col>0</xdr:col>
      <xdr:colOff>0</xdr:colOff>
      <xdr:row>47</xdr:row>
      <xdr:rowOff>0</xdr:rowOff>
    </xdr:to>
    <xdr:sp macro="" textlink="">
      <xdr:nvSpPr>
        <xdr:cNvPr id="4388973" name="Line 30">
          <a:extLst>
            <a:ext uri="{FF2B5EF4-FFF2-40B4-BE49-F238E27FC236}">
              <a16:creationId xmlns="" xmlns:a16="http://schemas.microsoft.com/office/drawing/2014/main" id="{00000000-0008-0000-1100-00006DF84200}"/>
            </a:ext>
          </a:extLst>
        </xdr:cNvPr>
        <xdr:cNvSpPr>
          <a:spLocks noChangeShapeType="1"/>
        </xdr:cNvSpPr>
      </xdr:nvSpPr>
      <xdr:spPr bwMode="auto">
        <a:xfrm>
          <a:off x="0" y="12372975"/>
          <a:ext cx="0" cy="3552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36</xdr:row>
      <xdr:rowOff>247650</xdr:rowOff>
    </xdr:from>
    <xdr:to>
      <xdr:col>0</xdr:col>
      <xdr:colOff>0</xdr:colOff>
      <xdr:row>47</xdr:row>
      <xdr:rowOff>9525</xdr:rowOff>
    </xdr:to>
    <xdr:sp macro="" textlink="">
      <xdr:nvSpPr>
        <xdr:cNvPr id="4388974" name="Line 31">
          <a:extLst>
            <a:ext uri="{FF2B5EF4-FFF2-40B4-BE49-F238E27FC236}">
              <a16:creationId xmlns="" xmlns:a16="http://schemas.microsoft.com/office/drawing/2014/main" id="{00000000-0008-0000-1100-00006EF84200}"/>
            </a:ext>
          </a:extLst>
        </xdr:cNvPr>
        <xdr:cNvSpPr>
          <a:spLocks noChangeShapeType="1"/>
        </xdr:cNvSpPr>
      </xdr:nvSpPr>
      <xdr:spPr bwMode="auto">
        <a:xfrm>
          <a:off x="0" y="12287250"/>
          <a:ext cx="0" cy="3648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37</xdr:row>
      <xdr:rowOff>114300</xdr:rowOff>
    </xdr:from>
    <xdr:to>
      <xdr:col>0</xdr:col>
      <xdr:colOff>0</xdr:colOff>
      <xdr:row>47</xdr:row>
      <xdr:rowOff>0</xdr:rowOff>
    </xdr:to>
    <xdr:sp macro="" textlink="">
      <xdr:nvSpPr>
        <xdr:cNvPr id="4388975" name="Line 32">
          <a:extLst>
            <a:ext uri="{FF2B5EF4-FFF2-40B4-BE49-F238E27FC236}">
              <a16:creationId xmlns="" xmlns:a16="http://schemas.microsoft.com/office/drawing/2014/main" id="{00000000-0008-0000-1100-00006FF84200}"/>
            </a:ext>
          </a:extLst>
        </xdr:cNvPr>
        <xdr:cNvSpPr>
          <a:spLocks noChangeShapeType="1"/>
        </xdr:cNvSpPr>
      </xdr:nvSpPr>
      <xdr:spPr bwMode="auto">
        <a:xfrm>
          <a:off x="0" y="12487275"/>
          <a:ext cx="0" cy="3438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37</xdr:row>
      <xdr:rowOff>76200</xdr:rowOff>
    </xdr:from>
    <xdr:to>
      <xdr:col>0</xdr:col>
      <xdr:colOff>0</xdr:colOff>
      <xdr:row>47</xdr:row>
      <xdr:rowOff>0</xdr:rowOff>
    </xdr:to>
    <xdr:sp macro="" textlink="">
      <xdr:nvSpPr>
        <xdr:cNvPr id="4388976" name="Line 33">
          <a:extLst>
            <a:ext uri="{FF2B5EF4-FFF2-40B4-BE49-F238E27FC236}">
              <a16:creationId xmlns="" xmlns:a16="http://schemas.microsoft.com/office/drawing/2014/main" id="{00000000-0008-0000-1100-000070F84200}"/>
            </a:ext>
          </a:extLst>
        </xdr:cNvPr>
        <xdr:cNvSpPr>
          <a:spLocks noChangeShapeType="1"/>
        </xdr:cNvSpPr>
      </xdr:nvSpPr>
      <xdr:spPr bwMode="auto">
        <a:xfrm flipH="1">
          <a:off x="0" y="12449175"/>
          <a:ext cx="0" cy="3476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0</xdr:rowOff>
    </xdr:to>
    <xdr:sp macro="" textlink="">
      <xdr:nvSpPr>
        <xdr:cNvPr id="4388977" name="Line 34">
          <a:extLst>
            <a:ext uri="{FF2B5EF4-FFF2-40B4-BE49-F238E27FC236}">
              <a16:creationId xmlns="" xmlns:a16="http://schemas.microsoft.com/office/drawing/2014/main" id="{00000000-0008-0000-1100-000071F84200}"/>
            </a:ext>
          </a:extLst>
        </xdr:cNvPr>
        <xdr:cNvSpPr>
          <a:spLocks noChangeShapeType="1"/>
        </xdr:cNvSpPr>
      </xdr:nvSpPr>
      <xdr:spPr bwMode="auto">
        <a:xfrm flipV="1">
          <a:off x="0" y="6172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200025</xdr:rowOff>
    </xdr:from>
    <xdr:to>
      <xdr:col>0</xdr:col>
      <xdr:colOff>0</xdr:colOff>
      <xdr:row>20</xdr:row>
      <xdr:rowOff>228600</xdr:rowOff>
    </xdr:to>
    <xdr:grpSp>
      <xdr:nvGrpSpPr>
        <xdr:cNvPr id="4388978" name="Group 35">
          <a:extLst>
            <a:ext uri="{FF2B5EF4-FFF2-40B4-BE49-F238E27FC236}">
              <a16:creationId xmlns="" xmlns:a16="http://schemas.microsoft.com/office/drawing/2014/main" id="{00000000-0008-0000-1100-000072F84200}"/>
            </a:ext>
          </a:extLst>
        </xdr:cNvPr>
        <xdr:cNvGrpSpPr>
          <a:grpSpLocks/>
        </xdr:cNvGrpSpPr>
      </xdr:nvGrpSpPr>
      <xdr:grpSpPr bwMode="auto">
        <a:xfrm>
          <a:off x="0" y="6445704"/>
          <a:ext cx="0" cy="518432"/>
          <a:chOff x="630" y="359"/>
          <a:chExt cx="361" cy="60"/>
        </a:xfrm>
      </xdr:grpSpPr>
      <xdr:sp macro="" textlink="">
        <xdr:nvSpPr>
          <xdr:cNvPr id="4389169" name="Line 36">
            <a:extLst>
              <a:ext uri="{FF2B5EF4-FFF2-40B4-BE49-F238E27FC236}">
                <a16:creationId xmlns="" xmlns:a16="http://schemas.microsoft.com/office/drawing/2014/main" id="{00000000-0008-0000-1100-000031F9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0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9170" name="Line 37">
            <a:extLst>
              <a:ext uri="{FF2B5EF4-FFF2-40B4-BE49-F238E27FC236}">
                <a16:creationId xmlns="" xmlns:a16="http://schemas.microsoft.com/office/drawing/2014/main" id="{00000000-0008-0000-1100-000032F9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91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9171" name="Line 38">
            <a:extLst>
              <a:ext uri="{FF2B5EF4-FFF2-40B4-BE49-F238E27FC236}">
                <a16:creationId xmlns="" xmlns:a16="http://schemas.microsoft.com/office/drawing/2014/main" id="{00000000-0008-0000-1100-000033F94200}"/>
              </a:ext>
            </a:extLst>
          </xdr:cNvPr>
          <xdr:cNvSpPr>
            <a:spLocks noChangeShapeType="1"/>
          </xdr:cNvSpPr>
        </xdr:nvSpPr>
        <xdr:spPr bwMode="auto">
          <a:xfrm>
            <a:off x="630" y="381"/>
            <a:ext cx="3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0</xdr:colOff>
      <xdr:row>22</xdr:row>
      <xdr:rowOff>66675</xdr:rowOff>
    </xdr:from>
    <xdr:to>
      <xdr:col>0</xdr:col>
      <xdr:colOff>0</xdr:colOff>
      <xdr:row>29</xdr:row>
      <xdr:rowOff>228600</xdr:rowOff>
    </xdr:to>
    <xdr:sp macro="" textlink="">
      <xdr:nvSpPr>
        <xdr:cNvPr id="4388979" name="Line 39">
          <a:extLst>
            <a:ext uri="{FF2B5EF4-FFF2-40B4-BE49-F238E27FC236}">
              <a16:creationId xmlns="" xmlns:a16="http://schemas.microsoft.com/office/drawing/2014/main" id="{00000000-0008-0000-1100-000073F84200}"/>
            </a:ext>
          </a:extLst>
        </xdr:cNvPr>
        <xdr:cNvSpPr>
          <a:spLocks noChangeShapeType="1"/>
        </xdr:cNvSpPr>
      </xdr:nvSpPr>
      <xdr:spPr bwMode="auto">
        <a:xfrm>
          <a:off x="0" y="7629525"/>
          <a:ext cx="0" cy="2133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24</xdr:row>
      <xdr:rowOff>0</xdr:rowOff>
    </xdr:from>
    <xdr:to>
      <xdr:col>0</xdr:col>
      <xdr:colOff>0</xdr:colOff>
      <xdr:row>24</xdr:row>
      <xdr:rowOff>0</xdr:rowOff>
    </xdr:to>
    <xdr:sp macro="" textlink="">
      <xdr:nvSpPr>
        <xdr:cNvPr id="4388980" name="Line 40">
          <a:extLst>
            <a:ext uri="{FF2B5EF4-FFF2-40B4-BE49-F238E27FC236}">
              <a16:creationId xmlns="" xmlns:a16="http://schemas.microsoft.com/office/drawing/2014/main" id="{00000000-0008-0000-1100-000074F84200}"/>
            </a:ext>
          </a:extLst>
        </xdr:cNvPr>
        <xdr:cNvSpPr>
          <a:spLocks noChangeShapeType="1"/>
        </xdr:cNvSpPr>
      </xdr:nvSpPr>
      <xdr:spPr bwMode="auto">
        <a:xfrm flipV="1">
          <a:off x="0" y="81819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24</xdr:row>
      <xdr:rowOff>0</xdr:rowOff>
    </xdr:from>
    <xdr:to>
      <xdr:col>0</xdr:col>
      <xdr:colOff>0</xdr:colOff>
      <xdr:row>24</xdr:row>
      <xdr:rowOff>0</xdr:rowOff>
    </xdr:to>
    <xdr:sp macro="" textlink="">
      <xdr:nvSpPr>
        <xdr:cNvPr id="4388981" name="Line 41">
          <a:extLst>
            <a:ext uri="{FF2B5EF4-FFF2-40B4-BE49-F238E27FC236}">
              <a16:creationId xmlns="" xmlns:a16="http://schemas.microsoft.com/office/drawing/2014/main" id="{00000000-0008-0000-1100-000075F84200}"/>
            </a:ext>
          </a:extLst>
        </xdr:cNvPr>
        <xdr:cNvSpPr>
          <a:spLocks noChangeShapeType="1"/>
        </xdr:cNvSpPr>
      </xdr:nvSpPr>
      <xdr:spPr bwMode="auto">
        <a:xfrm>
          <a:off x="0" y="81819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24</xdr:row>
      <xdr:rowOff>9525</xdr:rowOff>
    </xdr:from>
    <xdr:to>
      <xdr:col>0</xdr:col>
      <xdr:colOff>0</xdr:colOff>
      <xdr:row>24</xdr:row>
      <xdr:rowOff>9525</xdr:rowOff>
    </xdr:to>
    <xdr:sp macro="" textlink="">
      <xdr:nvSpPr>
        <xdr:cNvPr id="4388982" name="Line 42">
          <a:extLst>
            <a:ext uri="{FF2B5EF4-FFF2-40B4-BE49-F238E27FC236}">
              <a16:creationId xmlns="" xmlns:a16="http://schemas.microsoft.com/office/drawing/2014/main" id="{00000000-0008-0000-1100-000076F84200}"/>
            </a:ext>
          </a:extLst>
        </xdr:cNvPr>
        <xdr:cNvSpPr>
          <a:spLocks noChangeShapeType="1"/>
        </xdr:cNvSpPr>
      </xdr:nvSpPr>
      <xdr:spPr bwMode="auto">
        <a:xfrm>
          <a:off x="0" y="81915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25</xdr:row>
      <xdr:rowOff>95250</xdr:rowOff>
    </xdr:from>
    <xdr:to>
      <xdr:col>0</xdr:col>
      <xdr:colOff>0</xdr:colOff>
      <xdr:row>25</xdr:row>
      <xdr:rowOff>95250</xdr:rowOff>
    </xdr:to>
    <xdr:sp macro="" textlink="">
      <xdr:nvSpPr>
        <xdr:cNvPr id="4388983" name="Line 43">
          <a:extLst>
            <a:ext uri="{FF2B5EF4-FFF2-40B4-BE49-F238E27FC236}">
              <a16:creationId xmlns="" xmlns:a16="http://schemas.microsoft.com/office/drawing/2014/main" id="{00000000-0008-0000-1100-000077F84200}"/>
            </a:ext>
          </a:extLst>
        </xdr:cNvPr>
        <xdr:cNvSpPr>
          <a:spLocks noChangeShapeType="1"/>
        </xdr:cNvSpPr>
      </xdr:nvSpPr>
      <xdr:spPr bwMode="auto">
        <a:xfrm flipH="1">
          <a:off x="0" y="85248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21</xdr:row>
      <xdr:rowOff>76200</xdr:rowOff>
    </xdr:from>
    <xdr:to>
      <xdr:col>0</xdr:col>
      <xdr:colOff>0</xdr:colOff>
      <xdr:row>24</xdr:row>
      <xdr:rowOff>0</xdr:rowOff>
    </xdr:to>
    <xdr:grpSp>
      <xdr:nvGrpSpPr>
        <xdr:cNvPr id="4388984" name="Group 44">
          <a:extLst>
            <a:ext uri="{FF2B5EF4-FFF2-40B4-BE49-F238E27FC236}">
              <a16:creationId xmlns="" xmlns:a16="http://schemas.microsoft.com/office/drawing/2014/main" id="{00000000-0008-0000-1100-000078F84200}"/>
            </a:ext>
          </a:extLst>
        </xdr:cNvPr>
        <xdr:cNvGrpSpPr>
          <a:grpSpLocks/>
        </xdr:cNvGrpSpPr>
      </xdr:nvGrpSpPr>
      <xdr:grpSpPr bwMode="auto">
        <a:xfrm>
          <a:off x="0" y="7328807"/>
          <a:ext cx="0" cy="930729"/>
          <a:chOff x="554" y="439"/>
          <a:chExt cx="10" cy="76"/>
        </a:xfrm>
      </xdr:grpSpPr>
      <xdr:sp macro="" textlink="">
        <xdr:nvSpPr>
          <xdr:cNvPr id="4389167" name="Line 45">
            <a:extLst>
              <a:ext uri="{FF2B5EF4-FFF2-40B4-BE49-F238E27FC236}">
                <a16:creationId xmlns="" xmlns:a16="http://schemas.microsoft.com/office/drawing/2014/main" id="{00000000-0008-0000-1100-00002FF94200}"/>
              </a:ext>
            </a:extLst>
          </xdr:cNvPr>
          <xdr:cNvSpPr>
            <a:spLocks noChangeShapeType="1"/>
          </xdr:cNvSpPr>
        </xdr:nvSpPr>
        <xdr:spPr bwMode="auto">
          <a:xfrm>
            <a:off x="558" y="439"/>
            <a:ext cx="0" cy="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9168" name="Line 46">
            <a:extLst>
              <a:ext uri="{FF2B5EF4-FFF2-40B4-BE49-F238E27FC236}">
                <a16:creationId xmlns="" xmlns:a16="http://schemas.microsoft.com/office/drawing/2014/main" id="{00000000-0008-0000-1100-000030F94200}"/>
              </a:ext>
            </a:extLst>
          </xdr:cNvPr>
          <xdr:cNvSpPr>
            <a:spLocks noChangeShapeType="1"/>
          </xdr:cNvSpPr>
        </xdr:nvSpPr>
        <xdr:spPr bwMode="auto">
          <a:xfrm>
            <a:off x="554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0</xdr:colOff>
      <xdr:row>21</xdr:row>
      <xdr:rowOff>76200</xdr:rowOff>
    </xdr:from>
    <xdr:to>
      <xdr:col>0</xdr:col>
      <xdr:colOff>0</xdr:colOff>
      <xdr:row>24</xdr:row>
      <xdr:rowOff>0</xdr:rowOff>
    </xdr:to>
    <xdr:grpSp>
      <xdr:nvGrpSpPr>
        <xdr:cNvPr id="4388985" name="Group 47">
          <a:extLst>
            <a:ext uri="{FF2B5EF4-FFF2-40B4-BE49-F238E27FC236}">
              <a16:creationId xmlns="" xmlns:a16="http://schemas.microsoft.com/office/drawing/2014/main" id="{00000000-0008-0000-1100-000079F84200}"/>
            </a:ext>
          </a:extLst>
        </xdr:cNvPr>
        <xdr:cNvGrpSpPr>
          <a:grpSpLocks/>
        </xdr:cNvGrpSpPr>
      </xdr:nvGrpSpPr>
      <xdr:grpSpPr bwMode="auto">
        <a:xfrm>
          <a:off x="0" y="7328807"/>
          <a:ext cx="0" cy="930729"/>
          <a:chOff x="680" y="439"/>
          <a:chExt cx="10" cy="98"/>
        </a:xfrm>
      </xdr:grpSpPr>
      <xdr:sp macro="" textlink="">
        <xdr:nvSpPr>
          <xdr:cNvPr id="4389165" name="Line 48">
            <a:extLst>
              <a:ext uri="{FF2B5EF4-FFF2-40B4-BE49-F238E27FC236}">
                <a16:creationId xmlns="" xmlns:a16="http://schemas.microsoft.com/office/drawing/2014/main" id="{00000000-0008-0000-1100-00002DF94200}"/>
              </a:ext>
            </a:extLst>
          </xdr:cNvPr>
          <xdr:cNvSpPr>
            <a:spLocks noChangeShapeType="1"/>
          </xdr:cNvSpPr>
        </xdr:nvSpPr>
        <xdr:spPr bwMode="auto">
          <a:xfrm>
            <a:off x="685" y="439"/>
            <a:ext cx="0" cy="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9166" name="Line 49">
            <a:extLst>
              <a:ext uri="{FF2B5EF4-FFF2-40B4-BE49-F238E27FC236}">
                <a16:creationId xmlns="" xmlns:a16="http://schemas.microsoft.com/office/drawing/2014/main" id="{00000000-0008-0000-1100-00002EF94200}"/>
              </a:ext>
            </a:extLst>
          </xdr:cNvPr>
          <xdr:cNvSpPr>
            <a:spLocks noChangeShapeType="1"/>
          </xdr:cNvSpPr>
        </xdr:nvSpPr>
        <xdr:spPr bwMode="auto">
          <a:xfrm>
            <a:off x="680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0</xdr:colOff>
      <xdr:row>21</xdr:row>
      <xdr:rowOff>57150</xdr:rowOff>
    </xdr:from>
    <xdr:to>
      <xdr:col>0</xdr:col>
      <xdr:colOff>0</xdr:colOff>
      <xdr:row>24</xdr:row>
      <xdr:rowOff>19050</xdr:rowOff>
    </xdr:to>
    <xdr:grpSp>
      <xdr:nvGrpSpPr>
        <xdr:cNvPr id="4388986" name="Group 50">
          <a:extLst>
            <a:ext uri="{FF2B5EF4-FFF2-40B4-BE49-F238E27FC236}">
              <a16:creationId xmlns="" xmlns:a16="http://schemas.microsoft.com/office/drawing/2014/main" id="{00000000-0008-0000-1100-00007AF84200}"/>
            </a:ext>
          </a:extLst>
        </xdr:cNvPr>
        <xdr:cNvGrpSpPr>
          <a:grpSpLocks/>
        </xdr:cNvGrpSpPr>
      </xdr:nvGrpSpPr>
      <xdr:grpSpPr bwMode="auto">
        <a:xfrm>
          <a:off x="0" y="7309757"/>
          <a:ext cx="0" cy="968829"/>
          <a:chOff x="759" y="438"/>
          <a:chExt cx="10" cy="121"/>
        </a:xfrm>
      </xdr:grpSpPr>
      <xdr:sp macro="" textlink="">
        <xdr:nvSpPr>
          <xdr:cNvPr id="4389163" name="Line 51">
            <a:extLst>
              <a:ext uri="{FF2B5EF4-FFF2-40B4-BE49-F238E27FC236}">
                <a16:creationId xmlns="" xmlns:a16="http://schemas.microsoft.com/office/drawing/2014/main" id="{00000000-0008-0000-1100-00002BF942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9164" name="Line 52">
            <a:extLst>
              <a:ext uri="{FF2B5EF4-FFF2-40B4-BE49-F238E27FC236}">
                <a16:creationId xmlns="" xmlns:a16="http://schemas.microsoft.com/office/drawing/2014/main" id="{00000000-0008-0000-1100-00002CF942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0</xdr:colOff>
      <xdr:row>21</xdr:row>
      <xdr:rowOff>95250</xdr:rowOff>
    </xdr:from>
    <xdr:to>
      <xdr:col>0</xdr:col>
      <xdr:colOff>0</xdr:colOff>
      <xdr:row>25</xdr:row>
      <xdr:rowOff>66675</xdr:rowOff>
    </xdr:to>
    <xdr:grpSp>
      <xdr:nvGrpSpPr>
        <xdr:cNvPr id="4388987" name="Group 53">
          <a:extLst>
            <a:ext uri="{FF2B5EF4-FFF2-40B4-BE49-F238E27FC236}">
              <a16:creationId xmlns="" xmlns:a16="http://schemas.microsoft.com/office/drawing/2014/main" id="{00000000-0008-0000-1100-00007BF84200}"/>
            </a:ext>
          </a:extLst>
        </xdr:cNvPr>
        <xdr:cNvGrpSpPr>
          <a:grpSpLocks/>
        </xdr:cNvGrpSpPr>
      </xdr:nvGrpSpPr>
      <xdr:grpSpPr bwMode="auto">
        <a:xfrm>
          <a:off x="0" y="7347857"/>
          <a:ext cx="0" cy="1223282"/>
          <a:chOff x="842" y="438"/>
          <a:chExt cx="10" cy="147"/>
        </a:xfrm>
      </xdr:grpSpPr>
      <xdr:sp macro="" textlink="">
        <xdr:nvSpPr>
          <xdr:cNvPr id="4389161" name="Line 54">
            <a:extLst>
              <a:ext uri="{FF2B5EF4-FFF2-40B4-BE49-F238E27FC236}">
                <a16:creationId xmlns="" xmlns:a16="http://schemas.microsoft.com/office/drawing/2014/main" id="{00000000-0008-0000-1100-000029F942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9162" name="Line 55">
            <a:extLst>
              <a:ext uri="{FF2B5EF4-FFF2-40B4-BE49-F238E27FC236}">
                <a16:creationId xmlns="" xmlns:a16="http://schemas.microsoft.com/office/drawing/2014/main" id="{00000000-0008-0000-1100-00002AF942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0</xdr:colOff>
      <xdr:row>21</xdr:row>
      <xdr:rowOff>0</xdr:rowOff>
    </xdr:from>
    <xdr:to>
      <xdr:col>0</xdr:col>
      <xdr:colOff>0</xdr:colOff>
      <xdr:row>22</xdr:row>
      <xdr:rowOff>0</xdr:rowOff>
    </xdr:to>
    <xdr:sp macro="" textlink="">
      <xdr:nvSpPr>
        <xdr:cNvPr id="4388988" name="Rectangle 56">
          <a:extLst>
            <a:ext uri="{FF2B5EF4-FFF2-40B4-BE49-F238E27FC236}">
              <a16:creationId xmlns="" xmlns:a16="http://schemas.microsoft.com/office/drawing/2014/main" id="{00000000-0008-0000-1100-00007CF84200}"/>
            </a:ext>
          </a:extLst>
        </xdr:cNvPr>
        <xdr:cNvSpPr>
          <a:spLocks noChangeArrowheads="1"/>
        </xdr:cNvSpPr>
      </xdr:nvSpPr>
      <xdr:spPr bwMode="auto">
        <a:xfrm>
          <a:off x="0" y="7181850"/>
          <a:ext cx="0" cy="381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21</xdr:row>
      <xdr:rowOff>57150</xdr:rowOff>
    </xdr:from>
    <xdr:to>
      <xdr:col>0</xdr:col>
      <xdr:colOff>0</xdr:colOff>
      <xdr:row>28</xdr:row>
      <xdr:rowOff>47625</xdr:rowOff>
    </xdr:to>
    <xdr:sp macro="" textlink="">
      <xdr:nvSpPr>
        <xdr:cNvPr id="4388989" name="Line 57">
          <a:extLst>
            <a:ext uri="{FF2B5EF4-FFF2-40B4-BE49-F238E27FC236}">
              <a16:creationId xmlns="" xmlns:a16="http://schemas.microsoft.com/office/drawing/2014/main" id="{00000000-0008-0000-1100-00007DF84200}"/>
            </a:ext>
          </a:extLst>
        </xdr:cNvPr>
        <xdr:cNvSpPr>
          <a:spLocks noChangeShapeType="1"/>
        </xdr:cNvSpPr>
      </xdr:nvSpPr>
      <xdr:spPr bwMode="auto">
        <a:xfrm>
          <a:off x="0" y="7239000"/>
          <a:ext cx="0" cy="2009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21</xdr:row>
      <xdr:rowOff>95250</xdr:rowOff>
    </xdr:from>
    <xdr:to>
      <xdr:col>0</xdr:col>
      <xdr:colOff>0</xdr:colOff>
      <xdr:row>21</xdr:row>
      <xdr:rowOff>95250</xdr:rowOff>
    </xdr:to>
    <xdr:sp macro="" textlink="">
      <xdr:nvSpPr>
        <xdr:cNvPr id="4388990" name="Line 58">
          <a:extLst>
            <a:ext uri="{FF2B5EF4-FFF2-40B4-BE49-F238E27FC236}">
              <a16:creationId xmlns="" xmlns:a16="http://schemas.microsoft.com/office/drawing/2014/main" id="{00000000-0008-0000-1100-00007EF84200}"/>
            </a:ext>
          </a:extLst>
        </xdr:cNvPr>
        <xdr:cNvSpPr>
          <a:spLocks noChangeShapeType="1"/>
        </xdr:cNvSpPr>
      </xdr:nvSpPr>
      <xdr:spPr bwMode="auto">
        <a:xfrm>
          <a:off x="0" y="72771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28</xdr:row>
      <xdr:rowOff>57150</xdr:rowOff>
    </xdr:from>
    <xdr:to>
      <xdr:col>0</xdr:col>
      <xdr:colOff>0</xdr:colOff>
      <xdr:row>28</xdr:row>
      <xdr:rowOff>57150</xdr:rowOff>
    </xdr:to>
    <xdr:sp macro="" textlink="">
      <xdr:nvSpPr>
        <xdr:cNvPr id="4388991" name="Line 59">
          <a:extLst>
            <a:ext uri="{FF2B5EF4-FFF2-40B4-BE49-F238E27FC236}">
              <a16:creationId xmlns="" xmlns:a16="http://schemas.microsoft.com/office/drawing/2014/main" id="{00000000-0008-0000-1100-00007FF84200}"/>
            </a:ext>
          </a:extLst>
        </xdr:cNvPr>
        <xdr:cNvSpPr>
          <a:spLocks noChangeShapeType="1"/>
        </xdr:cNvSpPr>
      </xdr:nvSpPr>
      <xdr:spPr bwMode="auto">
        <a:xfrm flipV="1">
          <a:off x="0" y="92583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47</xdr:row>
      <xdr:rowOff>0</xdr:rowOff>
    </xdr:from>
    <xdr:to>
      <xdr:col>0</xdr:col>
      <xdr:colOff>0</xdr:colOff>
      <xdr:row>47</xdr:row>
      <xdr:rowOff>0</xdr:rowOff>
    </xdr:to>
    <xdr:sp macro="" textlink="">
      <xdr:nvSpPr>
        <xdr:cNvPr id="4388992" name="Line 60">
          <a:extLst>
            <a:ext uri="{FF2B5EF4-FFF2-40B4-BE49-F238E27FC236}">
              <a16:creationId xmlns="" xmlns:a16="http://schemas.microsoft.com/office/drawing/2014/main" id="{00000000-0008-0000-1100-000080F84200}"/>
            </a:ext>
          </a:extLst>
        </xdr:cNvPr>
        <xdr:cNvSpPr>
          <a:spLocks noChangeShapeType="1"/>
        </xdr:cNvSpPr>
      </xdr:nvSpPr>
      <xdr:spPr bwMode="auto">
        <a:xfrm>
          <a:off x="0" y="159258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37</xdr:row>
      <xdr:rowOff>76200</xdr:rowOff>
    </xdr:from>
    <xdr:to>
      <xdr:col>0</xdr:col>
      <xdr:colOff>0</xdr:colOff>
      <xdr:row>37</xdr:row>
      <xdr:rowOff>76200</xdr:rowOff>
    </xdr:to>
    <xdr:sp macro="" textlink="">
      <xdr:nvSpPr>
        <xdr:cNvPr id="4388993" name="Line 61">
          <a:extLst>
            <a:ext uri="{FF2B5EF4-FFF2-40B4-BE49-F238E27FC236}">
              <a16:creationId xmlns="" xmlns:a16="http://schemas.microsoft.com/office/drawing/2014/main" id="{00000000-0008-0000-1100-000081F84200}"/>
            </a:ext>
          </a:extLst>
        </xdr:cNvPr>
        <xdr:cNvSpPr>
          <a:spLocks noChangeShapeType="1"/>
        </xdr:cNvSpPr>
      </xdr:nvSpPr>
      <xdr:spPr bwMode="auto">
        <a:xfrm>
          <a:off x="0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47</xdr:row>
      <xdr:rowOff>0</xdr:rowOff>
    </xdr:from>
    <xdr:to>
      <xdr:col>0</xdr:col>
      <xdr:colOff>0</xdr:colOff>
      <xdr:row>47</xdr:row>
      <xdr:rowOff>0</xdr:rowOff>
    </xdr:to>
    <xdr:sp macro="" textlink="">
      <xdr:nvSpPr>
        <xdr:cNvPr id="4388994" name="Line 62">
          <a:extLst>
            <a:ext uri="{FF2B5EF4-FFF2-40B4-BE49-F238E27FC236}">
              <a16:creationId xmlns="" xmlns:a16="http://schemas.microsoft.com/office/drawing/2014/main" id="{00000000-0008-0000-1100-000082F84200}"/>
            </a:ext>
          </a:extLst>
        </xdr:cNvPr>
        <xdr:cNvSpPr>
          <a:spLocks noChangeShapeType="1"/>
        </xdr:cNvSpPr>
      </xdr:nvSpPr>
      <xdr:spPr bwMode="auto">
        <a:xfrm>
          <a:off x="0" y="159258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37</xdr:row>
      <xdr:rowOff>76200</xdr:rowOff>
    </xdr:from>
    <xdr:to>
      <xdr:col>0</xdr:col>
      <xdr:colOff>0</xdr:colOff>
      <xdr:row>37</xdr:row>
      <xdr:rowOff>76200</xdr:rowOff>
    </xdr:to>
    <xdr:sp macro="" textlink="">
      <xdr:nvSpPr>
        <xdr:cNvPr id="4388995" name="Line 63">
          <a:extLst>
            <a:ext uri="{FF2B5EF4-FFF2-40B4-BE49-F238E27FC236}">
              <a16:creationId xmlns="" xmlns:a16="http://schemas.microsoft.com/office/drawing/2014/main" id="{00000000-0008-0000-1100-000083F84200}"/>
            </a:ext>
          </a:extLst>
        </xdr:cNvPr>
        <xdr:cNvSpPr>
          <a:spLocks noChangeShapeType="1"/>
        </xdr:cNvSpPr>
      </xdr:nvSpPr>
      <xdr:spPr bwMode="auto">
        <a:xfrm>
          <a:off x="0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37</xdr:row>
      <xdr:rowOff>85725</xdr:rowOff>
    </xdr:from>
    <xdr:to>
      <xdr:col>0</xdr:col>
      <xdr:colOff>0</xdr:colOff>
      <xdr:row>39</xdr:row>
      <xdr:rowOff>180975</xdr:rowOff>
    </xdr:to>
    <xdr:sp macro="" textlink="">
      <xdr:nvSpPr>
        <xdr:cNvPr id="4388996" name="Line 64">
          <a:extLst>
            <a:ext uri="{FF2B5EF4-FFF2-40B4-BE49-F238E27FC236}">
              <a16:creationId xmlns="" xmlns:a16="http://schemas.microsoft.com/office/drawing/2014/main" id="{00000000-0008-0000-1100-000084F84200}"/>
            </a:ext>
          </a:extLst>
        </xdr:cNvPr>
        <xdr:cNvSpPr>
          <a:spLocks noChangeShapeType="1"/>
        </xdr:cNvSpPr>
      </xdr:nvSpPr>
      <xdr:spPr bwMode="auto">
        <a:xfrm>
          <a:off x="0" y="12458700"/>
          <a:ext cx="0" cy="933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37</xdr:row>
      <xdr:rowOff>85725</xdr:rowOff>
    </xdr:from>
    <xdr:to>
      <xdr:col>0</xdr:col>
      <xdr:colOff>0</xdr:colOff>
      <xdr:row>39</xdr:row>
      <xdr:rowOff>0</xdr:rowOff>
    </xdr:to>
    <xdr:sp macro="" textlink="">
      <xdr:nvSpPr>
        <xdr:cNvPr id="4388997" name="Line 65">
          <a:extLst>
            <a:ext uri="{FF2B5EF4-FFF2-40B4-BE49-F238E27FC236}">
              <a16:creationId xmlns="" xmlns:a16="http://schemas.microsoft.com/office/drawing/2014/main" id="{00000000-0008-0000-1100-000085F84200}"/>
            </a:ext>
          </a:extLst>
        </xdr:cNvPr>
        <xdr:cNvSpPr>
          <a:spLocks noChangeShapeType="1"/>
        </xdr:cNvSpPr>
      </xdr:nvSpPr>
      <xdr:spPr bwMode="auto">
        <a:xfrm>
          <a:off x="0" y="12458700"/>
          <a:ext cx="0" cy="752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37</xdr:row>
      <xdr:rowOff>85725</xdr:rowOff>
    </xdr:from>
    <xdr:to>
      <xdr:col>0</xdr:col>
      <xdr:colOff>0</xdr:colOff>
      <xdr:row>38</xdr:row>
      <xdr:rowOff>76200</xdr:rowOff>
    </xdr:to>
    <xdr:sp macro="" textlink="">
      <xdr:nvSpPr>
        <xdr:cNvPr id="4388998" name="Line 66">
          <a:extLst>
            <a:ext uri="{FF2B5EF4-FFF2-40B4-BE49-F238E27FC236}">
              <a16:creationId xmlns="" xmlns:a16="http://schemas.microsoft.com/office/drawing/2014/main" id="{00000000-0008-0000-1100-000086F84200}"/>
            </a:ext>
          </a:extLst>
        </xdr:cNvPr>
        <xdr:cNvSpPr>
          <a:spLocks noChangeShapeType="1"/>
        </xdr:cNvSpPr>
      </xdr:nvSpPr>
      <xdr:spPr bwMode="auto">
        <a:xfrm>
          <a:off x="0" y="12458700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37</xdr:row>
      <xdr:rowOff>85725</xdr:rowOff>
    </xdr:from>
    <xdr:to>
      <xdr:col>0</xdr:col>
      <xdr:colOff>0</xdr:colOff>
      <xdr:row>37</xdr:row>
      <xdr:rowOff>228600</xdr:rowOff>
    </xdr:to>
    <xdr:sp macro="" textlink="">
      <xdr:nvSpPr>
        <xdr:cNvPr id="4388999" name="Line 67">
          <a:extLst>
            <a:ext uri="{FF2B5EF4-FFF2-40B4-BE49-F238E27FC236}">
              <a16:creationId xmlns="" xmlns:a16="http://schemas.microsoft.com/office/drawing/2014/main" id="{00000000-0008-0000-1100-000087F84200}"/>
            </a:ext>
          </a:extLst>
        </xdr:cNvPr>
        <xdr:cNvSpPr>
          <a:spLocks noChangeShapeType="1"/>
        </xdr:cNvSpPr>
      </xdr:nvSpPr>
      <xdr:spPr bwMode="auto">
        <a:xfrm>
          <a:off x="0" y="12458700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37</xdr:row>
      <xdr:rowOff>152400</xdr:rowOff>
    </xdr:from>
    <xdr:to>
      <xdr:col>0</xdr:col>
      <xdr:colOff>0</xdr:colOff>
      <xdr:row>37</xdr:row>
      <xdr:rowOff>152400</xdr:rowOff>
    </xdr:to>
    <xdr:sp macro="" textlink="">
      <xdr:nvSpPr>
        <xdr:cNvPr id="4389000" name="Line 68">
          <a:extLst>
            <a:ext uri="{FF2B5EF4-FFF2-40B4-BE49-F238E27FC236}">
              <a16:creationId xmlns="" xmlns:a16="http://schemas.microsoft.com/office/drawing/2014/main" id="{00000000-0008-0000-1100-000088F84200}"/>
            </a:ext>
          </a:extLst>
        </xdr:cNvPr>
        <xdr:cNvSpPr>
          <a:spLocks noChangeShapeType="1"/>
        </xdr:cNvSpPr>
      </xdr:nvSpPr>
      <xdr:spPr bwMode="auto">
        <a:xfrm>
          <a:off x="0" y="125253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37</xdr:row>
      <xdr:rowOff>228600</xdr:rowOff>
    </xdr:from>
    <xdr:to>
      <xdr:col>0</xdr:col>
      <xdr:colOff>0</xdr:colOff>
      <xdr:row>37</xdr:row>
      <xdr:rowOff>228600</xdr:rowOff>
    </xdr:to>
    <xdr:sp macro="" textlink="">
      <xdr:nvSpPr>
        <xdr:cNvPr id="4389001" name="Line 69">
          <a:extLst>
            <a:ext uri="{FF2B5EF4-FFF2-40B4-BE49-F238E27FC236}">
              <a16:creationId xmlns="" xmlns:a16="http://schemas.microsoft.com/office/drawing/2014/main" id="{00000000-0008-0000-1100-000089F84200}"/>
            </a:ext>
          </a:extLst>
        </xdr:cNvPr>
        <xdr:cNvSpPr>
          <a:spLocks noChangeShapeType="1"/>
        </xdr:cNvSpPr>
      </xdr:nvSpPr>
      <xdr:spPr bwMode="auto">
        <a:xfrm>
          <a:off x="0" y="12601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38</xdr:row>
      <xdr:rowOff>76200</xdr:rowOff>
    </xdr:from>
    <xdr:to>
      <xdr:col>0</xdr:col>
      <xdr:colOff>0</xdr:colOff>
      <xdr:row>38</xdr:row>
      <xdr:rowOff>76200</xdr:rowOff>
    </xdr:to>
    <xdr:sp macro="" textlink="">
      <xdr:nvSpPr>
        <xdr:cNvPr id="4389002" name="Line 70">
          <a:extLst>
            <a:ext uri="{FF2B5EF4-FFF2-40B4-BE49-F238E27FC236}">
              <a16:creationId xmlns="" xmlns:a16="http://schemas.microsoft.com/office/drawing/2014/main" id="{00000000-0008-0000-1100-00008AF84200}"/>
            </a:ext>
          </a:extLst>
        </xdr:cNvPr>
        <xdr:cNvSpPr>
          <a:spLocks noChangeShapeType="1"/>
        </xdr:cNvSpPr>
      </xdr:nvSpPr>
      <xdr:spPr bwMode="auto">
        <a:xfrm>
          <a:off x="0" y="127825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37</xdr:row>
      <xdr:rowOff>9525</xdr:rowOff>
    </xdr:from>
    <xdr:to>
      <xdr:col>0</xdr:col>
      <xdr:colOff>0</xdr:colOff>
      <xdr:row>47</xdr:row>
      <xdr:rowOff>0</xdr:rowOff>
    </xdr:to>
    <xdr:sp macro="" textlink="">
      <xdr:nvSpPr>
        <xdr:cNvPr id="4389003" name="Line 71">
          <a:extLst>
            <a:ext uri="{FF2B5EF4-FFF2-40B4-BE49-F238E27FC236}">
              <a16:creationId xmlns="" xmlns:a16="http://schemas.microsoft.com/office/drawing/2014/main" id="{00000000-0008-0000-1100-00008BF84200}"/>
            </a:ext>
          </a:extLst>
        </xdr:cNvPr>
        <xdr:cNvSpPr>
          <a:spLocks noChangeShapeType="1"/>
        </xdr:cNvSpPr>
      </xdr:nvSpPr>
      <xdr:spPr bwMode="auto">
        <a:xfrm>
          <a:off x="0" y="12382500"/>
          <a:ext cx="0" cy="3543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44</xdr:row>
      <xdr:rowOff>0</xdr:rowOff>
    </xdr:from>
    <xdr:to>
      <xdr:col>0</xdr:col>
      <xdr:colOff>0</xdr:colOff>
      <xdr:row>44</xdr:row>
      <xdr:rowOff>161925</xdr:rowOff>
    </xdr:to>
    <xdr:sp macro="" textlink="">
      <xdr:nvSpPr>
        <xdr:cNvPr id="4389004" name="Text Box 72">
          <a:extLst>
            <a:ext uri="{FF2B5EF4-FFF2-40B4-BE49-F238E27FC236}">
              <a16:creationId xmlns="" xmlns:a16="http://schemas.microsoft.com/office/drawing/2014/main" id="{00000000-0008-0000-1100-00008CF84200}"/>
            </a:ext>
          </a:extLst>
        </xdr:cNvPr>
        <xdr:cNvSpPr txBox="1">
          <a:spLocks noChangeArrowheads="1"/>
        </xdr:cNvSpPr>
      </xdr:nvSpPr>
      <xdr:spPr bwMode="auto">
        <a:xfrm>
          <a:off x="0" y="14887575"/>
          <a:ext cx="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47</xdr:row>
      <xdr:rowOff>0</xdr:rowOff>
    </xdr:from>
    <xdr:to>
      <xdr:col>0</xdr:col>
      <xdr:colOff>0</xdr:colOff>
      <xdr:row>47</xdr:row>
      <xdr:rowOff>0</xdr:rowOff>
    </xdr:to>
    <xdr:sp macro="" textlink="">
      <xdr:nvSpPr>
        <xdr:cNvPr id="4389005" name="Line 73">
          <a:extLst>
            <a:ext uri="{FF2B5EF4-FFF2-40B4-BE49-F238E27FC236}">
              <a16:creationId xmlns="" xmlns:a16="http://schemas.microsoft.com/office/drawing/2014/main" id="{00000000-0008-0000-1100-00008DF84200}"/>
            </a:ext>
          </a:extLst>
        </xdr:cNvPr>
        <xdr:cNvSpPr>
          <a:spLocks noChangeShapeType="1"/>
        </xdr:cNvSpPr>
      </xdr:nvSpPr>
      <xdr:spPr bwMode="auto">
        <a:xfrm>
          <a:off x="0" y="159258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0</xdr:colOff>
      <xdr:row>32</xdr:row>
      <xdr:rowOff>0</xdr:rowOff>
    </xdr:to>
    <xdr:sp macro="" textlink="">
      <xdr:nvSpPr>
        <xdr:cNvPr id="4389006" name="Line 74">
          <a:extLst>
            <a:ext uri="{FF2B5EF4-FFF2-40B4-BE49-F238E27FC236}">
              <a16:creationId xmlns="" xmlns:a16="http://schemas.microsoft.com/office/drawing/2014/main" id="{00000000-0008-0000-1100-00008EF84200}"/>
            </a:ext>
          </a:extLst>
        </xdr:cNvPr>
        <xdr:cNvSpPr>
          <a:spLocks noChangeShapeType="1"/>
        </xdr:cNvSpPr>
      </xdr:nvSpPr>
      <xdr:spPr bwMode="auto">
        <a:xfrm>
          <a:off x="0" y="105346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161925</xdr:rowOff>
    </xdr:to>
    <xdr:sp macro="" textlink="">
      <xdr:nvSpPr>
        <xdr:cNvPr id="4389007" name="Rectangle 75">
          <a:extLst>
            <a:ext uri="{FF2B5EF4-FFF2-40B4-BE49-F238E27FC236}">
              <a16:creationId xmlns="" xmlns:a16="http://schemas.microsoft.com/office/drawing/2014/main" id="{00000000-0008-0000-1100-00008FF84200}"/>
            </a:ext>
          </a:extLst>
        </xdr:cNvPr>
        <xdr:cNvSpPr>
          <a:spLocks noChangeArrowheads="1"/>
        </xdr:cNvSpPr>
      </xdr:nvSpPr>
      <xdr:spPr bwMode="auto">
        <a:xfrm>
          <a:off x="0" y="6172200"/>
          <a:ext cx="0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26</xdr:row>
      <xdr:rowOff>123825</xdr:rowOff>
    </xdr:from>
    <xdr:to>
      <xdr:col>0</xdr:col>
      <xdr:colOff>0</xdr:colOff>
      <xdr:row>28</xdr:row>
      <xdr:rowOff>161925</xdr:rowOff>
    </xdr:to>
    <xdr:sp macro="" textlink="">
      <xdr:nvSpPr>
        <xdr:cNvPr id="4389008" name="Line 76">
          <a:extLst>
            <a:ext uri="{FF2B5EF4-FFF2-40B4-BE49-F238E27FC236}">
              <a16:creationId xmlns="" xmlns:a16="http://schemas.microsoft.com/office/drawing/2014/main" id="{00000000-0008-0000-1100-000090F84200}"/>
            </a:ext>
          </a:extLst>
        </xdr:cNvPr>
        <xdr:cNvSpPr>
          <a:spLocks noChangeShapeType="1"/>
        </xdr:cNvSpPr>
      </xdr:nvSpPr>
      <xdr:spPr bwMode="auto">
        <a:xfrm flipV="1">
          <a:off x="0" y="8801100"/>
          <a:ext cx="0" cy="561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26</xdr:row>
      <xdr:rowOff>114300</xdr:rowOff>
    </xdr:from>
    <xdr:to>
      <xdr:col>0</xdr:col>
      <xdr:colOff>0</xdr:colOff>
      <xdr:row>28</xdr:row>
      <xdr:rowOff>142875</xdr:rowOff>
    </xdr:to>
    <xdr:sp macro="" textlink="">
      <xdr:nvSpPr>
        <xdr:cNvPr id="4389009" name="Line 77">
          <a:extLst>
            <a:ext uri="{FF2B5EF4-FFF2-40B4-BE49-F238E27FC236}">
              <a16:creationId xmlns="" xmlns:a16="http://schemas.microsoft.com/office/drawing/2014/main" id="{00000000-0008-0000-1100-000091F84200}"/>
            </a:ext>
          </a:extLst>
        </xdr:cNvPr>
        <xdr:cNvSpPr>
          <a:spLocks noChangeShapeType="1"/>
        </xdr:cNvSpPr>
      </xdr:nvSpPr>
      <xdr:spPr bwMode="auto">
        <a:xfrm flipV="1">
          <a:off x="0" y="8791575"/>
          <a:ext cx="0" cy="552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25</xdr:row>
      <xdr:rowOff>123825</xdr:rowOff>
    </xdr:from>
    <xdr:to>
      <xdr:col>0</xdr:col>
      <xdr:colOff>0</xdr:colOff>
      <xdr:row>27</xdr:row>
      <xdr:rowOff>161925</xdr:rowOff>
    </xdr:to>
    <xdr:sp macro="" textlink="">
      <xdr:nvSpPr>
        <xdr:cNvPr id="4389010" name="Line 78">
          <a:extLst>
            <a:ext uri="{FF2B5EF4-FFF2-40B4-BE49-F238E27FC236}">
              <a16:creationId xmlns="" xmlns:a16="http://schemas.microsoft.com/office/drawing/2014/main" id="{00000000-0008-0000-1100-000092F84200}"/>
            </a:ext>
          </a:extLst>
        </xdr:cNvPr>
        <xdr:cNvSpPr>
          <a:spLocks noChangeShapeType="1"/>
        </xdr:cNvSpPr>
      </xdr:nvSpPr>
      <xdr:spPr bwMode="auto">
        <a:xfrm flipV="1">
          <a:off x="0" y="8553450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25</xdr:row>
      <xdr:rowOff>114300</xdr:rowOff>
    </xdr:from>
    <xdr:to>
      <xdr:col>0</xdr:col>
      <xdr:colOff>0</xdr:colOff>
      <xdr:row>27</xdr:row>
      <xdr:rowOff>142875</xdr:rowOff>
    </xdr:to>
    <xdr:sp macro="" textlink="">
      <xdr:nvSpPr>
        <xdr:cNvPr id="4389011" name="Line 79">
          <a:extLst>
            <a:ext uri="{FF2B5EF4-FFF2-40B4-BE49-F238E27FC236}">
              <a16:creationId xmlns="" xmlns:a16="http://schemas.microsoft.com/office/drawing/2014/main" id="{00000000-0008-0000-1100-000093F84200}"/>
            </a:ext>
          </a:extLst>
        </xdr:cNvPr>
        <xdr:cNvSpPr>
          <a:spLocks noChangeShapeType="1"/>
        </xdr:cNvSpPr>
      </xdr:nvSpPr>
      <xdr:spPr bwMode="auto">
        <a:xfrm flipV="1">
          <a:off x="0" y="8543925"/>
          <a:ext cx="0" cy="466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0</xdr:colOff>
      <xdr:row>27</xdr:row>
      <xdr:rowOff>0</xdr:rowOff>
    </xdr:to>
    <xdr:sp macro="" textlink="">
      <xdr:nvSpPr>
        <xdr:cNvPr id="4389012" name="Line 80">
          <a:extLst>
            <a:ext uri="{FF2B5EF4-FFF2-40B4-BE49-F238E27FC236}">
              <a16:creationId xmlns="" xmlns:a16="http://schemas.microsoft.com/office/drawing/2014/main" id="{00000000-0008-0000-1100-000094F84200}"/>
            </a:ext>
          </a:extLst>
        </xdr:cNvPr>
        <xdr:cNvSpPr>
          <a:spLocks noChangeShapeType="1"/>
        </xdr:cNvSpPr>
      </xdr:nvSpPr>
      <xdr:spPr bwMode="auto">
        <a:xfrm>
          <a:off x="0" y="88677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0</xdr:rowOff>
    </xdr:to>
    <xdr:sp macro="" textlink="">
      <xdr:nvSpPr>
        <xdr:cNvPr id="4389013" name="Line 81">
          <a:extLst>
            <a:ext uri="{FF2B5EF4-FFF2-40B4-BE49-F238E27FC236}">
              <a16:creationId xmlns="" xmlns:a16="http://schemas.microsoft.com/office/drawing/2014/main" id="{00000000-0008-0000-1100-000095F84200}"/>
            </a:ext>
          </a:extLst>
        </xdr:cNvPr>
        <xdr:cNvSpPr>
          <a:spLocks noChangeShapeType="1"/>
        </xdr:cNvSpPr>
      </xdr:nvSpPr>
      <xdr:spPr bwMode="auto">
        <a:xfrm>
          <a:off x="0" y="6172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0</xdr:rowOff>
    </xdr:to>
    <xdr:sp macro="" textlink="">
      <xdr:nvSpPr>
        <xdr:cNvPr id="4389014" name="Line 82">
          <a:extLst>
            <a:ext uri="{FF2B5EF4-FFF2-40B4-BE49-F238E27FC236}">
              <a16:creationId xmlns="" xmlns:a16="http://schemas.microsoft.com/office/drawing/2014/main" id="{00000000-0008-0000-1100-000096F84200}"/>
            </a:ext>
          </a:extLst>
        </xdr:cNvPr>
        <xdr:cNvSpPr>
          <a:spLocks noChangeShapeType="1"/>
        </xdr:cNvSpPr>
      </xdr:nvSpPr>
      <xdr:spPr bwMode="auto">
        <a:xfrm flipV="1">
          <a:off x="0" y="6172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0</xdr:rowOff>
    </xdr:to>
    <xdr:sp macro="" textlink="">
      <xdr:nvSpPr>
        <xdr:cNvPr id="4389015" name="Line 83">
          <a:extLst>
            <a:ext uri="{FF2B5EF4-FFF2-40B4-BE49-F238E27FC236}">
              <a16:creationId xmlns="" xmlns:a16="http://schemas.microsoft.com/office/drawing/2014/main" id="{00000000-0008-0000-1100-000097F84200}"/>
            </a:ext>
          </a:extLst>
        </xdr:cNvPr>
        <xdr:cNvSpPr>
          <a:spLocks noChangeShapeType="1"/>
        </xdr:cNvSpPr>
      </xdr:nvSpPr>
      <xdr:spPr bwMode="auto">
        <a:xfrm flipV="1">
          <a:off x="0" y="6172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476250</xdr:rowOff>
    </xdr:from>
    <xdr:to>
      <xdr:col>0</xdr:col>
      <xdr:colOff>0</xdr:colOff>
      <xdr:row>19</xdr:row>
      <xdr:rowOff>142875</xdr:rowOff>
    </xdr:to>
    <xdr:sp macro="" textlink="">
      <xdr:nvSpPr>
        <xdr:cNvPr id="4389016" name="Rectangle 84">
          <a:extLst>
            <a:ext uri="{FF2B5EF4-FFF2-40B4-BE49-F238E27FC236}">
              <a16:creationId xmlns="" xmlns:a16="http://schemas.microsoft.com/office/drawing/2014/main" id="{00000000-0008-0000-1100-000098F84200}"/>
            </a:ext>
          </a:extLst>
        </xdr:cNvPr>
        <xdr:cNvSpPr>
          <a:spLocks noChangeArrowheads="1"/>
        </xdr:cNvSpPr>
      </xdr:nvSpPr>
      <xdr:spPr bwMode="auto">
        <a:xfrm>
          <a:off x="0" y="6419850"/>
          <a:ext cx="0" cy="142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304800</xdr:rowOff>
    </xdr:to>
    <xdr:sp macro="" textlink="">
      <xdr:nvSpPr>
        <xdr:cNvPr id="4389017" name="Line 85">
          <a:extLst>
            <a:ext uri="{FF2B5EF4-FFF2-40B4-BE49-F238E27FC236}">
              <a16:creationId xmlns="" xmlns:a16="http://schemas.microsoft.com/office/drawing/2014/main" id="{00000000-0008-0000-1100-000099F84200}"/>
            </a:ext>
          </a:extLst>
        </xdr:cNvPr>
        <xdr:cNvSpPr>
          <a:spLocks noChangeShapeType="1"/>
        </xdr:cNvSpPr>
      </xdr:nvSpPr>
      <xdr:spPr bwMode="auto">
        <a:xfrm flipV="1">
          <a:off x="0" y="6172200"/>
          <a:ext cx="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18</xdr:row>
      <xdr:rowOff>19050</xdr:rowOff>
    </xdr:from>
    <xdr:to>
      <xdr:col>0</xdr:col>
      <xdr:colOff>0</xdr:colOff>
      <xdr:row>18</xdr:row>
      <xdr:rowOff>19050</xdr:rowOff>
    </xdr:to>
    <xdr:sp macro="" textlink="">
      <xdr:nvSpPr>
        <xdr:cNvPr id="4389018" name="Line 86">
          <a:extLst>
            <a:ext uri="{FF2B5EF4-FFF2-40B4-BE49-F238E27FC236}">
              <a16:creationId xmlns="" xmlns:a16="http://schemas.microsoft.com/office/drawing/2014/main" id="{00000000-0008-0000-1100-00009AF84200}"/>
            </a:ext>
          </a:extLst>
        </xdr:cNvPr>
        <xdr:cNvSpPr>
          <a:spLocks noChangeShapeType="1"/>
        </xdr:cNvSpPr>
      </xdr:nvSpPr>
      <xdr:spPr bwMode="auto">
        <a:xfrm>
          <a:off x="0" y="61912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0</xdr:col>
      <xdr:colOff>0</xdr:colOff>
      <xdr:row>18</xdr:row>
      <xdr:rowOff>0</xdr:rowOff>
    </xdr:from>
    <xdr:to>
      <xdr:col>0</xdr:col>
      <xdr:colOff>0</xdr:colOff>
      <xdr:row>18</xdr:row>
      <xdr:rowOff>323850</xdr:rowOff>
    </xdr:to>
    <xdr:sp macro="" textlink="">
      <xdr:nvSpPr>
        <xdr:cNvPr id="4389019" name="Line 87">
          <a:extLst>
            <a:ext uri="{FF2B5EF4-FFF2-40B4-BE49-F238E27FC236}">
              <a16:creationId xmlns="" xmlns:a16="http://schemas.microsoft.com/office/drawing/2014/main" id="{00000000-0008-0000-1100-00009BF84200}"/>
            </a:ext>
          </a:extLst>
        </xdr:cNvPr>
        <xdr:cNvSpPr>
          <a:spLocks noChangeShapeType="1"/>
        </xdr:cNvSpPr>
      </xdr:nvSpPr>
      <xdr:spPr bwMode="auto">
        <a:xfrm>
          <a:off x="0" y="6172200"/>
          <a:ext cx="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26</xdr:row>
      <xdr:rowOff>114300</xdr:rowOff>
    </xdr:from>
    <xdr:to>
      <xdr:col>0</xdr:col>
      <xdr:colOff>0</xdr:colOff>
      <xdr:row>26</xdr:row>
      <xdr:rowOff>133350</xdr:rowOff>
    </xdr:to>
    <xdr:sp macro="" textlink="">
      <xdr:nvSpPr>
        <xdr:cNvPr id="4389020" name="Line 88">
          <a:extLst>
            <a:ext uri="{FF2B5EF4-FFF2-40B4-BE49-F238E27FC236}">
              <a16:creationId xmlns="" xmlns:a16="http://schemas.microsoft.com/office/drawing/2014/main" id="{00000000-0008-0000-1100-00009CF84200}"/>
            </a:ext>
          </a:extLst>
        </xdr:cNvPr>
        <xdr:cNvSpPr>
          <a:spLocks noChangeShapeType="1"/>
        </xdr:cNvSpPr>
      </xdr:nvSpPr>
      <xdr:spPr bwMode="auto">
        <a:xfrm flipH="1" flipV="1">
          <a:off x="0" y="8791575"/>
          <a:ext cx="0" cy="19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26</xdr:row>
      <xdr:rowOff>476250</xdr:rowOff>
    </xdr:from>
    <xdr:to>
      <xdr:col>0</xdr:col>
      <xdr:colOff>0</xdr:colOff>
      <xdr:row>26</xdr:row>
      <xdr:rowOff>476250</xdr:rowOff>
    </xdr:to>
    <xdr:sp macro="" textlink="">
      <xdr:nvSpPr>
        <xdr:cNvPr id="4389021" name="Line 89">
          <a:extLst>
            <a:ext uri="{FF2B5EF4-FFF2-40B4-BE49-F238E27FC236}">
              <a16:creationId xmlns="" xmlns:a16="http://schemas.microsoft.com/office/drawing/2014/main" id="{00000000-0008-0000-1100-00009DF84200}"/>
            </a:ext>
          </a:extLst>
        </xdr:cNvPr>
        <xdr:cNvSpPr>
          <a:spLocks noChangeShapeType="1"/>
        </xdr:cNvSpPr>
      </xdr:nvSpPr>
      <xdr:spPr bwMode="auto">
        <a:xfrm flipH="1">
          <a:off x="0" y="88677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47</xdr:row>
      <xdr:rowOff>0</xdr:rowOff>
    </xdr:from>
    <xdr:to>
      <xdr:col>0</xdr:col>
      <xdr:colOff>0</xdr:colOff>
      <xdr:row>47</xdr:row>
      <xdr:rowOff>0</xdr:rowOff>
    </xdr:to>
    <xdr:sp macro="" textlink="">
      <xdr:nvSpPr>
        <xdr:cNvPr id="4389022" name="Line 90">
          <a:extLst>
            <a:ext uri="{FF2B5EF4-FFF2-40B4-BE49-F238E27FC236}">
              <a16:creationId xmlns="" xmlns:a16="http://schemas.microsoft.com/office/drawing/2014/main" id="{00000000-0008-0000-1100-00009EF84200}"/>
            </a:ext>
          </a:extLst>
        </xdr:cNvPr>
        <xdr:cNvSpPr>
          <a:spLocks noChangeShapeType="1"/>
        </xdr:cNvSpPr>
      </xdr:nvSpPr>
      <xdr:spPr bwMode="auto">
        <a:xfrm>
          <a:off x="0" y="159258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46</xdr:row>
      <xdr:rowOff>114300</xdr:rowOff>
    </xdr:from>
    <xdr:to>
      <xdr:col>0</xdr:col>
      <xdr:colOff>0</xdr:colOff>
      <xdr:row>56</xdr:row>
      <xdr:rowOff>0</xdr:rowOff>
    </xdr:to>
    <xdr:sp macro="" textlink="">
      <xdr:nvSpPr>
        <xdr:cNvPr id="4389023" name="Line 91">
          <a:extLst>
            <a:ext uri="{FF2B5EF4-FFF2-40B4-BE49-F238E27FC236}">
              <a16:creationId xmlns="" xmlns:a16="http://schemas.microsoft.com/office/drawing/2014/main" id="{00000000-0008-0000-1100-00009FF84200}"/>
            </a:ext>
          </a:extLst>
        </xdr:cNvPr>
        <xdr:cNvSpPr>
          <a:spLocks noChangeShapeType="1"/>
        </xdr:cNvSpPr>
      </xdr:nvSpPr>
      <xdr:spPr bwMode="auto">
        <a:xfrm>
          <a:off x="0" y="15706725"/>
          <a:ext cx="0" cy="3390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46</xdr:row>
      <xdr:rowOff>133350</xdr:rowOff>
    </xdr:from>
    <xdr:to>
      <xdr:col>0</xdr:col>
      <xdr:colOff>0</xdr:colOff>
      <xdr:row>55</xdr:row>
      <xdr:rowOff>247650</xdr:rowOff>
    </xdr:to>
    <xdr:sp macro="" textlink="">
      <xdr:nvSpPr>
        <xdr:cNvPr id="4389024" name="Line 92">
          <a:extLst>
            <a:ext uri="{FF2B5EF4-FFF2-40B4-BE49-F238E27FC236}">
              <a16:creationId xmlns="" xmlns:a16="http://schemas.microsoft.com/office/drawing/2014/main" id="{00000000-0008-0000-1100-0000A0F84200}"/>
            </a:ext>
          </a:extLst>
        </xdr:cNvPr>
        <xdr:cNvSpPr>
          <a:spLocks noChangeShapeType="1"/>
        </xdr:cNvSpPr>
      </xdr:nvSpPr>
      <xdr:spPr bwMode="auto">
        <a:xfrm>
          <a:off x="0" y="15725775"/>
          <a:ext cx="0" cy="3286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46</xdr:row>
      <xdr:rowOff>19050</xdr:rowOff>
    </xdr:from>
    <xdr:to>
      <xdr:col>0</xdr:col>
      <xdr:colOff>0</xdr:colOff>
      <xdr:row>55</xdr:row>
      <xdr:rowOff>152400</xdr:rowOff>
    </xdr:to>
    <xdr:sp macro="" textlink="">
      <xdr:nvSpPr>
        <xdr:cNvPr id="4389025" name="Line 93">
          <a:extLst>
            <a:ext uri="{FF2B5EF4-FFF2-40B4-BE49-F238E27FC236}">
              <a16:creationId xmlns="" xmlns:a16="http://schemas.microsoft.com/office/drawing/2014/main" id="{00000000-0008-0000-1100-0000A1F84200}"/>
            </a:ext>
          </a:extLst>
        </xdr:cNvPr>
        <xdr:cNvSpPr>
          <a:spLocks noChangeShapeType="1"/>
        </xdr:cNvSpPr>
      </xdr:nvSpPr>
      <xdr:spPr bwMode="auto">
        <a:xfrm>
          <a:off x="0" y="15611475"/>
          <a:ext cx="0" cy="3305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45</xdr:row>
      <xdr:rowOff>190500</xdr:rowOff>
    </xdr:from>
    <xdr:to>
      <xdr:col>0</xdr:col>
      <xdr:colOff>0</xdr:colOff>
      <xdr:row>55</xdr:row>
      <xdr:rowOff>95250</xdr:rowOff>
    </xdr:to>
    <xdr:sp macro="" textlink="">
      <xdr:nvSpPr>
        <xdr:cNvPr id="4389026" name="Line 94">
          <a:extLst>
            <a:ext uri="{FF2B5EF4-FFF2-40B4-BE49-F238E27FC236}">
              <a16:creationId xmlns="" xmlns:a16="http://schemas.microsoft.com/office/drawing/2014/main" id="{00000000-0008-0000-1100-0000A2F84200}"/>
            </a:ext>
          </a:extLst>
        </xdr:cNvPr>
        <xdr:cNvSpPr>
          <a:spLocks noChangeShapeType="1"/>
        </xdr:cNvSpPr>
      </xdr:nvSpPr>
      <xdr:spPr bwMode="auto">
        <a:xfrm>
          <a:off x="0" y="15449550"/>
          <a:ext cx="0" cy="3409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45</xdr:row>
      <xdr:rowOff>152400</xdr:rowOff>
    </xdr:from>
    <xdr:to>
      <xdr:col>0</xdr:col>
      <xdr:colOff>0</xdr:colOff>
      <xdr:row>55</xdr:row>
      <xdr:rowOff>76200</xdr:rowOff>
    </xdr:to>
    <xdr:sp macro="" textlink="">
      <xdr:nvSpPr>
        <xdr:cNvPr id="4389027" name="Line 95">
          <a:extLst>
            <a:ext uri="{FF2B5EF4-FFF2-40B4-BE49-F238E27FC236}">
              <a16:creationId xmlns="" xmlns:a16="http://schemas.microsoft.com/office/drawing/2014/main" id="{00000000-0008-0000-1100-0000A3F84200}"/>
            </a:ext>
          </a:extLst>
        </xdr:cNvPr>
        <xdr:cNvSpPr>
          <a:spLocks noChangeShapeType="1"/>
        </xdr:cNvSpPr>
      </xdr:nvSpPr>
      <xdr:spPr bwMode="auto">
        <a:xfrm>
          <a:off x="0" y="15411450"/>
          <a:ext cx="0" cy="3429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46</xdr:row>
      <xdr:rowOff>114300</xdr:rowOff>
    </xdr:from>
    <xdr:to>
      <xdr:col>0</xdr:col>
      <xdr:colOff>0</xdr:colOff>
      <xdr:row>46</xdr:row>
      <xdr:rowOff>114300</xdr:rowOff>
    </xdr:to>
    <xdr:sp macro="" textlink="">
      <xdr:nvSpPr>
        <xdr:cNvPr id="4389028" name="Line 96">
          <a:extLst>
            <a:ext uri="{FF2B5EF4-FFF2-40B4-BE49-F238E27FC236}">
              <a16:creationId xmlns="" xmlns:a16="http://schemas.microsoft.com/office/drawing/2014/main" id="{00000000-0008-0000-1100-0000A4F84200}"/>
            </a:ext>
          </a:extLst>
        </xdr:cNvPr>
        <xdr:cNvSpPr>
          <a:spLocks noChangeShapeType="1"/>
        </xdr:cNvSpPr>
      </xdr:nvSpPr>
      <xdr:spPr bwMode="auto">
        <a:xfrm flipH="1">
          <a:off x="0" y="157067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55</xdr:row>
      <xdr:rowOff>57150</xdr:rowOff>
    </xdr:from>
    <xdr:to>
      <xdr:col>0</xdr:col>
      <xdr:colOff>0</xdr:colOff>
      <xdr:row>55</xdr:row>
      <xdr:rowOff>57150</xdr:rowOff>
    </xdr:to>
    <xdr:sp macro="" textlink="">
      <xdr:nvSpPr>
        <xdr:cNvPr id="4389029" name="Line 97">
          <a:extLst>
            <a:ext uri="{FF2B5EF4-FFF2-40B4-BE49-F238E27FC236}">
              <a16:creationId xmlns="" xmlns:a16="http://schemas.microsoft.com/office/drawing/2014/main" id="{00000000-0008-0000-1100-0000A5F84200}"/>
            </a:ext>
          </a:extLst>
        </xdr:cNvPr>
        <xdr:cNvSpPr>
          <a:spLocks noChangeShapeType="1"/>
        </xdr:cNvSpPr>
      </xdr:nvSpPr>
      <xdr:spPr bwMode="auto">
        <a:xfrm>
          <a:off x="0" y="188214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55</xdr:row>
      <xdr:rowOff>133350</xdr:rowOff>
    </xdr:from>
    <xdr:to>
      <xdr:col>0</xdr:col>
      <xdr:colOff>0</xdr:colOff>
      <xdr:row>55</xdr:row>
      <xdr:rowOff>133350</xdr:rowOff>
    </xdr:to>
    <xdr:sp macro="" textlink="">
      <xdr:nvSpPr>
        <xdr:cNvPr id="4389030" name="Line 98">
          <a:extLst>
            <a:ext uri="{FF2B5EF4-FFF2-40B4-BE49-F238E27FC236}">
              <a16:creationId xmlns="" xmlns:a16="http://schemas.microsoft.com/office/drawing/2014/main" id="{00000000-0008-0000-1100-0000A6F84200}"/>
            </a:ext>
          </a:extLst>
        </xdr:cNvPr>
        <xdr:cNvSpPr>
          <a:spLocks noChangeShapeType="1"/>
        </xdr:cNvSpPr>
      </xdr:nvSpPr>
      <xdr:spPr bwMode="auto">
        <a:xfrm flipV="1">
          <a:off x="0" y="18897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55</xdr:row>
      <xdr:rowOff>190500</xdr:rowOff>
    </xdr:from>
    <xdr:to>
      <xdr:col>0</xdr:col>
      <xdr:colOff>0</xdr:colOff>
      <xdr:row>55</xdr:row>
      <xdr:rowOff>190500</xdr:rowOff>
    </xdr:to>
    <xdr:sp macro="" textlink="">
      <xdr:nvSpPr>
        <xdr:cNvPr id="4389031" name="Line 99">
          <a:extLst>
            <a:ext uri="{FF2B5EF4-FFF2-40B4-BE49-F238E27FC236}">
              <a16:creationId xmlns="" xmlns:a16="http://schemas.microsoft.com/office/drawing/2014/main" id="{00000000-0008-0000-1100-0000A7F84200}"/>
            </a:ext>
          </a:extLst>
        </xdr:cNvPr>
        <xdr:cNvSpPr>
          <a:spLocks noChangeShapeType="1"/>
        </xdr:cNvSpPr>
      </xdr:nvSpPr>
      <xdr:spPr bwMode="auto">
        <a:xfrm>
          <a:off x="0" y="18954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55</xdr:row>
      <xdr:rowOff>247650</xdr:rowOff>
    </xdr:from>
    <xdr:to>
      <xdr:col>0</xdr:col>
      <xdr:colOff>0</xdr:colOff>
      <xdr:row>55</xdr:row>
      <xdr:rowOff>247650</xdr:rowOff>
    </xdr:to>
    <xdr:sp macro="" textlink="">
      <xdr:nvSpPr>
        <xdr:cNvPr id="4389032" name="Line 100">
          <a:extLst>
            <a:ext uri="{FF2B5EF4-FFF2-40B4-BE49-F238E27FC236}">
              <a16:creationId xmlns="" xmlns:a16="http://schemas.microsoft.com/office/drawing/2014/main" id="{00000000-0008-0000-1100-0000A8F84200}"/>
            </a:ext>
          </a:extLst>
        </xdr:cNvPr>
        <xdr:cNvSpPr>
          <a:spLocks noChangeShapeType="1"/>
        </xdr:cNvSpPr>
      </xdr:nvSpPr>
      <xdr:spPr bwMode="auto">
        <a:xfrm>
          <a:off x="0" y="190119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56</xdr:row>
      <xdr:rowOff>57150</xdr:rowOff>
    </xdr:from>
    <xdr:to>
      <xdr:col>0</xdr:col>
      <xdr:colOff>0</xdr:colOff>
      <xdr:row>56</xdr:row>
      <xdr:rowOff>57150</xdr:rowOff>
    </xdr:to>
    <xdr:sp macro="" textlink="">
      <xdr:nvSpPr>
        <xdr:cNvPr id="4389033" name="Line 101">
          <a:extLst>
            <a:ext uri="{FF2B5EF4-FFF2-40B4-BE49-F238E27FC236}">
              <a16:creationId xmlns="" xmlns:a16="http://schemas.microsoft.com/office/drawing/2014/main" id="{00000000-0008-0000-1100-0000A9F84200}"/>
            </a:ext>
          </a:extLst>
        </xdr:cNvPr>
        <xdr:cNvSpPr>
          <a:spLocks noChangeShapeType="1"/>
        </xdr:cNvSpPr>
      </xdr:nvSpPr>
      <xdr:spPr bwMode="auto">
        <a:xfrm>
          <a:off x="0" y="191547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46</xdr:row>
      <xdr:rowOff>57150</xdr:rowOff>
    </xdr:from>
    <xdr:to>
      <xdr:col>0</xdr:col>
      <xdr:colOff>0</xdr:colOff>
      <xdr:row>46</xdr:row>
      <xdr:rowOff>57150</xdr:rowOff>
    </xdr:to>
    <xdr:sp macro="" textlink="">
      <xdr:nvSpPr>
        <xdr:cNvPr id="4389034" name="Line 102">
          <a:extLst>
            <a:ext uri="{FF2B5EF4-FFF2-40B4-BE49-F238E27FC236}">
              <a16:creationId xmlns="" xmlns:a16="http://schemas.microsoft.com/office/drawing/2014/main" id="{00000000-0008-0000-1100-0000AAF84200}"/>
            </a:ext>
          </a:extLst>
        </xdr:cNvPr>
        <xdr:cNvSpPr>
          <a:spLocks noChangeShapeType="1"/>
        </xdr:cNvSpPr>
      </xdr:nvSpPr>
      <xdr:spPr bwMode="auto">
        <a:xfrm flipH="1">
          <a:off x="0" y="15649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0</xdr:colOff>
      <xdr:row>46</xdr:row>
      <xdr:rowOff>0</xdr:rowOff>
    </xdr:to>
    <xdr:sp macro="" textlink="">
      <xdr:nvSpPr>
        <xdr:cNvPr id="4389035" name="Line 103">
          <a:extLst>
            <a:ext uri="{FF2B5EF4-FFF2-40B4-BE49-F238E27FC236}">
              <a16:creationId xmlns="" xmlns:a16="http://schemas.microsoft.com/office/drawing/2014/main" id="{00000000-0008-0000-1100-0000ABF84200}"/>
            </a:ext>
          </a:extLst>
        </xdr:cNvPr>
        <xdr:cNvSpPr>
          <a:spLocks noChangeShapeType="1"/>
        </xdr:cNvSpPr>
      </xdr:nvSpPr>
      <xdr:spPr bwMode="auto">
        <a:xfrm flipH="1">
          <a:off x="0" y="15592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45</xdr:row>
      <xdr:rowOff>190500</xdr:rowOff>
    </xdr:from>
    <xdr:to>
      <xdr:col>0</xdr:col>
      <xdr:colOff>0</xdr:colOff>
      <xdr:row>45</xdr:row>
      <xdr:rowOff>190500</xdr:rowOff>
    </xdr:to>
    <xdr:sp macro="" textlink="">
      <xdr:nvSpPr>
        <xdr:cNvPr id="4389036" name="Line 104">
          <a:extLst>
            <a:ext uri="{FF2B5EF4-FFF2-40B4-BE49-F238E27FC236}">
              <a16:creationId xmlns="" xmlns:a16="http://schemas.microsoft.com/office/drawing/2014/main" id="{00000000-0008-0000-1100-0000ACF84200}"/>
            </a:ext>
          </a:extLst>
        </xdr:cNvPr>
        <xdr:cNvSpPr>
          <a:spLocks noChangeShapeType="1"/>
        </xdr:cNvSpPr>
      </xdr:nvSpPr>
      <xdr:spPr bwMode="auto">
        <a:xfrm flipH="1">
          <a:off x="0" y="154495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45</xdr:row>
      <xdr:rowOff>114300</xdr:rowOff>
    </xdr:from>
    <xdr:to>
      <xdr:col>0</xdr:col>
      <xdr:colOff>0</xdr:colOff>
      <xdr:row>45</xdr:row>
      <xdr:rowOff>114300</xdr:rowOff>
    </xdr:to>
    <xdr:sp macro="" textlink="">
      <xdr:nvSpPr>
        <xdr:cNvPr id="4389037" name="Line 105">
          <a:extLst>
            <a:ext uri="{FF2B5EF4-FFF2-40B4-BE49-F238E27FC236}">
              <a16:creationId xmlns="" xmlns:a16="http://schemas.microsoft.com/office/drawing/2014/main" id="{00000000-0008-0000-1100-0000ADF84200}"/>
            </a:ext>
          </a:extLst>
        </xdr:cNvPr>
        <xdr:cNvSpPr>
          <a:spLocks noChangeShapeType="1"/>
        </xdr:cNvSpPr>
      </xdr:nvSpPr>
      <xdr:spPr bwMode="auto">
        <a:xfrm flipH="1">
          <a:off x="0" y="153733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47</xdr:row>
      <xdr:rowOff>0</xdr:rowOff>
    </xdr:from>
    <xdr:to>
      <xdr:col>0</xdr:col>
      <xdr:colOff>0</xdr:colOff>
      <xdr:row>47</xdr:row>
      <xdr:rowOff>0</xdr:rowOff>
    </xdr:to>
    <xdr:sp macro="" textlink="">
      <xdr:nvSpPr>
        <xdr:cNvPr id="4389038" name="Line 106">
          <a:extLst>
            <a:ext uri="{FF2B5EF4-FFF2-40B4-BE49-F238E27FC236}">
              <a16:creationId xmlns="" xmlns:a16="http://schemas.microsoft.com/office/drawing/2014/main" id="{00000000-0008-0000-1100-0000AEF84200}"/>
            </a:ext>
          </a:extLst>
        </xdr:cNvPr>
        <xdr:cNvSpPr>
          <a:spLocks noChangeShapeType="1"/>
        </xdr:cNvSpPr>
      </xdr:nvSpPr>
      <xdr:spPr bwMode="auto">
        <a:xfrm>
          <a:off x="0" y="159258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54</xdr:row>
      <xdr:rowOff>247650</xdr:rowOff>
    </xdr:from>
    <xdr:to>
      <xdr:col>0</xdr:col>
      <xdr:colOff>0</xdr:colOff>
      <xdr:row>54</xdr:row>
      <xdr:rowOff>247650</xdr:rowOff>
    </xdr:to>
    <xdr:sp macro="" textlink="">
      <xdr:nvSpPr>
        <xdr:cNvPr id="4389039" name="Line 107">
          <a:extLst>
            <a:ext uri="{FF2B5EF4-FFF2-40B4-BE49-F238E27FC236}">
              <a16:creationId xmlns="" xmlns:a16="http://schemas.microsoft.com/office/drawing/2014/main" id="{00000000-0008-0000-1100-0000AFF84200}"/>
            </a:ext>
          </a:extLst>
        </xdr:cNvPr>
        <xdr:cNvSpPr>
          <a:spLocks noChangeShapeType="1"/>
        </xdr:cNvSpPr>
      </xdr:nvSpPr>
      <xdr:spPr bwMode="auto">
        <a:xfrm>
          <a:off x="0" y="18697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38</xdr:row>
      <xdr:rowOff>190500</xdr:rowOff>
    </xdr:from>
    <xdr:to>
      <xdr:col>0</xdr:col>
      <xdr:colOff>0</xdr:colOff>
      <xdr:row>41</xdr:row>
      <xdr:rowOff>247650</xdr:rowOff>
    </xdr:to>
    <xdr:sp macro="" textlink="">
      <xdr:nvSpPr>
        <xdr:cNvPr id="109" name="Text Box 108">
          <a:extLst>
            <a:ext uri="{FF2B5EF4-FFF2-40B4-BE49-F238E27FC236}">
              <a16:creationId xmlns="" xmlns:a16="http://schemas.microsoft.com/office/drawing/2014/main" id="{00000000-0008-0000-1100-00006D000000}"/>
            </a:ext>
          </a:extLst>
        </xdr:cNvPr>
        <xdr:cNvSpPr txBox="1">
          <a:spLocks noChangeArrowheads="1"/>
        </xdr:cNvSpPr>
      </xdr:nvSpPr>
      <xdr:spPr bwMode="auto">
        <a:xfrm>
          <a:off x="0" y="12896850"/>
          <a:ext cx="0" cy="1228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1°</a:t>
          </a:r>
        </a:p>
      </xdr:txBody>
    </xdr:sp>
    <xdr:clientData/>
  </xdr:twoCellAnchor>
  <xdr:twoCellAnchor>
    <xdr:from>
      <xdr:col>0</xdr:col>
      <xdr:colOff>0</xdr:colOff>
      <xdr:row>38</xdr:row>
      <xdr:rowOff>200025</xdr:rowOff>
    </xdr:from>
    <xdr:to>
      <xdr:col>0</xdr:col>
      <xdr:colOff>0</xdr:colOff>
      <xdr:row>41</xdr:row>
      <xdr:rowOff>247650</xdr:rowOff>
    </xdr:to>
    <xdr:sp macro="" textlink="">
      <xdr:nvSpPr>
        <xdr:cNvPr id="110" name="Text Box 109">
          <a:extLst>
            <a:ext uri="{FF2B5EF4-FFF2-40B4-BE49-F238E27FC236}">
              <a16:creationId xmlns="" xmlns:a16="http://schemas.microsoft.com/office/drawing/2014/main" id="{00000000-0008-0000-1100-00006E000000}"/>
            </a:ext>
          </a:extLst>
        </xdr:cNvPr>
        <xdr:cNvSpPr txBox="1">
          <a:spLocks noChangeArrowheads="1"/>
        </xdr:cNvSpPr>
      </xdr:nvSpPr>
      <xdr:spPr bwMode="auto">
        <a:xfrm>
          <a:off x="0" y="12906375"/>
          <a:ext cx="0" cy="1219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3°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0</xdr:col>
      <xdr:colOff>0</xdr:colOff>
      <xdr:row>38</xdr:row>
      <xdr:rowOff>180975</xdr:rowOff>
    </xdr:from>
    <xdr:to>
      <xdr:col>0</xdr:col>
      <xdr:colOff>0</xdr:colOff>
      <xdr:row>41</xdr:row>
      <xdr:rowOff>219075</xdr:rowOff>
    </xdr:to>
    <xdr:sp macro="" textlink="">
      <xdr:nvSpPr>
        <xdr:cNvPr id="111" name="Text Box 110">
          <a:extLst>
            <a:ext uri="{FF2B5EF4-FFF2-40B4-BE49-F238E27FC236}">
              <a16:creationId xmlns="" xmlns:a16="http://schemas.microsoft.com/office/drawing/2014/main" id="{00000000-0008-0000-1100-00006F000000}"/>
            </a:ext>
          </a:extLst>
        </xdr:cNvPr>
        <xdr:cNvSpPr txBox="1">
          <a:spLocks noChangeArrowheads="1"/>
        </xdr:cNvSpPr>
      </xdr:nvSpPr>
      <xdr:spPr bwMode="auto">
        <a:xfrm>
          <a:off x="0" y="12887325"/>
          <a:ext cx="0" cy="1209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0</xdr:col>
      <xdr:colOff>0</xdr:colOff>
      <xdr:row>38</xdr:row>
      <xdr:rowOff>190500</xdr:rowOff>
    </xdr:from>
    <xdr:to>
      <xdr:col>0</xdr:col>
      <xdr:colOff>0</xdr:colOff>
      <xdr:row>41</xdr:row>
      <xdr:rowOff>295275</xdr:rowOff>
    </xdr:to>
    <xdr:sp macro="" textlink="">
      <xdr:nvSpPr>
        <xdr:cNvPr id="112" name="Text Box 111">
          <a:extLst>
            <a:ext uri="{FF2B5EF4-FFF2-40B4-BE49-F238E27FC236}">
              <a16:creationId xmlns="" xmlns:a16="http://schemas.microsoft.com/office/drawing/2014/main" id="{00000000-0008-0000-1100-000070000000}"/>
            </a:ext>
          </a:extLst>
        </xdr:cNvPr>
        <xdr:cNvSpPr txBox="1">
          <a:spLocks noChangeArrowheads="1"/>
        </xdr:cNvSpPr>
      </xdr:nvSpPr>
      <xdr:spPr bwMode="auto">
        <a:xfrm>
          <a:off x="0" y="12896850"/>
          <a:ext cx="0" cy="1276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0</xdr:col>
      <xdr:colOff>0</xdr:colOff>
      <xdr:row>38</xdr:row>
      <xdr:rowOff>209550</xdr:rowOff>
    </xdr:from>
    <xdr:to>
      <xdr:col>0</xdr:col>
      <xdr:colOff>0</xdr:colOff>
      <xdr:row>41</xdr:row>
      <xdr:rowOff>295275</xdr:rowOff>
    </xdr:to>
    <xdr:sp macro="" textlink="">
      <xdr:nvSpPr>
        <xdr:cNvPr id="113" name="Text Box 112">
          <a:extLst>
            <a:ext uri="{FF2B5EF4-FFF2-40B4-BE49-F238E27FC236}">
              <a16:creationId xmlns="" xmlns:a16="http://schemas.microsoft.com/office/drawing/2014/main" id="{00000000-0008-0000-1100-000071000000}"/>
            </a:ext>
          </a:extLst>
        </xdr:cNvPr>
        <xdr:cNvSpPr txBox="1">
          <a:spLocks noChangeArrowheads="1"/>
        </xdr:cNvSpPr>
      </xdr:nvSpPr>
      <xdr:spPr bwMode="auto">
        <a:xfrm>
          <a:off x="0" y="12915900"/>
          <a:ext cx="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lnSpc>
              <a:spcPts val="3700"/>
            </a:lnSpc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5°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2200"/>
            </a:lnSpc>
            <a:defRPr sz="1000"/>
          </a:pP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2200"/>
            </a:lnSpc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0</xdr:col>
      <xdr:colOff>0</xdr:colOff>
      <xdr:row>38</xdr:row>
      <xdr:rowOff>171450</xdr:rowOff>
    </xdr:from>
    <xdr:to>
      <xdr:col>0</xdr:col>
      <xdr:colOff>0</xdr:colOff>
      <xdr:row>41</xdr:row>
      <xdr:rowOff>171450</xdr:rowOff>
    </xdr:to>
    <xdr:sp macro="" textlink="">
      <xdr:nvSpPr>
        <xdr:cNvPr id="114" name="Text Box 113">
          <a:extLst>
            <a:ext uri="{FF2B5EF4-FFF2-40B4-BE49-F238E27FC236}">
              <a16:creationId xmlns="" xmlns:a16="http://schemas.microsoft.com/office/drawing/2014/main" id="{00000000-0008-0000-1100-000072000000}"/>
            </a:ext>
          </a:extLst>
        </xdr:cNvPr>
        <xdr:cNvSpPr txBox="1">
          <a:spLocks noChangeArrowheads="1"/>
        </xdr:cNvSpPr>
      </xdr:nvSpPr>
      <xdr:spPr bwMode="auto">
        <a:xfrm>
          <a:off x="0" y="12877800"/>
          <a:ext cx="0" cy="1171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lnSpc>
              <a:spcPts val="3400"/>
            </a:lnSpc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6°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2100"/>
            </a:lnSpc>
            <a:defRPr sz="1000"/>
          </a:pPr>
          <a:r>
            <a:rPr lang="it-IT" sz="2200" b="1" i="0" strike="noStrike">
              <a:solidFill>
                <a:srgbClr val="000000"/>
              </a:solidFill>
              <a:latin typeface="Times New Roman"/>
              <a:cs typeface="Times New Roman"/>
            </a:rPr>
            <a:t>6</a:t>
          </a:r>
        </a:p>
      </xdr:txBody>
    </xdr:sp>
    <xdr:clientData/>
  </xdr:twoCellAnchor>
  <xdr:twoCellAnchor>
    <xdr:from>
      <xdr:col>2</xdr:col>
      <xdr:colOff>28575</xdr:colOff>
      <xdr:row>39</xdr:row>
      <xdr:rowOff>76200</xdr:rowOff>
    </xdr:from>
    <xdr:to>
      <xdr:col>4</xdr:col>
      <xdr:colOff>0</xdr:colOff>
      <xdr:row>46</xdr:row>
      <xdr:rowOff>238125</xdr:rowOff>
    </xdr:to>
    <xdr:grpSp>
      <xdr:nvGrpSpPr>
        <xdr:cNvPr id="4389046" name="Group 137">
          <a:extLst>
            <a:ext uri="{FF2B5EF4-FFF2-40B4-BE49-F238E27FC236}">
              <a16:creationId xmlns="" xmlns:a16="http://schemas.microsoft.com/office/drawing/2014/main" id="{00000000-0008-0000-1100-0000B6F84200}"/>
            </a:ext>
          </a:extLst>
        </xdr:cNvPr>
        <xdr:cNvGrpSpPr>
          <a:grpSpLocks/>
        </xdr:cNvGrpSpPr>
      </xdr:nvGrpSpPr>
      <xdr:grpSpPr bwMode="auto">
        <a:xfrm>
          <a:off x="3362325" y="13424807"/>
          <a:ext cx="2094139" cy="2570389"/>
          <a:chOff x="206" y="1068"/>
          <a:chExt cx="243" cy="232"/>
        </a:xfrm>
      </xdr:grpSpPr>
      <xdr:pic>
        <xdr:nvPicPr>
          <xdr:cNvPr id="4389154" name="Picture 138" descr="vistafoglio">
            <a:extLst>
              <a:ext uri="{FF2B5EF4-FFF2-40B4-BE49-F238E27FC236}">
                <a16:creationId xmlns="" xmlns:a16="http://schemas.microsoft.com/office/drawing/2014/main" id="{00000000-0008-0000-1100-000022F942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/>
          <a:srcRect l="37663" t="35283" r="43002" b="30641"/>
          <a:stretch>
            <a:fillRect/>
          </a:stretch>
        </xdr:blipFill>
        <xdr:spPr bwMode="auto">
          <a:xfrm>
            <a:off x="206" y="1083"/>
            <a:ext cx="243" cy="21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sp macro="" textlink="">
        <xdr:nvSpPr>
          <xdr:cNvPr id="117" name="Text Box 139">
            <a:extLst>
              <a:ext uri="{FF2B5EF4-FFF2-40B4-BE49-F238E27FC236}">
                <a16:creationId xmlns="" xmlns:a16="http://schemas.microsoft.com/office/drawing/2014/main" id="{00000000-0008-0000-1100-00007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3" y="1068"/>
            <a:ext cx="35" cy="3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32004" rIns="0" bIns="0" anchor="t" upright="1"/>
          <a:lstStyle/>
          <a:p>
            <a:pPr algn="l" rtl="0">
              <a:defRPr sz="1000"/>
            </a:pPr>
            <a:r>
              <a:rPr lang="it-IT" sz="1400" b="1" i="0" strike="noStrike">
                <a:solidFill>
                  <a:srgbClr val="000000"/>
                </a:solidFill>
                <a:latin typeface="Trebuchet MS"/>
              </a:rPr>
              <a:t>1°</a:t>
            </a:r>
          </a:p>
        </xdr:txBody>
      </xdr:sp>
      <xdr:sp macro="" textlink="">
        <xdr:nvSpPr>
          <xdr:cNvPr id="118" name="Text Box 140">
            <a:extLst>
              <a:ext uri="{FF2B5EF4-FFF2-40B4-BE49-F238E27FC236}">
                <a16:creationId xmlns="" xmlns:a16="http://schemas.microsoft.com/office/drawing/2014/main" id="{00000000-0008-0000-1100-000076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74" y="1068"/>
            <a:ext cx="21" cy="2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32004" rIns="0" bIns="0" anchor="t" upright="1"/>
          <a:lstStyle/>
          <a:p>
            <a:pPr algn="l" rtl="0">
              <a:lnSpc>
                <a:spcPts val="1300"/>
              </a:lnSpc>
              <a:defRPr sz="1000"/>
            </a:pPr>
            <a:r>
              <a:rPr lang="it-IT" sz="1400" b="1" i="0" strike="noStrike">
                <a:solidFill>
                  <a:srgbClr val="000000"/>
                </a:solidFill>
                <a:latin typeface="Trebuchet MS"/>
              </a:rPr>
              <a:t>3°</a:t>
            </a:r>
            <a:endParaRPr lang="it-IT" sz="1400" b="0" i="0" strike="noStrike">
              <a:solidFill>
                <a:srgbClr val="000000"/>
              </a:solidFill>
              <a:latin typeface="Trebuchet MS"/>
            </a:endParaRPr>
          </a:p>
          <a:p>
            <a:pPr algn="l" rtl="0">
              <a:lnSpc>
                <a:spcPts val="1400"/>
              </a:lnSpc>
              <a:defRPr sz="1000"/>
            </a:pPr>
            <a:r>
              <a:rPr lang="it-IT" sz="1400" b="0" i="0" strike="noStrike">
                <a:solidFill>
                  <a:srgbClr val="000000"/>
                </a:solidFill>
                <a:latin typeface="Trebuchet MS"/>
              </a:rPr>
              <a:t>°</a:t>
            </a:r>
          </a:p>
        </xdr:txBody>
      </xdr:sp>
      <xdr:sp macro="" textlink="">
        <xdr:nvSpPr>
          <xdr:cNvPr id="119" name="Text Box 141">
            <a:extLst>
              <a:ext uri="{FF2B5EF4-FFF2-40B4-BE49-F238E27FC236}">
                <a16:creationId xmlns="" xmlns:a16="http://schemas.microsoft.com/office/drawing/2014/main" id="{00000000-0008-0000-1100-000077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62" y="1068"/>
            <a:ext cx="33" cy="2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32004" rIns="0" bIns="0" anchor="t" upright="1"/>
          <a:lstStyle/>
          <a:p>
            <a:pPr algn="l" rtl="0">
              <a:defRPr sz="1000"/>
            </a:pPr>
            <a:r>
              <a:rPr lang="it-IT" sz="1400" b="1" i="0" strike="noStrike">
                <a:solidFill>
                  <a:srgbClr val="000000"/>
                </a:solidFill>
                <a:latin typeface="Trebuchet MS"/>
              </a:rPr>
              <a:t>4</a:t>
            </a:r>
            <a:r>
              <a:rPr lang="it-IT" sz="1400" b="0" i="0" strike="noStrike">
                <a:solidFill>
                  <a:srgbClr val="000000"/>
                </a:solidFill>
                <a:latin typeface="Trebuchet MS"/>
              </a:rPr>
              <a:t>°</a:t>
            </a:r>
          </a:p>
        </xdr:txBody>
      </xdr:sp>
      <xdr:sp macro="" textlink="">
        <xdr:nvSpPr>
          <xdr:cNvPr id="120" name="Text Box 142">
            <a:extLst>
              <a:ext uri="{FF2B5EF4-FFF2-40B4-BE49-F238E27FC236}">
                <a16:creationId xmlns="" xmlns:a16="http://schemas.microsoft.com/office/drawing/2014/main" id="{00000000-0008-0000-1100-00007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34" y="1069"/>
            <a:ext cx="35" cy="3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32004" rIns="0" bIns="0" anchor="t" upright="1"/>
          <a:lstStyle/>
          <a:p>
            <a:pPr algn="l" rtl="0">
              <a:defRPr sz="1000"/>
            </a:pPr>
            <a:r>
              <a:rPr lang="it-IT" sz="1400" b="1" i="0" strike="noStrike">
                <a:solidFill>
                  <a:srgbClr val="000000"/>
                </a:solidFill>
                <a:latin typeface="Trebuchet MS"/>
              </a:rPr>
              <a:t>2°</a:t>
            </a:r>
          </a:p>
        </xdr:txBody>
      </xdr:sp>
      <xdr:sp macro="" textlink="">
        <xdr:nvSpPr>
          <xdr:cNvPr id="121" name="Text Box 143">
            <a:extLst>
              <a:ext uri="{FF2B5EF4-FFF2-40B4-BE49-F238E27FC236}">
                <a16:creationId xmlns="" xmlns:a16="http://schemas.microsoft.com/office/drawing/2014/main" id="{00000000-0008-0000-1100-00007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45" y="1068"/>
            <a:ext cx="36" cy="2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32004" rIns="0" bIns="0" anchor="t" upright="1"/>
          <a:lstStyle/>
          <a:p>
            <a:pPr algn="l" rtl="0">
              <a:defRPr sz="1000"/>
            </a:pPr>
            <a:r>
              <a:rPr lang="it-IT" sz="1400" b="1" i="0" strike="noStrike">
                <a:solidFill>
                  <a:srgbClr val="000000"/>
                </a:solidFill>
                <a:latin typeface="Trebuchet MS"/>
              </a:rPr>
              <a:t>5°</a:t>
            </a:r>
            <a:endParaRPr lang="it-IT" sz="1400" b="0" i="0" strike="noStrike">
              <a:solidFill>
                <a:srgbClr val="000000"/>
              </a:solidFill>
              <a:latin typeface="Trebuchet MS"/>
            </a:endParaRPr>
          </a:p>
          <a:p>
            <a:pPr algn="l" rtl="0">
              <a:defRPr sz="1000"/>
            </a:pPr>
            <a:endParaRPr lang="it-IT" sz="1400" b="0" i="0" strike="noStrike">
              <a:solidFill>
                <a:srgbClr val="000000"/>
              </a:solidFill>
              <a:latin typeface="Trebuchet MS"/>
            </a:endParaRPr>
          </a:p>
          <a:p>
            <a:pPr algn="l" rtl="0">
              <a:defRPr sz="1000"/>
            </a:pPr>
            <a:r>
              <a:rPr lang="it-IT" sz="1400" b="0" i="0" strike="noStrike">
                <a:solidFill>
                  <a:srgbClr val="000000"/>
                </a:solidFill>
                <a:latin typeface="Trebuchet MS"/>
              </a:rPr>
              <a:t>°</a:t>
            </a:r>
          </a:p>
        </xdr:txBody>
      </xdr:sp>
      <xdr:sp macro="" textlink="">
        <xdr:nvSpPr>
          <xdr:cNvPr id="122" name="Text Box 144">
            <a:extLst>
              <a:ext uri="{FF2B5EF4-FFF2-40B4-BE49-F238E27FC236}">
                <a16:creationId xmlns="" xmlns:a16="http://schemas.microsoft.com/office/drawing/2014/main" id="{00000000-0008-0000-1100-00007A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93" y="1068"/>
            <a:ext cx="25" cy="2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32004" rIns="0" bIns="0" anchor="t" upright="1"/>
          <a:lstStyle/>
          <a:p>
            <a:pPr algn="l" rtl="0">
              <a:defRPr sz="1000"/>
            </a:pPr>
            <a:r>
              <a:rPr lang="it-IT" sz="1400" b="1" i="0" strike="noStrike">
                <a:solidFill>
                  <a:srgbClr val="000000"/>
                </a:solidFill>
                <a:latin typeface="Trebuchet MS"/>
              </a:rPr>
              <a:t>6°</a:t>
            </a:r>
          </a:p>
        </xdr:txBody>
      </xdr:sp>
    </xdr:grpSp>
    <xdr:clientData/>
  </xdr:twoCellAnchor>
  <xdr:twoCellAnchor>
    <xdr:from>
      <xdr:col>13</xdr:col>
      <xdr:colOff>171450</xdr:colOff>
      <xdr:row>22</xdr:row>
      <xdr:rowOff>285750</xdr:rowOff>
    </xdr:from>
    <xdr:to>
      <xdr:col>16</xdr:col>
      <xdr:colOff>1038225</xdr:colOff>
      <xdr:row>32</xdr:row>
      <xdr:rowOff>304800</xdr:rowOff>
    </xdr:to>
    <xdr:grpSp>
      <xdr:nvGrpSpPr>
        <xdr:cNvPr id="4389047" name="Group 145">
          <a:extLst>
            <a:ext uri="{FF2B5EF4-FFF2-40B4-BE49-F238E27FC236}">
              <a16:creationId xmlns="" xmlns:a16="http://schemas.microsoft.com/office/drawing/2014/main" id="{00000000-0008-0000-1100-0000B7F84200}"/>
            </a:ext>
          </a:extLst>
        </xdr:cNvPr>
        <xdr:cNvGrpSpPr>
          <a:grpSpLocks noChangeAspect="1"/>
        </xdr:cNvGrpSpPr>
      </xdr:nvGrpSpPr>
      <xdr:grpSpPr bwMode="auto">
        <a:xfrm>
          <a:off x="11723914" y="7919357"/>
          <a:ext cx="4486275" cy="3026229"/>
          <a:chOff x="845" y="802"/>
          <a:chExt cx="409" cy="318"/>
        </a:xfrm>
      </xdr:grpSpPr>
      <xdr:grpSp>
        <xdr:nvGrpSpPr>
          <xdr:cNvPr id="4389138" name="Group 146">
            <a:extLst>
              <a:ext uri="{FF2B5EF4-FFF2-40B4-BE49-F238E27FC236}">
                <a16:creationId xmlns="" xmlns:a16="http://schemas.microsoft.com/office/drawing/2014/main" id="{00000000-0008-0000-1100-000012F9420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847" y="833"/>
            <a:ext cx="405" cy="252"/>
            <a:chOff x="812" y="793"/>
            <a:chExt cx="405" cy="252"/>
          </a:xfrm>
        </xdr:grpSpPr>
        <xdr:sp macro="" textlink="">
          <xdr:nvSpPr>
            <xdr:cNvPr id="127" name="Text Box 147">
              <a:extLst>
                <a:ext uri="{FF2B5EF4-FFF2-40B4-BE49-F238E27FC236}">
                  <a16:creationId xmlns="" xmlns:a16="http://schemas.microsoft.com/office/drawing/2014/main" id="{00000000-0008-0000-1100-00007F000000}"/>
                </a:ext>
              </a:extLst>
            </xdr:cNvPr>
            <xdr:cNvSpPr txBox="1">
              <a:spLocks noChangeAspect="1" noChangeArrowheads="1"/>
            </xdr:cNvSpPr>
          </xdr:nvSpPr>
          <xdr:spPr bwMode="auto">
            <a:xfrm>
              <a:off x="812" y="905"/>
              <a:ext cx="14" cy="24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it-IT" sz="1100" b="0" i="0" strike="noStrike">
                  <a:solidFill>
                    <a:srgbClr val="000000"/>
                  </a:solidFill>
                  <a:latin typeface="Trebuchet MS"/>
                </a:rPr>
                <a:t>2</a:t>
              </a:r>
            </a:p>
          </xdr:txBody>
        </xdr:sp>
        <xdr:sp macro="" textlink="">
          <xdr:nvSpPr>
            <xdr:cNvPr id="128" name="Text Box 148">
              <a:extLst>
                <a:ext uri="{FF2B5EF4-FFF2-40B4-BE49-F238E27FC236}">
                  <a16:creationId xmlns="" xmlns:a16="http://schemas.microsoft.com/office/drawing/2014/main" id="{00000000-0008-0000-1100-000080000000}"/>
                </a:ext>
              </a:extLst>
            </xdr:cNvPr>
            <xdr:cNvSpPr txBox="1">
              <a:spLocks noChangeAspect="1" noChangeArrowheads="1"/>
            </xdr:cNvSpPr>
          </xdr:nvSpPr>
          <xdr:spPr bwMode="auto">
            <a:xfrm>
              <a:off x="812" y="878"/>
              <a:ext cx="14" cy="9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it-IT" sz="1100" b="0" i="0" strike="noStrike">
                  <a:solidFill>
                    <a:srgbClr val="000000"/>
                  </a:solidFill>
                  <a:latin typeface="Trebuchet MS"/>
                </a:rPr>
                <a:t>3</a:t>
              </a:r>
            </a:p>
          </xdr:txBody>
        </xdr:sp>
        <xdr:sp macro="" textlink="">
          <xdr:nvSpPr>
            <xdr:cNvPr id="129" name="Text Box 149">
              <a:extLst>
                <a:ext uri="{FF2B5EF4-FFF2-40B4-BE49-F238E27FC236}">
                  <a16:creationId xmlns="" xmlns:a16="http://schemas.microsoft.com/office/drawing/2014/main" id="{00000000-0008-0000-1100-000081000000}"/>
                </a:ext>
              </a:extLst>
            </xdr:cNvPr>
            <xdr:cNvSpPr txBox="1">
              <a:spLocks noChangeAspect="1" noChangeArrowheads="1"/>
            </xdr:cNvSpPr>
          </xdr:nvSpPr>
          <xdr:spPr bwMode="auto">
            <a:xfrm>
              <a:off x="812" y="850"/>
              <a:ext cx="14" cy="24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it-IT" sz="1100" b="0" i="0" strike="noStrike">
                  <a:solidFill>
                    <a:srgbClr val="000000"/>
                  </a:solidFill>
                  <a:latin typeface="Trebuchet MS"/>
                </a:rPr>
                <a:t>4</a:t>
              </a:r>
            </a:p>
          </xdr:txBody>
        </xdr:sp>
        <xdr:sp macro="" textlink="">
          <xdr:nvSpPr>
            <xdr:cNvPr id="130" name="Text Box 150">
              <a:extLst>
                <a:ext uri="{FF2B5EF4-FFF2-40B4-BE49-F238E27FC236}">
                  <a16:creationId xmlns="" xmlns:a16="http://schemas.microsoft.com/office/drawing/2014/main" id="{00000000-0008-0000-1100-000082000000}"/>
                </a:ext>
              </a:extLst>
            </xdr:cNvPr>
            <xdr:cNvSpPr txBox="1">
              <a:spLocks noChangeAspect="1" noChangeArrowheads="1"/>
            </xdr:cNvSpPr>
          </xdr:nvSpPr>
          <xdr:spPr bwMode="auto">
            <a:xfrm>
              <a:off x="812" y="825"/>
              <a:ext cx="14" cy="21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it-IT" sz="1100" b="0" i="0" strike="noStrike">
                  <a:solidFill>
                    <a:srgbClr val="000000"/>
                  </a:solidFill>
                  <a:latin typeface="Trebuchet MS"/>
                </a:rPr>
                <a:t>5</a:t>
              </a:r>
            </a:p>
          </xdr:txBody>
        </xdr:sp>
        <xdr:sp macro="" textlink="">
          <xdr:nvSpPr>
            <xdr:cNvPr id="131" name="Text Box 151">
              <a:extLst>
                <a:ext uri="{FF2B5EF4-FFF2-40B4-BE49-F238E27FC236}">
                  <a16:creationId xmlns="" xmlns:a16="http://schemas.microsoft.com/office/drawing/2014/main" id="{00000000-0008-0000-1100-000083000000}"/>
                </a:ext>
              </a:extLst>
            </xdr:cNvPr>
            <xdr:cNvSpPr txBox="1">
              <a:spLocks noChangeAspect="1" noChangeArrowheads="1"/>
            </xdr:cNvSpPr>
          </xdr:nvSpPr>
          <xdr:spPr bwMode="auto">
            <a:xfrm>
              <a:off x="812" y="933"/>
              <a:ext cx="14" cy="17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it-IT" sz="1100" b="0" i="0" strike="noStrike">
                  <a:solidFill>
                    <a:srgbClr val="000000"/>
                  </a:solidFill>
                  <a:latin typeface="Trebuchet MS"/>
                </a:rPr>
                <a:t>1</a:t>
              </a:r>
            </a:p>
          </xdr:txBody>
        </xdr:sp>
        <xdr:sp macro="" textlink="">
          <xdr:nvSpPr>
            <xdr:cNvPr id="4389146" name="Rectangle 152" descr="Diagonali larghe verso l'alto">
              <a:extLst>
                <a:ext uri="{FF2B5EF4-FFF2-40B4-BE49-F238E27FC236}">
                  <a16:creationId xmlns="" xmlns:a16="http://schemas.microsoft.com/office/drawing/2014/main" id="{00000000-0008-0000-1100-00001AF94200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932" y="983"/>
              <a:ext cx="171" cy="20"/>
            </a:xfrm>
            <a:prstGeom prst="rect">
              <a:avLst/>
            </a:prstGeom>
            <a:pattFill prst="wdUpDiag">
              <a:fgClr>
                <a:srgbClr val="C0C0C0"/>
              </a:fgClr>
              <a:bgClr>
                <a:srgbClr val="FFFFFF"/>
              </a:bgClr>
            </a:patt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33" name="Text Box 153">
              <a:extLst>
                <a:ext uri="{FF2B5EF4-FFF2-40B4-BE49-F238E27FC236}">
                  <a16:creationId xmlns="" xmlns:a16="http://schemas.microsoft.com/office/drawing/2014/main" id="{00000000-0008-0000-1100-000085000000}"/>
                </a:ext>
              </a:extLst>
            </xdr:cNvPr>
            <xdr:cNvSpPr txBox="1">
              <a:spLocks noChangeAspect="1" noChangeArrowheads="1"/>
            </xdr:cNvSpPr>
          </xdr:nvSpPr>
          <xdr:spPr bwMode="auto">
            <a:xfrm>
              <a:off x="812" y="793"/>
              <a:ext cx="14" cy="24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it-IT" sz="1100" b="0" i="0" strike="noStrike">
                  <a:solidFill>
                    <a:srgbClr val="000000"/>
                  </a:solidFill>
                  <a:latin typeface="Trebuchet MS"/>
                </a:rPr>
                <a:t>6</a:t>
              </a:r>
            </a:p>
          </xdr:txBody>
        </xdr:sp>
        <xdr:cxnSp macro="">
          <xdr:nvCxnSpPr>
            <xdr:cNvPr id="4389148" name="AutoShape 154">
              <a:extLst>
                <a:ext uri="{FF2B5EF4-FFF2-40B4-BE49-F238E27FC236}">
                  <a16:creationId xmlns="" xmlns:a16="http://schemas.microsoft.com/office/drawing/2014/main" id="{00000000-0008-0000-1100-00001CF94200}"/>
                </a:ext>
              </a:extLst>
            </xdr:cNvPr>
            <xdr:cNvCxnSpPr>
              <a:cxnSpLocks noChangeAspect="1" noChangeShapeType="1"/>
            </xdr:cNvCxnSpPr>
          </xdr:nvCxnSpPr>
          <xdr:spPr bwMode="auto">
            <a:xfrm>
              <a:off x="834" y="942"/>
              <a:ext cx="381" cy="76"/>
            </a:xfrm>
            <a:prstGeom prst="bentConnector3">
              <a:avLst>
                <a:gd name="adj1" fmla="val 32023"/>
              </a:avLst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cxnSp>
        <xdr:cxnSp macro="">
          <xdr:nvCxnSpPr>
            <xdr:cNvPr id="4389149" name="AutoShape 155">
              <a:extLst>
                <a:ext uri="{FF2B5EF4-FFF2-40B4-BE49-F238E27FC236}">
                  <a16:creationId xmlns="" xmlns:a16="http://schemas.microsoft.com/office/drawing/2014/main" id="{00000000-0008-0000-1100-00001DF94200}"/>
                </a:ext>
              </a:extLst>
            </xdr:cNvPr>
            <xdr:cNvCxnSpPr>
              <a:cxnSpLocks noChangeAspect="1" noChangeShapeType="1"/>
            </xdr:cNvCxnSpPr>
          </xdr:nvCxnSpPr>
          <xdr:spPr bwMode="auto">
            <a:xfrm>
              <a:off x="834" y="915"/>
              <a:ext cx="382" cy="108"/>
            </a:xfrm>
            <a:prstGeom prst="bentConnector3">
              <a:avLst>
                <a:gd name="adj1" fmla="val 38218"/>
              </a:avLst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cxnSp>
        <xdr:cxnSp macro="">
          <xdr:nvCxnSpPr>
            <xdr:cNvPr id="4389150" name="AutoShape 156">
              <a:extLst>
                <a:ext uri="{FF2B5EF4-FFF2-40B4-BE49-F238E27FC236}">
                  <a16:creationId xmlns="" xmlns:a16="http://schemas.microsoft.com/office/drawing/2014/main" id="{00000000-0008-0000-1100-00001EF94200}"/>
                </a:ext>
              </a:extLst>
            </xdr:cNvPr>
            <xdr:cNvCxnSpPr>
              <a:cxnSpLocks noChangeAspect="1" noChangeShapeType="1"/>
            </xdr:cNvCxnSpPr>
          </xdr:nvCxnSpPr>
          <xdr:spPr bwMode="auto">
            <a:xfrm>
              <a:off x="834" y="861"/>
              <a:ext cx="380" cy="173"/>
            </a:xfrm>
            <a:prstGeom prst="bentConnector3">
              <a:avLst>
                <a:gd name="adj1" fmla="val 51315"/>
              </a:avLst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cxnSp>
        <xdr:cxnSp macro="">
          <xdr:nvCxnSpPr>
            <xdr:cNvPr id="4389151" name="AutoShape 157">
              <a:extLst>
                <a:ext uri="{FF2B5EF4-FFF2-40B4-BE49-F238E27FC236}">
                  <a16:creationId xmlns="" xmlns:a16="http://schemas.microsoft.com/office/drawing/2014/main" id="{00000000-0008-0000-1100-00001FF94200}"/>
                </a:ext>
              </a:extLst>
            </xdr:cNvPr>
            <xdr:cNvCxnSpPr>
              <a:cxnSpLocks noChangeAspect="1" noChangeShapeType="1"/>
            </xdr:cNvCxnSpPr>
          </xdr:nvCxnSpPr>
          <xdr:spPr bwMode="auto">
            <a:xfrm>
              <a:off x="834" y="888"/>
              <a:ext cx="382" cy="140"/>
            </a:xfrm>
            <a:prstGeom prst="bentConnector3">
              <a:avLst>
                <a:gd name="adj1" fmla="val 44505"/>
              </a:avLst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cxnSp>
        <xdr:cxnSp macro="">
          <xdr:nvCxnSpPr>
            <xdr:cNvPr id="4389152" name="AutoShape 158">
              <a:extLst>
                <a:ext uri="{FF2B5EF4-FFF2-40B4-BE49-F238E27FC236}">
                  <a16:creationId xmlns="" xmlns:a16="http://schemas.microsoft.com/office/drawing/2014/main" id="{00000000-0008-0000-1100-000020F94200}"/>
                </a:ext>
              </a:extLst>
            </xdr:cNvPr>
            <xdr:cNvCxnSpPr>
              <a:cxnSpLocks noChangeAspect="1" noChangeShapeType="1"/>
            </xdr:cNvCxnSpPr>
          </xdr:nvCxnSpPr>
          <xdr:spPr bwMode="auto">
            <a:xfrm>
              <a:off x="834" y="834"/>
              <a:ext cx="382" cy="205"/>
            </a:xfrm>
            <a:prstGeom prst="bentConnector3">
              <a:avLst>
                <a:gd name="adj1" fmla="val 57069"/>
              </a:avLst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cxnSp>
        <xdr:cxnSp macro="">
          <xdr:nvCxnSpPr>
            <xdr:cNvPr id="4389153" name="AutoShape 159">
              <a:extLst>
                <a:ext uri="{FF2B5EF4-FFF2-40B4-BE49-F238E27FC236}">
                  <a16:creationId xmlns="" xmlns:a16="http://schemas.microsoft.com/office/drawing/2014/main" id="{00000000-0008-0000-1100-000021F94200}"/>
                </a:ext>
              </a:extLst>
            </xdr:cNvPr>
            <xdr:cNvCxnSpPr>
              <a:cxnSpLocks noChangeAspect="1" noChangeShapeType="1"/>
            </xdr:cNvCxnSpPr>
          </xdr:nvCxnSpPr>
          <xdr:spPr bwMode="auto">
            <a:xfrm>
              <a:off x="834" y="807"/>
              <a:ext cx="383" cy="238"/>
            </a:xfrm>
            <a:prstGeom prst="bentConnector3">
              <a:avLst>
                <a:gd name="adj1" fmla="val 63968"/>
              </a:avLst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cxnSp>
      </xdr:grpSp>
      <xdr:sp macro="" textlink="">
        <xdr:nvSpPr>
          <xdr:cNvPr id="125" name="Text Box 160">
            <a:extLst>
              <a:ext uri="{FF2B5EF4-FFF2-40B4-BE49-F238E27FC236}">
                <a16:creationId xmlns="" xmlns:a16="http://schemas.microsoft.com/office/drawing/2014/main" id="{00000000-0008-0000-1100-00007D00000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845" y="802"/>
            <a:ext cx="149" cy="26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32004" rIns="0" bIns="0" anchor="t" upright="1"/>
          <a:lstStyle/>
          <a:p>
            <a:pPr algn="l" rtl="0">
              <a:defRPr sz="1000"/>
            </a:pPr>
            <a:r>
              <a:rPr lang="it-IT" sz="1100" b="1" i="0" strike="noStrike">
                <a:solidFill>
                  <a:srgbClr val="000000"/>
                </a:solidFill>
                <a:latin typeface="Trebuchet MS"/>
              </a:rPr>
              <a:t>Cordini riviolti a sx</a:t>
            </a:r>
          </a:p>
        </xdr:txBody>
      </xdr:sp>
      <xdr:sp macro="" textlink="">
        <xdr:nvSpPr>
          <xdr:cNvPr id="126" name="Text Box 161">
            <a:extLst>
              <a:ext uri="{FF2B5EF4-FFF2-40B4-BE49-F238E27FC236}">
                <a16:creationId xmlns="" xmlns:a16="http://schemas.microsoft.com/office/drawing/2014/main" id="{00000000-0008-0000-1100-00007E00000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1105" y="1094"/>
            <a:ext cx="149" cy="26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0" tIns="32004" rIns="36576" bIns="0" anchor="t" upright="1"/>
          <a:lstStyle/>
          <a:p>
            <a:pPr algn="r" rtl="0">
              <a:defRPr sz="1000"/>
            </a:pPr>
            <a:r>
              <a:rPr lang="it-IT" sz="1100" b="1" i="0" strike="noStrike">
                <a:solidFill>
                  <a:srgbClr val="000000"/>
                </a:solidFill>
                <a:latin typeface="Trebuchet MS"/>
              </a:rPr>
              <a:t>Cordini annodati a dx</a:t>
            </a:r>
          </a:p>
        </xdr:txBody>
      </xdr:sp>
    </xdr:grpSp>
    <xdr:clientData/>
  </xdr:twoCellAnchor>
  <xdr:twoCellAnchor>
    <xdr:from>
      <xdr:col>1</xdr:col>
      <xdr:colOff>47625</xdr:colOff>
      <xdr:row>17</xdr:row>
      <xdr:rowOff>19050</xdr:rowOff>
    </xdr:from>
    <xdr:to>
      <xdr:col>4</xdr:col>
      <xdr:colOff>295275</xdr:colOff>
      <xdr:row>21</xdr:row>
      <xdr:rowOff>9525</xdr:rowOff>
    </xdr:to>
    <xdr:grpSp>
      <xdr:nvGrpSpPr>
        <xdr:cNvPr id="4389048" name="Group 235">
          <a:extLst>
            <a:ext uri="{FF2B5EF4-FFF2-40B4-BE49-F238E27FC236}">
              <a16:creationId xmlns="" xmlns:a16="http://schemas.microsoft.com/office/drawing/2014/main" id="{00000000-0008-0000-1100-0000B8F84200}"/>
            </a:ext>
          </a:extLst>
        </xdr:cNvPr>
        <xdr:cNvGrpSpPr>
          <a:grpSpLocks/>
        </xdr:cNvGrpSpPr>
      </xdr:nvGrpSpPr>
      <xdr:grpSpPr bwMode="auto">
        <a:xfrm>
          <a:off x="2945946" y="5924550"/>
          <a:ext cx="2805793" cy="1337582"/>
          <a:chOff x="82" y="624"/>
          <a:chExt cx="242" cy="140"/>
        </a:xfrm>
      </xdr:grpSpPr>
      <xdr:sp macro="" textlink="">
        <xdr:nvSpPr>
          <xdr:cNvPr id="4389079" name="Line 163">
            <a:extLst>
              <a:ext uri="{FF2B5EF4-FFF2-40B4-BE49-F238E27FC236}">
                <a16:creationId xmlns="" xmlns:a16="http://schemas.microsoft.com/office/drawing/2014/main" id="{00000000-0008-0000-1100-0000D7F84200}"/>
              </a:ext>
            </a:extLst>
          </xdr:cNvPr>
          <xdr:cNvSpPr>
            <a:spLocks noChangeShapeType="1"/>
          </xdr:cNvSpPr>
        </xdr:nvSpPr>
        <xdr:spPr bwMode="auto">
          <a:xfrm>
            <a:off x="82" y="720"/>
            <a:ext cx="24" cy="44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89080" name="Group 164">
            <a:extLst>
              <a:ext uri="{FF2B5EF4-FFF2-40B4-BE49-F238E27FC236}">
                <a16:creationId xmlns="" xmlns:a16="http://schemas.microsoft.com/office/drawing/2014/main" id="{00000000-0008-0000-1100-0000D8F84200}"/>
              </a:ext>
            </a:extLst>
          </xdr:cNvPr>
          <xdr:cNvGrpSpPr>
            <a:grpSpLocks/>
          </xdr:cNvGrpSpPr>
        </xdr:nvGrpSpPr>
        <xdr:grpSpPr bwMode="auto">
          <a:xfrm>
            <a:off x="106" y="718"/>
            <a:ext cx="17" cy="46"/>
            <a:chOff x="312" y="632"/>
            <a:chExt cx="17" cy="35"/>
          </a:xfrm>
        </xdr:grpSpPr>
        <xdr:sp macro="" textlink="">
          <xdr:nvSpPr>
            <xdr:cNvPr id="4389136" name="Line 165">
              <a:extLst>
                <a:ext uri="{FF2B5EF4-FFF2-40B4-BE49-F238E27FC236}">
                  <a16:creationId xmlns="" xmlns:a16="http://schemas.microsoft.com/office/drawing/2014/main" id="{00000000-0008-0000-1100-000010F9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89137" name="Line 166">
              <a:extLst>
                <a:ext uri="{FF2B5EF4-FFF2-40B4-BE49-F238E27FC236}">
                  <a16:creationId xmlns="" xmlns:a16="http://schemas.microsoft.com/office/drawing/2014/main" id="{00000000-0008-0000-1100-000011F9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89081" name="Line 167">
            <a:extLst>
              <a:ext uri="{FF2B5EF4-FFF2-40B4-BE49-F238E27FC236}">
                <a16:creationId xmlns="" xmlns:a16="http://schemas.microsoft.com/office/drawing/2014/main" id="{00000000-0008-0000-1100-0000D9F8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07" y="725"/>
            <a:ext cx="17" cy="39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9082" name="Line 168">
            <a:extLst>
              <a:ext uri="{FF2B5EF4-FFF2-40B4-BE49-F238E27FC236}">
                <a16:creationId xmlns="" xmlns:a16="http://schemas.microsoft.com/office/drawing/2014/main" id="{00000000-0008-0000-1100-0000DAF8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3" y="624"/>
            <a:ext cx="0" cy="102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9083" name="Line 169">
            <a:extLst>
              <a:ext uri="{FF2B5EF4-FFF2-40B4-BE49-F238E27FC236}">
                <a16:creationId xmlns="" xmlns:a16="http://schemas.microsoft.com/office/drawing/2014/main" id="{00000000-0008-0000-1100-0000DBF8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08" y="624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9084" name="Line 170">
            <a:extLst>
              <a:ext uri="{FF2B5EF4-FFF2-40B4-BE49-F238E27FC236}">
                <a16:creationId xmlns="" xmlns:a16="http://schemas.microsoft.com/office/drawing/2014/main" id="{00000000-0008-0000-1100-0000DCF84200}"/>
              </a:ext>
            </a:extLst>
          </xdr:cNvPr>
          <xdr:cNvSpPr>
            <a:spLocks noChangeShapeType="1"/>
          </xdr:cNvSpPr>
        </xdr:nvSpPr>
        <xdr:spPr bwMode="auto">
          <a:xfrm>
            <a:off x="104" y="647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9085" name="Line 171">
            <a:extLst>
              <a:ext uri="{FF2B5EF4-FFF2-40B4-BE49-F238E27FC236}">
                <a16:creationId xmlns="" xmlns:a16="http://schemas.microsoft.com/office/drawing/2014/main" id="{00000000-0008-0000-1100-0000DDF84200}"/>
              </a:ext>
            </a:extLst>
          </xdr:cNvPr>
          <xdr:cNvSpPr>
            <a:spLocks noChangeShapeType="1"/>
          </xdr:cNvSpPr>
        </xdr:nvSpPr>
        <xdr:spPr bwMode="auto">
          <a:xfrm>
            <a:off x="112" y="718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89086" name="Group 172">
            <a:extLst>
              <a:ext uri="{FF2B5EF4-FFF2-40B4-BE49-F238E27FC236}">
                <a16:creationId xmlns="" xmlns:a16="http://schemas.microsoft.com/office/drawing/2014/main" id="{00000000-0008-0000-1100-0000DEF84200}"/>
              </a:ext>
            </a:extLst>
          </xdr:cNvPr>
          <xdr:cNvGrpSpPr>
            <a:grpSpLocks/>
          </xdr:cNvGrpSpPr>
        </xdr:nvGrpSpPr>
        <xdr:grpSpPr bwMode="auto">
          <a:xfrm>
            <a:off x="124" y="718"/>
            <a:ext cx="24" cy="46"/>
            <a:chOff x="358" y="632"/>
            <a:chExt cx="24" cy="35"/>
          </a:xfrm>
        </xdr:grpSpPr>
        <xdr:sp macro="" textlink="">
          <xdr:nvSpPr>
            <xdr:cNvPr id="4389130" name="Line 173">
              <a:extLst>
                <a:ext uri="{FF2B5EF4-FFF2-40B4-BE49-F238E27FC236}">
                  <a16:creationId xmlns="" xmlns:a16="http://schemas.microsoft.com/office/drawing/2014/main" id="{00000000-0008-0000-1100-00000AF9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9131" name="Group 174">
              <a:extLst>
                <a:ext uri="{FF2B5EF4-FFF2-40B4-BE49-F238E27FC236}">
                  <a16:creationId xmlns="" xmlns:a16="http://schemas.microsoft.com/office/drawing/2014/main" id="{00000000-0008-0000-1100-00000BF9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9132" name="Line 175">
                <a:extLst>
                  <a:ext uri="{FF2B5EF4-FFF2-40B4-BE49-F238E27FC236}">
                    <a16:creationId xmlns="" xmlns:a16="http://schemas.microsoft.com/office/drawing/2014/main" id="{00000000-0008-0000-1100-00000CF9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9133" name="Group 176">
                <a:extLst>
                  <a:ext uri="{FF2B5EF4-FFF2-40B4-BE49-F238E27FC236}">
                    <a16:creationId xmlns="" xmlns:a16="http://schemas.microsoft.com/office/drawing/2014/main" id="{00000000-0008-0000-1100-00000DF9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9134" name="Line 177">
                  <a:extLst>
                    <a:ext uri="{FF2B5EF4-FFF2-40B4-BE49-F238E27FC236}">
                      <a16:creationId xmlns="" xmlns:a16="http://schemas.microsoft.com/office/drawing/2014/main" id="{00000000-0008-0000-1100-00000EF9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9135" name="Line 178">
                  <a:extLst>
                    <a:ext uri="{FF2B5EF4-FFF2-40B4-BE49-F238E27FC236}">
                      <a16:creationId xmlns="" xmlns:a16="http://schemas.microsoft.com/office/drawing/2014/main" id="{00000000-0008-0000-1100-00000FF9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9087" name="Group 179">
            <a:extLst>
              <a:ext uri="{FF2B5EF4-FFF2-40B4-BE49-F238E27FC236}">
                <a16:creationId xmlns="" xmlns:a16="http://schemas.microsoft.com/office/drawing/2014/main" id="{00000000-0008-0000-1100-0000DFF84200}"/>
              </a:ext>
            </a:extLst>
          </xdr:cNvPr>
          <xdr:cNvGrpSpPr>
            <a:grpSpLocks/>
          </xdr:cNvGrpSpPr>
        </xdr:nvGrpSpPr>
        <xdr:grpSpPr bwMode="auto">
          <a:xfrm>
            <a:off x="149" y="718"/>
            <a:ext cx="24" cy="46"/>
            <a:chOff x="358" y="632"/>
            <a:chExt cx="24" cy="35"/>
          </a:xfrm>
        </xdr:grpSpPr>
        <xdr:sp macro="" textlink="">
          <xdr:nvSpPr>
            <xdr:cNvPr id="4389124" name="Line 180">
              <a:extLst>
                <a:ext uri="{FF2B5EF4-FFF2-40B4-BE49-F238E27FC236}">
                  <a16:creationId xmlns="" xmlns:a16="http://schemas.microsoft.com/office/drawing/2014/main" id="{00000000-0008-0000-1100-000004F9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9125" name="Group 181">
              <a:extLst>
                <a:ext uri="{FF2B5EF4-FFF2-40B4-BE49-F238E27FC236}">
                  <a16:creationId xmlns="" xmlns:a16="http://schemas.microsoft.com/office/drawing/2014/main" id="{00000000-0008-0000-1100-000005F9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9126" name="Line 182">
                <a:extLst>
                  <a:ext uri="{FF2B5EF4-FFF2-40B4-BE49-F238E27FC236}">
                    <a16:creationId xmlns="" xmlns:a16="http://schemas.microsoft.com/office/drawing/2014/main" id="{00000000-0008-0000-1100-000006F9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9127" name="Group 183">
                <a:extLst>
                  <a:ext uri="{FF2B5EF4-FFF2-40B4-BE49-F238E27FC236}">
                    <a16:creationId xmlns="" xmlns:a16="http://schemas.microsoft.com/office/drawing/2014/main" id="{00000000-0008-0000-1100-000007F9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9128" name="Line 184">
                  <a:extLst>
                    <a:ext uri="{FF2B5EF4-FFF2-40B4-BE49-F238E27FC236}">
                      <a16:creationId xmlns="" xmlns:a16="http://schemas.microsoft.com/office/drawing/2014/main" id="{00000000-0008-0000-1100-000008F9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9129" name="Line 185">
                  <a:extLst>
                    <a:ext uri="{FF2B5EF4-FFF2-40B4-BE49-F238E27FC236}">
                      <a16:creationId xmlns="" xmlns:a16="http://schemas.microsoft.com/office/drawing/2014/main" id="{00000000-0008-0000-1100-000009F9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9088" name="Group 186">
            <a:extLst>
              <a:ext uri="{FF2B5EF4-FFF2-40B4-BE49-F238E27FC236}">
                <a16:creationId xmlns="" xmlns:a16="http://schemas.microsoft.com/office/drawing/2014/main" id="{00000000-0008-0000-1100-0000E0F84200}"/>
              </a:ext>
            </a:extLst>
          </xdr:cNvPr>
          <xdr:cNvGrpSpPr>
            <a:grpSpLocks/>
          </xdr:cNvGrpSpPr>
        </xdr:nvGrpSpPr>
        <xdr:grpSpPr bwMode="auto">
          <a:xfrm>
            <a:off x="175" y="718"/>
            <a:ext cx="24" cy="46"/>
            <a:chOff x="358" y="632"/>
            <a:chExt cx="24" cy="35"/>
          </a:xfrm>
        </xdr:grpSpPr>
        <xdr:sp macro="" textlink="">
          <xdr:nvSpPr>
            <xdr:cNvPr id="4389118" name="Line 187">
              <a:extLst>
                <a:ext uri="{FF2B5EF4-FFF2-40B4-BE49-F238E27FC236}">
                  <a16:creationId xmlns="" xmlns:a16="http://schemas.microsoft.com/office/drawing/2014/main" id="{00000000-0008-0000-1100-0000FEF8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9119" name="Group 188">
              <a:extLst>
                <a:ext uri="{FF2B5EF4-FFF2-40B4-BE49-F238E27FC236}">
                  <a16:creationId xmlns="" xmlns:a16="http://schemas.microsoft.com/office/drawing/2014/main" id="{00000000-0008-0000-1100-0000FFF8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9120" name="Line 189">
                <a:extLst>
                  <a:ext uri="{FF2B5EF4-FFF2-40B4-BE49-F238E27FC236}">
                    <a16:creationId xmlns="" xmlns:a16="http://schemas.microsoft.com/office/drawing/2014/main" id="{00000000-0008-0000-1100-000000F9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9121" name="Group 190">
                <a:extLst>
                  <a:ext uri="{FF2B5EF4-FFF2-40B4-BE49-F238E27FC236}">
                    <a16:creationId xmlns="" xmlns:a16="http://schemas.microsoft.com/office/drawing/2014/main" id="{00000000-0008-0000-1100-000001F9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9122" name="Line 191">
                  <a:extLst>
                    <a:ext uri="{FF2B5EF4-FFF2-40B4-BE49-F238E27FC236}">
                      <a16:creationId xmlns="" xmlns:a16="http://schemas.microsoft.com/office/drawing/2014/main" id="{00000000-0008-0000-1100-000002F9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9123" name="Line 192">
                  <a:extLst>
                    <a:ext uri="{FF2B5EF4-FFF2-40B4-BE49-F238E27FC236}">
                      <a16:creationId xmlns="" xmlns:a16="http://schemas.microsoft.com/office/drawing/2014/main" id="{00000000-0008-0000-1100-000003F9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9089" name="Group 193">
            <a:extLst>
              <a:ext uri="{FF2B5EF4-FFF2-40B4-BE49-F238E27FC236}">
                <a16:creationId xmlns="" xmlns:a16="http://schemas.microsoft.com/office/drawing/2014/main" id="{00000000-0008-0000-1100-0000E1F84200}"/>
              </a:ext>
            </a:extLst>
          </xdr:cNvPr>
          <xdr:cNvGrpSpPr>
            <a:grpSpLocks/>
          </xdr:cNvGrpSpPr>
        </xdr:nvGrpSpPr>
        <xdr:grpSpPr bwMode="auto">
          <a:xfrm>
            <a:off x="201" y="718"/>
            <a:ext cx="24" cy="46"/>
            <a:chOff x="358" y="632"/>
            <a:chExt cx="24" cy="35"/>
          </a:xfrm>
        </xdr:grpSpPr>
        <xdr:sp macro="" textlink="">
          <xdr:nvSpPr>
            <xdr:cNvPr id="4389112" name="Line 194">
              <a:extLst>
                <a:ext uri="{FF2B5EF4-FFF2-40B4-BE49-F238E27FC236}">
                  <a16:creationId xmlns="" xmlns:a16="http://schemas.microsoft.com/office/drawing/2014/main" id="{00000000-0008-0000-1100-0000F8F8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9113" name="Group 195">
              <a:extLst>
                <a:ext uri="{FF2B5EF4-FFF2-40B4-BE49-F238E27FC236}">
                  <a16:creationId xmlns="" xmlns:a16="http://schemas.microsoft.com/office/drawing/2014/main" id="{00000000-0008-0000-1100-0000F9F8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9114" name="Line 196">
                <a:extLst>
                  <a:ext uri="{FF2B5EF4-FFF2-40B4-BE49-F238E27FC236}">
                    <a16:creationId xmlns="" xmlns:a16="http://schemas.microsoft.com/office/drawing/2014/main" id="{00000000-0008-0000-1100-0000FAF8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9115" name="Group 197">
                <a:extLst>
                  <a:ext uri="{FF2B5EF4-FFF2-40B4-BE49-F238E27FC236}">
                    <a16:creationId xmlns="" xmlns:a16="http://schemas.microsoft.com/office/drawing/2014/main" id="{00000000-0008-0000-1100-0000FBF8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9116" name="Line 198">
                  <a:extLst>
                    <a:ext uri="{FF2B5EF4-FFF2-40B4-BE49-F238E27FC236}">
                      <a16:creationId xmlns="" xmlns:a16="http://schemas.microsoft.com/office/drawing/2014/main" id="{00000000-0008-0000-1100-0000FCF8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9117" name="Line 199">
                  <a:extLst>
                    <a:ext uri="{FF2B5EF4-FFF2-40B4-BE49-F238E27FC236}">
                      <a16:creationId xmlns="" xmlns:a16="http://schemas.microsoft.com/office/drawing/2014/main" id="{00000000-0008-0000-1100-0000FDF8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9090" name="Group 200">
            <a:extLst>
              <a:ext uri="{FF2B5EF4-FFF2-40B4-BE49-F238E27FC236}">
                <a16:creationId xmlns="" xmlns:a16="http://schemas.microsoft.com/office/drawing/2014/main" id="{00000000-0008-0000-1100-0000E2F84200}"/>
              </a:ext>
            </a:extLst>
          </xdr:cNvPr>
          <xdr:cNvGrpSpPr>
            <a:grpSpLocks/>
          </xdr:cNvGrpSpPr>
        </xdr:nvGrpSpPr>
        <xdr:grpSpPr bwMode="auto">
          <a:xfrm>
            <a:off x="225" y="718"/>
            <a:ext cx="24" cy="46"/>
            <a:chOff x="358" y="632"/>
            <a:chExt cx="24" cy="35"/>
          </a:xfrm>
        </xdr:grpSpPr>
        <xdr:sp macro="" textlink="">
          <xdr:nvSpPr>
            <xdr:cNvPr id="4389106" name="Line 201">
              <a:extLst>
                <a:ext uri="{FF2B5EF4-FFF2-40B4-BE49-F238E27FC236}">
                  <a16:creationId xmlns="" xmlns:a16="http://schemas.microsoft.com/office/drawing/2014/main" id="{00000000-0008-0000-1100-0000F2F8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9107" name="Group 202">
              <a:extLst>
                <a:ext uri="{FF2B5EF4-FFF2-40B4-BE49-F238E27FC236}">
                  <a16:creationId xmlns="" xmlns:a16="http://schemas.microsoft.com/office/drawing/2014/main" id="{00000000-0008-0000-1100-0000F3F8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9108" name="Line 203">
                <a:extLst>
                  <a:ext uri="{FF2B5EF4-FFF2-40B4-BE49-F238E27FC236}">
                    <a16:creationId xmlns="" xmlns:a16="http://schemas.microsoft.com/office/drawing/2014/main" id="{00000000-0008-0000-1100-0000F4F8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9109" name="Group 204">
                <a:extLst>
                  <a:ext uri="{FF2B5EF4-FFF2-40B4-BE49-F238E27FC236}">
                    <a16:creationId xmlns="" xmlns:a16="http://schemas.microsoft.com/office/drawing/2014/main" id="{00000000-0008-0000-1100-0000F5F8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9110" name="Line 205">
                  <a:extLst>
                    <a:ext uri="{FF2B5EF4-FFF2-40B4-BE49-F238E27FC236}">
                      <a16:creationId xmlns="" xmlns:a16="http://schemas.microsoft.com/office/drawing/2014/main" id="{00000000-0008-0000-1100-0000F6F8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9111" name="Line 206">
                  <a:extLst>
                    <a:ext uri="{FF2B5EF4-FFF2-40B4-BE49-F238E27FC236}">
                      <a16:creationId xmlns="" xmlns:a16="http://schemas.microsoft.com/office/drawing/2014/main" id="{00000000-0008-0000-1100-0000F7F8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9091" name="Group 207">
            <a:extLst>
              <a:ext uri="{FF2B5EF4-FFF2-40B4-BE49-F238E27FC236}">
                <a16:creationId xmlns="" xmlns:a16="http://schemas.microsoft.com/office/drawing/2014/main" id="{00000000-0008-0000-1100-0000E3F84200}"/>
              </a:ext>
            </a:extLst>
          </xdr:cNvPr>
          <xdr:cNvGrpSpPr>
            <a:grpSpLocks/>
          </xdr:cNvGrpSpPr>
        </xdr:nvGrpSpPr>
        <xdr:grpSpPr bwMode="auto">
          <a:xfrm>
            <a:off x="250" y="718"/>
            <a:ext cx="24" cy="46"/>
            <a:chOff x="358" y="632"/>
            <a:chExt cx="24" cy="35"/>
          </a:xfrm>
        </xdr:grpSpPr>
        <xdr:sp macro="" textlink="">
          <xdr:nvSpPr>
            <xdr:cNvPr id="4389100" name="Line 208">
              <a:extLst>
                <a:ext uri="{FF2B5EF4-FFF2-40B4-BE49-F238E27FC236}">
                  <a16:creationId xmlns="" xmlns:a16="http://schemas.microsoft.com/office/drawing/2014/main" id="{00000000-0008-0000-1100-0000ECF8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9101" name="Group 209">
              <a:extLst>
                <a:ext uri="{FF2B5EF4-FFF2-40B4-BE49-F238E27FC236}">
                  <a16:creationId xmlns="" xmlns:a16="http://schemas.microsoft.com/office/drawing/2014/main" id="{00000000-0008-0000-1100-0000EDF8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9102" name="Line 210">
                <a:extLst>
                  <a:ext uri="{FF2B5EF4-FFF2-40B4-BE49-F238E27FC236}">
                    <a16:creationId xmlns="" xmlns:a16="http://schemas.microsoft.com/office/drawing/2014/main" id="{00000000-0008-0000-1100-0000EEF8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9103" name="Group 211">
                <a:extLst>
                  <a:ext uri="{FF2B5EF4-FFF2-40B4-BE49-F238E27FC236}">
                    <a16:creationId xmlns="" xmlns:a16="http://schemas.microsoft.com/office/drawing/2014/main" id="{00000000-0008-0000-1100-0000EFF8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9104" name="Line 212">
                  <a:extLst>
                    <a:ext uri="{FF2B5EF4-FFF2-40B4-BE49-F238E27FC236}">
                      <a16:creationId xmlns="" xmlns:a16="http://schemas.microsoft.com/office/drawing/2014/main" id="{00000000-0008-0000-1100-0000F0F8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9105" name="Line 213">
                  <a:extLst>
                    <a:ext uri="{FF2B5EF4-FFF2-40B4-BE49-F238E27FC236}">
                      <a16:creationId xmlns="" xmlns:a16="http://schemas.microsoft.com/office/drawing/2014/main" id="{00000000-0008-0000-1100-0000F1F8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9092" name="Group 214">
            <a:extLst>
              <a:ext uri="{FF2B5EF4-FFF2-40B4-BE49-F238E27FC236}">
                <a16:creationId xmlns="" xmlns:a16="http://schemas.microsoft.com/office/drawing/2014/main" id="{00000000-0008-0000-1100-0000E4F84200}"/>
              </a:ext>
            </a:extLst>
          </xdr:cNvPr>
          <xdr:cNvGrpSpPr>
            <a:grpSpLocks/>
          </xdr:cNvGrpSpPr>
        </xdr:nvGrpSpPr>
        <xdr:grpSpPr bwMode="auto">
          <a:xfrm>
            <a:off x="275" y="718"/>
            <a:ext cx="24" cy="46"/>
            <a:chOff x="358" y="632"/>
            <a:chExt cx="24" cy="35"/>
          </a:xfrm>
        </xdr:grpSpPr>
        <xdr:sp macro="" textlink="">
          <xdr:nvSpPr>
            <xdr:cNvPr id="4389094" name="Line 215">
              <a:extLst>
                <a:ext uri="{FF2B5EF4-FFF2-40B4-BE49-F238E27FC236}">
                  <a16:creationId xmlns="" xmlns:a16="http://schemas.microsoft.com/office/drawing/2014/main" id="{00000000-0008-0000-1100-0000E6F8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9095" name="Group 216">
              <a:extLst>
                <a:ext uri="{FF2B5EF4-FFF2-40B4-BE49-F238E27FC236}">
                  <a16:creationId xmlns="" xmlns:a16="http://schemas.microsoft.com/office/drawing/2014/main" id="{00000000-0008-0000-1100-0000E7F8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9096" name="Line 217">
                <a:extLst>
                  <a:ext uri="{FF2B5EF4-FFF2-40B4-BE49-F238E27FC236}">
                    <a16:creationId xmlns="" xmlns:a16="http://schemas.microsoft.com/office/drawing/2014/main" id="{00000000-0008-0000-1100-0000E8F8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9097" name="Group 218">
                <a:extLst>
                  <a:ext uri="{FF2B5EF4-FFF2-40B4-BE49-F238E27FC236}">
                    <a16:creationId xmlns="" xmlns:a16="http://schemas.microsoft.com/office/drawing/2014/main" id="{00000000-0008-0000-1100-0000E9F8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9098" name="Line 219">
                  <a:extLst>
                    <a:ext uri="{FF2B5EF4-FFF2-40B4-BE49-F238E27FC236}">
                      <a16:creationId xmlns="" xmlns:a16="http://schemas.microsoft.com/office/drawing/2014/main" id="{00000000-0008-0000-1100-0000EAF8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9099" name="Line 220">
                  <a:extLst>
                    <a:ext uri="{FF2B5EF4-FFF2-40B4-BE49-F238E27FC236}">
                      <a16:creationId xmlns="" xmlns:a16="http://schemas.microsoft.com/office/drawing/2014/main" id="{00000000-0008-0000-1100-0000EBF8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89093" name="Line 221">
            <a:extLst>
              <a:ext uri="{FF2B5EF4-FFF2-40B4-BE49-F238E27FC236}">
                <a16:creationId xmlns="" xmlns:a16="http://schemas.microsoft.com/office/drawing/2014/main" id="{00000000-0008-0000-1100-0000E5F84200}"/>
              </a:ext>
            </a:extLst>
          </xdr:cNvPr>
          <xdr:cNvSpPr>
            <a:spLocks noChangeShapeType="1"/>
          </xdr:cNvSpPr>
        </xdr:nvSpPr>
        <xdr:spPr bwMode="auto">
          <a:xfrm>
            <a:off x="300" y="718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4338073" name="Rectangle 222">
          <a:extLst>
            <a:ext uri="{FF2B5EF4-FFF2-40B4-BE49-F238E27FC236}">
              <a16:creationId xmlns="" xmlns:a16="http://schemas.microsoft.com/office/drawing/2014/main" id="{00000000-0008-0000-1100-000099314200}"/>
            </a:ext>
          </a:extLst>
        </xdr:cNvPr>
        <xdr:cNvSpPr>
          <a:spLocks noChangeArrowheads="1"/>
        </xdr:cNvSpPr>
      </xdr:nvSpPr>
      <xdr:spPr bwMode="auto">
        <a:xfrm>
          <a:off x="2895600" y="142875"/>
          <a:ext cx="13944600" cy="4286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  <xdr:txBody>
        <a:bodyPr/>
        <a:lstStyle/>
        <a:p>
          <a:endParaRPr lang="it-IT"/>
        </a:p>
      </xdr:txBody>
    </xdr:sp>
    <xdr:clientData/>
  </xdr:twoCellAnchor>
  <xdr:twoCellAnchor>
    <xdr:from>
      <xdr:col>2</xdr:col>
      <xdr:colOff>9525</xdr:colOff>
      <xdr:row>28</xdr:row>
      <xdr:rowOff>38100</xdr:rowOff>
    </xdr:from>
    <xdr:to>
      <xdr:col>2</xdr:col>
      <xdr:colOff>428625</xdr:colOff>
      <xdr:row>28</xdr:row>
      <xdr:rowOff>38100</xdr:rowOff>
    </xdr:to>
    <xdr:sp macro="" textlink="">
      <xdr:nvSpPr>
        <xdr:cNvPr id="4389050" name="Line 114">
          <a:extLst>
            <a:ext uri="{FF2B5EF4-FFF2-40B4-BE49-F238E27FC236}">
              <a16:creationId xmlns="" xmlns:a16="http://schemas.microsoft.com/office/drawing/2014/main" id="{00000000-0008-0000-1100-0000BAF84200}"/>
            </a:ext>
          </a:extLst>
        </xdr:cNvPr>
        <xdr:cNvSpPr>
          <a:spLocks noChangeShapeType="1"/>
        </xdr:cNvSpPr>
      </xdr:nvSpPr>
      <xdr:spPr bwMode="auto">
        <a:xfrm flipV="1">
          <a:off x="3333750" y="9239250"/>
          <a:ext cx="419100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2</xdr:col>
      <xdr:colOff>9525</xdr:colOff>
      <xdr:row>26</xdr:row>
      <xdr:rowOff>19050</xdr:rowOff>
    </xdr:from>
    <xdr:to>
      <xdr:col>2</xdr:col>
      <xdr:colOff>19050</xdr:colOff>
      <xdr:row>34</xdr:row>
      <xdr:rowOff>104775</xdr:rowOff>
    </xdr:to>
    <xdr:sp macro="" textlink="">
      <xdr:nvSpPr>
        <xdr:cNvPr id="4389051" name="Line 115">
          <a:extLst>
            <a:ext uri="{FF2B5EF4-FFF2-40B4-BE49-F238E27FC236}">
              <a16:creationId xmlns="" xmlns:a16="http://schemas.microsoft.com/office/drawing/2014/main" id="{00000000-0008-0000-1100-0000BBF84200}"/>
            </a:ext>
          </a:extLst>
        </xdr:cNvPr>
        <xdr:cNvSpPr>
          <a:spLocks noChangeShapeType="1"/>
        </xdr:cNvSpPr>
      </xdr:nvSpPr>
      <xdr:spPr bwMode="auto">
        <a:xfrm>
          <a:off x="3333750" y="8696325"/>
          <a:ext cx="9525" cy="260985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2</xdr:col>
      <xdr:colOff>19050</xdr:colOff>
      <xdr:row>29</xdr:row>
      <xdr:rowOff>19050</xdr:rowOff>
    </xdr:from>
    <xdr:to>
      <xdr:col>3</xdr:col>
      <xdr:colOff>161925</xdr:colOff>
      <xdr:row>29</xdr:row>
      <xdr:rowOff>19050</xdr:rowOff>
    </xdr:to>
    <xdr:sp macro="" textlink="">
      <xdr:nvSpPr>
        <xdr:cNvPr id="4389052" name="Line 116">
          <a:extLst>
            <a:ext uri="{FF2B5EF4-FFF2-40B4-BE49-F238E27FC236}">
              <a16:creationId xmlns="" xmlns:a16="http://schemas.microsoft.com/office/drawing/2014/main" id="{00000000-0008-0000-1100-0000BCF84200}"/>
            </a:ext>
          </a:extLst>
        </xdr:cNvPr>
        <xdr:cNvSpPr>
          <a:spLocks noChangeShapeType="1"/>
        </xdr:cNvSpPr>
      </xdr:nvSpPr>
      <xdr:spPr bwMode="auto">
        <a:xfrm>
          <a:off x="3343275" y="9553575"/>
          <a:ext cx="1352550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2</xdr:col>
      <xdr:colOff>9525</xdr:colOff>
      <xdr:row>30</xdr:row>
      <xdr:rowOff>47625</xdr:rowOff>
    </xdr:from>
    <xdr:to>
      <xdr:col>4</xdr:col>
      <xdr:colOff>314325</xdr:colOff>
      <xdr:row>30</xdr:row>
      <xdr:rowOff>47625</xdr:rowOff>
    </xdr:to>
    <xdr:sp macro="" textlink="">
      <xdr:nvSpPr>
        <xdr:cNvPr id="4389053" name="Line 117">
          <a:extLst>
            <a:ext uri="{FF2B5EF4-FFF2-40B4-BE49-F238E27FC236}">
              <a16:creationId xmlns="" xmlns:a16="http://schemas.microsoft.com/office/drawing/2014/main" id="{00000000-0008-0000-1100-0000BDF84200}"/>
            </a:ext>
          </a:extLst>
        </xdr:cNvPr>
        <xdr:cNvSpPr>
          <a:spLocks noChangeShapeType="1"/>
        </xdr:cNvSpPr>
      </xdr:nvSpPr>
      <xdr:spPr bwMode="auto">
        <a:xfrm>
          <a:off x="3333750" y="9915525"/>
          <a:ext cx="2428875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2</xdr:col>
      <xdr:colOff>19050</xdr:colOff>
      <xdr:row>31</xdr:row>
      <xdr:rowOff>28575</xdr:rowOff>
    </xdr:from>
    <xdr:to>
      <xdr:col>5</xdr:col>
      <xdr:colOff>333375</xdr:colOff>
      <xdr:row>31</xdr:row>
      <xdr:rowOff>28575</xdr:rowOff>
    </xdr:to>
    <xdr:sp macro="" textlink="">
      <xdr:nvSpPr>
        <xdr:cNvPr id="4389054" name="Line 118">
          <a:extLst>
            <a:ext uri="{FF2B5EF4-FFF2-40B4-BE49-F238E27FC236}">
              <a16:creationId xmlns="" xmlns:a16="http://schemas.microsoft.com/office/drawing/2014/main" id="{00000000-0008-0000-1100-0000BEF84200}"/>
            </a:ext>
          </a:extLst>
        </xdr:cNvPr>
        <xdr:cNvSpPr>
          <a:spLocks noChangeShapeType="1"/>
        </xdr:cNvSpPr>
      </xdr:nvSpPr>
      <xdr:spPr bwMode="auto">
        <a:xfrm flipH="1">
          <a:off x="3343275" y="10229850"/>
          <a:ext cx="3457575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2</xdr:col>
      <xdr:colOff>438150</xdr:colOff>
      <xdr:row>24</xdr:row>
      <xdr:rowOff>228600</xdr:rowOff>
    </xdr:from>
    <xdr:to>
      <xdr:col>2</xdr:col>
      <xdr:colOff>438150</xdr:colOff>
      <xdr:row>28</xdr:row>
      <xdr:rowOff>123825</xdr:rowOff>
    </xdr:to>
    <xdr:sp macro="" textlink="">
      <xdr:nvSpPr>
        <xdr:cNvPr id="4389055" name="Line 119">
          <a:extLst>
            <a:ext uri="{FF2B5EF4-FFF2-40B4-BE49-F238E27FC236}">
              <a16:creationId xmlns="" xmlns:a16="http://schemas.microsoft.com/office/drawing/2014/main" id="{00000000-0008-0000-1100-0000BFF84200}"/>
            </a:ext>
          </a:extLst>
        </xdr:cNvPr>
        <xdr:cNvSpPr>
          <a:spLocks noChangeShapeType="1"/>
        </xdr:cNvSpPr>
      </xdr:nvSpPr>
      <xdr:spPr bwMode="auto">
        <a:xfrm>
          <a:off x="3762375" y="8410575"/>
          <a:ext cx="0" cy="91440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2</xdr:col>
      <xdr:colOff>47625</xdr:colOff>
      <xdr:row>25</xdr:row>
      <xdr:rowOff>28575</xdr:rowOff>
    </xdr:from>
    <xdr:to>
      <xdr:col>2</xdr:col>
      <xdr:colOff>561975</xdr:colOff>
      <xdr:row>25</xdr:row>
      <xdr:rowOff>28575</xdr:rowOff>
    </xdr:to>
    <xdr:sp macro="" textlink="">
      <xdr:nvSpPr>
        <xdr:cNvPr id="4389056" name="Line 120">
          <a:extLst>
            <a:ext uri="{FF2B5EF4-FFF2-40B4-BE49-F238E27FC236}">
              <a16:creationId xmlns="" xmlns:a16="http://schemas.microsoft.com/office/drawing/2014/main" id="{00000000-0008-0000-1100-0000C0F84200}"/>
            </a:ext>
          </a:extLst>
        </xdr:cNvPr>
        <xdr:cNvSpPr>
          <a:spLocks noChangeShapeType="1"/>
        </xdr:cNvSpPr>
      </xdr:nvSpPr>
      <xdr:spPr bwMode="auto">
        <a:xfrm>
          <a:off x="3371850" y="8458200"/>
          <a:ext cx="514350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3</xdr:col>
      <xdr:colOff>161925</xdr:colOff>
      <xdr:row>24</xdr:row>
      <xdr:rowOff>219075</xdr:rowOff>
    </xdr:from>
    <xdr:to>
      <xdr:col>3</xdr:col>
      <xdr:colOff>161925</xdr:colOff>
      <xdr:row>29</xdr:row>
      <xdr:rowOff>57150</xdr:rowOff>
    </xdr:to>
    <xdr:sp macro="" textlink="">
      <xdr:nvSpPr>
        <xdr:cNvPr id="4389057" name="Line 121">
          <a:extLst>
            <a:ext uri="{FF2B5EF4-FFF2-40B4-BE49-F238E27FC236}">
              <a16:creationId xmlns="" xmlns:a16="http://schemas.microsoft.com/office/drawing/2014/main" id="{00000000-0008-0000-1100-0000C1F84200}"/>
            </a:ext>
          </a:extLst>
        </xdr:cNvPr>
        <xdr:cNvSpPr>
          <a:spLocks noChangeShapeType="1"/>
        </xdr:cNvSpPr>
      </xdr:nvSpPr>
      <xdr:spPr bwMode="auto">
        <a:xfrm>
          <a:off x="4695825" y="8401050"/>
          <a:ext cx="0" cy="1190625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2</xdr:col>
      <xdr:colOff>1000125</xdr:colOff>
      <xdr:row>25</xdr:row>
      <xdr:rowOff>38100</xdr:rowOff>
    </xdr:from>
    <xdr:to>
      <xdr:col>3</xdr:col>
      <xdr:colOff>552450</xdr:colOff>
      <xdr:row>25</xdr:row>
      <xdr:rowOff>38100</xdr:rowOff>
    </xdr:to>
    <xdr:sp macro="" textlink="">
      <xdr:nvSpPr>
        <xdr:cNvPr id="4389058" name="Line 122">
          <a:extLst>
            <a:ext uri="{FF2B5EF4-FFF2-40B4-BE49-F238E27FC236}">
              <a16:creationId xmlns="" xmlns:a16="http://schemas.microsoft.com/office/drawing/2014/main" id="{00000000-0008-0000-1100-0000C2F84200}"/>
            </a:ext>
          </a:extLst>
        </xdr:cNvPr>
        <xdr:cNvSpPr>
          <a:spLocks noChangeShapeType="1"/>
        </xdr:cNvSpPr>
      </xdr:nvSpPr>
      <xdr:spPr bwMode="auto">
        <a:xfrm>
          <a:off x="4324350" y="8467725"/>
          <a:ext cx="762000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4</xdr:col>
      <xdr:colOff>295275</xdr:colOff>
      <xdr:row>24</xdr:row>
      <xdr:rowOff>228600</xdr:rowOff>
    </xdr:from>
    <xdr:to>
      <xdr:col>4</xdr:col>
      <xdr:colOff>323850</xdr:colOff>
      <xdr:row>30</xdr:row>
      <xdr:rowOff>38100</xdr:rowOff>
    </xdr:to>
    <xdr:grpSp>
      <xdr:nvGrpSpPr>
        <xdr:cNvPr id="4389059" name="Group 123">
          <a:extLst>
            <a:ext uri="{FF2B5EF4-FFF2-40B4-BE49-F238E27FC236}">
              <a16:creationId xmlns="" xmlns:a16="http://schemas.microsoft.com/office/drawing/2014/main" id="{00000000-0008-0000-1100-0000C3F84200}"/>
            </a:ext>
          </a:extLst>
        </xdr:cNvPr>
        <xdr:cNvGrpSpPr>
          <a:grpSpLocks/>
        </xdr:cNvGrpSpPr>
      </xdr:nvGrpSpPr>
      <xdr:grpSpPr bwMode="auto">
        <a:xfrm>
          <a:off x="5751739" y="8488136"/>
          <a:ext cx="28575" cy="1510393"/>
          <a:chOff x="759" y="438"/>
          <a:chExt cx="10" cy="121"/>
        </a:xfrm>
      </xdr:grpSpPr>
      <xdr:sp macro="" textlink="">
        <xdr:nvSpPr>
          <xdr:cNvPr id="4389077" name="Line 124">
            <a:extLst>
              <a:ext uri="{FF2B5EF4-FFF2-40B4-BE49-F238E27FC236}">
                <a16:creationId xmlns="" xmlns:a16="http://schemas.microsoft.com/office/drawing/2014/main" id="{00000000-0008-0000-1100-0000D5F842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9078" name="Line 125">
            <a:extLst>
              <a:ext uri="{FF2B5EF4-FFF2-40B4-BE49-F238E27FC236}">
                <a16:creationId xmlns="" xmlns:a16="http://schemas.microsoft.com/office/drawing/2014/main" id="{00000000-0008-0000-1100-0000D6F842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5</xdr:col>
      <xdr:colOff>238125</xdr:colOff>
      <xdr:row>24</xdr:row>
      <xdr:rowOff>238125</xdr:rowOff>
    </xdr:from>
    <xdr:to>
      <xdr:col>5</xdr:col>
      <xdr:colOff>438150</xdr:colOff>
      <xdr:row>31</xdr:row>
      <xdr:rowOff>28575</xdr:rowOff>
    </xdr:to>
    <xdr:grpSp>
      <xdr:nvGrpSpPr>
        <xdr:cNvPr id="4389060" name="Group 126">
          <a:extLst>
            <a:ext uri="{FF2B5EF4-FFF2-40B4-BE49-F238E27FC236}">
              <a16:creationId xmlns="" xmlns:a16="http://schemas.microsoft.com/office/drawing/2014/main" id="{00000000-0008-0000-1100-0000C4F84200}"/>
            </a:ext>
          </a:extLst>
        </xdr:cNvPr>
        <xdr:cNvGrpSpPr>
          <a:grpSpLocks/>
        </xdr:cNvGrpSpPr>
      </xdr:nvGrpSpPr>
      <xdr:grpSpPr bwMode="auto">
        <a:xfrm>
          <a:off x="6715125" y="8497661"/>
          <a:ext cx="200025" cy="1831521"/>
          <a:chOff x="842" y="438"/>
          <a:chExt cx="10" cy="147"/>
        </a:xfrm>
      </xdr:grpSpPr>
      <xdr:sp macro="" textlink="">
        <xdr:nvSpPr>
          <xdr:cNvPr id="4389075" name="Line 127">
            <a:extLst>
              <a:ext uri="{FF2B5EF4-FFF2-40B4-BE49-F238E27FC236}">
                <a16:creationId xmlns="" xmlns:a16="http://schemas.microsoft.com/office/drawing/2014/main" id="{00000000-0008-0000-1100-0000D3F842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9076" name="Line 128">
            <a:extLst>
              <a:ext uri="{FF2B5EF4-FFF2-40B4-BE49-F238E27FC236}">
                <a16:creationId xmlns="" xmlns:a16="http://schemas.microsoft.com/office/drawing/2014/main" id="{00000000-0008-0000-1100-0000D4F842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9525</xdr:colOff>
      <xdr:row>24</xdr:row>
      <xdr:rowOff>190500</xdr:rowOff>
    </xdr:from>
    <xdr:to>
      <xdr:col>10</xdr:col>
      <xdr:colOff>0</xdr:colOff>
      <xdr:row>25</xdr:row>
      <xdr:rowOff>228600</xdr:rowOff>
    </xdr:to>
    <xdr:sp macro="" textlink="">
      <xdr:nvSpPr>
        <xdr:cNvPr id="4389061" name="Rectangle 129">
          <a:extLst>
            <a:ext uri="{FF2B5EF4-FFF2-40B4-BE49-F238E27FC236}">
              <a16:creationId xmlns="" xmlns:a16="http://schemas.microsoft.com/office/drawing/2014/main" id="{00000000-0008-0000-1100-0000C5F84200}"/>
            </a:ext>
          </a:extLst>
        </xdr:cNvPr>
        <xdr:cNvSpPr>
          <a:spLocks noChangeArrowheads="1"/>
        </xdr:cNvSpPr>
      </xdr:nvSpPr>
      <xdr:spPr bwMode="auto">
        <a:xfrm>
          <a:off x="3333750" y="8372475"/>
          <a:ext cx="6419850" cy="285750"/>
        </a:xfrm>
        <a:prstGeom prst="rect">
          <a:avLst/>
        </a:prstGeom>
        <a:noFill/>
        <a:ln w="158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666750</xdr:colOff>
      <xdr:row>25</xdr:row>
      <xdr:rowOff>38100</xdr:rowOff>
    </xdr:from>
    <xdr:to>
      <xdr:col>7</xdr:col>
      <xdr:colOff>133350</xdr:colOff>
      <xdr:row>25</xdr:row>
      <xdr:rowOff>38100</xdr:rowOff>
    </xdr:to>
    <xdr:sp macro="" textlink="">
      <xdr:nvSpPr>
        <xdr:cNvPr id="4389062" name="Line 131">
          <a:extLst>
            <a:ext uri="{FF2B5EF4-FFF2-40B4-BE49-F238E27FC236}">
              <a16:creationId xmlns="" xmlns:a16="http://schemas.microsoft.com/office/drawing/2014/main" id="{00000000-0008-0000-1100-0000C6F84200}"/>
            </a:ext>
          </a:extLst>
        </xdr:cNvPr>
        <xdr:cNvSpPr>
          <a:spLocks noChangeShapeType="1"/>
        </xdr:cNvSpPr>
      </xdr:nvSpPr>
      <xdr:spPr bwMode="auto">
        <a:xfrm>
          <a:off x="8001000" y="8467725"/>
          <a:ext cx="133350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</xdr:spPr>
    </xdr:sp>
    <xdr:clientData/>
  </xdr:twoCellAnchor>
  <xdr:twoCellAnchor>
    <xdr:from>
      <xdr:col>6</xdr:col>
      <xdr:colOff>171450</xdr:colOff>
      <xdr:row>24</xdr:row>
      <xdr:rowOff>228600</xdr:rowOff>
    </xdr:from>
    <xdr:to>
      <xdr:col>6</xdr:col>
      <xdr:colOff>200025</xdr:colOff>
      <xdr:row>32</xdr:row>
      <xdr:rowOff>133350</xdr:rowOff>
    </xdr:to>
    <xdr:grpSp>
      <xdr:nvGrpSpPr>
        <xdr:cNvPr id="4389063" name="Group 133">
          <a:extLst>
            <a:ext uri="{FF2B5EF4-FFF2-40B4-BE49-F238E27FC236}">
              <a16:creationId xmlns="" xmlns:a16="http://schemas.microsoft.com/office/drawing/2014/main" id="{00000000-0008-0000-1100-0000C7F84200}"/>
            </a:ext>
          </a:extLst>
        </xdr:cNvPr>
        <xdr:cNvGrpSpPr>
          <a:grpSpLocks/>
        </xdr:cNvGrpSpPr>
      </xdr:nvGrpSpPr>
      <xdr:grpSpPr bwMode="auto">
        <a:xfrm>
          <a:off x="7532914" y="8488136"/>
          <a:ext cx="28575" cy="2286000"/>
          <a:chOff x="912" y="438"/>
          <a:chExt cx="11" cy="175"/>
        </a:xfrm>
      </xdr:grpSpPr>
      <xdr:sp macro="" textlink="">
        <xdr:nvSpPr>
          <xdr:cNvPr id="4389073" name="Line 134">
            <a:extLst>
              <a:ext uri="{FF2B5EF4-FFF2-40B4-BE49-F238E27FC236}">
                <a16:creationId xmlns="" xmlns:a16="http://schemas.microsoft.com/office/drawing/2014/main" id="{00000000-0008-0000-1100-0000D1F842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9074" name="Line 135">
            <a:extLst>
              <a:ext uri="{FF2B5EF4-FFF2-40B4-BE49-F238E27FC236}">
                <a16:creationId xmlns="" xmlns:a16="http://schemas.microsoft.com/office/drawing/2014/main" id="{00000000-0008-0000-1100-0000D2F842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0</xdr:colOff>
      <xdr:row>32</xdr:row>
      <xdr:rowOff>38100</xdr:rowOff>
    </xdr:from>
    <xdr:to>
      <xdr:col>6</xdr:col>
      <xdr:colOff>200025</xdr:colOff>
      <xdr:row>32</xdr:row>
      <xdr:rowOff>38100</xdr:rowOff>
    </xdr:to>
    <xdr:sp macro="" textlink="">
      <xdr:nvSpPr>
        <xdr:cNvPr id="4389064" name="Line 136">
          <a:extLst>
            <a:ext uri="{FF2B5EF4-FFF2-40B4-BE49-F238E27FC236}">
              <a16:creationId xmlns="" xmlns:a16="http://schemas.microsoft.com/office/drawing/2014/main" id="{00000000-0008-0000-1100-0000C8F84200}"/>
            </a:ext>
          </a:extLst>
        </xdr:cNvPr>
        <xdr:cNvSpPr>
          <a:spLocks noChangeShapeType="1"/>
        </xdr:cNvSpPr>
      </xdr:nvSpPr>
      <xdr:spPr bwMode="auto">
        <a:xfrm flipH="1">
          <a:off x="3324225" y="10572750"/>
          <a:ext cx="4229100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2</xdr:col>
      <xdr:colOff>0</xdr:colOff>
      <xdr:row>33</xdr:row>
      <xdr:rowOff>66675</xdr:rowOff>
    </xdr:from>
    <xdr:to>
      <xdr:col>7</xdr:col>
      <xdr:colOff>447675</xdr:colOff>
      <xdr:row>33</xdr:row>
      <xdr:rowOff>66675</xdr:rowOff>
    </xdr:to>
    <xdr:sp macro="" textlink="">
      <xdr:nvSpPr>
        <xdr:cNvPr id="4389065" name="Line 223">
          <a:extLst>
            <a:ext uri="{FF2B5EF4-FFF2-40B4-BE49-F238E27FC236}">
              <a16:creationId xmlns="" xmlns:a16="http://schemas.microsoft.com/office/drawing/2014/main" id="{00000000-0008-0000-1100-0000C9F84200}"/>
            </a:ext>
          </a:extLst>
        </xdr:cNvPr>
        <xdr:cNvSpPr>
          <a:spLocks noChangeShapeType="1"/>
        </xdr:cNvSpPr>
      </xdr:nvSpPr>
      <xdr:spPr bwMode="auto">
        <a:xfrm flipH="1">
          <a:off x="3324225" y="10934700"/>
          <a:ext cx="5124450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2</xdr:col>
      <xdr:colOff>0</xdr:colOff>
      <xdr:row>34</xdr:row>
      <xdr:rowOff>38100</xdr:rowOff>
    </xdr:from>
    <xdr:to>
      <xdr:col>8</xdr:col>
      <xdr:colOff>495300</xdr:colOff>
      <xdr:row>34</xdr:row>
      <xdr:rowOff>38100</xdr:rowOff>
    </xdr:to>
    <xdr:sp macro="" textlink="">
      <xdr:nvSpPr>
        <xdr:cNvPr id="4389066" name="Line 224">
          <a:extLst>
            <a:ext uri="{FF2B5EF4-FFF2-40B4-BE49-F238E27FC236}">
              <a16:creationId xmlns="" xmlns:a16="http://schemas.microsoft.com/office/drawing/2014/main" id="{00000000-0008-0000-1100-0000CAF84200}"/>
            </a:ext>
          </a:extLst>
        </xdr:cNvPr>
        <xdr:cNvSpPr>
          <a:spLocks noChangeShapeType="1"/>
        </xdr:cNvSpPr>
      </xdr:nvSpPr>
      <xdr:spPr bwMode="auto">
        <a:xfrm flipH="1">
          <a:off x="3324225" y="11239500"/>
          <a:ext cx="5895975" cy="0"/>
        </a:xfrm>
        <a:prstGeom prst="line">
          <a:avLst/>
        </a:prstGeom>
        <a:noFill/>
        <a:ln w="9525">
          <a:solidFill>
            <a:srgbClr val="969696"/>
          </a:solidFill>
          <a:round/>
          <a:headEnd type="stealth" w="med" len="med"/>
          <a:tailEnd type="stealth" w="med" len="med"/>
        </a:ln>
      </xdr:spPr>
    </xdr:sp>
    <xdr:clientData/>
  </xdr:twoCellAnchor>
  <xdr:twoCellAnchor>
    <xdr:from>
      <xdr:col>7</xdr:col>
      <xdr:colOff>400050</xdr:colOff>
      <xdr:row>24</xdr:row>
      <xdr:rowOff>228600</xdr:rowOff>
    </xdr:from>
    <xdr:to>
      <xdr:col>7</xdr:col>
      <xdr:colOff>428625</xdr:colOff>
      <xdr:row>33</xdr:row>
      <xdr:rowOff>57150</xdr:rowOff>
    </xdr:to>
    <xdr:grpSp>
      <xdr:nvGrpSpPr>
        <xdr:cNvPr id="4389067" name="Group 225">
          <a:extLst>
            <a:ext uri="{FF2B5EF4-FFF2-40B4-BE49-F238E27FC236}">
              <a16:creationId xmlns="" xmlns:a16="http://schemas.microsoft.com/office/drawing/2014/main" id="{00000000-0008-0000-1100-0000CBF84200}"/>
            </a:ext>
          </a:extLst>
        </xdr:cNvPr>
        <xdr:cNvGrpSpPr>
          <a:grpSpLocks/>
        </xdr:cNvGrpSpPr>
      </xdr:nvGrpSpPr>
      <xdr:grpSpPr bwMode="auto">
        <a:xfrm>
          <a:off x="8414657" y="8488136"/>
          <a:ext cx="28575" cy="2549978"/>
          <a:chOff x="912" y="438"/>
          <a:chExt cx="11" cy="175"/>
        </a:xfrm>
      </xdr:grpSpPr>
      <xdr:sp macro="" textlink="">
        <xdr:nvSpPr>
          <xdr:cNvPr id="4389071" name="Line 226">
            <a:extLst>
              <a:ext uri="{FF2B5EF4-FFF2-40B4-BE49-F238E27FC236}">
                <a16:creationId xmlns="" xmlns:a16="http://schemas.microsoft.com/office/drawing/2014/main" id="{00000000-0008-0000-1100-0000CFF842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9072" name="Line 227">
            <a:extLst>
              <a:ext uri="{FF2B5EF4-FFF2-40B4-BE49-F238E27FC236}">
                <a16:creationId xmlns="" xmlns:a16="http://schemas.microsoft.com/office/drawing/2014/main" id="{00000000-0008-0000-1100-0000D0F842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485775</xdr:colOff>
      <xdr:row>24</xdr:row>
      <xdr:rowOff>228600</xdr:rowOff>
    </xdr:from>
    <xdr:to>
      <xdr:col>9</xdr:col>
      <xdr:colOff>9525</xdr:colOff>
      <xdr:row>34</xdr:row>
      <xdr:rowOff>85725</xdr:rowOff>
    </xdr:to>
    <xdr:grpSp>
      <xdr:nvGrpSpPr>
        <xdr:cNvPr id="4389068" name="Group 228">
          <a:extLst>
            <a:ext uri="{FF2B5EF4-FFF2-40B4-BE49-F238E27FC236}">
              <a16:creationId xmlns="" xmlns:a16="http://schemas.microsoft.com/office/drawing/2014/main" id="{00000000-0008-0000-1100-0000CCF84200}"/>
            </a:ext>
          </a:extLst>
        </xdr:cNvPr>
        <xdr:cNvGrpSpPr>
          <a:grpSpLocks/>
        </xdr:cNvGrpSpPr>
      </xdr:nvGrpSpPr>
      <xdr:grpSpPr bwMode="auto">
        <a:xfrm>
          <a:off x="9221561" y="8488136"/>
          <a:ext cx="40821" cy="2918732"/>
          <a:chOff x="912" y="438"/>
          <a:chExt cx="11" cy="175"/>
        </a:xfrm>
      </xdr:grpSpPr>
      <xdr:sp macro="" textlink="">
        <xdr:nvSpPr>
          <xdr:cNvPr id="4389069" name="Line 229">
            <a:extLst>
              <a:ext uri="{FF2B5EF4-FFF2-40B4-BE49-F238E27FC236}">
                <a16:creationId xmlns="" xmlns:a16="http://schemas.microsoft.com/office/drawing/2014/main" id="{00000000-0008-0000-1100-0000CDF842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9070" name="Line 230">
            <a:extLst>
              <a:ext uri="{FF2B5EF4-FFF2-40B4-BE49-F238E27FC236}">
                <a16:creationId xmlns="" xmlns:a16="http://schemas.microsoft.com/office/drawing/2014/main" id="{00000000-0008-0000-1100-0000CEF842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71445" name="Line 1">
          <a:extLst>
            <a:ext uri="{FF2B5EF4-FFF2-40B4-BE49-F238E27FC236}">
              <a16:creationId xmlns="" xmlns:a16="http://schemas.microsoft.com/office/drawing/2014/main" id="{00000000-0008-0000-1200-0000F5B34200}"/>
            </a:ext>
          </a:extLst>
        </xdr:cNvPr>
        <xdr:cNvSpPr>
          <a:spLocks noChangeShapeType="1"/>
        </xdr:cNvSpPr>
      </xdr:nvSpPr>
      <xdr:spPr bwMode="auto">
        <a:xfrm flipV="1">
          <a:off x="2695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71446" name="Line 2">
          <a:extLst>
            <a:ext uri="{FF2B5EF4-FFF2-40B4-BE49-F238E27FC236}">
              <a16:creationId xmlns="" xmlns:a16="http://schemas.microsoft.com/office/drawing/2014/main" id="{00000000-0008-0000-1200-0000F6B34200}"/>
            </a:ext>
          </a:extLst>
        </xdr:cNvPr>
        <xdr:cNvSpPr>
          <a:spLocks noChangeShapeType="1"/>
        </xdr:cNvSpPr>
      </xdr:nvSpPr>
      <xdr:spPr bwMode="auto">
        <a:xfrm flipV="1">
          <a:off x="61055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676275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71447" name="Line 3">
          <a:extLst>
            <a:ext uri="{FF2B5EF4-FFF2-40B4-BE49-F238E27FC236}">
              <a16:creationId xmlns="" xmlns:a16="http://schemas.microsoft.com/office/drawing/2014/main" id="{00000000-0008-0000-1200-0000F7B34200}"/>
            </a:ext>
          </a:extLst>
        </xdr:cNvPr>
        <xdr:cNvSpPr>
          <a:spLocks noChangeShapeType="1"/>
        </xdr:cNvSpPr>
      </xdr:nvSpPr>
      <xdr:spPr bwMode="auto">
        <a:xfrm>
          <a:off x="2695575" y="0"/>
          <a:ext cx="3409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95250</xdr:colOff>
      <xdr:row>0</xdr:row>
      <xdr:rowOff>0</xdr:rowOff>
    </xdr:from>
    <xdr:to>
      <xdr:col>6</xdr:col>
      <xdr:colOff>200025</xdr:colOff>
      <xdr:row>0</xdr:row>
      <xdr:rowOff>0</xdr:rowOff>
    </xdr:to>
    <xdr:sp macro="" textlink="">
      <xdr:nvSpPr>
        <xdr:cNvPr id="4371448" name="Line 4">
          <a:extLst>
            <a:ext uri="{FF2B5EF4-FFF2-40B4-BE49-F238E27FC236}">
              <a16:creationId xmlns="" xmlns:a16="http://schemas.microsoft.com/office/drawing/2014/main" id="{00000000-0008-0000-1200-0000F8B34200}"/>
            </a:ext>
          </a:extLst>
        </xdr:cNvPr>
        <xdr:cNvSpPr>
          <a:spLocks noChangeShapeType="1"/>
        </xdr:cNvSpPr>
      </xdr:nvSpPr>
      <xdr:spPr bwMode="auto">
        <a:xfrm>
          <a:off x="6200775" y="0"/>
          <a:ext cx="1057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104775</xdr:colOff>
      <xdr:row>0</xdr:row>
      <xdr:rowOff>0</xdr:rowOff>
    </xdr:from>
    <xdr:to>
      <xdr:col>6</xdr:col>
      <xdr:colOff>104775</xdr:colOff>
      <xdr:row>0</xdr:row>
      <xdr:rowOff>0</xdr:rowOff>
    </xdr:to>
    <xdr:sp macro="" textlink="">
      <xdr:nvSpPr>
        <xdr:cNvPr id="4371449" name="Line 5">
          <a:extLst>
            <a:ext uri="{FF2B5EF4-FFF2-40B4-BE49-F238E27FC236}">
              <a16:creationId xmlns="" xmlns:a16="http://schemas.microsoft.com/office/drawing/2014/main" id="{00000000-0008-0000-1200-0000F9B34200}"/>
            </a:ext>
          </a:extLst>
        </xdr:cNvPr>
        <xdr:cNvSpPr>
          <a:spLocks noChangeShapeType="1"/>
        </xdr:cNvSpPr>
      </xdr:nvSpPr>
      <xdr:spPr bwMode="auto">
        <a:xfrm>
          <a:off x="71628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0</xdr:row>
      <xdr:rowOff>0</xdr:rowOff>
    </xdr:from>
    <xdr:to>
      <xdr:col>6</xdr:col>
      <xdr:colOff>114300</xdr:colOff>
      <xdr:row>0</xdr:row>
      <xdr:rowOff>0</xdr:rowOff>
    </xdr:to>
    <xdr:sp macro="" textlink="">
      <xdr:nvSpPr>
        <xdr:cNvPr id="4371450" name="Line 6">
          <a:extLst>
            <a:ext uri="{FF2B5EF4-FFF2-40B4-BE49-F238E27FC236}">
              <a16:creationId xmlns="" xmlns:a16="http://schemas.microsoft.com/office/drawing/2014/main" id="{00000000-0008-0000-1200-0000FAB34200}"/>
            </a:ext>
          </a:extLst>
        </xdr:cNvPr>
        <xdr:cNvSpPr>
          <a:spLocks noChangeShapeType="1"/>
        </xdr:cNvSpPr>
      </xdr:nvSpPr>
      <xdr:spPr bwMode="auto">
        <a:xfrm>
          <a:off x="7172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85725</xdr:colOff>
      <xdr:row>0</xdr:row>
      <xdr:rowOff>0</xdr:rowOff>
    </xdr:from>
    <xdr:to>
      <xdr:col>6</xdr:col>
      <xdr:colOff>228600</xdr:colOff>
      <xdr:row>0</xdr:row>
      <xdr:rowOff>0</xdr:rowOff>
    </xdr:to>
    <xdr:sp macro="" textlink="">
      <xdr:nvSpPr>
        <xdr:cNvPr id="4371451" name="Line 7">
          <a:extLst>
            <a:ext uri="{FF2B5EF4-FFF2-40B4-BE49-F238E27FC236}">
              <a16:creationId xmlns="" xmlns:a16="http://schemas.microsoft.com/office/drawing/2014/main" id="{00000000-0008-0000-1200-0000FBB34200}"/>
            </a:ext>
          </a:extLst>
        </xdr:cNvPr>
        <xdr:cNvSpPr>
          <a:spLocks noChangeShapeType="1"/>
        </xdr:cNvSpPr>
      </xdr:nvSpPr>
      <xdr:spPr bwMode="auto">
        <a:xfrm>
          <a:off x="6191250" y="0"/>
          <a:ext cx="1095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533400</xdr:colOff>
      <xdr:row>0</xdr:row>
      <xdr:rowOff>0</xdr:rowOff>
    </xdr:from>
    <xdr:to>
      <xdr:col>12</xdr:col>
      <xdr:colOff>123825</xdr:colOff>
      <xdr:row>0</xdr:row>
      <xdr:rowOff>0</xdr:rowOff>
    </xdr:to>
    <xdr:sp macro="" textlink="">
      <xdr:nvSpPr>
        <xdr:cNvPr id="4371452" name="Line 8">
          <a:extLst>
            <a:ext uri="{FF2B5EF4-FFF2-40B4-BE49-F238E27FC236}">
              <a16:creationId xmlns="" xmlns:a16="http://schemas.microsoft.com/office/drawing/2014/main" id="{00000000-0008-0000-1200-0000FCB34200}"/>
            </a:ext>
          </a:extLst>
        </xdr:cNvPr>
        <xdr:cNvSpPr>
          <a:spLocks noChangeShapeType="1"/>
        </xdr:cNvSpPr>
      </xdr:nvSpPr>
      <xdr:spPr bwMode="auto">
        <a:xfrm>
          <a:off x="10458450" y="0"/>
          <a:ext cx="12382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12</xdr:col>
      <xdr:colOff>238125</xdr:colOff>
      <xdr:row>0</xdr:row>
      <xdr:rowOff>0</xdr:rowOff>
    </xdr:to>
    <xdr:sp macro="" textlink="">
      <xdr:nvSpPr>
        <xdr:cNvPr id="4371453" name="Line 9">
          <a:extLst>
            <a:ext uri="{FF2B5EF4-FFF2-40B4-BE49-F238E27FC236}">
              <a16:creationId xmlns="" xmlns:a16="http://schemas.microsoft.com/office/drawing/2014/main" id="{00000000-0008-0000-1200-0000FDB34200}"/>
            </a:ext>
          </a:extLst>
        </xdr:cNvPr>
        <xdr:cNvSpPr>
          <a:spLocks noChangeShapeType="1"/>
        </xdr:cNvSpPr>
      </xdr:nvSpPr>
      <xdr:spPr bwMode="auto">
        <a:xfrm flipV="1">
          <a:off x="105822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238125</xdr:colOff>
      <xdr:row>0</xdr:row>
      <xdr:rowOff>0</xdr:rowOff>
    </xdr:from>
    <xdr:to>
      <xdr:col>12</xdr:col>
      <xdr:colOff>342900</xdr:colOff>
      <xdr:row>0</xdr:row>
      <xdr:rowOff>0</xdr:rowOff>
    </xdr:to>
    <xdr:sp macro="" textlink="">
      <xdr:nvSpPr>
        <xdr:cNvPr id="4371454" name="Line 10">
          <a:extLst>
            <a:ext uri="{FF2B5EF4-FFF2-40B4-BE49-F238E27FC236}">
              <a16:creationId xmlns="" xmlns:a16="http://schemas.microsoft.com/office/drawing/2014/main" id="{00000000-0008-0000-1200-0000FEB34200}"/>
            </a:ext>
          </a:extLst>
        </xdr:cNvPr>
        <xdr:cNvSpPr>
          <a:spLocks noChangeShapeType="1"/>
        </xdr:cNvSpPr>
      </xdr:nvSpPr>
      <xdr:spPr bwMode="auto">
        <a:xfrm>
          <a:off x="10696575" y="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361950</xdr:colOff>
      <xdr:row>0</xdr:row>
      <xdr:rowOff>0</xdr:rowOff>
    </xdr:from>
    <xdr:to>
      <xdr:col>12</xdr:col>
      <xdr:colOff>342900</xdr:colOff>
      <xdr:row>0</xdr:row>
      <xdr:rowOff>0</xdr:rowOff>
    </xdr:to>
    <xdr:sp macro="" textlink="">
      <xdr:nvSpPr>
        <xdr:cNvPr id="4371455" name="Line 11">
          <a:extLst>
            <a:ext uri="{FF2B5EF4-FFF2-40B4-BE49-F238E27FC236}">
              <a16:creationId xmlns="" xmlns:a16="http://schemas.microsoft.com/office/drawing/2014/main" id="{00000000-0008-0000-1200-0000FFB34200}"/>
            </a:ext>
          </a:extLst>
        </xdr:cNvPr>
        <xdr:cNvSpPr>
          <a:spLocks noChangeShapeType="1"/>
        </xdr:cNvSpPr>
      </xdr:nvSpPr>
      <xdr:spPr bwMode="auto">
        <a:xfrm flipV="1">
          <a:off x="10801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466725</xdr:colOff>
      <xdr:row>0</xdr:row>
      <xdr:rowOff>0</xdr:rowOff>
    </xdr:from>
    <xdr:to>
      <xdr:col>12</xdr:col>
      <xdr:colOff>342900</xdr:colOff>
      <xdr:row>0</xdr:row>
      <xdr:rowOff>0</xdr:rowOff>
    </xdr:to>
    <xdr:sp macro="" textlink="">
      <xdr:nvSpPr>
        <xdr:cNvPr id="4399104" name="Line 12">
          <a:extLst>
            <a:ext uri="{FF2B5EF4-FFF2-40B4-BE49-F238E27FC236}">
              <a16:creationId xmlns="" xmlns:a16="http://schemas.microsoft.com/office/drawing/2014/main" id="{00000000-0008-0000-1200-000000204300}"/>
            </a:ext>
          </a:extLst>
        </xdr:cNvPr>
        <xdr:cNvSpPr>
          <a:spLocks noChangeShapeType="1"/>
        </xdr:cNvSpPr>
      </xdr:nvSpPr>
      <xdr:spPr bwMode="auto">
        <a:xfrm>
          <a:off x="10801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581025</xdr:colOff>
      <xdr:row>0</xdr:row>
      <xdr:rowOff>0</xdr:rowOff>
    </xdr:from>
    <xdr:to>
      <xdr:col>13</xdr:col>
      <xdr:colOff>0</xdr:colOff>
      <xdr:row>0</xdr:row>
      <xdr:rowOff>0</xdr:rowOff>
    </xdr:to>
    <xdr:sp macro="" textlink="">
      <xdr:nvSpPr>
        <xdr:cNvPr id="4399105" name="Line 13">
          <a:extLst>
            <a:ext uri="{FF2B5EF4-FFF2-40B4-BE49-F238E27FC236}">
              <a16:creationId xmlns="" xmlns:a16="http://schemas.microsoft.com/office/drawing/2014/main" id="{00000000-0008-0000-1200-000001204300}"/>
            </a:ext>
          </a:extLst>
        </xdr:cNvPr>
        <xdr:cNvSpPr>
          <a:spLocks noChangeShapeType="1"/>
        </xdr:cNvSpPr>
      </xdr:nvSpPr>
      <xdr:spPr bwMode="auto">
        <a:xfrm flipV="1">
          <a:off x="10801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0</xdr:colOff>
      <xdr:row>0</xdr:row>
      <xdr:rowOff>0</xdr:rowOff>
    </xdr:from>
    <xdr:to>
      <xdr:col>14</xdr:col>
      <xdr:colOff>123825</xdr:colOff>
      <xdr:row>0</xdr:row>
      <xdr:rowOff>0</xdr:rowOff>
    </xdr:to>
    <xdr:sp macro="" textlink="">
      <xdr:nvSpPr>
        <xdr:cNvPr id="4399106" name="Line 14">
          <a:extLst>
            <a:ext uri="{FF2B5EF4-FFF2-40B4-BE49-F238E27FC236}">
              <a16:creationId xmlns="" xmlns:a16="http://schemas.microsoft.com/office/drawing/2014/main" id="{00000000-0008-0000-1200-000002204300}"/>
            </a:ext>
          </a:extLst>
        </xdr:cNvPr>
        <xdr:cNvSpPr>
          <a:spLocks noChangeShapeType="1"/>
        </xdr:cNvSpPr>
      </xdr:nvSpPr>
      <xdr:spPr bwMode="auto">
        <a:xfrm>
          <a:off x="1104900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0</xdr:row>
      <xdr:rowOff>0</xdr:rowOff>
    </xdr:from>
    <xdr:to>
      <xdr:col>14</xdr:col>
      <xdr:colOff>238125</xdr:colOff>
      <xdr:row>0</xdr:row>
      <xdr:rowOff>0</xdr:rowOff>
    </xdr:to>
    <xdr:sp macro="" textlink="">
      <xdr:nvSpPr>
        <xdr:cNvPr id="4399107" name="Line 15">
          <a:extLst>
            <a:ext uri="{FF2B5EF4-FFF2-40B4-BE49-F238E27FC236}">
              <a16:creationId xmlns="" xmlns:a16="http://schemas.microsoft.com/office/drawing/2014/main" id="{00000000-0008-0000-1200-000003204300}"/>
            </a:ext>
          </a:extLst>
        </xdr:cNvPr>
        <xdr:cNvSpPr>
          <a:spLocks noChangeShapeType="1"/>
        </xdr:cNvSpPr>
      </xdr:nvSpPr>
      <xdr:spPr bwMode="auto">
        <a:xfrm flipV="1">
          <a:off x="111728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238125</xdr:colOff>
      <xdr:row>0</xdr:row>
      <xdr:rowOff>0</xdr:rowOff>
    </xdr:from>
    <xdr:to>
      <xdr:col>14</xdr:col>
      <xdr:colOff>361950</xdr:colOff>
      <xdr:row>0</xdr:row>
      <xdr:rowOff>0</xdr:rowOff>
    </xdr:to>
    <xdr:sp macro="" textlink="">
      <xdr:nvSpPr>
        <xdr:cNvPr id="4399108" name="Line 16">
          <a:extLst>
            <a:ext uri="{FF2B5EF4-FFF2-40B4-BE49-F238E27FC236}">
              <a16:creationId xmlns="" xmlns:a16="http://schemas.microsoft.com/office/drawing/2014/main" id="{00000000-0008-0000-1200-000004204300}"/>
            </a:ext>
          </a:extLst>
        </xdr:cNvPr>
        <xdr:cNvSpPr>
          <a:spLocks noChangeShapeType="1"/>
        </xdr:cNvSpPr>
      </xdr:nvSpPr>
      <xdr:spPr bwMode="auto">
        <a:xfrm>
          <a:off x="1128712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361950</xdr:colOff>
      <xdr:row>0</xdr:row>
      <xdr:rowOff>0</xdr:rowOff>
    </xdr:from>
    <xdr:to>
      <xdr:col>14</xdr:col>
      <xdr:colOff>476250</xdr:colOff>
      <xdr:row>0</xdr:row>
      <xdr:rowOff>0</xdr:rowOff>
    </xdr:to>
    <xdr:sp macro="" textlink="">
      <xdr:nvSpPr>
        <xdr:cNvPr id="4399109" name="Line 17">
          <a:extLst>
            <a:ext uri="{FF2B5EF4-FFF2-40B4-BE49-F238E27FC236}">
              <a16:creationId xmlns="" xmlns:a16="http://schemas.microsoft.com/office/drawing/2014/main" id="{00000000-0008-0000-1200-000005204300}"/>
            </a:ext>
          </a:extLst>
        </xdr:cNvPr>
        <xdr:cNvSpPr>
          <a:spLocks noChangeShapeType="1"/>
        </xdr:cNvSpPr>
      </xdr:nvSpPr>
      <xdr:spPr bwMode="auto">
        <a:xfrm flipV="1">
          <a:off x="1141095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476250</xdr:colOff>
      <xdr:row>0</xdr:row>
      <xdr:rowOff>0</xdr:rowOff>
    </xdr:from>
    <xdr:to>
      <xdr:col>14</xdr:col>
      <xdr:colOff>609600</xdr:colOff>
      <xdr:row>0</xdr:row>
      <xdr:rowOff>0</xdr:rowOff>
    </xdr:to>
    <xdr:sp macro="" textlink="">
      <xdr:nvSpPr>
        <xdr:cNvPr id="4399110" name="Line 18">
          <a:extLst>
            <a:ext uri="{FF2B5EF4-FFF2-40B4-BE49-F238E27FC236}">
              <a16:creationId xmlns="" xmlns:a16="http://schemas.microsoft.com/office/drawing/2014/main" id="{00000000-0008-0000-1200-000006204300}"/>
            </a:ext>
          </a:extLst>
        </xdr:cNvPr>
        <xdr:cNvSpPr>
          <a:spLocks noChangeShapeType="1"/>
        </xdr:cNvSpPr>
      </xdr:nvSpPr>
      <xdr:spPr bwMode="auto">
        <a:xfrm>
          <a:off x="11525250" y="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609600</xdr:colOff>
      <xdr:row>0</xdr:row>
      <xdr:rowOff>0</xdr:rowOff>
    </xdr:from>
    <xdr:to>
      <xdr:col>15</xdr:col>
      <xdr:colOff>28575</xdr:colOff>
      <xdr:row>0</xdr:row>
      <xdr:rowOff>0</xdr:rowOff>
    </xdr:to>
    <xdr:sp macro="" textlink="">
      <xdr:nvSpPr>
        <xdr:cNvPr id="4399111" name="Line 19">
          <a:extLst>
            <a:ext uri="{FF2B5EF4-FFF2-40B4-BE49-F238E27FC236}">
              <a16:creationId xmlns="" xmlns:a16="http://schemas.microsoft.com/office/drawing/2014/main" id="{00000000-0008-0000-1200-000007204300}"/>
            </a:ext>
          </a:extLst>
        </xdr:cNvPr>
        <xdr:cNvSpPr>
          <a:spLocks noChangeShapeType="1"/>
        </xdr:cNvSpPr>
      </xdr:nvSpPr>
      <xdr:spPr bwMode="auto">
        <a:xfrm flipV="1">
          <a:off x="11658600" y="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28575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9112" name="Line 20">
          <a:extLst>
            <a:ext uri="{FF2B5EF4-FFF2-40B4-BE49-F238E27FC236}">
              <a16:creationId xmlns="" xmlns:a16="http://schemas.microsoft.com/office/drawing/2014/main" id="{00000000-0008-0000-1200-000008204300}"/>
            </a:ext>
          </a:extLst>
        </xdr:cNvPr>
        <xdr:cNvSpPr>
          <a:spLocks noChangeShapeType="1"/>
        </xdr:cNvSpPr>
      </xdr:nvSpPr>
      <xdr:spPr bwMode="auto">
        <a:xfrm>
          <a:off x="1226820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152400</xdr:colOff>
      <xdr:row>0</xdr:row>
      <xdr:rowOff>0</xdr:rowOff>
    </xdr:from>
    <xdr:to>
      <xdr:col>15</xdr:col>
      <xdr:colOff>266700</xdr:colOff>
      <xdr:row>0</xdr:row>
      <xdr:rowOff>0</xdr:rowOff>
    </xdr:to>
    <xdr:sp macro="" textlink="">
      <xdr:nvSpPr>
        <xdr:cNvPr id="4399113" name="Line 21">
          <a:extLst>
            <a:ext uri="{FF2B5EF4-FFF2-40B4-BE49-F238E27FC236}">
              <a16:creationId xmlns="" xmlns:a16="http://schemas.microsoft.com/office/drawing/2014/main" id="{00000000-0008-0000-1200-000009204300}"/>
            </a:ext>
          </a:extLst>
        </xdr:cNvPr>
        <xdr:cNvSpPr>
          <a:spLocks noChangeShapeType="1"/>
        </xdr:cNvSpPr>
      </xdr:nvSpPr>
      <xdr:spPr bwMode="auto">
        <a:xfrm flipV="1">
          <a:off x="123920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266700</xdr:colOff>
      <xdr:row>0</xdr:row>
      <xdr:rowOff>0</xdr:rowOff>
    </xdr:from>
    <xdr:to>
      <xdr:col>15</xdr:col>
      <xdr:colOff>381000</xdr:colOff>
      <xdr:row>0</xdr:row>
      <xdr:rowOff>0</xdr:rowOff>
    </xdr:to>
    <xdr:sp macro="" textlink="">
      <xdr:nvSpPr>
        <xdr:cNvPr id="4399114" name="Line 22">
          <a:extLst>
            <a:ext uri="{FF2B5EF4-FFF2-40B4-BE49-F238E27FC236}">
              <a16:creationId xmlns="" xmlns:a16="http://schemas.microsoft.com/office/drawing/2014/main" id="{00000000-0008-0000-1200-00000A204300}"/>
            </a:ext>
          </a:extLst>
        </xdr:cNvPr>
        <xdr:cNvSpPr>
          <a:spLocks noChangeShapeType="1"/>
        </xdr:cNvSpPr>
      </xdr:nvSpPr>
      <xdr:spPr bwMode="auto">
        <a:xfrm>
          <a:off x="125063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381000</xdr:colOff>
      <xdr:row>0</xdr:row>
      <xdr:rowOff>0</xdr:rowOff>
    </xdr:from>
    <xdr:to>
      <xdr:col>15</xdr:col>
      <xdr:colOff>495300</xdr:colOff>
      <xdr:row>0</xdr:row>
      <xdr:rowOff>0</xdr:rowOff>
    </xdr:to>
    <xdr:sp macro="" textlink="">
      <xdr:nvSpPr>
        <xdr:cNvPr id="4399115" name="Line 23">
          <a:extLst>
            <a:ext uri="{FF2B5EF4-FFF2-40B4-BE49-F238E27FC236}">
              <a16:creationId xmlns="" xmlns:a16="http://schemas.microsoft.com/office/drawing/2014/main" id="{00000000-0008-0000-1200-00000B204300}"/>
            </a:ext>
          </a:extLst>
        </xdr:cNvPr>
        <xdr:cNvSpPr>
          <a:spLocks noChangeShapeType="1"/>
        </xdr:cNvSpPr>
      </xdr:nvSpPr>
      <xdr:spPr bwMode="auto">
        <a:xfrm flipV="1">
          <a:off x="126206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495300</xdr:colOff>
      <xdr:row>0</xdr:row>
      <xdr:rowOff>0</xdr:rowOff>
    </xdr:from>
    <xdr:to>
      <xdr:col>15</xdr:col>
      <xdr:colOff>619125</xdr:colOff>
      <xdr:row>0</xdr:row>
      <xdr:rowOff>0</xdr:rowOff>
    </xdr:to>
    <xdr:sp macro="" textlink="">
      <xdr:nvSpPr>
        <xdr:cNvPr id="4399116" name="Line 24">
          <a:extLst>
            <a:ext uri="{FF2B5EF4-FFF2-40B4-BE49-F238E27FC236}">
              <a16:creationId xmlns="" xmlns:a16="http://schemas.microsoft.com/office/drawing/2014/main" id="{00000000-0008-0000-1200-00000C204300}"/>
            </a:ext>
          </a:extLst>
        </xdr:cNvPr>
        <xdr:cNvSpPr>
          <a:spLocks noChangeShapeType="1"/>
        </xdr:cNvSpPr>
      </xdr:nvSpPr>
      <xdr:spPr bwMode="auto">
        <a:xfrm>
          <a:off x="1273492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619125</xdr:colOff>
      <xdr:row>0</xdr:row>
      <xdr:rowOff>0</xdr:rowOff>
    </xdr:from>
    <xdr:to>
      <xdr:col>16</xdr:col>
      <xdr:colOff>47625</xdr:colOff>
      <xdr:row>0</xdr:row>
      <xdr:rowOff>0</xdr:rowOff>
    </xdr:to>
    <xdr:sp macro="" textlink="">
      <xdr:nvSpPr>
        <xdr:cNvPr id="4399117" name="Line 25">
          <a:extLst>
            <a:ext uri="{FF2B5EF4-FFF2-40B4-BE49-F238E27FC236}">
              <a16:creationId xmlns="" xmlns:a16="http://schemas.microsoft.com/office/drawing/2014/main" id="{00000000-0008-0000-1200-00000D204300}"/>
            </a:ext>
          </a:extLst>
        </xdr:cNvPr>
        <xdr:cNvSpPr>
          <a:spLocks noChangeShapeType="1"/>
        </xdr:cNvSpPr>
      </xdr:nvSpPr>
      <xdr:spPr bwMode="auto">
        <a:xfrm flipV="1">
          <a:off x="1285875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66675</xdr:colOff>
      <xdr:row>0</xdr:row>
      <xdr:rowOff>0</xdr:rowOff>
    </xdr:to>
    <xdr:sp macro="" textlink="">
      <xdr:nvSpPr>
        <xdr:cNvPr id="4399118" name="Line 26">
          <a:extLst>
            <a:ext uri="{FF2B5EF4-FFF2-40B4-BE49-F238E27FC236}">
              <a16:creationId xmlns="" xmlns:a16="http://schemas.microsoft.com/office/drawing/2014/main" id="{00000000-0008-0000-1200-00000E204300}"/>
            </a:ext>
          </a:extLst>
        </xdr:cNvPr>
        <xdr:cNvSpPr>
          <a:spLocks noChangeShapeType="1"/>
        </xdr:cNvSpPr>
      </xdr:nvSpPr>
      <xdr:spPr bwMode="auto">
        <a:xfrm flipV="1">
          <a:off x="105251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619125</xdr:colOff>
      <xdr:row>0</xdr:row>
      <xdr:rowOff>0</xdr:rowOff>
    </xdr:from>
    <xdr:to>
      <xdr:col>15</xdr:col>
      <xdr:colOff>619125</xdr:colOff>
      <xdr:row>0</xdr:row>
      <xdr:rowOff>0</xdr:rowOff>
    </xdr:to>
    <xdr:sp macro="" textlink="">
      <xdr:nvSpPr>
        <xdr:cNvPr id="4399119" name="Line 27">
          <a:extLst>
            <a:ext uri="{FF2B5EF4-FFF2-40B4-BE49-F238E27FC236}">
              <a16:creationId xmlns="" xmlns:a16="http://schemas.microsoft.com/office/drawing/2014/main" id="{00000000-0008-0000-1200-00000F204300}"/>
            </a:ext>
          </a:extLst>
        </xdr:cNvPr>
        <xdr:cNvSpPr>
          <a:spLocks noChangeShapeType="1"/>
        </xdr:cNvSpPr>
      </xdr:nvSpPr>
      <xdr:spPr bwMode="auto">
        <a:xfrm flipV="1">
          <a:off x="128587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15</xdr:col>
      <xdr:colOff>619125</xdr:colOff>
      <xdr:row>0</xdr:row>
      <xdr:rowOff>0</xdr:rowOff>
    </xdr:to>
    <xdr:sp macro="" textlink="">
      <xdr:nvSpPr>
        <xdr:cNvPr id="4399120" name="Line 28">
          <a:extLst>
            <a:ext uri="{FF2B5EF4-FFF2-40B4-BE49-F238E27FC236}">
              <a16:creationId xmlns="" xmlns:a16="http://schemas.microsoft.com/office/drawing/2014/main" id="{00000000-0008-0000-1200-000010204300}"/>
            </a:ext>
          </a:extLst>
        </xdr:cNvPr>
        <xdr:cNvSpPr>
          <a:spLocks noChangeShapeType="1"/>
        </xdr:cNvSpPr>
      </xdr:nvSpPr>
      <xdr:spPr bwMode="auto">
        <a:xfrm>
          <a:off x="10582275" y="0"/>
          <a:ext cx="2276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352425</xdr:colOff>
      <xdr:row>0</xdr:row>
      <xdr:rowOff>0</xdr:rowOff>
    </xdr:from>
    <xdr:to>
      <xdr:col>2</xdr:col>
      <xdr:colOff>352425</xdr:colOff>
      <xdr:row>0</xdr:row>
      <xdr:rowOff>0</xdr:rowOff>
    </xdr:to>
    <xdr:sp macro="" textlink="">
      <xdr:nvSpPr>
        <xdr:cNvPr id="4399121" name="Line 29">
          <a:extLst>
            <a:ext uri="{FF2B5EF4-FFF2-40B4-BE49-F238E27FC236}">
              <a16:creationId xmlns="" xmlns:a16="http://schemas.microsoft.com/office/drawing/2014/main" id="{00000000-0008-0000-1200-000011204300}"/>
            </a:ext>
          </a:extLst>
        </xdr:cNvPr>
        <xdr:cNvSpPr>
          <a:spLocks noChangeShapeType="1"/>
        </xdr:cNvSpPr>
      </xdr:nvSpPr>
      <xdr:spPr bwMode="auto">
        <a:xfrm>
          <a:off x="3048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152400</xdr:colOff>
      <xdr:row>0</xdr:row>
      <xdr:rowOff>0</xdr:rowOff>
    </xdr:to>
    <xdr:sp macro="" textlink="">
      <xdr:nvSpPr>
        <xdr:cNvPr id="4399122" name="Line 30">
          <a:extLst>
            <a:ext uri="{FF2B5EF4-FFF2-40B4-BE49-F238E27FC236}">
              <a16:creationId xmlns="" xmlns:a16="http://schemas.microsoft.com/office/drawing/2014/main" id="{00000000-0008-0000-1200-000012204300}"/>
            </a:ext>
          </a:extLst>
        </xdr:cNvPr>
        <xdr:cNvSpPr>
          <a:spLocks noChangeShapeType="1"/>
        </xdr:cNvSpPr>
      </xdr:nvSpPr>
      <xdr:spPr bwMode="auto">
        <a:xfrm>
          <a:off x="28479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723900</xdr:colOff>
      <xdr:row>0</xdr:row>
      <xdr:rowOff>0</xdr:rowOff>
    </xdr:from>
    <xdr:to>
      <xdr:col>4</xdr:col>
      <xdr:colOff>723900</xdr:colOff>
      <xdr:row>0</xdr:row>
      <xdr:rowOff>0</xdr:rowOff>
    </xdr:to>
    <xdr:sp macro="" textlink="">
      <xdr:nvSpPr>
        <xdr:cNvPr id="4399123" name="Line 31">
          <a:extLst>
            <a:ext uri="{FF2B5EF4-FFF2-40B4-BE49-F238E27FC236}">
              <a16:creationId xmlns="" xmlns:a16="http://schemas.microsoft.com/office/drawing/2014/main" id="{00000000-0008-0000-1200-000013204300}"/>
            </a:ext>
          </a:extLst>
        </xdr:cNvPr>
        <xdr:cNvSpPr>
          <a:spLocks noChangeShapeType="1"/>
        </xdr:cNvSpPr>
      </xdr:nvSpPr>
      <xdr:spPr bwMode="auto">
        <a:xfrm>
          <a:off x="5676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285750</xdr:colOff>
      <xdr:row>0</xdr:row>
      <xdr:rowOff>0</xdr:rowOff>
    </xdr:from>
    <xdr:to>
      <xdr:col>2</xdr:col>
      <xdr:colOff>285750</xdr:colOff>
      <xdr:row>0</xdr:row>
      <xdr:rowOff>0</xdr:rowOff>
    </xdr:to>
    <xdr:sp macro="" textlink="">
      <xdr:nvSpPr>
        <xdr:cNvPr id="4399124" name="Line 32">
          <a:extLst>
            <a:ext uri="{FF2B5EF4-FFF2-40B4-BE49-F238E27FC236}">
              <a16:creationId xmlns="" xmlns:a16="http://schemas.microsoft.com/office/drawing/2014/main" id="{00000000-0008-0000-1200-000014204300}"/>
            </a:ext>
          </a:extLst>
        </xdr:cNvPr>
        <xdr:cNvSpPr>
          <a:spLocks noChangeShapeType="1"/>
        </xdr:cNvSpPr>
      </xdr:nvSpPr>
      <xdr:spPr bwMode="auto">
        <a:xfrm>
          <a:off x="2981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590550</xdr:colOff>
      <xdr:row>0</xdr:row>
      <xdr:rowOff>0</xdr:rowOff>
    </xdr:from>
    <xdr:to>
      <xdr:col>4</xdr:col>
      <xdr:colOff>590550</xdr:colOff>
      <xdr:row>0</xdr:row>
      <xdr:rowOff>0</xdr:rowOff>
    </xdr:to>
    <xdr:sp macro="" textlink="">
      <xdr:nvSpPr>
        <xdr:cNvPr id="4399125" name="Line 33">
          <a:extLst>
            <a:ext uri="{FF2B5EF4-FFF2-40B4-BE49-F238E27FC236}">
              <a16:creationId xmlns="" xmlns:a16="http://schemas.microsoft.com/office/drawing/2014/main" id="{00000000-0008-0000-1200-000015204300}"/>
            </a:ext>
          </a:extLst>
        </xdr:cNvPr>
        <xdr:cNvSpPr>
          <a:spLocks noChangeShapeType="1"/>
        </xdr:cNvSpPr>
      </xdr:nvSpPr>
      <xdr:spPr bwMode="auto">
        <a:xfrm flipH="1">
          <a:off x="55435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619125</xdr:colOff>
      <xdr:row>0</xdr:row>
      <xdr:rowOff>0</xdr:rowOff>
    </xdr:from>
    <xdr:to>
      <xdr:col>16</xdr:col>
      <xdr:colOff>47625</xdr:colOff>
      <xdr:row>0</xdr:row>
      <xdr:rowOff>0</xdr:rowOff>
    </xdr:to>
    <xdr:sp macro="" textlink="">
      <xdr:nvSpPr>
        <xdr:cNvPr id="4399126" name="Line 34">
          <a:extLst>
            <a:ext uri="{FF2B5EF4-FFF2-40B4-BE49-F238E27FC236}">
              <a16:creationId xmlns="" xmlns:a16="http://schemas.microsoft.com/office/drawing/2014/main" id="{00000000-0008-0000-1200-000016204300}"/>
            </a:ext>
          </a:extLst>
        </xdr:cNvPr>
        <xdr:cNvSpPr>
          <a:spLocks noChangeShapeType="1"/>
        </xdr:cNvSpPr>
      </xdr:nvSpPr>
      <xdr:spPr bwMode="auto">
        <a:xfrm flipV="1">
          <a:off x="1285875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17</xdr:col>
      <xdr:colOff>95250</xdr:colOff>
      <xdr:row>0</xdr:row>
      <xdr:rowOff>0</xdr:rowOff>
    </xdr:to>
    <xdr:grpSp>
      <xdr:nvGrpSpPr>
        <xdr:cNvPr id="4399127" name="Group 35">
          <a:extLst>
            <a:ext uri="{FF2B5EF4-FFF2-40B4-BE49-F238E27FC236}">
              <a16:creationId xmlns="" xmlns:a16="http://schemas.microsoft.com/office/drawing/2014/main" id="{00000000-0008-0000-1200-000017204300}"/>
            </a:ext>
          </a:extLst>
        </xdr:cNvPr>
        <xdr:cNvGrpSpPr>
          <a:grpSpLocks/>
        </xdr:cNvGrpSpPr>
      </xdr:nvGrpSpPr>
      <xdr:grpSpPr bwMode="auto">
        <a:xfrm>
          <a:off x="8610600" y="0"/>
          <a:ext cx="5829300" cy="0"/>
          <a:chOff x="630" y="359"/>
          <a:chExt cx="361" cy="60"/>
        </a:xfrm>
      </xdr:grpSpPr>
      <xdr:sp macro="" textlink="">
        <xdr:nvSpPr>
          <xdr:cNvPr id="4399306" name="Line 36">
            <a:extLst>
              <a:ext uri="{FF2B5EF4-FFF2-40B4-BE49-F238E27FC236}">
                <a16:creationId xmlns="" xmlns:a16="http://schemas.microsoft.com/office/drawing/2014/main" id="{00000000-0008-0000-1200-0000CA20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0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9307" name="Line 37">
            <a:extLst>
              <a:ext uri="{FF2B5EF4-FFF2-40B4-BE49-F238E27FC236}">
                <a16:creationId xmlns="" xmlns:a16="http://schemas.microsoft.com/office/drawing/2014/main" id="{00000000-0008-0000-1200-0000CB20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91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9308" name="Line 38">
            <a:extLst>
              <a:ext uri="{FF2B5EF4-FFF2-40B4-BE49-F238E27FC236}">
                <a16:creationId xmlns="" xmlns:a16="http://schemas.microsoft.com/office/drawing/2014/main" id="{00000000-0008-0000-1200-0000CC204300}"/>
              </a:ext>
            </a:extLst>
          </xdr:cNvPr>
          <xdr:cNvSpPr>
            <a:spLocks noChangeShapeType="1"/>
          </xdr:cNvSpPr>
        </xdr:nvSpPr>
        <xdr:spPr bwMode="auto">
          <a:xfrm>
            <a:off x="630" y="381"/>
            <a:ext cx="3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7</xdr:col>
      <xdr:colOff>590550</xdr:colOff>
      <xdr:row>0</xdr:row>
      <xdr:rowOff>0</xdr:rowOff>
    </xdr:to>
    <xdr:sp macro="" textlink="">
      <xdr:nvSpPr>
        <xdr:cNvPr id="4399128" name="Line 39">
          <a:extLst>
            <a:ext uri="{FF2B5EF4-FFF2-40B4-BE49-F238E27FC236}">
              <a16:creationId xmlns="" xmlns:a16="http://schemas.microsoft.com/office/drawing/2014/main" id="{00000000-0008-0000-1200-000018204300}"/>
            </a:ext>
          </a:extLst>
        </xdr:cNvPr>
        <xdr:cNvSpPr>
          <a:spLocks noChangeShapeType="1"/>
        </xdr:cNvSpPr>
      </xdr:nvSpPr>
      <xdr:spPr bwMode="auto">
        <a:xfrm>
          <a:off x="8572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10</xdr:col>
      <xdr:colOff>47625</xdr:colOff>
      <xdr:row>0</xdr:row>
      <xdr:rowOff>0</xdr:rowOff>
    </xdr:to>
    <xdr:sp macro="" textlink="">
      <xdr:nvSpPr>
        <xdr:cNvPr id="4399129" name="Line 40">
          <a:extLst>
            <a:ext uri="{FF2B5EF4-FFF2-40B4-BE49-F238E27FC236}">
              <a16:creationId xmlns="" xmlns:a16="http://schemas.microsoft.com/office/drawing/2014/main" id="{00000000-0008-0000-1200-000019204300}"/>
            </a:ext>
          </a:extLst>
        </xdr:cNvPr>
        <xdr:cNvSpPr>
          <a:spLocks noChangeShapeType="1"/>
        </xdr:cNvSpPr>
      </xdr:nvSpPr>
      <xdr:spPr bwMode="auto">
        <a:xfrm flipV="1">
          <a:off x="8115300" y="0"/>
          <a:ext cx="1695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10</xdr:col>
      <xdr:colOff>914400</xdr:colOff>
      <xdr:row>0</xdr:row>
      <xdr:rowOff>0</xdr:rowOff>
    </xdr:to>
    <xdr:sp macro="" textlink="">
      <xdr:nvSpPr>
        <xdr:cNvPr id="4399130" name="Line 41">
          <a:extLst>
            <a:ext uri="{FF2B5EF4-FFF2-40B4-BE49-F238E27FC236}">
              <a16:creationId xmlns="" xmlns:a16="http://schemas.microsoft.com/office/drawing/2014/main" id="{00000000-0008-0000-1200-00001A204300}"/>
            </a:ext>
          </a:extLst>
        </xdr:cNvPr>
        <xdr:cNvSpPr>
          <a:spLocks noChangeShapeType="1"/>
        </xdr:cNvSpPr>
      </xdr:nvSpPr>
      <xdr:spPr bwMode="auto">
        <a:xfrm>
          <a:off x="8572500" y="0"/>
          <a:ext cx="1543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28575</xdr:colOff>
      <xdr:row>0</xdr:row>
      <xdr:rowOff>0</xdr:rowOff>
    </xdr:to>
    <xdr:sp macro="" textlink="">
      <xdr:nvSpPr>
        <xdr:cNvPr id="4399131" name="Line 42">
          <a:extLst>
            <a:ext uri="{FF2B5EF4-FFF2-40B4-BE49-F238E27FC236}">
              <a16:creationId xmlns="" xmlns:a16="http://schemas.microsoft.com/office/drawing/2014/main" id="{00000000-0008-0000-1200-00001B204300}"/>
            </a:ext>
          </a:extLst>
        </xdr:cNvPr>
        <xdr:cNvSpPr>
          <a:spLocks noChangeShapeType="1"/>
        </xdr:cNvSpPr>
      </xdr:nvSpPr>
      <xdr:spPr bwMode="auto">
        <a:xfrm>
          <a:off x="8572500" y="0"/>
          <a:ext cx="1914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552450</xdr:colOff>
      <xdr:row>0</xdr:row>
      <xdr:rowOff>0</xdr:rowOff>
    </xdr:from>
    <xdr:to>
      <xdr:col>14</xdr:col>
      <xdr:colOff>400050</xdr:colOff>
      <xdr:row>0</xdr:row>
      <xdr:rowOff>0</xdr:rowOff>
    </xdr:to>
    <xdr:sp macro="" textlink="">
      <xdr:nvSpPr>
        <xdr:cNvPr id="4399132" name="Line 43">
          <a:extLst>
            <a:ext uri="{FF2B5EF4-FFF2-40B4-BE49-F238E27FC236}">
              <a16:creationId xmlns="" xmlns:a16="http://schemas.microsoft.com/office/drawing/2014/main" id="{00000000-0008-0000-1200-00001C204300}"/>
            </a:ext>
          </a:extLst>
        </xdr:cNvPr>
        <xdr:cNvSpPr>
          <a:spLocks noChangeShapeType="1"/>
        </xdr:cNvSpPr>
      </xdr:nvSpPr>
      <xdr:spPr bwMode="auto">
        <a:xfrm flipH="1">
          <a:off x="8534400" y="0"/>
          <a:ext cx="2914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10</xdr:col>
      <xdr:colOff>57150</xdr:colOff>
      <xdr:row>0</xdr:row>
      <xdr:rowOff>0</xdr:rowOff>
    </xdr:to>
    <xdr:grpSp>
      <xdr:nvGrpSpPr>
        <xdr:cNvPr id="4399133" name="Group 44">
          <a:extLst>
            <a:ext uri="{FF2B5EF4-FFF2-40B4-BE49-F238E27FC236}">
              <a16:creationId xmlns="" xmlns:a16="http://schemas.microsoft.com/office/drawing/2014/main" id="{00000000-0008-0000-1200-00001D204300}"/>
            </a:ext>
          </a:extLst>
        </xdr:cNvPr>
        <xdr:cNvGrpSpPr>
          <a:grpSpLocks/>
        </xdr:cNvGrpSpPr>
      </xdr:nvGrpSpPr>
      <xdr:grpSpPr bwMode="auto">
        <a:xfrm>
          <a:off x="8648700" y="0"/>
          <a:ext cx="1238250" cy="0"/>
          <a:chOff x="554" y="439"/>
          <a:chExt cx="10" cy="76"/>
        </a:xfrm>
      </xdr:grpSpPr>
      <xdr:sp macro="" textlink="">
        <xdr:nvSpPr>
          <xdr:cNvPr id="4399304" name="Line 45">
            <a:extLst>
              <a:ext uri="{FF2B5EF4-FFF2-40B4-BE49-F238E27FC236}">
                <a16:creationId xmlns="" xmlns:a16="http://schemas.microsoft.com/office/drawing/2014/main" id="{00000000-0008-0000-1200-0000C8204300}"/>
              </a:ext>
            </a:extLst>
          </xdr:cNvPr>
          <xdr:cNvSpPr>
            <a:spLocks noChangeShapeType="1"/>
          </xdr:cNvSpPr>
        </xdr:nvSpPr>
        <xdr:spPr bwMode="auto">
          <a:xfrm>
            <a:off x="558" y="439"/>
            <a:ext cx="0" cy="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9305" name="Line 46">
            <a:extLst>
              <a:ext uri="{FF2B5EF4-FFF2-40B4-BE49-F238E27FC236}">
                <a16:creationId xmlns="" xmlns:a16="http://schemas.microsoft.com/office/drawing/2014/main" id="{00000000-0008-0000-1200-0000C9204300}"/>
              </a:ext>
            </a:extLst>
          </xdr:cNvPr>
          <xdr:cNvSpPr>
            <a:spLocks noChangeShapeType="1"/>
          </xdr:cNvSpPr>
        </xdr:nvSpPr>
        <xdr:spPr bwMode="auto">
          <a:xfrm>
            <a:off x="554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11</xdr:col>
      <xdr:colOff>0</xdr:colOff>
      <xdr:row>0</xdr:row>
      <xdr:rowOff>0</xdr:rowOff>
    </xdr:from>
    <xdr:to>
      <xdr:col>11</xdr:col>
      <xdr:colOff>38100</xdr:colOff>
      <xdr:row>0</xdr:row>
      <xdr:rowOff>0</xdr:rowOff>
    </xdr:to>
    <xdr:grpSp>
      <xdr:nvGrpSpPr>
        <xdr:cNvPr id="4399134" name="Group 47">
          <a:extLst>
            <a:ext uri="{FF2B5EF4-FFF2-40B4-BE49-F238E27FC236}">
              <a16:creationId xmlns="" xmlns:a16="http://schemas.microsoft.com/office/drawing/2014/main" id="{00000000-0008-0000-1200-00001E204300}"/>
            </a:ext>
          </a:extLst>
        </xdr:cNvPr>
        <xdr:cNvGrpSpPr>
          <a:grpSpLocks/>
        </xdr:cNvGrpSpPr>
      </xdr:nvGrpSpPr>
      <xdr:grpSpPr bwMode="auto">
        <a:xfrm>
          <a:off x="10191750" y="0"/>
          <a:ext cx="38100" cy="0"/>
          <a:chOff x="680" y="439"/>
          <a:chExt cx="10" cy="98"/>
        </a:xfrm>
      </xdr:grpSpPr>
      <xdr:sp macro="" textlink="">
        <xdr:nvSpPr>
          <xdr:cNvPr id="4399302" name="Line 48">
            <a:extLst>
              <a:ext uri="{FF2B5EF4-FFF2-40B4-BE49-F238E27FC236}">
                <a16:creationId xmlns="" xmlns:a16="http://schemas.microsoft.com/office/drawing/2014/main" id="{00000000-0008-0000-1200-0000C6204300}"/>
              </a:ext>
            </a:extLst>
          </xdr:cNvPr>
          <xdr:cNvSpPr>
            <a:spLocks noChangeShapeType="1"/>
          </xdr:cNvSpPr>
        </xdr:nvSpPr>
        <xdr:spPr bwMode="auto">
          <a:xfrm>
            <a:off x="685" y="439"/>
            <a:ext cx="0" cy="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9303" name="Line 49">
            <a:extLst>
              <a:ext uri="{FF2B5EF4-FFF2-40B4-BE49-F238E27FC236}">
                <a16:creationId xmlns="" xmlns:a16="http://schemas.microsoft.com/office/drawing/2014/main" id="{00000000-0008-0000-1200-0000C7204300}"/>
              </a:ext>
            </a:extLst>
          </xdr:cNvPr>
          <xdr:cNvSpPr>
            <a:spLocks noChangeShapeType="1"/>
          </xdr:cNvSpPr>
        </xdr:nvSpPr>
        <xdr:spPr bwMode="auto">
          <a:xfrm>
            <a:off x="680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4399135" name="Group 50">
          <a:extLst>
            <a:ext uri="{FF2B5EF4-FFF2-40B4-BE49-F238E27FC236}">
              <a16:creationId xmlns="" xmlns:a16="http://schemas.microsoft.com/office/drawing/2014/main" id="{00000000-0008-0000-1200-00001F204300}"/>
            </a:ext>
          </a:extLst>
        </xdr:cNvPr>
        <xdr:cNvGrpSpPr>
          <a:grpSpLocks/>
        </xdr:cNvGrpSpPr>
      </xdr:nvGrpSpPr>
      <xdr:grpSpPr bwMode="auto">
        <a:xfrm>
          <a:off x="10534650" y="0"/>
          <a:ext cx="142875" cy="0"/>
          <a:chOff x="759" y="438"/>
          <a:chExt cx="10" cy="121"/>
        </a:xfrm>
      </xdr:grpSpPr>
      <xdr:sp macro="" textlink="">
        <xdr:nvSpPr>
          <xdr:cNvPr id="4399300" name="Line 51">
            <a:extLst>
              <a:ext uri="{FF2B5EF4-FFF2-40B4-BE49-F238E27FC236}">
                <a16:creationId xmlns="" xmlns:a16="http://schemas.microsoft.com/office/drawing/2014/main" id="{00000000-0008-0000-1200-0000C42043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9301" name="Line 52">
            <a:extLst>
              <a:ext uri="{FF2B5EF4-FFF2-40B4-BE49-F238E27FC236}">
                <a16:creationId xmlns="" xmlns:a16="http://schemas.microsoft.com/office/drawing/2014/main" id="{00000000-0008-0000-1200-0000C52043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14</xdr:col>
      <xdr:colOff>76200</xdr:colOff>
      <xdr:row>0</xdr:row>
      <xdr:rowOff>0</xdr:rowOff>
    </xdr:from>
    <xdr:to>
      <xdr:col>14</xdr:col>
      <xdr:colOff>676275</xdr:colOff>
      <xdr:row>0</xdr:row>
      <xdr:rowOff>0</xdr:rowOff>
    </xdr:to>
    <xdr:grpSp>
      <xdr:nvGrpSpPr>
        <xdr:cNvPr id="4399136" name="Group 53">
          <a:extLst>
            <a:ext uri="{FF2B5EF4-FFF2-40B4-BE49-F238E27FC236}">
              <a16:creationId xmlns="" xmlns:a16="http://schemas.microsoft.com/office/drawing/2014/main" id="{00000000-0008-0000-1200-000020204300}"/>
            </a:ext>
          </a:extLst>
        </xdr:cNvPr>
        <xdr:cNvGrpSpPr>
          <a:grpSpLocks/>
        </xdr:cNvGrpSpPr>
      </xdr:nvGrpSpPr>
      <xdr:grpSpPr bwMode="auto">
        <a:xfrm>
          <a:off x="11201400" y="0"/>
          <a:ext cx="600075" cy="0"/>
          <a:chOff x="842" y="438"/>
          <a:chExt cx="10" cy="147"/>
        </a:xfrm>
      </xdr:grpSpPr>
      <xdr:sp macro="" textlink="">
        <xdr:nvSpPr>
          <xdr:cNvPr id="4399298" name="Line 54">
            <a:extLst>
              <a:ext uri="{FF2B5EF4-FFF2-40B4-BE49-F238E27FC236}">
                <a16:creationId xmlns="" xmlns:a16="http://schemas.microsoft.com/office/drawing/2014/main" id="{00000000-0008-0000-1200-0000C22043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9299" name="Line 55">
            <a:extLst>
              <a:ext uri="{FF2B5EF4-FFF2-40B4-BE49-F238E27FC236}">
                <a16:creationId xmlns="" xmlns:a16="http://schemas.microsoft.com/office/drawing/2014/main" id="{00000000-0008-0000-1200-0000C32043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17</xdr:col>
      <xdr:colOff>76200</xdr:colOff>
      <xdr:row>0</xdr:row>
      <xdr:rowOff>0</xdr:rowOff>
    </xdr:to>
    <xdr:sp macro="" textlink="">
      <xdr:nvSpPr>
        <xdr:cNvPr id="4399137" name="Rectangle 56">
          <a:extLst>
            <a:ext uri="{FF2B5EF4-FFF2-40B4-BE49-F238E27FC236}">
              <a16:creationId xmlns="" xmlns:a16="http://schemas.microsoft.com/office/drawing/2014/main" id="{00000000-0008-0000-1200-000021204300}"/>
            </a:ext>
          </a:extLst>
        </xdr:cNvPr>
        <xdr:cNvSpPr>
          <a:spLocks noChangeArrowheads="1"/>
        </xdr:cNvSpPr>
      </xdr:nvSpPr>
      <xdr:spPr bwMode="auto">
        <a:xfrm>
          <a:off x="8572500" y="0"/>
          <a:ext cx="575310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0</xdr:row>
      <xdr:rowOff>0</xdr:rowOff>
    </xdr:from>
    <xdr:to>
      <xdr:col>17</xdr:col>
      <xdr:colOff>0</xdr:colOff>
      <xdr:row>0</xdr:row>
      <xdr:rowOff>0</xdr:rowOff>
    </xdr:to>
    <xdr:sp macro="" textlink="">
      <xdr:nvSpPr>
        <xdr:cNvPr id="4399138" name="Line 57">
          <a:extLst>
            <a:ext uri="{FF2B5EF4-FFF2-40B4-BE49-F238E27FC236}">
              <a16:creationId xmlns="" xmlns:a16="http://schemas.microsoft.com/office/drawing/2014/main" id="{00000000-0008-0000-1200-000022204300}"/>
            </a:ext>
          </a:extLst>
        </xdr:cNvPr>
        <xdr:cNvSpPr>
          <a:spLocks noChangeShapeType="1"/>
        </xdr:cNvSpPr>
      </xdr:nvSpPr>
      <xdr:spPr bwMode="auto">
        <a:xfrm>
          <a:off x="142494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638175</xdr:colOff>
      <xdr:row>0</xdr:row>
      <xdr:rowOff>0</xdr:rowOff>
    </xdr:from>
    <xdr:to>
      <xdr:col>17</xdr:col>
      <xdr:colOff>47625</xdr:colOff>
      <xdr:row>0</xdr:row>
      <xdr:rowOff>0</xdr:rowOff>
    </xdr:to>
    <xdr:sp macro="" textlink="">
      <xdr:nvSpPr>
        <xdr:cNvPr id="4399139" name="Line 58">
          <a:extLst>
            <a:ext uri="{FF2B5EF4-FFF2-40B4-BE49-F238E27FC236}">
              <a16:creationId xmlns="" xmlns:a16="http://schemas.microsoft.com/office/drawing/2014/main" id="{00000000-0008-0000-1200-000023204300}"/>
            </a:ext>
          </a:extLst>
        </xdr:cNvPr>
        <xdr:cNvSpPr>
          <a:spLocks noChangeShapeType="1"/>
        </xdr:cNvSpPr>
      </xdr:nvSpPr>
      <xdr:spPr bwMode="auto">
        <a:xfrm>
          <a:off x="13801725" y="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16</xdr:col>
      <xdr:colOff>1181100</xdr:colOff>
      <xdr:row>0</xdr:row>
      <xdr:rowOff>0</xdr:rowOff>
    </xdr:to>
    <xdr:sp macro="" textlink="">
      <xdr:nvSpPr>
        <xdr:cNvPr id="4399140" name="Line 59">
          <a:extLst>
            <a:ext uri="{FF2B5EF4-FFF2-40B4-BE49-F238E27FC236}">
              <a16:creationId xmlns="" xmlns:a16="http://schemas.microsoft.com/office/drawing/2014/main" id="{00000000-0008-0000-1200-000024204300}"/>
            </a:ext>
          </a:extLst>
        </xdr:cNvPr>
        <xdr:cNvSpPr>
          <a:spLocks noChangeShapeType="1"/>
        </xdr:cNvSpPr>
      </xdr:nvSpPr>
      <xdr:spPr bwMode="auto">
        <a:xfrm flipV="1">
          <a:off x="8601075" y="0"/>
          <a:ext cx="5648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666750</xdr:colOff>
      <xdr:row>0</xdr:row>
      <xdr:rowOff>0</xdr:rowOff>
    </xdr:from>
    <xdr:to>
      <xdr:col>15</xdr:col>
      <xdr:colOff>838200</xdr:colOff>
      <xdr:row>0</xdr:row>
      <xdr:rowOff>0</xdr:rowOff>
    </xdr:to>
    <xdr:grpSp>
      <xdr:nvGrpSpPr>
        <xdr:cNvPr id="4399141" name="Group 60">
          <a:extLst>
            <a:ext uri="{FF2B5EF4-FFF2-40B4-BE49-F238E27FC236}">
              <a16:creationId xmlns="" xmlns:a16="http://schemas.microsoft.com/office/drawing/2014/main" id="{00000000-0008-0000-1200-000025204300}"/>
            </a:ext>
          </a:extLst>
        </xdr:cNvPr>
        <xdr:cNvGrpSpPr>
          <a:grpSpLocks/>
        </xdr:cNvGrpSpPr>
      </xdr:nvGrpSpPr>
      <xdr:grpSpPr bwMode="auto">
        <a:xfrm>
          <a:off x="12992100" y="0"/>
          <a:ext cx="171450" cy="0"/>
          <a:chOff x="912" y="438"/>
          <a:chExt cx="11" cy="175"/>
        </a:xfrm>
      </xdr:grpSpPr>
      <xdr:sp macro="" textlink="">
        <xdr:nvSpPr>
          <xdr:cNvPr id="4399296" name="Line 61">
            <a:extLst>
              <a:ext uri="{FF2B5EF4-FFF2-40B4-BE49-F238E27FC236}">
                <a16:creationId xmlns="" xmlns:a16="http://schemas.microsoft.com/office/drawing/2014/main" id="{00000000-0008-0000-1200-0000C02043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9297" name="Line 62">
            <a:extLst>
              <a:ext uri="{FF2B5EF4-FFF2-40B4-BE49-F238E27FC236}">
                <a16:creationId xmlns="" xmlns:a16="http://schemas.microsoft.com/office/drawing/2014/main" id="{00000000-0008-0000-1200-0000C12043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171450</xdr:colOff>
      <xdr:row>0</xdr:row>
      <xdr:rowOff>0</xdr:rowOff>
    </xdr:from>
    <xdr:to>
      <xdr:col>4</xdr:col>
      <xdr:colOff>542925</xdr:colOff>
      <xdr:row>0</xdr:row>
      <xdr:rowOff>0</xdr:rowOff>
    </xdr:to>
    <xdr:sp macro="" textlink="">
      <xdr:nvSpPr>
        <xdr:cNvPr id="4399142" name="Line 63">
          <a:extLst>
            <a:ext uri="{FF2B5EF4-FFF2-40B4-BE49-F238E27FC236}">
              <a16:creationId xmlns="" xmlns:a16="http://schemas.microsoft.com/office/drawing/2014/main" id="{00000000-0008-0000-1200-000026204300}"/>
            </a:ext>
          </a:extLst>
        </xdr:cNvPr>
        <xdr:cNvSpPr>
          <a:spLocks noChangeShapeType="1"/>
        </xdr:cNvSpPr>
      </xdr:nvSpPr>
      <xdr:spPr bwMode="auto">
        <a:xfrm>
          <a:off x="2867025" y="0"/>
          <a:ext cx="2628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190500</xdr:colOff>
      <xdr:row>0</xdr:row>
      <xdr:rowOff>0</xdr:rowOff>
    </xdr:from>
    <xdr:to>
      <xdr:col>4</xdr:col>
      <xdr:colOff>571500</xdr:colOff>
      <xdr:row>0</xdr:row>
      <xdr:rowOff>0</xdr:rowOff>
    </xdr:to>
    <xdr:sp macro="" textlink="">
      <xdr:nvSpPr>
        <xdr:cNvPr id="4399143" name="Line 64">
          <a:extLst>
            <a:ext uri="{FF2B5EF4-FFF2-40B4-BE49-F238E27FC236}">
              <a16:creationId xmlns="" xmlns:a16="http://schemas.microsoft.com/office/drawing/2014/main" id="{00000000-0008-0000-1200-000027204300}"/>
            </a:ext>
          </a:extLst>
        </xdr:cNvPr>
        <xdr:cNvSpPr>
          <a:spLocks noChangeShapeType="1"/>
        </xdr:cNvSpPr>
      </xdr:nvSpPr>
      <xdr:spPr bwMode="auto">
        <a:xfrm>
          <a:off x="2886075" y="0"/>
          <a:ext cx="2638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99144" name="Line 65">
          <a:extLst>
            <a:ext uri="{FF2B5EF4-FFF2-40B4-BE49-F238E27FC236}">
              <a16:creationId xmlns="" xmlns:a16="http://schemas.microsoft.com/office/drawing/2014/main" id="{00000000-0008-0000-1200-000028204300}"/>
            </a:ext>
          </a:extLst>
        </xdr:cNvPr>
        <xdr:cNvSpPr>
          <a:spLocks noChangeShapeType="1"/>
        </xdr:cNvSpPr>
      </xdr:nvSpPr>
      <xdr:spPr bwMode="auto">
        <a:xfrm>
          <a:off x="5486400" y="0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4</xdr:col>
      <xdr:colOff>676275</xdr:colOff>
      <xdr:row>0</xdr:row>
      <xdr:rowOff>0</xdr:rowOff>
    </xdr:to>
    <xdr:sp macro="" textlink="">
      <xdr:nvSpPr>
        <xdr:cNvPr id="4399145" name="Line 66">
          <a:extLst>
            <a:ext uri="{FF2B5EF4-FFF2-40B4-BE49-F238E27FC236}">
              <a16:creationId xmlns="" xmlns:a16="http://schemas.microsoft.com/office/drawing/2014/main" id="{00000000-0008-0000-1200-000029204300}"/>
            </a:ext>
          </a:extLst>
        </xdr:cNvPr>
        <xdr:cNvSpPr>
          <a:spLocks noChangeShapeType="1"/>
        </xdr:cNvSpPr>
      </xdr:nvSpPr>
      <xdr:spPr bwMode="auto">
        <a:xfrm>
          <a:off x="5486400" y="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219075</xdr:colOff>
      <xdr:row>0</xdr:row>
      <xdr:rowOff>0</xdr:rowOff>
    </xdr:from>
    <xdr:to>
      <xdr:col>2</xdr:col>
      <xdr:colOff>219075</xdr:colOff>
      <xdr:row>0</xdr:row>
      <xdr:rowOff>0</xdr:rowOff>
    </xdr:to>
    <xdr:sp macro="" textlink="">
      <xdr:nvSpPr>
        <xdr:cNvPr id="4399146" name="Line 67">
          <a:extLst>
            <a:ext uri="{FF2B5EF4-FFF2-40B4-BE49-F238E27FC236}">
              <a16:creationId xmlns="" xmlns:a16="http://schemas.microsoft.com/office/drawing/2014/main" id="{00000000-0008-0000-1200-00002A204300}"/>
            </a:ext>
          </a:extLst>
        </xdr:cNvPr>
        <xdr:cNvSpPr>
          <a:spLocks noChangeShapeType="1"/>
        </xdr:cNvSpPr>
      </xdr:nvSpPr>
      <xdr:spPr bwMode="auto">
        <a:xfrm>
          <a:off x="29146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266700</xdr:colOff>
      <xdr:row>0</xdr:row>
      <xdr:rowOff>0</xdr:rowOff>
    </xdr:from>
    <xdr:to>
      <xdr:col>2</xdr:col>
      <xdr:colOff>266700</xdr:colOff>
      <xdr:row>0</xdr:row>
      <xdr:rowOff>0</xdr:rowOff>
    </xdr:to>
    <xdr:sp macro="" textlink="">
      <xdr:nvSpPr>
        <xdr:cNvPr id="4399147" name="Line 68">
          <a:extLst>
            <a:ext uri="{FF2B5EF4-FFF2-40B4-BE49-F238E27FC236}">
              <a16:creationId xmlns="" xmlns:a16="http://schemas.microsoft.com/office/drawing/2014/main" id="{00000000-0008-0000-1200-00002B204300}"/>
            </a:ext>
          </a:extLst>
        </xdr:cNvPr>
        <xdr:cNvSpPr>
          <a:spLocks noChangeShapeType="1"/>
        </xdr:cNvSpPr>
      </xdr:nvSpPr>
      <xdr:spPr bwMode="auto">
        <a:xfrm>
          <a:off x="29622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333375</xdr:colOff>
      <xdr:row>0</xdr:row>
      <xdr:rowOff>0</xdr:rowOff>
    </xdr:from>
    <xdr:to>
      <xdr:col>2</xdr:col>
      <xdr:colOff>333375</xdr:colOff>
      <xdr:row>0</xdr:row>
      <xdr:rowOff>0</xdr:rowOff>
    </xdr:to>
    <xdr:sp macro="" textlink="">
      <xdr:nvSpPr>
        <xdr:cNvPr id="4399148" name="Line 69">
          <a:extLst>
            <a:ext uri="{FF2B5EF4-FFF2-40B4-BE49-F238E27FC236}">
              <a16:creationId xmlns="" xmlns:a16="http://schemas.microsoft.com/office/drawing/2014/main" id="{00000000-0008-0000-1200-00002C204300}"/>
            </a:ext>
          </a:extLst>
        </xdr:cNvPr>
        <xdr:cNvSpPr>
          <a:spLocks noChangeShapeType="1"/>
        </xdr:cNvSpPr>
      </xdr:nvSpPr>
      <xdr:spPr bwMode="auto">
        <a:xfrm>
          <a:off x="30289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0</xdr:row>
      <xdr:rowOff>0</xdr:rowOff>
    </xdr:from>
    <xdr:to>
      <xdr:col>2</xdr:col>
      <xdr:colOff>390525</xdr:colOff>
      <xdr:row>0</xdr:row>
      <xdr:rowOff>0</xdr:rowOff>
    </xdr:to>
    <xdr:sp macro="" textlink="">
      <xdr:nvSpPr>
        <xdr:cNvPr id="4399149" name="Line 70">
          <a:extLst>
            <a:ext uri="{FF2B5EF4-FFF2-40B4-BE49-F238E27FC236}">
              <a16:creationId xmlns="" xmlns:a16="http://schemas.microsoft.com/office/drawing/2014/main" id="{00000000-0008-0000-1200-00002D204300}"/>
            </a:ext>
          </a:extLst>
        </xdr:cNvPr>
        <xdr:cNvSpPr>
          <a:spLocks noChangeShapeType="1"/>
        </xdr:cNvSpPr>
      </xdr:nvSpPr>
      <xdr:spPr bwMode="auto">
        <a:xfrm>
          <a:off x="30861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447675</xdr:colOff>
      <xdr:row>0</xdr:row>
      <xdr:rowOff>0</xdr:rowOff>
    </xdr:to>
    <xdr:sp macro="" textlink="">
      <xdr:nvSpPr>
        <xdr:cNvPr id="4399150" name="Line 71">
          <a:extLst>
            <a:ext uri="{FF2B5EF4-FFF2-40B4-BE49-F238E27FC236}">
              <a16:creationId xmlns="" xmlns:a16="http://schemas.microsoft.com/office/drawing/2014/main" id="{00000000-0008-0000-1200-00002E204300}"/>
            </a:ext>
          </a:extLst>
        </xdr:cNvPr>
        <xdr:cNvSpPr>
          <a:spLocks noChangeShapeType="1"/>
        </xdr:cNvSpPr>
      </xdr:nvSpPr>
      <xdr:spPr bwMode="auto">
        <a:xfrm>
          <a:off x="2857500" y="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4399151" name="Line 72">
          <a:extLst>
            <a:ext uri="{FF2B5EF4-FFF2-40B4-BE49-F238E27FC236}">
              <a16:creationId xmlns="" xmlns:a16="http://schemas.microsoft.com/office/drawing/2014/main" id="{00000000-0008-0000-1200-00002F204300}"/>
            </a:ext>
          </a:extLst>
        </xdr:cNvPr>
        <xdr:cNvSpPr>
          <a:spLocks noChangeShapeType="1"/>
        </xdr:cNvSpPr>
      </xdr:nvSpPr>
      <xdr:spPr bwMode="auto">
        <a:xfrm>
          <a:off x="2847975" y="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314325</xdr:colOff>
      <xdr:row>0</xdr:row>
      <xdr:rowOff>0</xdr:rowOff>
    </xdr:to>
    <xdr:sp macro="" textlink="">
      <xdr:nvSpPr>
        <xdr:cNvPr id="4399152" name="Line 73">
          <a:extLst>
            <a:ext uri="{FF2B5EF4-FFF2-40B4-BE49-F238E27FC236}">
              <a16:creationId xmlns="" xmlns:a16="http://schemas.microsoft.com/office/drawing/2014/main" id="{00000000-0008-0000-1200-000030204300}"/>
            </a:ext>
          </a:extLst>
        </xdr:cNvPr>
        <xdr:cNvSpPr>
          <a:spLocks noChangeShapeType="1"/>
        </xdr:cNvSpPr>
      </xdr:nvSpPr>
      <xdr:spPr bwMode="auto">
        <a:xfrm>
          <a:off x="2857500" y="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657225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99153" name="Line 74">
          <a:extLst>
            <a:ext uri="{FF2B5EF4-FFF2-40B4-BE49-F238E27FC236}">
              <a16:creationId xmlns="" xmlns:a16="http://schemas.microsoft.com/office/drawing/2014/main" id="{00000000-0008-0000-1200-000031204300}"/>
            </a:ext>
          </a:extLst>
        </xdr:cNvPr>
        <xdr:cNvSpPr>
          <a:spLocks noChangeShapeType="1"/>
        </xdr:cNvSpPr>
      </xdr:nvSpPr>
      <xdr:spPr bwMode="auto">
        <a:xfrm>
          <a:off x="2695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266700</xdr:colOff>
      <xdr:row>0</xdr:row>
      <xdr:rowOff>0</xdr:rowOff>
    </xdr:from>
    <xdr:to>
      <xdr:col>11</xdr:col>
      <xdr:colOff>352425</xdr:colOff>
      <xdr:row>0</xdr:row>
      <xdr:rowOff>0</xdr:rowOff>
    </xdr:to>
    <xdr:sp macro="" textlink="">
      <xdr:nvSpPr>
        <xdr:cNvPr id="4399154" name="Text Box 75">
          <a:extLst>
            <a:ext uri="{FF2B5EF4-FFF2-40B4-BE49-F238E27FC236}">
              <a16:creationId xmlns="" xmlns:a16="http://schemas.microsoft.com/office/drawing/2014/main" id="{00000000-0008-0000-1200-000032204300}"/>
            </a:ext>
          </a:extLst>
        </xdr:cNvPr>
        <xdr:cNvSpPr txBox="1">
          <a:spLocks noChangeArrowheads="1"/>
        </xdr:cNvSpPr>
      </xdr:nvSpPr>
      <xdr:spPr bwMode="auto">
        <a:xfrm>
          <a:off x="10029825" y="0"/>
          <a:ext cx="4286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209550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4399155" name="Line 76">
          <a:extLst>
            <a:ext uri="{FF2B5EF4-FFF2-40B4-BE49-F238E27FC236}">
              <a16:creationId xmlns="" xmlns:a16="http://schemas.microsoft.com/office/drawing/2014/main" id="{00000000-0008-0000-1200-000033204300}"/>
            </a:ext>
          </a:extLst>
        </xdr:cNvPr>
        <xdr:cNvSpPr>
          <a:spLocks noChangeShapeType="1"/>
        </xdr:cNvSpPr>
      </xdr:nvSpPr>
      <xdr:spPr bwMode="auto">
        <a:xfrm flipV="1">
          <a:off x="63150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819150</xdr:colOff>
      <xdr:row>0</xdr:row>
      <xdr:rowOff>0</xdr:rowOff>
    </xdr:to>
    <xdr:sp macro="" textlink="">
      <xdr:nvSpPr>
        <xdr:cNvPr id="4399156" name="Line 77">
          <a:extLst>
            <a:ext uri="{FF2B5EF4-FFF2-40B4-BE49-F238E27FC236}">
              <a16:creationId xmlns="" xmlns:a16="http://schemas.microsoft.com/office/drawing/2014/main" id="{00000000-0008-0000-1200-000034204300}"/>
            </a:ext>
          </a:extLst>
        </xdr:cNvPr>
        <xdr:cNvSpPr>
          <a:spLocks noChangeShapeType="1"/>
        </xdr:cNvSpPr>
      </xdr:nvSpPr>
      <xdr:spPr bwMode="auto">
        <a:xfrm>
          <a:off x="6600825" y="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114300</xdr:colOff>
      <xdr:row>0</xdr:row>
      <xdr:rowOff>0</xdr:rowOff>
    </xdr:from>
    <xdr:to>
      <xdr:col>5</xdr:col>
      <xdr:colOff>323850</xdr:colOff>
      <xdr:row>0</xdr:row>
      <xdr:rowOff>0</xdr:rowOff>
    </xdr:to>
    <xdr:sp macro="" textlink="">
      <xdr:nvSpPr>
        <xdr:cNvPr id="4399157" name="Line 78">
          <a:extLst>
            <a:ext uri="{FF2B5EF4-FFF2-40B4-BE49-F238E27FC236}">
              <a16:creationId xmlns="" xmlns:a16="http://schemas.microsoft.com/office/drawing/2014/main" id="{00000000-0008-0000-1200-000035204300}"/>
            </a:ext>
          </a:extLst>
        </xdr:cNvPr>
        <xdr:cNvSpPr>
          <a:spLocks noChangeShapeType="1"/>
        </xdr:cNvSpPr>
      </xdr:nvSpPr>
      <xdr:spPr bwMode="auto">
        <a:xfrm>
          <a:off x="6219825" y="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9158" name="Rectangle 79">
          <a:extLst>
            <a:ext uri="{FF2B5EF4-FFF2-40B4-BE49-F238E27FC236}">
              <a16:creationId xmlns="" xmlns:a16="http://schemas.microsoft.com/office/drawing/2014/main" id="{00000000-0008-0000-1200-000036204300}"/>
            </a:ext>
          </a:extLst>
        </xdr:cNvPr>
        <xdr:cNvSpPr>
          <a:spLocks noChangeArrowheads="1"/>
        </xdr:cNvSpPr>
      </xdr:nvSpPr>
      <xdr:spPr bwMode="auto">
        <a:xfrm>
          <a:off x="15487650" y="0"/>
          <a:ext cx="376237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4399159" name="Line 80">
          <a:extLst>
            <a:ext uri="{FF2B5EF4-FFF2-40B4-BE49-F238E27FC236}">
              <a16:creationId xmlns="" xmlns:a16="http://schemas.microsoft.com/office/drawing/2014/main" id="{00000000-0008-0000-1200-000037204300}"/>
            </a:ext>
          </a:extLst>
        </xdr:cNvPr>
        <xdr:cNvSpPr>
          <a:spLocks noChangeShapeType="1"/>
        </xdr:cNvSpPr>
      </xdr:nvSpPr>
      <xdr:spPr bwMode="auto">
        <a:xfrm flipV="1">
          <a:off x="15640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9160" name="Line 81">
          <a:extLst>
            <a:ext uri="{FF2B5EF4-FFF2-40B4-BE49-F238E27FC236}">
              <a16:creationId xmlns="" xmlns:a16="http://schemas.microsoft.com/office/drawing/2014/main" id="{00000000-0008-0000-1200-000038204300}"/>
            </a:ext>
          </a:extLst>
        </xdr:cNvPr>
        <xdr:cNvSpPr>
          <a:spLocks noChangeShapeType="1"/>
        </xdr:cNvSpPr>
      </xdr:nvSpPr>
      <xdr:spPr bwMode="auto">
        <a:xfrm flipV="1">
          <a:off x="192500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4399161" name="Line 82">
          <a:extLst>
            <a:ext uri="{FF2B5EF4-FFF2-40B4-BE49-F238E27FC236}">
              <a16:creationId xmlns="" xmlns:a16="http://schemas.microsoft.com/office/drawing/2014/main" id="{00000000-0008-0000-1200-000039204300}"/>
            </a:ext>
          </a:extLst>
        </xdr:cNvPr>
        <xdr:cNvSpPr>
          <a:spLocks noChangeShapeType="1"/>
        </xdr:cNvSpPr>
      </xdr:nvSpPr>
      <xdr:spPr bwMode="auto">
        <a:xfrm flipV="1">
          <a:off x="15640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9162" name="Line 83">
          <a:extLst>
            <a:ext uri="{FF2B5EF4-FFF2-40B4-BE49-F238E27FC236}">
              <a16:creationId xmlns="" xmlns:a16="http://schemas.microsoft.com/office/drawing/2014/main" id="{00000000-0008-0000-1200-00003A204300}"/>
            </a:ext>
          </a:extLst>
        </xdr:cNvPr>
        <xdr:cNvSpPr>
          <a:spLocks noChangeShapeType="1"/>
        </xdr:cNvSpPr>
      </xdr:nvSpPr>
      <xdr:spPr bwMode="auto">
        <a:xfrm flipV="1">
          <a:off x="192500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19050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9163" name="Line 84">
          <a:extLst>
            <a:ext uri="{FF2B5EF4-FFF2-40B4-BE49-F238E27FC236}">
              <a16:creationId xmlns="" xmlns:a16="http://schemas.microsoft.com/office/drawing/2014/main" id="{00000000-0008-0000-1200-00003B204300}"/>
            </a:ext>
          </a:extLst>
        </xdr:cNvPr>
        <xdr:cNvSpPr>
          <a:spLocks noChangeShapeType="1"/>
        </xdr:cNvSpPr>
      </xdr:nvSpPr>
      <xdr:spPr bwMode="auto">
        <a:xfrm>
          <a:off x="15659100" y="0"/>
          <a:ext cx="3590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18</xdr:col>
      <xdr:colOff>609600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9164" name="Line 85">
          <a:extLst>
            <a:ext uri="{FF2B5EF4-FFF2-40B4-BE49-F238E27FC236}">
              <a16:creationId xmlns="" xmlns:a16="http://schemas.microsoft.com/office/drawing/2014/main" id="{00000000-0008-0000-1200-00003C204300}"/>
            </a:ext>
          </a:extLst>
        </xdr:cNvPr>
        <xdr:cNvSpPr>
          <a:spLocks noChangeShapeType="1"/>
        </xdr:cNvSpPr>
      </xdr:nvSpPr>
      <xdr:spPr bwMode="auto">
        <a:xfrm>
          <a:off x="15506700" y="0"/>
          <a:ext cx="3743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18</xdr:col>
      <xdr:colOff>628650</xdr:colOff>
      <xdr:row>0</xdr:row>
      <xdr:rowOff>0</xdr:rowOff>
    </xdr:from>
    <xdr:to>
      <xdr:col>18</xdr:col>
      <xdr:colOff>628650</xdr:colOff>
      <xdr:row>0</xdr:row>
      <xdr:rowOff>0</xdr:rowOff>
    </xdr:to>
    <xdr:sp macro="" textlink="">
      <xdr:nvSpPr>
        <xdr:cNvPr id="4399165" name="Line 86">
          <a:extLst>
            <a:ext uri="{FF2B5EF4-FFF2-40B4-BE49-F238E27FC236}">
              <a16:creationId xmlns="" xmlns:a16="http://schemas.microsoft.com/office/drawing/2014/main" id="{00000000-0008-0000-1200-00003D204300}"/>
            </a:ext>
          </a:extLst>
        </xdr:cNvPr>
        <xdr:cNvSpPr>
          <a:spLocks noChangeShapeType="1"/>
        </xdr:cNvSpPr>
      </xdr:nvSpPr>
      <xdr:spPr bwMode="auto">
        <a:xfrm flipV="1">
          <a:off x="155257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9166" name="Line 87">
          <a:extLst>
            <a:ext uri="{FF2B5EF4-FFF2-40B4-BE49-F238E27FC236}">
              <a16:creationId xmlns="" xmlns:a16="http://schemas.microsoft.com/office/drawing/2014/main" id="{00000000-0008-0000-1200-00003E204300}"/>
            </a:ext>
          </a:extLst>
        </xdr:cNvPr>
        <xdr:cNvSpPr>
          <a:spLocks noChangeShapeType="1"/>
        </xdr:cNvSpPr>
      </xdr:nvSpPr>
      <xdr:spPr bwMode="auto">
        <a:xfrm flipV="1">
          <a:off x="192500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38100</xdr:colOff>
      <xdr:row>0</xdr:row>
      <xdr:rowOff>0</xdr:rowOff>
    </xdr:to>
    <xdr:sp macro="" textlink="">
      <xdr:nvSpPr>
        <xdr:cNvPr id="4399167" name="Rectangle 88">
          <a:extLst>
            <a:ext uri="{FF2B5EF4-FFF2-40B4-BE49-F238E27FC236}">
              <a16:creationId xmlns="" xmlns:a16="http://schemas.microsoft.com/office/drawing/2014/main" id="{00000000-0008-0000-1200-00003F204300}"/>
            </a:ext>
          </a:extLst>
        </xdr:cNvPr>
        <xdr:cNvSpPr>
          <a:spLocks noChangeArrowheads="1"/>
        </xdr:cNvSpPr>
      </xdr:nvSpPr>
      <xdr:spPr bwMode="auto">
        <a:xfrm>
          <a:off x="19250025" y="0"/>
          <a:ext cx="16859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9168" name="Line 89">
          <a:extLst>
            <a:ext uri="{FF2B5EF4-FFF2-40B4-BE49-F238E27FC236}">
              <a16:creationId xmlns="" xmlns:a16="http://schemas.microsoft.com/office/drawing/2014/main" id="{00000000-0008-0000-1200-000040204300}"/>
            </a:ext>
          </a:extLst>
        </xdr:cNvPr>
        <xdr:cNvSpPr>
          <a:spLocks noChangeShapeType="1"/>
        </xdr:cNvSpPr>
      </xdr:nvSpPr>
      <xdr:spPr bwMode="auto">
        <a:xfrm flipV="1">
          <a:off x="192500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0</xdr:colOff>
      <xdr:row>0</xdr:row>
      <xdr:rowOff>0</xdr:rowOff>
    </xdr:to>
    <xdr:sp macro="" textlink="">
      <xdr:nvSpPr>
        <xdr:cNvPr id="4399169" name="Line 90">
          <a:extLst>
            <a:ext uri="{FF2B5EF4-FFF2-40B4-BE49-F238E27FC236}">
              <a16:creationId xmlns="" xmlns:a16="http://schemas.microsoft.com/office/drawing/2014/main" id="{00000000-0008-0000-1200-000041204300}"/>
            </a:ext>
          </a:extLst>
        </xdr:cNvPr>
        <xdr:cNvSpPr>
          <a:spLocks noChangeShapeType="1"/>
        </xdr:cNvSpPr>
      </xdr:nvSpPr>
      <xdr:spPr bwMode="auto">
        <a:xfrm>
          <a:off x="19250025" y="0"/>
          <a:ext cx="1647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24</xdr:col>
      <xdr:colOff>19050</xdr:colOff>
      <xdr:row>0</xdr:row>
      <xdr:rowOff>0</xdr:rowOff>
    </xdr:from>
    <xdr:to>
      <xdr:col>24</xdr:col>
      <xdr:colOff>19050</xdr:colOff>
      <xdr:row>0</xdr:row>
      <xdr:rowOff>0</xdr:rowOff>
    </xdr:to>
    <xdr:sp macro="" textlink="">
      <xdr:nvSpPr>
        <xdr:cNvPr id="4399170" name="Line 91">
          <a:extLst>
            <a:ext uri="{FF2B5EF4-FFF2-40B4-BE49-F238E27FC236}">
              <a16:creationId xmlns="" xmlns:a16="http://schemas.microsoft.com/office/drawing/2014/main" id="{00000000-0008-0000-1200-000042204300}"/>
            </a:ext>
          </a:extLst>
        </xdr:cNvPr>
        <xdr:cNvSpPr>
          <a:spLocks noChangeShapeType="1"/>
        </xdr:cNvSpPr>
      </xdr:nvSpPr>
      <xdr:spPr bwMode="auto">
        <a:xfrm>
          <a:off x="20916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400050</xdr:colOff>
      <xdr:row>0</xdr:row>
      <xdr:rowOff>0</xdr:rowOff>
    </xdr:from>
    <xdr:to>
      <xdr:col>15</xdr:col>
      <xdr:colOff>419100</xdr:colOff>
      <xdr:row>0</xdr:row>
      <xdr:rowOff>0</xdr:rowOff>
    </xdr:to>
    <xdr:sp macro="" textlink="">
      <xdr:nvSpPr>
        <xdr:cNvPr id="4399171" name="Line 92">
          <a:extLst>
            <a:ext uri="{FF2B5EF4-FFF2-40B4-BE49-F238E27FC236}">
              <a16:creationId xmlns="" xmlns:a16="http://schemas.microsoft.com/office/drawing/2014/main" id="{00000000-0008-0000-1200-000043204300}"/>
            </a:ext>
          </a:extLst>
        </xdr:cNvPr>
        <xdr:cNvSpPr>
          <a:spLocks noChangeShapeType="1"/>
        </xdr:cNvSpPr>
      </xdr:nvSpPr>
      <xdr:spPr bwMode="auto">
        <a:xfrm flipH="1" flipV="1">
          <a:off x="12639675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15</xdr:col>
      <xdr:colOff>781050</xdr:colOff>
      <xdr:row>0</xdr:row>
      <xdr:rowOff>0</xdr:rowOff>
    </xdr:to>
    <xdr:sp macro="" textlink="">
      <xdr:nvSpPr>
        <xdr:cNvPr id="4399172" name="Line 93">
          <a:extLst>
            <a:ext uri="{FF2B5EF4-FFF2-40B4-BE49-F238E27FC236}">
              <a16:creationId xmlns="" xmlns:a16="http://schemas.microsoft.com/office/drawing/2014/main" id="{00000000-0008-0000-1200-000044204300}"/>
            </a:ext>
          </a:extLst>
        </xdr:cNvPr>
        <xdr:cNvSpPr>
          <a:spLocks noChangeShapeType="1"/>
        </xdr:cNvSpPr>
      </xdr:nvSpPr>
      <xdr:spPr bwMode="auto">
        <a:xfrm flipH="1">
          <a:off x="8601075" y="0"/>
          <a:ext cx="441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4</xdr:col>
      <xdr:colOff>704850</xdr:colOff>
      <xdr:row>0</xdr:row>
      <xdr:rowOff>0</xdr:rowOff>
    </xdr:to>
    <xdr:sp macro="" textlink="">
      <xdr:nvSpPr>
        <xdr:cNvPr id="4399173" name="Line 94">
          <a:extLst>
            <a:ext uri="{FF2B5EF4-FFF2-40B4-BE49-F238E27FC236}">
              <a16:creationId xmlns="" xmlns:a16="http://schemas.microsoft.com/office/drawing/2014/main" id="{00000000-0008-0000-1200-000045204300}"/>
            </a:ext>
          </a:extLst>
        </xdr:cNvPr>
        <xdr:cNvSpPr>
          <a:spLocks noChangeShapeType="1"/>
        </xdr:cNvSpPr>
      </xdr:nvSpPr>
      <xdr:spPr bwMode="auto">
        <a:xfrm>
          <a:off x="2847975" y="0"/>
          <a:ext cx="2809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99174" name="Line 95">
          <a:extLst>
            <a:ext uri="{FF2B5EF4-FFF2-40B4-BE49-F238E27FC236}">
              <a16:creationId xmlns="" xmlns:a16="http://schemas.microsoft.com/office/drawing/2014/main" id="{00000000-0008-0000-1200-000046204300}"/>
            </a:ext>
          </a:extLst>
        </xdr:cNvPr>
        <xdr:cNvSpPr>
          <a:spLocks noChangeShapeType="1"/>
        </xdr:cNvSpPr>
      </xdr:nvSpPr>
      <xdr:spPr bwMode="auto">
        <a:xfrm>
          <a:off x="102108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247650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9175" name="Line 96">
          <a:extLst>
            <a:ext uri="{FF2B5EF4-FFF2-40B4-BE49-F238E27FC236}">
              <a16:creationId xmlns="" xmlns:a16="http://schemas.microsoft.com/office/drawing/2014/main" id="{00000000-0008-0000-1200-000047204300}"/>
            </a:ext>
          </a:extLst>
        </xdr:cNvPr>
        <xdr:cNvSpPr>
          <a:spLocks noChangeShapeType="1"/>
        </xdr:cNvSpPr>
      </xdr:nvSpPr>
      <xdr:spPr bwMode="auto">
        <a:xfrm>
          <a:off x="107061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1047750</xdr:colOff>
      <xdr:row>0</xdr:row>
      <xdr:rowOff>0</xdr:rowOff>
    </xdr:from>
    <xdr:to>
      <xdr:col>12</xdr:col>
      <xdr:colOff>342900</xdr:colOff>
      <xdr:row>0</xdr:row>
      <xdr:rowOff>0</xdr:rowOff>
    </xdr:to>
    <xdr:sp macro="" textlink="">
      <xdr:nvSpPr>
        <xdr:cNvPr id="4399176" name="Line 97">
          <a:extLst>
            <a:ext uri="{FF2B5EF4-FFF2-40B4-BE49-F238E27FC236}">
              <a16:creationId xmlns="" xmlns:a16="http://schemas.microsoft.com/office/drawing/2014/main" id="{00000000-0008-0000-1200-000048204300}"/>
            </a:ext>
          </a:extLst>
        </xdr:cNvPr>
        <xdr:cNvSpPr>
          <a:spLocks noChangeShapeType="1"/>
        </xdr:cNvSpPr>
      </xdr:nvSpPr>
      <xdr:spPr bwMode="auto">
        <a:xfrm>
          <a:off x="10801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571500</xdr:colOff>
      <xdr:row>0</xdr:row>
      <xdr:rowOff>0</xdr:rowOff>
    </xdr:from>
    <xdr:to>
      <xdr:col>14</xdr:col>
      <xdr:colOff>571500</xdr:colOff>
      <xdr:row>0</xdr:row>
      <xdr:rowOff>0</xdr:rowOff>
    </xdr:to>
    <xdr:sp macro="" textlink="">
      <xdr:nvSpPr>
        <xdr:cNvPr id="4399177" name="Line 98">
          <a:extLst>
            <a:ext uri="{FF2B5EF4-FFF2-40B4-BE49-F238E27FC236}">
              <a16:creationId xmlns="" xmlns:a16="http://schemas.microsoft.com/office/drawing/2014/main" id="{00000000-0008-0000-1200-000049204300}"/>
            </a:ext>
          </a:extLst>
        </xdr:cNvPr>
        <xdr:cNvSpPr>
          <a:spLocks noChangeShapeType="1"/>
        </xdr:cNvSpPr>
      </xdr:nvSpPr>
      <xdr:spPr bwMode="auto">
        <a:xfrm>
          <a:off x="11620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457200</xdr:colOff>
      <xdr:row>0</xdr:row>
      <xdr:rowOff>0</xdr:rowOff>
    </xdr:from>
    <xdr:to>
      <xdr:col>15</xdr:col>
      <xdr:colOff>457200</xdr:colOff>
      <xdr:row>0</xdr:row>
      <xdr:rowOff>0</xdr:rowOff>
    </xdr:to>
    <xdr:sp macro="" textlink="">
      <xdr:nvSpPr>
        <xdr:cNvPr id="4399178" name="Line 99">
          <a:extLst>
            <a:ext uri="{FF2B5EF4-FFF2-40B4-BE49-F238E27FC236}">
              <a16:creationId xmlns="" xmlns:a16="http://schemas.microsoft.com/office/drawing/2014/main" id="{00000000-0008-0000-1200-00004A204300}"/>
            </a:ext>
          </a:extLst>
        </xdr:cNvPr>
        <xdr:cNvSpPr>
          <a:spLocks noChangeShapeType="1"/>
        </xdr:cNvSpPr>
      </xdr:nvSpPr>
      <xdr:spPr bwMode="auto">
        <a:xfrm>
          <a:off x="126968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323850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99179" name="Line 100">
          <a:extLst>
            <a:ext uri="{FF2B5EF4-FFF2-40B4-BE49-F238E27FC236}">
              <a16:creationId xmlns="" xmlns:a16="http://schemas.microsoft.com/office/drawing/2014/main" id="{00000000-0008-0000-1200-00004B204300}"/>
            </a:ext>
          </a:extLst>
        </xdr:cNvPr>
        <xdr:cNvSpPr>
          <a:spLocks noChangeShapeType="1"/>
        </xdr:cNvSpPr>
      </xdr:nvSpPr>
      <xdr:spPr bwMode="auto">
        <a:xfrm flipH="1">
          <a:off x="8305800" y="0"/>
          <a:ext cx="1905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457200</xdr:colOff>
      <xdr:row>0</xdr:row>
      <xdr:rowOff>0</xdr:rowOff>
    </xdr:from>
    <xdr:to>
      <xdr:col>16</xdr:col>
      <xdr:colOff>161925</xdr:colOff>
      <xdr:row>0</xdr:row>
      <xdr:rowOff>0</xdr:rowOff>
    </xdr:to>
    <xdr:sp macro="" textlink="">
      <xdr:nvSpPr>
        <xdr:cNvPr id="4399180" name="Line 101">
          <a:extLst>
            <a:ext uri="{FF2B5EF4-FFF2-40B4-BE49-F238E27FC236}">
              <a16:creationId xmlns="" xmlns:a16="http://schemas.microsoft.com/office/drawing/2014/main" id="{00000000-0008-0000-1200-00004C204300}"/>
            </a:ext>
          </a:extLst>
        </xdr:cNvPr>
        <xdr:cNvSpPr>
          <a:spLocks noChangeShapeType="1"/>
        </xdr:cNvSpPr>
      </xdr:nvSpPr>
      <xdr:spPr bwMode="auto">
        <a:xfrm>
          <a:off x="12696825" y="0"/>
          <a:ext cx="628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609600</xdr:colOff>
      <xdr:row>0</xdr:row>
      <xdr:rowOff>0</xdr:rowOff>
    </xdr:from>
    <xdr:to>
      <xdr:col>16</xdr:col>
      <xdr:colOff>152400</xdr:colOff>
      <xdr:row>0</xdr:row>
      <xdr:rowOff>0</xdr:rowOff>
    </xdr:to>
    <xdr:sp macro="" textlink="">
      <xdr:nvSpPr>
        <xdr:cNvPr id="4399181" name="Line 102">
          <a:extLst>
            <a:ext uri="{FF2B5EF4-FFF2-40B4-BE49-F238E27FC236}">
              <a16:creationId xmlns="" xmlns:a16="http://schemas.microsoft.com/office/drawing/2014/main" id="{00000000-0008-0000-1200-00004D204300}"/>
            </a:ext>
          </a:extLst>
        </xdr:cNvPr>
        <xdr:cNvSpPr>
          <a:spLocks noChangeShapeType="1"/>
        </xdr:cNvSpPr>
      </xdr:nvSpPr>
      <xdr:spPr bwMode="auto">
        <a:xfrm flipV="1">
          <a:off x="11658600" y="0"/>
          <a:ext cx="165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1066800</xdr:colOff>
      <xdr:row>0</xdr:row>
      <xdr:rowOff>0</xdr:rowOff>
    </xdr:from>
    <xdr:to>
      <xdr:col>16</xdr:col>
      <xdr:colOff>152400</xdr:colOff>
      <xdr:row>0</xdr:row>
      <xdr:rowOff>0</xdr:rowOff>
    </xdr:to>
    <xdr:sp macro="" textlink="">
      <xdr:nvSpPr>
        <xdr:cNvPr id="4399182" name="Line 103">
          <a:extLst>
            <a:ext uri="{FF2B5EF4-FFF2-40B4-BE49-F238E27FC236}">
              <a16:creationId xmlns="" xmlns:a16="http://schemas.microsoft.com/office/drawing/2014/main" id="{00000000-0008-0000-1200-00004E204300}"/>
            </a:ext>
          </a:extLst>
        </xdr:cNvPr>
        <xdr:cNvSpPr>
          <a:spLocks noChangeShapeType="1"/>
        </xdr:cNvSpPr>
      </xdr:nvSpPr>
      <xdr:spPr bwMode="auto">
        <a:xfrm>
          <a:off x="10801350" y="0"/>
          <a:ext cx="2514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266700</xdr:colOff>
      <xdr:row>0</xdr:row>
      <xdr:rowOff>0</xdr:rowOff>
    </xdr:from>
    <xdr:to>
      <xdr:col>16</xdr:col>
      <xdr:colOff>152400</xdr:colOff>
      <xdr:row>0</xdr:row>
      <xdr:rowOff>0</xdr:rowOff>
    </xdr:to>
    <xdr:sp macro="" textlink="">
      <xdr:nvSpPr>
        <xdr:cNvPr id="4399183" name="Line 104">
          <a:extLst>
            <a:ext uri="{FF2B5EF4-FFF2-40B4-BE49-F238E27FC236}">
              <a16:creationId xmlns="" xmlns:a16="http://schemas.microsoft.com/office/drawing/2014/main" id="{00000000-0008-0000-1200-00004F204300}"/>
            </a:ext>
          </a:extLst>
        </xdr:cNvPr>
        <xdr:cNvSpPr>
          <a:spLocks noChangeShapeType="1"/>
        </xdr:cNvSpPr>
      </xdr:nvSpPr>
      <xdr:spPr bwMode="auto">
        <a:xfrm>
          <a:off x="10725150" y="0"/>
          <a:ext cx="2590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16</xdr:col>
      <xdr:colOff>152400</xdr:colOff>
      <xdr:row>0</xdr:row>
      <xdr:rowOff>0</xdr:rowOff>
    </xdr:to>
    <xdr:sp macro="" textlink="">
      <xdr:nvSpPr>
        <xdr:cNvPr id="4399184" name="Line 105">
          <a:extLst>
            <a:ext uri="{FF2B5EF4-FFF2-40B4-BE49-F238E27FC236}">
              <a16:creationId xmlns="" xmlns:a16="http://schemas.microsoft.com/office/drawing/2014/main" id="{00000000-0008-0000-1200-000050204300}"/>
            </a:ext>
          </a:extLst>
        </xdr:cNvPr>
        <xdr:cNvSpPr>
          <a:spLocks noChangeShapeType="1"/>
        </xdr:cNvSpPr>
      </xdr:nvSpPr>
      <xdr:spPr bwMode="auto">
        <a:xfrm>
          <a:off x="10210800" y="0"/>
          <a:ext cx="3105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495300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9185" name="Line 106">
          <a:extLst>
            <a:ext uri="{FF2B5EF4-FFF2-40B4-BE49-F238E27FC236}">
              <a16:creationId xmlns="" xmlns:a16="http://schemas.microsoft.com/office/drawing/2014/main" id="{00000000-0008-0000-1200-000051204300}"/>
            </a:ext>
          </a:extLst>
        </xdr:cNvPr>
        <xdr:cNvSpPr>
          <a:spLocks noChangeShapeType="1"/>
        </xdr:cNvSpPr>
      </xdr:nvSpPr>
      <xdr:spPr bwMode="auto">
        <a:xfrm flipH="1">
          <a:off x="8477250" y="0"/>
          <a:ext cx="2228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1028700</xdr:colOff>
      <xdr:row>0</xdr:row>
      <xdr:rowOff>0</xdr:rowOff>
    </xdr:to>
    <xdr:sp macro="" textlink="">
      <xdr:nvSpPr>
        <xdr:cNvPr id="4399186" name="Line 107">
          <a:extLst>
            <a:ext uri="{FF2B5EF4-FFF2-40B4-BE49-F238E27FC236}">
              <a16:creationId xmlns="" xmlns:a16="http://schemas.microsoft.com/office/drawing/2014/main" id="{00000000-0008-0000-1200-000052204300}"/>
            </a:ext>
          </a:extLst>
        </xdr:cNvPr>
        <xdr:cNvSpPr>
          <a:spLocks noChangeShapeType="1"/>
        </xdr:cNvSpPr>
      </xdr:nvSpPr>
      <xdr:spPr bwMode="auto">
        <a:xfrm flipH="1">
          <a:off x="8572500" y="0"/>
          <a:ext cx="2228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171450</xdr:colOff>
      <xdr:row>0</xdr:row>
      <xdr:rowOff>0</xdr:rowOff>
    </xdr:from>
    <xdr:to>
      <xdr:col>14</xdr:col>
      <xdr:colOff>552450</xdr:colOff>
      <xdr:row>0</xdr:row>
      <xdr:rowOff>0</xdr:rowOff>
    </xdr:to>
    <xdr:sp macro="" textlink="">
      <xdr:nvSpPr>
        <xdr:cNvPr id="4399187" name="Line 108">
          <a:extLst>
            <a:ext uri="{FF2B5EF4-FFF2-40B4-BE49-F238E27FC236}">
              <a16:creationId xmlns="" xmlns:a16="http://schemas.microsoft.com/office/drawing/2014/main" id="{00000000-0008-0000-1200-000053204300}"/>
            </a:ext>
          </a:extLst>
        </xdr:cNvPr>
        <xdr:cNvSpPr>
          <a:spLocks noChangeShapeType="1"/>
        </xdr:cNvSpPr>
      </xdr:nvSpPr>
      <xdr:spPr bwMode="auto">
        <a:xfrm flipH="1">
          <a:off x="9934575" y="0"/>
          <a:ext cx="1666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457200</xdr:colOff>
      <xdr:row>0</xdr:row>
      <xdr:rowOff>0</xdr:rowOff>
    </xdr:from>
    <xdr:to>
      <xdr:col>15</xdr:col>
      <xdr:colOff>419100</xdr:colOff>
      <xdr:row>0</xdr:row>
      <xdr:rowOff>0</xdr:rowOff>
    </xdr:to>
    <xdr:sp macro="" textlink="">
      <xdr:nvSpPr>
        <xdr:cNvPr id="4399188" name="Line 109">
          <a:extLst>
            <a:ext uri="{FF2B5EF4-FFF2-40B4-BE49-F238E27FC236}">
              <a16:creationId xmlns="" xmlns:a16="http://schemas.microsoft.com/office/drawing/2014/main" id="{00000000-0008-0000-1200-000054204300}"/>
            </a:ext>
          </a:extLst>
        </xdr:cNvPr>
        <xdr:cNvSpPr>
          <a:spLocks noChangeShapeType="1"/>
        </xdr:cNvSpPr>
      </xdr:nvSpPr>
      <xdr:spPr bwMode="auto">
        <a:xfrm flipH="1">
          <a:off x="10115550" y="0"/>
          <a:ext cx="2543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1104900</xdr:colOff>
      <xdr:row>0</xdr:row>
      <xdr:rowOff>0</xdr:rowOff>
    </xdr:from>
    <xdr:to>
      <xdr:col>15</xdr:col>
      <xdr:colOff>723900</xdr:colOff>
      <xdr:row>0</xdr:row>
      <xdr:rowOff>0</xdr:rowOff>
    </xdr:to>
    <xdr:sp macro="" textlink="">
      <xdr:nvSpPr>
        <xdr:cNvPr id="4399189" name="Line 110">
          <a:extLst>
            <a:ext uri="{FF2B5EF4-FFF2-40B4-BE49-F238E27FC236}">
              <a16:creationId xmlns="" xmlns:a16="http://schemas.microsoft.com/office/drawing/2014/main" id="{00000000-0008-0000-1200-000055204300}"/>
            </a:ext>
          </a:extLst>
        </xdr:cNvPr>
        <xdr:cNvSpPr>
          <a:spLocks noChangeShapeType="1"/>
        </xdr:cNvSpPr>
      </xdr:nvSpPr>
      <xdr:spPr bwMode="auto">
        <a:xfrm>
          <a:off x="10115550" y="0"/>
          <a:ext cx="2847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1085850</xdr:colOff>
      <xdr:row>0</xdr:row>
      <xdr:rowOff>0</xdr:rowOff>
    </xdr:from>
    <xdr:to>
      <xdr:col>15</xdr:col>
      <xdr:colOff>723900</xdr:colOff>
      <xdr:row>0</xdr:row>
      <xdr:rowOff>0</xdr:rowOff>
    </xdr:to>
    <xdr:sp macro="" textlink="">
      <xdr:nvSpPr>
        <xdr:cNvPr id="4399190" name="Line 111">
          <a:extLst>
            <a:ext uri="{FF2B5EF4-FFF2-40B4-BE49-F238E27FC236}">
              <a16:creationId xmlns="" xmlns:a16="http://schemas.microsoft.com/office/drawing/2014/main" id="{00000000-0008-0000-1200-000056204300}"/>
            </a:ext>
          </a:extLst>
        </xdr:cNvPr>
        <xdr:cNvSpPr>
          <a:spLocks noChangeShapeType="1"/>
        </xdr:cNvSpPr>
      </xdr:nvSpPr>
      <xdr:spPr bwMode="auto">
        <a:xfrm>
          <a:off x="10115550" y="0"/>
          <a:ext cx="2847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123825</xdr:colOff>
      <xdr:row>0</xdr:row>
      <xdr:rowOff>0</xdr:rowOff>
    </xdr:from>
    <xdr:to>
      <xdr:col>21</xdr:col>
      <xdr:colOff>714375</xdr:colOff>
      <xdr:row>0</xdr:row>
      <xdr:rowOff>0</xdr:rowOff>
    </xdr:to>
    <xdr:sp macro="" textlink="">
      <xdr:nvSpPr>
        <xdr:cNvPr id="113" name="Text Box 112">
          <a:extLst>
            <a:ext uri="{FF2B5EF4-FFF2-40B4-BE49-F238E27FC236}">
              <a16:creationId xmlns="" xmlns:a16="http://schemas.microsoft.com/office/drawing/2014/main" id="{00000000-0008-0000-1200-000071000000}"/>
            </a:ext>
          </a:extLst>
        </xdr:cNvPr>
        <xdr:cNvSpPr txBox="1">
          <a:spLocks noChangeArrowheads="1"/>
        </xdr:cNvSpPr>
      </xdr:nvSpPr>
      <xdr:spPr bwMode="auto">
        <a:xfrm>
          <a:off x="17754600" y="0"/>
          <a:ext cx="5905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1°</a:t>
          </a:r>
        </a:p>
      </xdr:txBody>
    </xdr:sp>
    <xdr:clientData/>
  </xdr:twoCellAnchor>
  <xdr:twoCellAnchor>
    <xdr:from>
      <xdr:col>20</xdr:col>
      <xdr:colOff>1285875</xdr:colOff>
      <xdr:row>0</xdr:row>
      <xdr:rowOff>0</xdr:rowOff>
    </xdr:from>
    <xdr:to>
      <xdr:col>21</xdr:col>
      <xdr:colOff>333375</xdr:colOff>
      <xdr:row>0</xdr:row>
      <xdr:rowOff>0</xdr:rowOff>
    </xdr:to>
    <xdr:sp macro="" textlink="">
      <xdr:nvSpPr>
        <xdr:cNvPr id="114" name="Text Box 113">
          <a:extLst>
            <a:ext uri="{FF2B5EF4-FFF2-40B4-BE49-F238E27FC236}">
              <a16:creationId xmlns="" xmlns:a16="http://schemas.microsoft.com/office/drawing/2014/main" id="{00000000-0008-0000-1200-000072000000}"/>
            </a:ext>
          </a:extLst>
        </xdr:cNvPr>
        <xdr:cNvSpPr txBox="1">
          <a:spLocks noChangeArrowheads="1"/>
        </xdr:cNvSpPr>
      </xdr:nvSpPr>
      <xdr:spPr bwMode="auto">
        <a:xfrm>
          <a:off x="17554575" y="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3°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5" name="Text Box 114">
          <a:extLst>
            <a:ext uri="{FF2B5EF4-FFF2-40B4-BE49-F238E27FC236}">
              <a16:creationId xmlns="" xmlns:a16="http://schemas.microsoft.com/office/drawing/2014/main" id="{00000000-0008-0000-1200-000073000000}"/>
            </a:ext>
          </a:extLst>
        </xdr:cNvPr>
        <xdr:cNvSpPr txBox="1">
          <a:spLocks noChangeArrowheads="1"/>
        </xdr:cNvSpPr>
      </xdr:nvSpPr>
      <xdr:spPr bwMode="auto">
        <a:xfrm>
          <a:off x="19116675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21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6" name="Text Box 115">
          <a:extLst>
            <a:ext uri="{FF2B5EF4-FFF2-40B4-BE49-F238E27FC236}">
              <a16:creationId xmlns="" xmlns:a16="http://schemas.microsoft.com/office/drawing/2014/main" id="{00000000-0008-0000-1200-000074000000}"/>
            </a:ext>
          </a:extLst>
        </xdr:cNvPr>
        <xdr:cNvSpPr txBox="1">
          <a:spLocks noChangeArrowheads="1"/>
        </xdr:cNvSpPr>
      </xdr:nvSpPr>
      <xdr:spPr bwMode="auto">
        <a:xfrm>
          <a:off x="18221325" y="0"/>
          <a:ext cx="895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20</xdr:col>
      <xdr:colOff>819150</xdr:colOff>
      <xdr:row>0</xdr:row>
      <xdr:rowOff>0</xdr:rowOff>
    </xdr:from>
    <xdr:to>
      <xdr:col>20</xdr:col>
      <xdr:colOff>1000125</xdr:colOff>
      <xdr:row>0</xdr:row>
      <xdr:rowOff>0</xdr:rowOff>
    </xdr:to>
    <xdr:sp macro="" textlink="">
      <xdr:nvSpPr>
        <xdr:cNvPr id="117" name="Text Box 116">
          <a:extLst>
            <a:ext uri="{FF2B5EF4-FFF2-40B4-BE49-F238E27FC236}">
              <a16:creationId xmlns="" xmlns:a16="http://schemas.microsoft.com/office/drawing/2014/main" id="{00000000-0008-0000-1200-000075000000}"/>
            </a:ext>
          </a:extLst>
        </xdr:cNvPr>
        <xdr:cNvSpPr txBox="1">
          <a:spLocks noChangeArrowheads="1"/>
        </xdr:cNvSpPr>
      </xdr:nvSpPr>
      <xdr:spPr bwMode="auto">
        <a:xfrm>
          <a:off x="17087850" y="0"/>
          <a:ext cx="1809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5°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8" name="Text Box 117">
          <a:extLst>
            <a:ext uri="{FF2B5EF4-FFF2-40B4-BE49-F238E27FC236}">
              <a16:creationId xmlns="" xmlns:a16="http://schemas.microsoft.com/office/drawing/2014/main" id="{00000000-0008-0000-1200-000076000000}"/>
            </a:ext>
          </a:extLst>
        </xdr:cNvPr>
        <xdr:cNvSpPr txBox="1">
          <a:spLocks noChangeArrowheads="1"/>
        </xdr:cNvSpPr>
      </xdr:nvSpPr>
      <xdr:spPr bwMode="auto">
        <a:xfrm>
          <a:off x="19116675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6°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1" i="0" strike="noStrike">
              <a:solidFill>
                <a:srgbClr val="000000"/>
              </a:solidFill>
              <a:latin typeface="Times New Roman"/>
              <a:cs typeface="Times New Roman"/>
            </a:rPr>
            <a:t>6</a:t>
          </a:r>
        </a:p>
      </xdr:txBody>
    </xdr:sp>
    <xdr:clientData/>
  </xdr:twoCellAnchor>
  <xdr:twoCellAnchor>
    <xdr:from>
      <xdr:col>15</xdr:col>
      <xdr:colOff>266700</xdr:colOff>
      <xdr:row>15</xdr:row>
      <xdr:rowOff>38100</xdr:rowOff>
    </xdr:from>
    <xdr:to>
      <xdr:col>16</xdr:col>
      <xdr:colOff>352425</xdr:colOff>
      <xdr:row>16</xdr:row>
      <xdr:rowOff>161925</xdr:rowOff>
    </xdr:to>
    <xdr:sp macro="" textlink="">
      <xdr:nvSpPr>
        <xdr:cNvPr id="4399197" name="Text Box 161">
          <a:extLst>
            <a:ext uri="{FF2B5EF4-FFF2-40B4-BE49-F238E27FC236}">
              <a16:creationId xmlns="" xmlns:a16="http://schemas.microsoft.com/office/drawing/2014/main" id="{00000000-0008-0000-1200-00005D204300}"/>
            </a:ext>
          </a:extLst>
        </xdr:cNvPr>
        <xdr:cNvSpPr txBox="1">
          <a:spLocks noChangeArrowheads="1"/>
        </xdr:cNvSpPr>
      </xdr:nvSpPr>
      <xdr:spPr bwMode="auto">
        <a:xfrm>
          <a:off x="12506325" y="5600700"/>
          <a:ext cx="1009650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20</xdr:col>
      <xdr:colOff>990600</xdr:colOff>
      <xdr:row>36</xdr:row>
      <xdr:rowOff>0</xdr:rowOff>
    </xdr:from>
    <xdr:to>
      <xdr:col>20</xdr:col>
      <xdr:colOff>990600</xdr:colOff>
      <xdr:row>36</xdr:row>
      <xdr:rowOff>0</xdr:rowOff>
    </xdr:to>
    <xdr:sp macro="" textlink="">
      <xdr:nvSpPr>
        <xdr:cNvPr id="4399198" name="Line 201">
          <a:extLst>
            <a:ext uri="{FF2B5EF4-FFF2-40B4-BE49-F238E27FC236}">
              <a16:creationId xmlns="" xmlns:a16="http://schemas.microsoft.com/office/drawing/2014/main" id="{00000000-0008-0000-1200-00005E204300}"/>
            </a:ext>
          </a:extLst>
        </xdr:cNvPr>
        <xdr:cNvSpPr>
          <a:spLocks noChangeShapeType="1"/>
        </xdr:cNvSpPr>
      </xdr:nvSpPr>
      <xdr:spPr bwMode="auto">
        <a:xfrm>
          <a:off x="17268825" y="129063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oneCell">
    <xdr:from>
      <xdr:col>2</xdr:col>
      <xdr:colOff>304800</xdr:colOff>
      <xdr:row>15</xdr:row>
      <xdr:rowOff>190500</xdr:rowOff>
    </xdr:from>
    <xdr:to>
      <xdr:col>4</xdr:col>
      <xdr:colOff>904875</xdr:colOff>
      <xdr:row>19</xdr:row>
      <xdr:rowOff>114300</xdr:rowOff>
    </xdr:to>
    <xdr:grpSp>
      <xdr:nvGrpSpPr>
        <xdr:cNvPr id="4399199" name="Group 237">
          <a:extLst>
            <a:ext uri="{FF2B5EF4-FFF2-40B4-BE49-F238E27FC236}">
              <a16:creationId xmlns="" xmlns:a16="http://schemas.microsoft.com/office/drawing/2014/main" id="{00000000-0008-0000-1200-00005F204300}"/>
            </a:ext>
          </a:extLst>
        </xdr:cNvPr>
        <xdr:cNvGrpSpPr>
          <a:grpSpLocks/>
        </xdr:cNvGrpSpPr>
      </xdr:nvGrpSpPr>
      <xdr:grpSpPr bwMode="auto">
        <a:xfrm>
          <a:off x="3009900" y="5867400"/>
          <a:ext cx="2867025" cy="1333500"/>
          <a:chOff x="358" y="540"/>
          <a:chExt cx="293" cy="139"/>
        </a:xfrm>
      </xdr:grpSpPr>
      <xdr:sp macro="" textlink="">
        <xdr:nvSpPr>
          <xdr:cNvPr id="4399237" name="Line 238">
            <a:extLst>
              <a:ext uri="{FF2B5EF4-FFF2-40B4-BE49-F238E27FC236}">
                <a16:creationId xmlns="" xmlns:a16="http://schemas.microsoft.com/office/drawing/2014/main" id="{00000000-0008-0000-1200-0000852043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99238" name="Group 239">
            <a:extLst>
              <a:ext uri="{FF2B5EF4-FFF2-40B4-BE49-F238E27FC236}">
                <a16:creationId xmlns="" xmlns:a16="http://schemas.microsoft.com/office/drawing/2014/main" id="{00000000-0008-0000-1200-0000862043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399294" name="Line 240">
              <a:extLst>
                <a:ext uri="{FF2B5EF4-FFF2-40B4-BE49-F238E27FC236}">
                  <a16:creationId xmlns="" xmlns:a16="http://schemas.microsoft.com/office/drawing/2014/main" id="{00000000-0008-0000-1200-0000BE2043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9295" name="Line 241">
              <a:extLst>
                <a:ext uri="{FF2B5EF4-FFF2-40B4-BE49-F238E27FC236}">
                  <a16:creationId xmlns="" xmlns:a16="http://schemas.microsoft.com/office/drawing/2014/main" id="{00000000-0008-0000-1200-0000BF2043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99239" name="Line 242">
            <a:extLst>
              <a:ext uri="{FF2B5EF4-FFF2-40B4-BE49-F238E27FC236}">
                <a16:creationId xmlns="" xmlns:a16="http://schemas.microsoft.com/office/drawing/2014/main" id="{00000000-0008-0000-1200-00008720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9240" name="Line 243">
            <a:extLst>
              <a:ext uri="{FF2B5EF4-FFF2-40B4-BE49-F238E27FC236}">
                <a16:creationId xmlns="" xmlns:a16="http://schemas.microsoft.com/office/drawing/2014/main" id="{00000000-0008-0000-1200-00008820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9241" name="Line 244">
            <a:extLst>
              <a:ext uri="{FF2B5EF4-FFF2-40B4-BE49-F238E27FC236}">
                <a16:creationId xmlns="" xmlns:a16="http://schemas.microsoft.com/office/drawing/2014/main" id="{00000000-0008-0000-1200-00008920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9242" name="Line 245">
            <a:extLst>
              <a:ext uri="{FF2B5EF4-FFF2-40B4-BE49-F238E27FC236}">
                <a16:creationId xmlns="" xmlns:a16="http://schemas.microsoft.com/office/drawing/2014/main" id="{00000000-0008-0000-1200-00008A2043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9243" name="Line 246">
            <a:extLst>
              <a:ext uri="{FF2B5EF4-FFF2-40B4-BE49-F238E27FC236}">
                <a16:creationId xmlns="" xmlns:a16="http://schemas.microsoft.com/office/drawing/2014/main" id="{00000000-0008-0000-1200-00008B2043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99244" name="Group 247">
            <a:extLst>
              <a:ext uri="{FF2B5EF4-FFF2-40B4-BE49-F238E27FC236}">
                <a16:creationId xmlns="" xmlns:a16="http://schemas.microsoft.com/office/drawing/2014/main" id="{00000000-0008-0000-1200-00008C2043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399288" name="Line 248">
              <a:extLst>
                <a:ext uri="{FF2B5EF4-FFF2-40B4-BE49-F238E27FC236}">
                  <a16:creationId xmlns="" xmlns:a16="http://schemas.microsoft.com/office/drawing/2014/main" id="{00000000-0008-0000-1200-0000B820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9289" name="Group 249">
              <a:extLst>
                <a:ext uri="{FF2B5EF4-FFF2-40B4-BE49-F238E27FC236}">
                  <a16:creationId xmlns="" xmlns:a16="http://schemas.microsoft.com/office/drawing/2014/main" id="{00000000-0008-0000-1200-0000B920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9290" name="Line 250">
                <a:extLst>
                  <a:ext uri="{FF2B5EF4-FFF2-40B4-BE49-F238E27FC236}">
                    <a16:creationId xmlns="" xmlns:a16="http://schemas.microsoft.com/office/drawing/2014/main" id="{00000000-0008-0000-1200-0000BA20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9291" name="Group 251">
                <a:extLst>
                  <a:ext uri="{FF2B5EF4-FFF2-40B4-BE49-F238E27FC236}">
                    <a16:creationId xmlns="" xmlns:a16="http://schemas.microsoft.com/office/drawing/2014/main" id="{00000000-0008-0000-1200-0000BB20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9292" name="Line 252">
                  <a:extLst>
                    <a:ext uri="{FF2B5EF4-FFF2-40B4-BE49-F238E27FC236}">
                      <a16:creationId xmlns="" xmlns:a16="http://schemas.microsoft.com/office/drawing/2014/main" id="{00000000-0008-0000-1200-0000BC20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9293" name="Line 253">
                  <a:extLst>
                    <a:ext uri="{FF2B5EF4-FFF2-40B4-BE49-F238E27FC236}">
                      <a16:creationId xmlns="" xmlns:a16="http://schemas.microsoft.com/office/drawing/2014/main" id="{00000000-0008-0000-1200-0000BD20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9245" name="Group 254">
            <a:extLst>
              <a:ext uri="{FF2B5EF4-FFF2-40B4-BE49-F238E27FC236}">
                <a16:creationId xmlns="" xmlns:a16="http://schemas.microsoft.com/office/drawing/2014/main" id="{00000000-0008-0000-1200-00008D2043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399282" name="Line 255">
              <a:extLst>
                <a:ext uri="{FF2B5EF4-FFF2-40B4-BE49-F238E27FC236}">
                  <a16:creationId xmlns="" xmlns:a16="http://schemas.microsoft.com/office/drawing/2014/main" id="{00000000-0008-0000-1200-0000B220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9283" name="Group 256">
              <a:extLst>
                <a:ext uri="{FF2B5EF4-FFF2-40B4-BE49-F238E27FC236}">
                  <a16:creationId xmlns="" xmlns:a16="http://schemas.microsoft.com/office/drawing/2014/main" id="{00000000-0008-0000-1200-0000B320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9284" name="Line 257">
                <a:extLst>
                  <a:ext uri="{FF2B5EF4-FFF2-40B4-BE49-F238E27FC236}">
                    <a16:creationId xmlns="" xmlns:a16="http://schemas.microsoft.com/office/drawing/2014/main" id="{00000000-0008-0000-1200-0000B420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9285" name="Group 258">
                <a:extLst>
                  <a:ext uri="{FF2B5EF4-FFF2-40B4-BE49-F238E27FC236}">
                    <a16:creationId xmlns="" xmlns:a16="http://schemas.microsoft.com/office/drawing/2014/main" id="{00000000-0008-0000-1200-0000B520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9286" name="Line 259">
                  <a:extLst>
                    <a:ext uri="{FF2B5EF4-FFF2-40B4-BE49-F238E27FC236}">
                      <a16:creationId xmlns="" xmlns:a16="http://schemas.microsoft.com/office/drawing/2014/main" id="{00000000-0008-0000-1200-0000B620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9287" name="Line 260">
                  <a:extLst>
                    <a:ext uri="{FF2B5EF4-FFF2-40B4-BE49-F238E27FC236}">
                      <a16:creationId xmlns="" xmlns:a16="http://schemas.microsoft.com/office/drawing/2014/main" id="{00000000-0008-0000-1200-0000B720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9246" name="Group 261">
            <a:extLst>
              <a:ext uri="{FF2B5EF4-FFF2-40B4-BE49-F238E27FC236}">
                <a16:creationId xmlns="" xmlns:a16="http://schemas.microsoft.com/office/drawing/2014/main" id="{00000000-0008-0000-1200-00008E2043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399276" name="Line 262">
              <a:extLst>
                <a:ext uri="{FF2B5EF4-FFF2-40B4-BE49-F238E27FC236}">
                  <a16:creationId xmlns="" xmlns:a16="http://schemas.microsoft.com/office/drawing/2014/main" id="{00000000-0008-0000-1200-0000AC20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9277" name="Group 263">
              <a:extLst>
                <a:ext uri="{FF2B5EF4-FFF2-40B4-BE49-F238E27FC236}">
                  <a16:creationId xmlns="" xmlns:a16="http://schemas.microsoft.com/office/drawing/2014/main" id="{00000000-0008-0000-1200-0000AD20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9278" name="Line 264">
                <a:extLst>
                  <a:ext uri="{FF2B5EF4-FFF2-40B4-BE49-F238E27FC236}">
                    <a16:creationId xmlns="" xmlns:a16="http://schemas.microsoft.com/office/drawing/2014/main" id="{00000000-0008-0000-1200-0000AE20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9279" name="Group 265">
                <a:extLst>
                  <a:ext uri="{FF2B5EF4-FFF2-40B4-BE49-F238E27FC236}">
                    <a16:creationId xmlns="" xmlns:a16="http://schemas.microsoft.com/office/drawing/2014/main" id="{00000000-0008-0000-1200-0000AF20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9280" name="Line 266">
                  <a:extLst>
                    <a:ext uri="{FF2B5EF4-FFF2-40B4-BE49-F238E27FC236}">
                      <a16:creationId xmlns="" xmlns:a16="http://schemas.microsoft.com/office/drawing/2014/main" id="{00000000-0008-0000-1200-0000B020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9281" name="Line 267">
                  <a:extLst>
                    <a:ext uri="{FF2B5EF4-FFF2-40B4-BE49-F238E27FC236}">
                      <a16:creationId xmlns="" xmlns:a16="http://schemas.microsoft.com/office/drawing/2014/main" id="{00000000-0008-0000-1200-0000B120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9247" name="Group 268">
            <a:extLst>
              <a:ext uri="{FF2B5EF4-FFF2-40B4-BE49-F238E27FC236}">
                <a16:creationId xmlns="" xmlns:a16="http://schemas.microsoft.com/office/drawing/2014/main" id="{00000000-0008-0000-1200-00008F2043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399270" name="Line 269">
              <a:extLst>
                <a:ext uri="{FF2B5EF4-FFF2-40B4-BE49-F238E27FC236}">
                  <a16:creationId xmlns="" xmlns:a16="http://schemas.microsoft.com/office/drawing/2014/main" id="{00000000-0008-0000-1200-0000A620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9271" name="Group 270">
              <a:extLst>
                <a:ext uri="{FF2B5EF4-FFF2-40B4-BE49-F238E27FC236}">
                  <a16:creationId xmlns="" xmlns:a16="http://schemas.microsoft.com/office/drawing/2014/main" id="{00000000-0008-0000-1200-0000A720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9272" name="Line 271">
                <a:extLst>
                  <a:ext uri="{FF2B5EF4-FFF2-40B4-BE49-F238E27FC236}">
                    <a16:creationId xmlns="" xmlns:a16="http://schemas.microsoft.com/office/drawing/2014/main" id="{00000000-0008-0000-1200-0000A820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9273" name="Group 272">
                <a:extLst>
                  <a:ext uri="{FF2B5EF4-FFF2-40B4-BE49-F238E27FC236}">
                    <a16:creationId xmlns="" xmlns:a16="http://schemas.microsoft.com/office/drawing/2014/main" id="{00000000-0008-0000-1200-0000A920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9274" name="Line 273">
                  <a:extLst>
                    <a:ext uri="{FF2B5EF4-FFF2-40B4-BE49-F238E27FC236}">
                      <a16:creationId xmlns="" xmlns:a16="http://schemas.microsoft.com/office/drawing/2014/main" id="{00000000-0008-0000-1200-0000AA20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9275" name="Line 274">
                  <a:extLst>
                    <a:ext uri="{FF2B5EF4-FFF2-40B4-BE49-F238E27FC236}">
                      <a16:creationId xmlns="" xmlns:a16="http://schemas.microsoft.com/office/drawing/2014/main" id="{00000000-0008-0000-1200-0000AB20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9248" name="Group 275">
            <a:extLst>
              <a:ext uri="{FF2B5EF4-FFF2-40B4-BE49-F238E27FC236}">
                <a16:creationId xmlns="" xmlns:a16="http://schemas.microsoft.com/office/drawing/2014/main" id="{00000000-0008-0000-1200-0000902043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399264" name="Line 276">
              <a:extLst>
                <a:ext uri="{FF2B5EF4-FFF2-40B4-BE49-F238E27FC236}">
                  <a16:creationId xmlns="" xmlns:a16="http://schemas.microsoft.com/office/drawing/2014/main" id="{00000000-0008-0000-1200-0000A020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9265" name="Group 277">
              <a:extLst>
                <a:ext uri="{FF2B5EF4-FFF2-40B4-BE49-F238E27FC236}">
                  <a16:creationId xmlns="" xmlns:a16="http://schemas.microsoft.com/office/drawing/2014/main" id="{00000000-0008-0000-1200-0000A120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9266" name="Line 278">
                <a:extLst>
                  <a:ext uri="{FF2B5EF4-FFF2-40B4-BE49-F238E27FC236}">
                    <a16:creationId xmlns="" xmlns:a16="http://schemas.microsoft.com/office/drawing/2014/main" id="{00000000-0008-0000-1200-0000A220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9267" name="Group 279">
                <a:extLst>
                  <a:ext uri="{FF2B5EF4-FFF2-40B4-BE49-F238E27FC236}">
                    <a16:creationId xmlns="" xmlns:a16="http://schemas.microsoft.com/office/drawing/2014/main" id="{00000000-0008-0000-1200-0000A320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9268" name="Line 280">
                  <a:extLst>
                    <a:ext uri="{FF2B5EF4-FFF2-40B4-BE49-F238E27FC236}">
                      <a16:creationId xmlns="" xmlns:a16="http://schemas.microsoft.com/office/drawing/2014/main" id="{00000000-0008-0000-1200-0000A420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9269" name="Line 281">
                  <a:extLst>
                    <a:ext uri="{FF2B5EF4-FFF2-40B4-BE49-F238E27FC236}">
                      <a16:creationId xmlns="" xmlns:a16="http://schemas.microsoft.com/office/drawing/2014/main" id="{00000000-0008-0000-1200-0000A520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9249" name="Group 282">
            <a:extLst>
              <a:ext uri="{FF2B5EF4-FFF2-40B4-BE49-F238E27FC236}">
                <a16:creationId xmlns="" xmlns:a16="http://schemas.microsoft.com/office/drawing/2014/main" id="{00000000-0008-0000-1200-0000912043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399258" name="Line 283">
              <a:extLst>
                <a:ext uri="{FF2B5EF4-FFF2-40B4-BE49-F238E27FC236}">
                  <a16:creationId xmlns="" xmlns:a16="http://schemas.microsoft.com/office/drawing/2014/main" id="{00000000-0008-0000-1200-00009A20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9259" name="Group 284">
              <a:extLst>
                <a:ext uri="{FF2B5EF4-FFF2-40B4-BE49-F238E27FC236}">
                  <a16:creationId xmlns="" xmlns:a16="http://schemas.microsoft.com/office/drawing/2014/main" id="{00000000-0008-0000-1200-00009B20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9260" name="Line 285">
                <a:extLst>
                  <a:ext uri="{FF2B5EF4-FFF2-40B4-BE49-F238E27FC236}">
                    <a16:creationId xmlns="" xmlns:a16="http://schemas.microsoft.com/office/drawing/2014/main" id="{00000000-0008-0000-1200-00009C20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9261" name="Group 286">
                <a:extLst>
                  <a:ext uri="{FF2B5EF4-FFF2-40B4-BE49-F238E27FC236}">
                    <a16:creationId xmlns="" xmlns:a16="http://schemas.microsoft.com/office/drawing/2014/main" id="{00000000-0008-0000-1200-00009D20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9262" name="Line 287">
                  <a:extLst>
                    <a:ext uri="{FF2B5EF4-FFF2-40B4-BE49-F238E27FC236}">
                      <a16:creationId xmlns="" xmlns:a16="http://schemas.microsoft.com/office/drawing/2014/main" id="{00000000-0008-0000-1200-00009E20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9263" name="Line 288">
                  <a:extLst>
                    <a:ext uri="{FF2B5EF4-FFF2-40B4-BE49-F238E27FC236}">
                      <a16:creationId xmlns="" xmlns:a16="http://schemas.microsoft.com/office/drawing/2014/main" id="{00000000-0008-0000-1200-00009F20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9250" name="Group 289">
            <a:extLst>
              <a:ext uri="{FF2B5EF4-FFF2-40B4-BE49-F238E27FC236}">
                <a16:creationId xmlns="" xmlns:a16="http://schemas.microsoft.com/office/drawing/2014/main" id="{00000000-0008-0000-1200-0000922043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399252" name="Line 290">
              <a:extLst>
                <a:ext uri="{FF2B5EF4-FFF2-40B4-BE49-F238E27FC236}">
                  <a16:creationId xmlns="" xmlns:a16="http://schemas.microsoft.com/office/drawing/2014/main" id="{00000000-0008-0000-1200-00009420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9253" name="Group 291">
              <a:extLst>
                <a:ext uri="{FF2B5EF4-FFF2-40B4-BE49-F238E27FC236}">
                  <a16:creationId xmlns="" xmlns:a16="http://schemas.microsoft.com/office/drawing/2014/main" id="{00000000-0008-0000-1200-00009520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9254" name="Line 292">
                <a:extLst>
                  <a:ext uri="{FF2B5EF4-FFF2-40B4-BE49-F238E27FC236}">
                    <a16:creationId xmlns="" xmlns:a16="http://schemas.microsoft.com/office/drawing/2014/main" id="{00000000-0008-0000-1200-00009620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9255" name="Group 293">
                <a:extLst>
                  <a:ext uri="{FF2B5EF4-FFF2-40B4-BE49-F238E27FC236}">
                    <a16:creationId xmlns="" xmlns:a16="http://schemas.microsoft.com/office/drawing/2014/main" id="{00000000-0008-0000-1200-00009720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9256" name="Line 294">
                  <a:extLst>
                    <a:ext uri="{FF2B5EF4-FFF2-40B4-BE49-F238E27FC236}">
                      <a16:creationId xmlns="" xmlns:a16="http://schemas.microsoft.com/office/drawing/2014/main" id="{00000000-0008-0000-1200-00009820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9257" name="Line 295">
                  <a:extLst>
                    <a:ext uri="{FF2B5EF4-FFF2-40B4-BE49-F238E27FC236}">
                      <a16:creationId xmlns="" xmlns:a16="http://schemas.microsoft.com/office/drawing/2014/main" id="{00000000-0008-0000-1200-00009920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99251" name="Line 296">
            <a:extLst>
              <a:ext uri="{FF2B5EF4-FFF2-40B4-BE49-F238E27FC236}">
                <a16:creationId xmlns="" xmlns:a16="http://schemas.microsoft.com/office/drawing/2014/main" id="{00000000-0008-0000-1200-0000932043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-2457450</xdr:colOff>
      <xdr:row>23</xdr:row>
      <xdr:rowOff>57150</xdr:rowOff>
    </xdr:from>
    <xdr:to>
      <xdr:col>0</xdr:col>
      <xdr:colOff>-2371725</xdr:colOff>
      <xdr:row>30</xdr:row>
      <xdr:rowOff>66675</xdr:rowOff>
    </xdr:to>
    <xdr:grpSp>
      <xdr:nvGrpSpPr>
        <xdr:cNvPr id="4399200" name="Group 375">
          <a:extLst>
            <a:ext uri="{FF2B5EF4-FFF2-40B4-BE49-F238E27FC236}">
              <a16:creationId xmlns="" xmlns:a16="http://schemas.microsoft.com/office/drawing/2014/main" id="{00000000-0008-0000-1200-000060204300}"/>
            </a:ext>
          </a:extLst>
        </xdr:cNvPr>
        <xdr:cNvGrpSpPr>
          <a:grpSpLocks/>
        </xdr:cNvGrpSpPr>
      </xdr:nvGrpSpPr>
      <xdr:grpSpPr bwMode="auto">
        <a:xfrm>
          <a:off x="-2457450" y="8420100"/>
          <a:ext cx="85725" cy="2238375"/>
          <a:chOff x="842" y="438"/>
          <a:chExt cx="10" cy="147"/>
        </a:xfrm>
      </xdr:grpSpPr>
      <xdr:sp macro="" textlink="">
        <xdr:nvSpPr>
          <xdr:cNvPr id="4399235" name="Line 376">
            <a:extLst>
              <a:ext uri="{FF2B5EF4-FFF2-40B4-BE49-F238E27FC236}">
                <a16:creationId xmlns="" xmlns:a16="http://schemas.microsoft.com/office/drawing/2014/main" id="{00000000-0008-0000-1200-0000832043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9236" name="Line 377">
            <a:extLst>
              <a:ext uri="{FF2B5EF4-FFF2-40B4-BE49-F238E27FC236}">
                <a16:creationId xmlns="" xmlns:a16="http://schemas.microsoft.com/office/drawing/2014/main" id="{00000000-0008-0000-1200-0000842043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0</xdr:row>
      <xdr:rowOff>152400</xdr:rowOff>
    </xdr:from>
    <xdr:to>
      <xdr:col>21</xdr:col>
      <xdr:colOff>1314450</xdr:colOff>
      <xdr:row>2</xdr:row>
      <xdr:rowOff>47625</xdr:rowOff>
    </xdr:to>
    <xdr:sp macro="" textlink="">
      <xdr:nvSpPr>
        <xdr:cNvPr id="4339105" name="Rectangle 462">
          <a:extLst>
            <a:ext uri="{FF2B5EF4-FFF2-40B4-BE49-F238E27FC236}">
              <a16:creationId xmlns="" xmlns:a16="http://schemas.microsoft.com/office/drawing/2014/main" id="{00000000-0008-0000-1200-0000A1354200}"/>
            </a:ext>
          </a:extLst>
        </xdr:cNvPr>
        <xdr:cNvSpPr>
          <a:spLocks noChangeArrowheads="1"/>
        </xdr:cNvSpPr>
      </xdr:nvSpPr>
      <xdr:spPr bwMode="auto">
        <a:xfrm>
          <a:off x="2390775" y="152400"/>
          <a:ext cx="16563975" cy="5524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  <xdr:txBody>
        <a:bodyPr/>
        <a:lstStyle/>
        <a:p>
          <a:endParaRPr lang="it-IT"/>
        </a:p>
      </xdr:txBody>
    </xdr:sp>
    <xdr:clientData/>
  </xdr:twoCellAnchor>
  <xdr:twoCellAnchor>
    <xdr:from>
      <xdr:col>1</xdr:col>
      <xdr:colOff>285750</xdr:colOff>
      <xdr:row>23</xdr:row>
      <xdr:rowOff>0</xdr:rowOff>
    </xdr:from>
    <xdr:to>
      <xdr:col>10</xdr:col>
      <xdr:colOff>238125</xdr:colOff>
      <xdr:row>33</xdr:row>
      <xdr:rowOff>342900</xdr:rowOff>
    </xdr:to>
    <xdr:grpSp>
      <xdr:nvGrpSpPr>
        <xdr:cNvPr id="4399202" name="Gruppo 253">
          <a:extLst>
            <a:ext uri="{FF2B5EF4-FFF2-40B4-BE49-F238E27FC236}">
              <a16:creationId xmlns="" xmlns:a16="http://schemas.microsoft.com/office/drawing/2014/main" id="{00000000-0008-0000-1200-000062204300}"/>
            </a:ext>
          </a:extLst>
        </xdr:cNvPr>
        <xdr:cNvGrpSpPr>
          <a:grpSpLocks/>
        </xdr:cNvGrpSpPr>
      </xdr:nvGrpSpPr>
      <xdr:grpSpPr bwMode="auto">
        <a:xfrm>
          <a:off x="2686050" y="8362950"/>
          <a:ext cx="7381875" cy="3943350"/>
          <a:chOff x="2672603" y="8157882"/>
          <a:chExt cx="7460316" cy="4179794"/>
        </a:xfrm>
      </xdr:grpSpPr>
      <xdr:sp macro="" textlink="">
        <xdr:nvSpPr>
          <xdr:cNvPr id="4399204" name="Line 363">
            <a:extLst>
              <a:ext uri="{FF2B5EF4-FFF2-40B4-BE49-F238E27FC236}">
                <a16:creationId xmlns="" xmlns:a16="http://schemas.microsoft.com/office/drawing/2014/main" id="{00000000-0008-0000-1200-00006420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681188" y="9279892"/>
            <a:ext cx="403492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9205" name="Line 364">
            <a:extLst>
              <a:ext uri="{FF2B5EF4-FFF2-40B4-BE49-F238E27FC236}">
                <a16:creationId xmlns="" xmlns:a16="http://schemas.microsoft.com/office/drawing/2014/main" id="{00000000-0008-0000-1200-000065204300}"/>
              </a:ext>
            </a:extLst>
          </xdr:cNvPr>
          <xdr:cNvSpPr>
            <a:spLocks noChangeShapeType="1"/>
          </xdr:cNvSpPr>
        </xdr:nvSpPr>
        <xdr:spPr bwMode="auto">
          <a:xfrm>
            <a:off x="2681188" y="8577094"/>
            <a:ext cx="0" cy="3760582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9206" name="Line 365">
            <a:extLst>
              <a:ext uri="{FF2B5EF4-FFF2-40B4-BE49-F238E27FC236}">
                <a16:creationId xmlns="" xmlns:a16="http://schemas.microsoft.com/office/drawing/2014/main" id="{00000000-0008-0000-1200-000066204300}"/>
              </a:ext>
            </a:extLst>
          </xdr:cNvPr>
          <xdr:cNvSpPr>
            <a:spLocks noChangeShapeType="1"/>
          </xdr:cNvSpPr>
        </xdr:nvSpPr>
        <xdr:spPr bwMode="auto">
          <a:xfrm>
            <a:off x="2689773" y="9686774"/>
            <a:ext cx="160538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9207" name="Line 366">
            <a:extLst>
              <a:ext uri="{FF2B5EF4-FFF2-40B4-BE49-F238E27FC236}">
                <a16:creationId xmlns="" xmlns:a16="http://schemas.microsoft.com/office/drawing/2014/main" id="{00000000-0008-0000-1200-000067204300}"/>
              </a:ext>
            </a:extLst>
          </xdr:cNvPr>
          <xdr:cNvSpPr>
            <a:spLocks noChangeShapeType="1"/>
          </xdr:cNvSpPr>
        </xdr:nvSpPr>
        <xdr:spPr bwMode="auto">
          <a:xfrm>
            <a:off x="2681188" y="10155306"/>
            <a:ext cx="2635578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9208" name="Line 367">
            <a:extLst>
              <a:ext uri="{FF2B5EF4-FFF2-40B4-BE49-F238E27FC236}">
                <a16:creationId xmlns="" xmlns:a16="http://schemas.microsoft.com/office/drawing/2014/main" id="{00000000-0008-0000-1200-00006820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89773" y="10562188"/>
            <a:ext cx="361426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9209" name="Line 368">
            <a:extLst>
              <a:ext uri="{FF2B5EF4-FFF2-40B4-BE49-F238E27FC236}">
                <a16:creationId xmlns="" xmlns:a16="http://schemas.microsoft.com/office/drawing/2014/main" id="{00000000-0008-0000-1200-000069204300}"/>
              </a:ext>
            </a:extLst>
          </xdr:cNvPr>
          <xdr:cNvSpPr>
            <a:spLocks noChangeShapeType="1"/>
          </xdr:cNvSpPr>
        </xdr:nvSpPr>
        <xdr:spPr bwMode="auto">
          <a:xfrm>
            <a:off x="3093265" y="8207201"/>
            <a:ext cx="0" cy="1183658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9210" name="Line 369">
            <a:extLst>
              <a:ext uri="{FF2B5EF4-FFF2-40B4-BE49-F238E27FC236}">
                <a16:creationId xmlns="" xmlns:a16="http://schemas.microsoft.com/office/drawing/2014/main" id="{00000000-0008-0000-1200-00006A204300}"/>
              </a:ext>
            </a:extLst>
          </xdr:cNvPr>
          <xdr:cNvSpPr>
            <a:spLocks noChangeShapeType="1"/>
          </xdr:cNvSpPr>
        </xdr:nvSpPr>
        <xdr:spPr bwMode="auto">
          <a:xfrm>
            <a:off x="2715528" y="8268850"/>
            <a:ext cx="489342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9211" name="Line 370">
            <a:extLst>
              <a:ext uri="{FF2B5EF4-FFF2-40B4-BE49-F238E27FC236}">
                <a16:creationId xmlns="" xmlns:a16="http://schemas.microsoft.com/office/drawing/2014/main" id="{00000000-0008-0000-1200-00006B204300}"/>
              </a:ext>
            </a:extLst>
          </xdr:cNvPr>
          <xdr:cNvSpPr>
            <a:spLocks noChangeShapeType="1"/>
          </xdr:cNvSpPr>
        </xdr:nvSpPr>
        <xdr:spPr bwMode="auto">
          <a:xfrm>
            <a:off x="4295157" y="8194871"/>
            <a:ext cx="0" cy="1541222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9212" name="Line 371">
            <a:extLst>
              <a:ext uri="{FF2B5EF4-FFF2-40B4-BE49-F238E27FC236}">
                <a16:creationId xmlns="" xmlns:a16="http://schemas.microsoft.com/office/drawing/2014/main" id="{00000000-0008-0000-1200-00006C204300}"/>
              </a:ext>
            </a:extLst>
          </xdr:cNvPr>
          <xdr:cNvSpPr>
            <a:spLocks noChangeShapeType="1"/>
          </xdr:cNvSpPr>
        </xdr:nvSpPr>
        <xdr:spPr bwMode="auto">
          <a:xfrm>
            <a:off x="3625532" y="8281180"/>
            <a:ext cx="104736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grpSp>
        <xdr:nvGrpSpPr>
          <xdr:cNvPr id="4399213" name="Group 372">
            <a:extLst>
              <a:ext uri="{FF2B5EF4-FFF2-40B4-BE49-F238E27FC236}">
                <a16:creationId xmlns="" xmlns:a16="http://schemas.microsoft.com/office/drawing/2014/main" id="{00000000-0008-0000-1200-00006D204300}"/>
              </a:ext>
            </a:extLst>
          </xdr:cNvPr>
          <xdr:cNvGrpSpPr>
            <a:grpSpLocks/>
          </xdr:cNvGrpSpPr>
        </xdr:nvGrpSpPr>
        <xdr:grpSpPr bwMode="auto">
          <a:xfrm>
            <a:off x="5286307" y="8184787"/>
            <a:ext cx="137340" cy="2036475"/>
            <a:chOff x="759" y="438"/>
            <a:chExt cx="10" cy="113"/>
          </a:xfrm>
        </xdr:grpSpPr>
        <xdr:sp macro="" textlink="">
          <xdr:nvSpPr>
            <xdr:cNvPr id="4399233" name="Line 373">
              <a:extLst>
                <a:ext uri="{FF2B5EF4-FFF2-40B4-BE49-F238E27FC236}">
                  <a16:creationId xmlns="" xmlns:a16="http://schemas.microsoft.com/office/drawing/2014/main" id="{00000000-0008-0000-1200-0000812043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2" y="438"/>
              <a:ext cx="2" cy="113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99234" name="Line 374">
              <a:extLst>
                <a:ext uri="{FF2B5EF4-FFF2-40B4-BE49-F238E27FC236}">
                  <a16:creationId xmlns="" xmlns:a16="http://schemas.microsoft.com/office/drawing/2014/main" id="{00000000-0008-0000-1200-00008220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59" y="443"/>
              <a:ext cx="10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sp macro="" textlink="">
        <xdr:nvSpPr>
          <xdr:cNvPr id="4399214" name="Rectangle 378">
            <a:extLst>
              <a:ext uri="{FF2B5EF4-FFF2-40B4-BE49-F238E27FC236}">
                <a16:creationId xmlns="" xmlns:a16="http://schemas.microsoft.com/office/drawing/2014/main" id="{00000000-0008-0000-1200-00006E204300}"/>
              </a:ext>
            </a:extLst>
          </xdr:cNvPr>
          <xdr:cNvSpPr>
            <a:spLocks noChangeArrowheads="1"/>
          </xdr:cNvSpPr>
        </xdr:nvSpPr>
        <xdr:spPr bwMode="auto">
          <a:xfrm>
            <a:off x="2681188" y="8157882"/>
            <a:ext cx="7451731" cy="369893"/>
          </a:xfrm>
          <a:prstGeom prst="rect">
            <a:avLst/>
          </a:prstGeom>
          <a:noFill/>
          <a:ln w="158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99215" name="Line 379">
            <a:extLst>
              <a:ext uri="{FF2B5EF4-FFF2-40B4-BE49-F238E27FC236}">
                <a16:creationId xmlns="" xmlns:a16="http://schemas.microsoft.com/office/drawing/2014/main" id="{00000000-0008-0000-1200-00006F204300}"/>
              </a:ext>
            </a:extLst>
          </xdr:cNvPr>
          <xdr:cNvSpPr>
            <a:spLocks noChangeShapeType="1"/>
          </xdr:cNvSpPr>
        </xdr:nvSpPr>
        <xdr:spPr bwMode="auto">
          <a:xfrm>
            <a:off x="9763766" y="8194871"/>
            <a:ext cx="0" cy="4093486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9216" name="Line 381">
            <a:extLst>
              <a:ext uri="{FF2B5EF4-FFF2-40B4-BE49-F238E27FC236}">
                <a16:creationId xmlns="" xmlns:a16="http://schemas.microsoft.com/office/drawing/2014/main" id="{00000000-0008-0000-1200-00007020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672603" y="12288357"/>
            <a:ext cx="7082578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grpSp>
        <xdr:nvGrpSpPr>
          <xdr:cNvPr id="4399217" name="Group 382">
            <a:extLst>
              <a:ext uri="{FF2B5EF4-FFF2-40B4-BE49-F238E27FC236}">
                <a16:creationId xmlns="" xmlns:a16="http://schemas.microsoft.com/office/drawing/2014/main" id="{00000000-0008-0000-1200-000071204300}"/>
              </a:ext>
            </a:extLst>
          </xdr:cNvPr>
          <xdr:cNvGrpSpPr>
            <a:grpSpLocks/>
          </xdr:cNvGrpSpPr>
        </xdr:nvGrpSpPr>
        <xdr:grpSpPr bwMode="auto">
          <a:xfrm>
            <a:off x="7216611" y="8207201"/>
            <a:ext cx="94434" cy="2922157"/>
            <a:chOff x="912" y="438"/>
            <a:chExt cx="11" cy="175"/>
          </a:xfrm>
        </xdr:grpSpPr>
        <xdr:sp macro="" textlink="">
          <xdr:nvSpPr>
            <xdr:cNvPr id="4399231" name="Line 383">
              <a:extLst>
                <a:ext uri="{FF2B5EF4-FFF2-40B4-BE49-F238E27FC236}">
                  <a16:creationId xmlns="" xmlns:a16="http://schemas.microsoft.com/office/drawing/2014/main" id="{00000000-0008-0000-1200-00007F20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99232" name="Line 384">
              <a:extLst>
                <a:ext uri="{FF2B5EF4-FFF2-40B4-BE49-F238E27FC236}">
                  <a16:creationId xmlns="" xmlns:a16="http://schemas.microsoft.com/office/drawing/2014/main" id="{00000000-0008-0000-1200-00008020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sp macro="" textlink="">
        <xdr:nvSpPr>
          <xdr:cNvPr id="4399218" name="Line 385">
            <a:extLst>
              <a:ext uri="{FF2B5EF4-FFF2-40B4-BE49-F238E27FC236}">
                <a16:creationId xmlns="" xmlns:a16="http://schemas.microsoft.com/office/drawing/2014/main" id="{00000000-0008-0000-1200-00007220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2603" y="11006060"/>
            <a:ext cx="4592945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9219" name="Line 386">
            <a:extLst>
              <a:ext uri="{FF2B5EF4-FFF2-40B4-BE49-F238E27FC236}">
                <a16:creationId xmlns="" xmlns:a16="http://schemas.microsoft.com/office/drawing/2014/main" id="{00000000-0008-0000-1200-00007320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2603" y="11474592"/>
            <a:ext cx="554587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9220" name="Line 387">
            <a:extLst>
              <a:ext uri="{FF2B5EF4-FFF2-40B4-BE49-F238E27FC236}">
                <a16:creationId xmlns="" xmlns:a16="http://schemas.microsoft.com/office/drawing/2014/main" id="{00000000-0008-0000-1200-00007420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2603" y="11869145"/>
            <a:ext cx="637861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grpSp>
        <xdr:nvGrpSpPr>
          <xdr:cNvPr id="4399221" name="Group 388">
            <a:extLst>
              <a:ext uri="{FF2B5EF4-FFF2-40B4-BE49-F238E27FC236}">
                <a16:creationId xmlns="" xmlns:a16="http://schemas.microsoft.com/office/drawing/2014/main" id="{00000000-0008-0000-1200-000075204300}"/>
              </a:ext>
            </a:extLst>
          </xdr:cNvPr>
          <xdr:cNvGrpSpPr>
            <a:grpSpLocks/>
          </xdr:cNvGrpSpPr>
        </xdr:nvGrpSpPr>
        <xdr:grpSpPr bwMode="auto">
          <a:xfrm>
            <a:off x="8107544" y="8207201"/>
            <a:ext cx="196014" cy="3446917"/>
            <a:chOff x="912" y="438"/>
            <a:chExt cx="11" cy="175"/>
          </a:xfrm>
        </xdr:grpSpPr>
        <xdr:sp macro="" textlink="">
          <xdr:nvSpPr>
            <xdr:cNvPr id="4399229" name="Line 389">
              <a:extLst>
                <a:ext uri="{FF2B5EF4-FFF2-40B4-BE49-F238E27FC236}">
                  <a16:creationId xmlns="" xmlns:a16="http://schemas.microsoft.com/office/drawing/2014/main" id="{00000000-0008-0000-1200-00007D20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99230" name="Line 390">
              <a:extLst>
                <a:ext uri="{FF2B5EF4-FFF2-40B4-BE49-F238E27FC236}">
                  <a16:creationId xmlns="" xmlns:a16="http://schemas.microsoft.com/office/drawing/2014/main" id="{00000000-0008-0000-1200-00007E20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grpSp>
        <xdr:nvGrpSpPr>
          <xdr:cNvPr id="4399222" name="Group 391">
            <a:extLst>
              <a:ext uri="{FF2B5EF4-FFF2-40B4-BE49-F238E27FC236}">
                <a16:creationId xmlns="" xmlns:a16="http://schemas.microsoft.com/office/drawing/2014/main" id="{00000000-0008-0000-1200-000076204300}"/>
              </a:ext>
            </a:extLst>
          </xdr:cNvPr>
          <xdr:cNvGrpSpPr>
            <a:grpSpLocks/>
          </xdr:cNvGrpSpPr>
        </xdr:nvGrpSpPr>
        <xdr:grpSpPr bwMode="auto">
          <a:xfrm>
            <a:off x="9001663" y="8207201"/>
            <a:ext cx="94434" cy="3723592"/>
            <a:chOff x="912" y="438"/>
            <a:chExt cx="11" cy="175"/>
          </a:xfrm>
        </xdr:grpSpPr>
        <xdr:sp macro="" textlink="">
          <xdr:nvSpPr>
            <xdr:cNvPr id="4399227" name="Line 392">
              <a:extLst>
                <a:ext uri="{FF2B5EF4-FFF2-40B4-BE49-F238E27FC236}">
                  <a16:creationId xmlns="" xmlns:a16="http://schemas.microsoft.com/office/drawing/2014/main" id="{00000000-0008-0000-1200-00007B20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99228" name="Line 393">
              <a:extLst>
                <a:ext uri="{FF2B5EF4-FFF2-40B4-BE49-F238E27FC236}">
                  <a16:creationId xmlns="" xmlns:a16="http://schemas.microsoft.com/office/drawing/2014/main" id="{00000000-0008-0000-1200-00007C20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sp macro="" textlink="">
        <xdr:nvSpPr>
          <xdr:cNvPr id="4399223" name="Line 394">
            <a:extLst>
              <a:ext uri="{FF2B5EF4-FFF2-40B4-BE49-F238E27FC236}">
                <a16:creationId xmlns="" xmlns:a16="http://schemas.microsoft.com/office/drawing/2014/main" id="{00000000-0008-0000-1200-000077204300}"/>
              </a:ext>
            </a:extLst>
          </xdr:cNvPr>
          <xdr:cNvSpPr>
            <a:spLocks noChangeShapeType="1"/>
          </xdr:cNvSpPr>
        </xdr:nvSpPr>
        <xdr:spPr bwMode="auto">
          <a:xfrm>
            <a:off x="9652162" y="8281180"/>
            <a:ext cx="20603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grpSp>
        <xdr:nvGrpSpPr>
          <xdr:cNvPr id="4399224" name="Group 382">
            <a:extLst>
              <a:ext uri="{FF2B5EF4-FFF2-40B4-BE49-F238E27FC236}">
                <a16:creationId xmlns="" xmlns:a16="http://schemas.microsoft.com/office/drawing/2014/main" id="{00000000-0008-0000-1200-000078204300}"/>
              </a:ext>
            </a:extLst>
          </xdr:cNvPr>
          <xdr:cNvGrpSpPr>
            <a:grpSpLocks/>
          </xdr:cNvGrpSpPr>
        </xdr:nvGrpSpPr>
        <xdr:grpSpPr bwMode="auto">
          <a:xfrm>
            <a:off x="6259628" y="8213928"/>
            <a:ext cx="94107" cy="2554926"/>
            <a:chOff x="912" y="438"/>
            <a:chExt cx="11" cy="175"/>
          </a:xfrm>
        </xdr:grpSpPr>
        <xdr:sp macro="" textlink="">
          <xdr:nvSpPr>
            <xdr:cNvPr id="4399225" name="Line 383">
              <a:extLst>
                <a:ext uri="{FF2B5EF4-FFF2-40B4-BE49-F238E27FC236}">
                  <a16:creationId xmlns="" xmlns:a16="http://schemas.microsoft.com/office/drawing/2014/main" id="{00000000-0008-0000-1200-00007920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99226" name="Line 384">
              <a:extLst>
                <a:ext uri="{FF2B5EF4-FFF2-40B4-BE49-F238E27FC236}">
                  <a16:creationId xmlns="" xmlns:a16="http://schemas.microsoft.com/office/drawing/2014/main" id="{00000000-0008-0000-1200-00007A20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</xdr:grpSp>
    <xdr:clientData/>
  </xdr:twoCellAnchor>
  <xdr:twoCellAnchor editAs="oneCell">
    <xdr:from>
      <xdr:col>12</xdr:col>
      <xdr:colOff>285750</xdr:colOff>
      <xdr:row>17</xdr:row>
      <xdr:rowOff>571500</xdr:rowOff>
    </xdr:from>
    <xdr:to>
      <xdr:col>21</xdr:col>
      <xdr:colOff>457200</xdr:colOff>
      <xdr:row>30</xdr:row>
      <xdr:rowOff>38100</xdr:rowOff>
    </xdr:to>
    <xdr:pic>
      <xdr:nvPicPr>
        <xdr:cNvPr id="4399203" name="Picture 1">
          <a:extLst>
            <a:ext uri="{FF2B5EF4-FFF2-40B4-BE49-F238E27FC236}">
              <a16:creationId xmlns="" xmlns:a16="http://schemas.microsoft.com/office/drawing/2014/main" id="{00000000-0008-0000-1200-000063204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0820400" y="6838950"/>
          <a:ext cx="7772400" cy="3790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72392" name="Line 1">
          <a:extLst>
            <a:ext uri="{FF2B5EF4-FFF2-40B4-BE49-F238E27FC236}">
              <a16:creationId xmlns="" xmlns:a16="http://schemas.microsoft.com/office/drawing/2014/main" id="{00000000-0008-0000-1300-0000A8B74200}"/>
            </a:ext>
          </a:extLst>
        </xdr:cNvPr>
        <xdr:cNvSpPr>
          <a:spLocks noChangeShapeType="1"/>
        </xdr:cNvSpPr>
      </xdr:nvSpPr>
      <xdr:spPr bwMode="auto">
        <a:xfrm flipV="1"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72393" name="Line 2">
          <a:extLst>
            <a:ext uri="{FF2B5EF4-FFF2-40B4-BE49-F238E27FC236}">
              <a16:creationId xmlns="" xmlns:a16="http://schemas.microsoft.com/office/drawing/2014/main" id="{00000000-0008-0000-1300-0000A9B74200}"/>
            </a:ext>
          </a:extLst>
        </xdr:cNvPr>
        <xdr:cNvSpPr>
          <a:spLocks noChangeShapeType="1"/>
        </xdr:cNvSpPr>
      </xdr:nvSpPr>
      <xdr:spPr bwMode="auto">
        <a:xfrm flipV="1">
          <a:off x="70580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676275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72394" name="Line 3">
          <a:extLst>
            <a:ext uri="{FF2B5EF4-FFF2-40B4-BE49-F238E27FC236}">
              <a16:creationId xmlns="" xmlns:a16="http://schemas.microsoft.com/office/drawing/2014/main" id="{00000000-0008-0000-1300-0000AAB742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442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95250</xdr:colOff>
      <xdr:row>0</xdr:row>
      <xdr:rowOff>0</xdr:rowOff>
    </xdr:from>
    <xdr:to>
      <xdr:col>6</xdr:col>
      <xdr:colOff>200025</xdr:colOff>
      <xdr:row>0</xdr:row>
      <xdr:rowOff>0</xdr:rowOff>
    </xdr:to>
    <xdr:sp macro="" textlink="">
      <xdr:nvSpPr>
        <xdr:cNvPr id="4372395" name="Line 4">
          <a:extLst>
            <a:ext uri="{FF2B5EF4-FFF2-40B4-BE49-F238E27FC236}">
              <a16:creationId xmlns="" xmlns:a16="http://schemas.microsoft.com/office/drawing/2014/main" id="{00000000-0008-0000-1300-0000ABB74200}"/>
            </a:ext>
          </a:extLst>
        </xdr:cNvPr>
        <xdr:cNvSpPr>
          <a:spLocks noChangeShapeType="1"/>
        </xdr:cNvSpPr>
      </xdr:nvSpPr>
      <xdr:spPr bwMode="auto">
        <a:xfrm>
          <a:off x="7153275" y="0"/>
          <a:ext cx="1104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104775</xdr:colOff>
      <xdr:row>0</xdr:row>
      <xdr:rowOff>0</xdr:rowOff>
    </xdr:from>
    <xdr:to>
      <xdr:col>6</xdr:col>
      <xdr:colOff>104775</xdr:colOff>
      <xdr:row>0</xdr:row>
      <xdr:rowOff>0</xdr:rowOff>
    </xdr:to>
    <xdr:sp macro="" textlink="">
      <xdr:nvSpPr>
        <xdr:cNvPr id="4372396" name="Line 5">
          <a:extLst>
            <a:ext uri="{FF2B5EF4-FFF2-40B4-BE49-F238E27FC236}">
              <a16:creationId xmlns="" xmlns:a16="http://schemas.microsoft.com/office/drawing/2014/main" id="{00000000-0008-0000-1300-0000ACB74200}"/>
            </a:ext>
          </a:extLst>
        </xdr:cNvPr>
        <xdr:cNvSpPr>
          <a:spLocks noChangeShapeType="1"/>
        </xdr:cNvSpPr>
      </xdr:nvSpPr>
      <xdr:spPr bwMode="auto">
        <a:xfrm>
          <a:off x="81629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0</xdr:row>
      <xdr:rowOff>0</xdr:rowOff>
    </xdr:from>
    <xdr:to>
      <xdr:col>6</xdr:col>
      <xdr:colOff>114300</xdr:colOff>
      <xdr:row>0</xdr:row>
      <xdr:rowOff>0</xdr:rowOff>
    </xdr:to>
    <xdr:sp macro="" textlink="">
      <xdr:nvSpPr>
        <xdr:cNvPr id="4372397" name="Line 6">
          <a:extLst>
            <a:ext uri="{FF2B5EF4-FFF2-40B4-BE49-F238E27FC236}">
              <a16:creationId xmlns="" xmlns:a16="http://schemas.microsoft.com/office/drawing/2014/main" id="{00000000-0008-0000-1300-0000ADB74200}"/>
            </a:ext>
          </a:extLst>
        </xdr:cNvPr>
        <xdr:cNvSpPr>
          <a:spLocks noChangeShapeType="1"/>
        </xdr:cNvSpPr>
      </xdr:nvSpPr>
      <xdr:spPr bwMode="auto">
        <a:xfrm>
          <a:off x="81724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85725</xdr:colOff>
      <xdr:row>0</xdr:row>
      <xdr:rowOff>0</xdr:rowOff>
    </xdr:from>
    <xdr:to>
      <xdr:col>6</xdr:col>
      <xdr:colOff>228600</xdr:colOff>
      <xdr:row>0</xdr:row>
      <xdr:rowOff>0</xdr:rowOff>
    </xdr:to>
    <xdr:sp macro="" textlink="">
      <xdr:nvSpPr>
        <xdr:cNvPr id="4372398" name="Line 7">
          <a:extLst>
            <a:ext uri="{FF2B5EF4-FFF2-40B4-BE49-F238E27FC236}">
              <a16:creationId xmlns="" xmlns:a16="http://schemas.microsoft.com/office/drawing/2014/main" id="{00000000-0008-0000-1300-0000AEB74200}"/>
            </a:ext>
          </a:extLst>
        </xdr:cNvPr>
        <xdr:cNvSpPr>
          <a:spLocks noChangeShapeType="1"/>
        </xdr:cNvSpPr>
      </xdr:nvSpPr>
      <xdr:spPr bwMode="auto">
        <a:xfrm>
          <a:off x="7143750" y="0"/>
          <a:ext cx="1143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533400</xdr:colOff>
      <xdr:row>0</xdr:row>
      <xdr:rowOff>0</xdr:rowOff>
    </xdr:from>
    <xdr:to>
      <xdr:col>12</xdr:col>
      <xdr:colOff>123825</xdr:colOff>
      <xdr:row>0</xdr:row>
      <xdr:rowOff>0</xdr:rowOff>
    </xdr:to>
    <xdr:sp macro="" textlink="">
      <xdr:nvSpPr>
        <xdr:cNvPr id="4372399" name="Line 8">
          <a:extLst>
            <a:ext uri="{FF2B5EF4-FFF2-40B4-BE49-F238E27FC236}">
              <a16:creationId xmlns="" xmlns:a16="http://schemas.microsoft.com/office/drawing/2014/main" id="{00000000-0008-0000-1300-0000AFB74200}"/>
            </a:ext>
          </a:extLst>
        </xdr:cNvPr>
        <xdr:cNvSpPr>
          <a:spLocks noChangeShapeType="1"/>
        </xdr:cNvSpPr>
      </xdr:nvSpPr>
      <xdr:spPr bwMode="auto">
        <a:xfrm>
          <a:off x="11887200" y="0"/>
          <a:ext cx="12382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12</xdr:col>
      <xdr:colOff>238125</xdr:colOff>
      <xdr:row>0</xdr:row>
      <xdr:rowOff>0</xdr:rowOff>
    </xdr:to>
    <xdr:sp macro="" textlink="">
      <xdr:nvSpPr>
        <xdr:cNvPr id="4372400" name="Line 9">
          <a:extLst>
            <a:ext uri="{FF2B5EF4-FFF2-40B4-BE49-F238E27FC236}">
              <a16:creationId xmlns="" xmlns:a16="http://schemas.microsoft.com/office/drawing/2014/main" id="{00000000-0008-0000-1300-0000B0B74200}"/>
            </a:ext>
          </a:extLst>
        </xdr:cNvPr>
        <xdr:cNvSpPr>
          <a:spLocks noChangeShapeType="1"/>
        </xdr:cNvSpPr>
      </xdr:nvSpPr>
      <xdr:spPr bwMode="auto">
        <a:xfrm flipV="1">
          <a:off x="120110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238125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72401" name="Line 10">
          <a:extLst>
            <a:ext uri="{FF2B5EF4-FFF2-40B4-BE49-F238E27FC236}">
              <a16:creationId xmlns="" xmlns:a16="http://schemas.microsoft.com/office/drawing/2014/main" id="{00000000-0008-0000-1300-0000B1B74200}"/>
            </a:ext>
          </a:extLst>
        </xdr:cNvPr>
        <xdr:cNvSpPr>
          <a:spLocks noChangeShapeType="1"/>
        </xdr:cNvSpPr>
      </xdr:nvSpPr>
      <xdr:spPr bwMode="auto">
        <a:xfrm>
          <a:off x="12125325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361950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72402" name="Line 11">
          <a:extLst>
            <a:ext uri="{FF2B5EF4-FFF2-40B4-BE49-F238E27FC236}">
              <a16:creationId xmlns="" xmlns:a16="http://schemas.microsoft.com/office/drawing/2014/main" id="{00000000-0008-0000-1300-0000B2B74200}"/>
            </a:ext>
          </a:extLst>
        </xdr:cNvPr>
        <xdr:cNvSpPr>
          <a:spLocks noChangeShapeType="1"/>
        </xdr:cNvSpPr>
      </xdr:nvSpPr>
      <xdr:spPr bwMode="auto">
        <a:xfrm flipV="1"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466725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72403" name="Line 12">
          <a:extLst>
            <a:ext uri="{FF2B5EF4-FFF2-40B4-BE49-F238E27FC236}">
              <a16:creationId xmlns="" xmlns:a16="http://schemas.microsoft.com/office/drawing/2014/main" id="{00000000-0008-0000-1300-0000B3B7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581025</xdr:colOff>
      <xdr:row>0</xdr:row>
      <xdr:rowOff>0</xdr:rowOff>
    </xdr:from>
    <xdr:to>
      <xdr:col>13</xdr:col>
      <xdr:colOff>0</xdr:colOff>
      <xdr:row>0</xdr:row>
      <xdr:rowOff>0</xdr:rowOff>
    </xdr:to>
    <xdr:sp macro="" textlink="">
      <xdr:nvSpPr>
        <xdr:cNvPr id="4372404" name="Line 13">
          <a:extLst>
            <a:ext uri="{FF2B5EF4-FFF2-40B4-BE49-F238E27FC236}">
              <a16:creationId xmlns="" xmlns:a16="http://schemas.microsoft.com/office/drawing/2014/main" id="{00000000-0008-0000-1300-0000B4B74200}"/>
            </a:ext>
          </a:extLst>
        </xdr:cNvPr>
        <xdr:cNvSpPr>
          <a:spLocks noChangeShapeType="1"/>
        </xdr:cNvSpPr>
      </xdr:nvSpPr>
      <xdr:spPr bwMode="auto">
        <a:xfrm flipV="1"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0</xdr:row>
      <xdr:rowOff>0</xdr:rowOff>
    </xdr:from>
    <xdr:to>
      <xdr:col>13</xdr:col>
      <xdr:colOff>123825</xdr:colOff>
      <xdr:row>0</xdr:row>
      <xdr:rowOff>0</xdr:rowOff>
    </xdr:to>
    <xdr:sp macro="" textlink="">
      <xdr:nvSpPr>
        <xdr:cNvPr id="4372405" name="Line 14">
          <a:extLst>
            <a:ext uri="{FF2B5EF4-FFF2-40B4-BE49-F238E27FC236}">
              <a16:creationId xmlns="" xmlns:a16="http://schemas.microsoft.com/office/drawing/2014/main" id="{00000000-0008-0000-1300-0000B5B7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123825</xdr:colOff>
      <xdr:row>0</xdr:row>
      <xdr:rowOff>0</xdr:rowOff>
    </xdr:from>
    <xdr:to>
      <xdr:col>13</xdr:col>
      <xdr:colOff>238125</xdr:colOff>
      <xdr:row>0</xdr:row>
      <xdr:rowOff>0</xdr:rowOff>
    </xdr:to>
    <xdr:sp macro="" textlink="">
      <xdr:nvSpPr>
        <xdr:cNvPr id="4372406" name="Line 15">
          <a:extLst>
            <a:ext uri="{FF2B5EF4-FFF2-40B4-BE49-F238E27FC236}">
              <a16:creationId xmlns="" xmlns:a16="http://schemas.microsoft.com/office/drawing/2014/main" id="{00000000-0008-0000-1300-0000B6B74200}"/>
            </a:ext>
          </a:extLst>
        </xdr:cNvPr>
        <xdr:cNvSpPr>
          <a:spLocks noChangeShapeType="1"/>
        </xdr:cNvSpPr>
      </xdr:nvSpPr>
      <xdr:spPr bwMode="auto">
        <a:xfrm flipV="1">
          <a:off x="122586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238125</xdr:colOff>
      <xdr:row>0</xdr:row>
      <xdr:rowOff>0</xdr:rowOff>
    </xdr:from>
    <xdr:to>
      <xdr:col>13</xdr:col>
      <xdr:colOff>361950</xdr:colOff>
      <xdr:row>0</xdr:row>
      <xdr:rowOff>0</xdr:rowOff>
    </xdr:to>
    <xdr:sp macro="" textlink="">
      <xdr:nvSpPr>
        <xdr:cNvPr id="4372407" name="Line 16">
          <a:extLst>
            <a:ext uri="{FF2B5EF4-FFF2-40B4-BE49-F238E27FC236}">
              <a16:creationId xmlns="" xmlns:a16="http://schemas.microsoft.com/office/drawing/2014/main" id="{00000000-0008-0000-1300-0000B7B74200}"/>
            </a:ext>
          </a:extLst>
        </xdr:cNvPr>
        <xdr:cNvSpPr>
          <a:spLocks noChangeShapeType="1"/>
        </xdr:cNvSpPr>
      </xdr:nvSpPr>
      <xdr:spPr bwMode="auto">
        <a:xfrm>
          <a:off x="123729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361950</xdr:colOff>
      <xdr:row>0</xdr:row>
      <xdr:rowOff>0</xdr:rowOff>
    </xdr:from>
    <xdr:to>
      <xdr:col>13</xdr:col>
      <xdr:colOff>476250</xdr:colOff>
      <xdr:row>0</xdr:row>
      <xdr:rowOff>0</xdr:rowOff>
    </xdr:to>
    <xdr:sp macro="" textlink="">
      <xdr:nvSpPr>
        <xdr:cNvPr id="4372408" name="Line 17">
          <a:extLst>
            <a:ext uri="{FF2B5EF4-FFF2-40B4-BE49-F238E27FC236}">
              <a16:creationId xmlns="" xmlns:a16="http://schemas.microsoft.com/office/drawing/2014/main" id="{00000000-0008-0000-1300-0000B8B74200}"/>
            </a:ext>
          </a:extLst>
        </xdr:cNvPr>
        <xdr:cNvSpPr>
          <a:spLocks noChangeShapeType="1"/>
        </xdr:cNvSpPr>
      </xdr:nvSpPr>
      <xdr:spPr bwMode="auto">
        <a:xfrm flipV="1">
          <a:off x="1249680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476250</xdr:colOff>
      <xdr:row>0</xdr:row>
      <xdr:rowOff>0</xdr:rowOff>
    </xdr:from>
    <xdr:to>
      <xdr:col>13</xdr:col>
      <xdr:colOff>609600</xdr:colOff>
      <xdr:row>0</xdr:row>
      <xdr:rowOff>0</xdr:rowOff>
    </xdr:to>
    <xdr:sp macro="" textlink="">
      <xdr:nvSpPr>
        <xdr:cNvPr id="4372409" name="Line 18">
          <a:extLst>
            <a:ext uri="{FF2B5EF4-FFF2-40B4-BE49-F238E27FC236}">
              <a16:creationId xmlns="" xmlns:a16="http://schemas.microsoft.com/office/drawing/2014/main" id="{00000000-0008-0000-1300-0000B9B74200}"/>
            </a:ext>
          </a:extLst>
        </xdr:cNvPr>
        <xdr:cNvSpPr>
          <a:spLocks noChangeShapeType="1"/>
        </xdr:cNvSpPr>
      </xdr:nvSpPr>
      <xdr:spPr bwMode="auto">
        <a:xfrm>
          <a:off x="12611100" y="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14</xdr:col>
      <xdr:colOff>28575</xdr:colOff>
      <xdr:row>0</xdr:row>
      <xdr:rowOff>0</xdr:rowOff>
    </xdr:to>
    <xdr:sp macro="" textlink="">
      <xdr:nvSpPr>
        <xdr:cNvPr id="4372410" name="Line 19">
          <a:extLst>
            <a:ext uri="{FF2B5EF4-FFF2-40B4-BE49-F238E27FC236}">
              <a16:creationId xmlns="" xmlns:a16="http://schemas.microsoft.com/office/drawing/2014/main" id="{00000000-0008-0000-1300-0000BAB74200}"/>
            </a:ext>
          </a:extLst>
        </xdr:cNvPr>
        <xdr:cNvSpPr>
          <a:spLocks noChangeShapeType="1"/>
        </xdr:cNvSpPr>
      </xdr:nvSpPr>
      <xdr:spPr bwMode="auto">
        <a:xfrm flipV="1">
          <a:off x="12744450" y="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28575</xdr:colOff>
      <xdr:row>0</xdr:row>
      <xdr:rowOff>0</xdr:rowOff>
    </xdr:from>
    <xdr:to>
      <xdr:col>14</xdr:col>
      <xdr:colOff>152400</xdr:colOff>
      <xdr:row>0</xdr:row>
      <xdr:rowOff>0</xdr:rowOff>
    </xdr:to>
    <xdr:sp macro="" textlink="">
      <xdr:nvSpPr>
        <xdr:cNvPr id="4372411" name="Line 20">
          <a:extLst>
            <a:ext uri="{FF2B5EF4-FFF2-40B4-BE49-F238E27FC236}">
              <a16:creationId xmlns="" xmlns:a16="http://schemas.microsoft.com/office/drawing/2014/main" id="{00000000-0008-0000-1300-0000BBB74200}"/>
            </a:ext>
          </a:extLst>
        </xdr:cNvPr>
        <xdr:cNvSpPr>
          <a:spLocks noChangeShapeType="1"/>
        </xdr:cNvSpPr>
      </xdr:nvSpPr>
      <xdr:spPr bwMode="auto">
        <a:xfrm>
          <a:off x="133540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152400</xdr:colOff>
      <xdr:row>0</xdr:row>
      <xdr:rowOff>0</xdr:rowOff>
    </xdr:from>
    <xdr:to>
      <xdr:col>14</xdr:col>
      <xdr:colOff>266700</xdr:colOff>
      <xdr:row>0</xdr:row>
      <xdr:rowOff>0</xdr:rowOff>
    </xdr:to>
    <xdr:sp macro="" textlink="">
      <xdr:nvSpPr>
        <xdr:cNvPr id="4372412" name="Line 21">
          <a:extLst>
            <a:ext uri="{FF2B5EF4-FFF2-40B4-BE49-F238E27FC236}">
              <a16:creationId xmlns="" xmlns:a16="http://schemas.microsoft.com/office/drawing/2014/main" id="{00000000-0008-0000-1300-0000BCB74200}"/>
            </a:ext>
          </a:extLst>
        </xdr:cNvPr>
        <xdr:cNvSpPr>
          <a:spLocks noChangeShapeType="1"/>
        </xdr:cNvSpPr>
      </xdr:nvSpPr>
      <xdr:spPr bwMode="auto">
        <a:xfrm flipV="1">
          <a:off x="134778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266700</xdr:colOff>
      <xdr:row>0</xdr:row>
      <xdr:rowOff>0</xdr:rowOff>
    </xdr:from>
    <xdr:to>
      <xdr:col>14</xdr:col>
      <xdr:colOff>381000</xdr:colOff>
      <xdr:row>0</xdr:row>
      <xdr:rowOff>0</xdr:rowOff>
    </xdr:to>
    <xdr:sp macro="" textlink="">
      <xdr:nvSpPr>
        <xdr:cNvPr id="4372413" name="Line 22">
          <a:extLst>
            <a:ext uri="{FF2B5EF4-FFF2-40B4-BE49-F238E27FC236}">
              <a16:creationId xmlns="" xmlns:a16="http://schemas.microsoft.com/office/drawing/2014/main" id="{00000000-0008-0000-1300-0000BDB74200}"/>
            </a:ext>
          </a:extLst>
        </xdr:cNvPr>
        <xdr:cNvSpPr>
          <a:spLocks noChangeShapeType="1"/>
        </xdr:cNvSpPr>
      </xdr:nvSpPr>
      <xdr:spPr bwMode="auto">
        <a:xfrm>
          <a:off x="135921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381000</xdr:colOff>
      <xdr:row>0</xdr:row>
      <xdr:rowOff>0</xdr:rowOff>
    </xdr:from>
    <xdr:to>
      <xdr:col>14</xdr:col>
      <xdr:colOff>495300</xdr:colOff>
      <xdr:row>0</xdr:row>
      <xdr:rowOff>0</xdr:rowOff>
    </xdr:to>
    <xdr:sp macro="" textlink="">
      <xdr:nvSpPr>
        <xdr:cNvPr id="4372414" name="Line 23">
          <a:extLst>
            <a:ext uri="{FF2B5EF4-FFF2-40B4-BE49-F238E27FC236}">
              <a16:creationId xmlns="" xmlns:a16="http://schemas.microsoft.com/office/drawing/2014/main" id="{00000000-0008-0000-1300-0000BEB74200}"/>
            </a:ext>
          </a:extLst>
        </xdr:cNvPr>
        <xdr:cNvSpPr>
          <a:spLocks noChangeShapeType="1"/>
        </xdr:cNvSpPr>
      </xdr:nvSpPr>
      <xdr:spPr bwMode="auto">
        <a:xfrm flipV="1">
          <a:off x="137064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495300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72415" name="Line 24">
          <a:extLst>
            <a:ext uri="{FF2B5EF4-FFF2-40B4-BE49-F238E27FC236}">
              <a16:creationId xmlns="" xmlns:a16="http://schemas.microsoft.com/office/drawing/2014/main" id="{00000000-0008-0000-1300-0000BFB74200}"/>
            </a:ext>
          </a:extLst>
        </xdr:cNvPr>
        <xdr:cNvSpPr>
          <a:spLocks noChangeShapeType="1"/>
        </xdr:cNvSpPr>
      </xdr:nvSpPr>
      <xdr:spPr bwMode="auto">
        <a:xfrm>
          <a:off x="138207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72416" name="Line 25">
          <a:extLst>
            <a:ext uri="{FF2B5EF4-FFF2-40B4-BE49-F238E27FC236}">
              <a16:creationId xmlns="" xmlns:a16="http://schemas.microsoft.com/office/drawing/2014/main" id="{00000000-0008-0000-1300-0000C0B742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66675</xdr:colOff>
      <xdr:row>0</xdr:row>
      <xdr:rowOff>0</xdr:rowOff>
    </xdr:to>
    <xdr:sp macro="" textlink="">
      <xdr:nvSpPr>
        <xdr:cNvPr id="4372417" name="Line 26">
          <a:extLst>
            <a:ext uri="{FF2B5EF4-FFF2-40B4-BE49-F238E27FC236}">
              <a16:creationId xmlns="" xmlns:a16="http://schemas.microsoft.com/office/drawing/2014/main" id="{00000000-0008-0000-1300-0000C1B74200}"/>
            </a:ext>
          </a:extLst>
        </xdr:cNvPr>
        <xdr:cNvSpPr>
          <a:spLocks noChangeShapeType="1"/>
        </xdr:cNvSpPr>
      </xdr:nvSpPr>
      <xdr:spPr bwMode="auto">
        <a:xfrm flipV="1">
          <a:off x="11953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72418" name="Line 27">
          <a:extLst>
            <a:ext uri="{FF2B5EF4-FFF2-40B4-BE49-F238E27FC236}">
              <a16:creationId xmlns="" xmlns:a16="http://schemas.microsoft.com/office/drawing/2014/main" id="{00000000-0008-0000-1300-0000C2B742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72419" name="Line 28">
          <a:extLst>
            <a:ext uri="{FF2B5EF4-FFF2-40B4-BE49-F238E27FC236}">
              <a16:creationId xmlns="" xmlns:a16="http://schemas.microsoft.com/office/drawing/2014/main" id="{00000000-0008-0000-1300-0000C3B74200}"/>
            </a:ext>
          </a:extLst>
        </xdr:cNvPr>
        <xdr:cNvSpPr>
          <a:spLocks noChangeShapeType="1"/>
        </xdr:cNvSpPr>
      </xdr:nvSpPr>
      <xdr:spPr bwMode="auto">
        <a:xfrm>
          <a:off x="12011025" y="0"/>
          <a:ext cx="1933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352425</xdr:colOff>
      <xdr:row>0</xdr:row>
      <xdr:rowOff>0</xdr:rowOff>
    </xdr:from>
    <xdr:to>
      <xdr:col>2</xdr:col>
      <xdr:colOff>352425</xdr:colOff>
      <xdr:row>0</xdr:row>
      <xdr:rowOff>0</xdr:rowOff>
    </xdr:to>
    <xdr:sp macro="" textlink="">
      <xdr:nvSpPr>
        <xdr:cNvPr id="4372420" name="Line 29">
          <a:extLst>
            <a:ext uri="{FF2B5EF4-FFF2-40B4-BE49-F238E27FC236}">
              <a16:creationId xmlns="" xmlns:a16="http://schemas.microsoft.com/office/drawing/2014/main" id="{00000000-0008-0000-1300-0000C4B74200}"/>
            </a:ext>
          </a:extLst>
        </xdr:cNvPr>
        <xdr:cNvSpPr>
          <a:spLocks noChangeShapeType="1"/>
        </xdr:cNvSpPr>
      </xdr:nvSpPr>
      <xdr:spPr bwMode="auto">
        <a:xfrm>
          <a:off x="2981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152400</xdr:colOff>
      <xdr:row>0</xdr:row>
      <xdr:rowOff>0</xdr:rowOff>
    </xdr:to>
    <xdr:sp macro="" textlink="">
      <xdr:nvSpPr>
        <xdr:cNvPr id="4372421" name="Line 30">
          <a:extLst>
            <a:ext uri="{FF2B5EF4-FFF2-40B4-BE49-F238E27FC236}">
              <a16:creationId xmlns="" xmlns:a16="http://schemas.microsoft.com/office/drawing/2014/main" id="{00000000-0008-0000-1300-0000C5B7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723900</xdr:colOff>
      <xdr:row>0</xdr:row>
      <xdr:rowOff>0</xdr:rowOff>
    </xdr:from>
    <xdr:to>
      <xdr:col>4</xdr:col>
      <xdr:colOff>723900</xdr:colOff>
      <xdr:row>0</xdr:row>
      <xdr:rowOff>0</xdr:rowOff>
    </xdr:to>
    <xdr:sp macro="" textlink="">
      <xdr:nvSpPr>
        <xdr:cNvPr id="4372422" name="Line 31">
          <a:extLst>
            <a:ext uri="{FF2B5EF4-FFF2-40B4-BE49-F238E27FC236}">
              <a16:creationId xmlns="" xmlns:a16="http://schemas.microsoft.com/office/drawing/2014/main" id="{00000000-0008-0000-1300-0000C6B74200}"/>
            </a:ext>
          </a:extLst>
        </xdr:cNvPr>
        <xdr:cNvSpPr>
          <a:spLocks noChangeShapeType="1"/>
        </xdr:cNvSpPr>
      </xdr:nvSpPr>
      <xdr:spPr bwMode="auto">
        <a:xfrm>
          <a:off x="63722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285750</xdr:colOff>
      <xdr:row>0</xdr:row>
      <xdr:rowOff>0</xdr:rowOff>
    </xdr:from>
    <xdr:to>
      <xdr:col>2</xdr:col>
      <xdr:colOff>285750</xdr:colOff>
      <xdr:row>0</xdr:row>
      <xdr:rowOff>0</xdr:rowOff>
    </xdr:to>
    <xdr:sp macro="" textlink="">
      <xdr:nvSpPr>
        <xdr:cNvPr id="4372423" name="Line 32">
          <a:extLst>
            <a:ext uri="{FF2B5EF4-FFF2-40B4-BE49-F238E27FC236}">
              <a16:creationId xmlns="" xmlns:a16="http://schemas.microsoft.com/office/drawing/2014/main" id="{00000000-0008-0000-1300-0000C7B74200}"/>
            </a:ext>
          </a:extLst>
        </xdr:cNvPr>
        <xdr:cNvSpPr>
          <a:spLocks noChangeShapeType="1"/>
        </xdr:cNvSpPr>
      </xdr:nvSpPr>
      <xdr:spPr bwMode="auto">
        <a:xfrm>
          <a:off x="29146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590550</xdr:colOff>
      <xdr:row>0</xdr:row>
      <xdr:rowOff>0</xdr:rowOff>
    </xdr:from>
    <xdr:to>
      <xdr:col>4</xdr:col>
      <xdr:colOff>590550</xdr:colOff>
      <xdr:row>0</xdr:row>
      <xdr:rowOff>0</xdr:rowOff>
    </xdr:to>
    <xdr:sp macro="" textlink="">
      <xdr:nvSpPr>
        <xdr:cNvPr id="4372424" name="Line 33">
          <a:extLst>
            <a:ext uri="{FF2B5EF4-FFF2-40B4-BE49-F238E27FC236}">
              <a16:creationId xmlns="" xmlns:a16="http://schemas.microsoft.com/office/drawing/2014/main" id="{00000000-0008-0000-1300-0000C8B74200}"/>
            </a:ext>
          </a:extLst>
        </xdr:cNvPr>
        <xdr:cNvSpPr>
          <a:spLocks noChangeShapeType="1"/>
        </xdr:cNvSpPr>
      </xdr:nvSpPr>
      <xdr:spPr bwMode="auto">
        <a:xfrm flipH="1">
          <a:off x="6238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72425" name="Line 34">
          <a:extLst>
            <a:ext uri="{FF2B5EF4-FFF2-40B4-BE49-F238E27FC236}">
              <a16:creationId xmlns="" xmlns:a16="http://schemas.microsoft.com/office/drawing/2014/main" id="{00000000-0008-0000-1300-0000C9B742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95250</xdr:colOff>
      <xdr:row>0</xdr:row>
      <xdr:rowOff>0</xdr:rowOff>
    </xdr:to>
    <xdr:grpSp>
      <xdr:nvGrpSpPr>
        <xdr:cNvPr id="4372426" name="Group 35">
          <a:extLst>
            <a:ext uri="{FF2B5EF4-FFF2-40B4-BE49-F238E27FC236}">
              <a16:creationId xmlns="" xmlns:a16="http://schemas.microsoft.com/office/drawing/2014/main" id="{00000000-0008-0000-1300-0000CAB74200}"/>
            </a:ext>
          </a:extLst>
        </xdr:cNvPr>
        <xdr:cNvGrpSpPr>
          <a:grpSpLocks/>
        </xdr:cNvGrpSpPr>
      </xdr:nvGrpSpPr>
      <xdr:grpSpPr bwMode="auto">
        <a:xfrm>
          <a:off x="9867900" y="0"/>
          <a:ext cx="5657850" cy="0"/>
          <a:chOff x="630" y="359"/>
          <a:chExt cx="361" cy="60"/>
        </a:xfrm>
      </xdr:grpSpPr>
      <xdr:sp macro="" textlink="">
        <xdr:nvSpPr>
          <xdr:cNvPr id="4400252" name="Line 36">
            <a:extLst>
              <a:ext uri="{FF2B5EF4-FFF2-40B4-BE49-F238E27FC236}">
                <a16:creationId xmlns="" xmlns:a16="http://schemas.microsoft.com/office/drawing/2014/main" id="{00000000-0008-0000-1300-00007C24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0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00253" name="Line 37">
            <a:extLst>
              <a:ext uri="{FF2B5EF4-FFF2-40B4-BE49-F238E27FC236}">
                <a16:creationId xmlns="" xmlns:a16="http://schemas.microsoft.com/office/drawing/2014/main" id="{00000000-0008-0000-1300-00007D24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91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00254" name="Line 38">
            <a:extLst>
              <a:ext uri="{FF2B5EF4-FFF2-40B4-BE49-F238E27FC236}">
                <a16:creationId xmlns="" xmlns:a16="http://schemas.microsoft.com/office/drawing/2014/main" id="{00000000-0008-0000-1300-00007E244300}"/>
              </a:ext>
            </a:extLst>
          </xdr:cNvPr>
          <xdr:cNvSpPr>
            <a:spLocks noChangeShapeType="1"/>
          </xdr:cNvSpPr>
        </xdr:nvSpPr>
        <xdr:spPr bwMode="auto">
          <a:xfrm>
            <a:off x="630" y="381"/>
            <a:ext cx="3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7</xdr:col>
      <xdr:colOff>590550</xdr:colOff>
      <xdr:row>0</xdr:row>
      <xdr:rowOff>0</xdr:rowOff>
    </xdr:to>
    <xdr:sp macro="" textlink="">
      <xdr:nvSpPr>
        <xdr:cNvPr id="4372427" name="Line 39">
          <a:extLst>
            <a:ext uri="{FF2B5EF4-FFF2-40B4-BE49-F238E27FC236}">
              <a16:creationId xmlns="" xmlns:a16="http://schemas.microsoft.com/office/drawing/2014/main" id="{00000000-0008-0000-1300-0000CBB742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10</xdr:col>
      <xdr:colOff>47625</xdr:colOff>
      <xdr:row>0</xdr:row>
      <xdr:rowOff>0</xdr:rowOff>
    </xdr:to>
    <xdr:sp macro="" textlink="">
      <xdr:nvSpPr>
        <xdr:cNvPr id="4372428" name="Line 40">
          <a:extLst>
            <a:ext uri="{FF2B5EF4-FFF2-40B4-BE49-F238E27FC236}">
              <a16:creationId xmlns="" xmlns:a16="http://schemas.microsoft.com/office/drawing/2014/main" id="{00000000-0008-0000-1300-0000CCB74200}"/>
            </a:ext>
          </a:extLst>
        </xdr:cNvPr>
        <xdr:cNvSpPr>
          <a:spLocks noChangeShapeType="1"/>
        </xdr:cNvSpPr>
      </xdr:nvSpPr>
      <xdr:spPr bwMode="auto">
        <a:xfrm flipV="1">
          <a:off x="9382125" y="0"/>
          <a:ext cx="1581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10</xdr:col>
      <xdr:colOff>914400</xdr:colOff>
      <xdr:row>0</xdr:row>
      <xdr:rowOff>0</xdr:rowOff>
    </xdr:to>
    <xdr:sp macro="" textlink="">
      <xdr:nvSpPr>
        <xdr:cNvPr id="4372429" name="Line 41">
          <a:extLst>
            <a:ext uri="{FF2B5EF4-FFF2-40B4-BE49-F238E27FC236}">
              <a16:creationId xmlns="" xmlns:a16="http://schemas.microsoft.com/office/drawing/2014/main" id="{00000000-0008-0000-1300-0000CDB742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1733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28575</xdr:colOff>
      <xdr:row>0</xdr:row>
      <xdr:rowOff>0</xdr:rowOff>
    </xdr:to>
    <xdr:sp macro="" textlink="">
      <xdr:nvSpPr>
        <xdr:cNvPr id="4372430" name="Line 42">
          <a:extLst>
            <a:ext uri="{FF2B5EF4-FFF2-40B4-BE49-F238E27FC236}">
              <a16:creationId xmlns="" xmlns:a16="http://schemas.microsoft.com/office/drawing/2014/main" id="{00000000-0008-0000-1300-0000CEB742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2076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552450</xdr:colOff>
      <xdr:row>0</xdr:row>
      <xdr:rowOff>0</xdr:rowOff>
    </xdr:from>
    <xdr:to>
      <xdr:col>13</xdr:col>
      <xdr:colOff>400050</xdr:colOff>
      <xdr:row>0</xdr:row>
      <xdr:rowOff>0</xdr:rowOff>
    </xdr:to>
    <xdr:sp macro="" textlink="">
      <xdr:nvSpPr>
        <xdr:cNvPr id="4372431" name="Line 43">
          <a:extLst>
            <a:ext uri="{FF2B5EF4-FFF2-40B4-BE49-F238E27FC236}">
              <a16:creationId xmlns="" xmlns:a16="http://schemas.microsoft.com/office/drawing/2014/main" id="{00000000-0008-0000-1300-0000CFB74200}"/>
            </a:ext>
          </a:extLst>
        </xdr:cNvPr>
        <xdr:cNvSpPr>
          <a:spLocks noChangeShapeType="1"/>
        </xdr:cNvSpPr>
      </xdr:nvSpPr>
      <xdr:spPr bwMode="auto">
        <a:xfrm flipH="1">
          <a:off x="980122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10</xdr:col>
      <xdr:colOff>57150</xdr:colOff>
      <xdr:row>0</xdr:row>
      <xdr:rowOff>0</xdr:rowOff>
    </xdr:to>
    <xdr:grpSp>
      <xdr:nvGrpSpPr>
        <xdr:cNvPr id="4372432" name="Group 44">
          <a:extLst>
            <a:ext uri="{FF2B5EF4-FFF2-40B4-BE49-F238E27FC236}">
              <a16:creationId xmlns="" xmlns:a16="http://schemas.microsoft.com/office/drawing/2014/main" id="{00000000-0008-0000-1300-0000D0B74200}"/>
            </a:ext>
          </a:extLst>
        </xdr:cNvPr>
        <xdr:cNvGrpSpPr>
          <a:grpSpLocks/>
        </xdr:cNvGrpSpPr>
      </xdr:nvGrpSpPr>
      <xdr:grpSpPr bwMode="auto">
        <a:xfrm>
          <a:off x="9906000" y="0"/>
          <a:ext cx="1123950" cy="0"/>
          <a:chOff x="554" y="439"/>
          <a:chExt cx="10" cy="76"/>
        </a:xfrm>
      </xdr:grpSpPr>
      <xdr:sp macro="" textlink="">
        <xdr:nvSpPr>
          <xdr:cNvPr id="4400250" name="Line 45">
            <a:extLst>
              <a:ext uri="{FF2B5EF4-FFF2-40B4-BE49-F238E27FC236}">
                <a16:creationId xmlns="" xmlns:a16="http://schemas.microsoft.com/office/drawing/2014/main" id="{00000000-0008-0000-1300-00007A244300}"/>
              </a:ext>
            </a:extLst>
          </xdr:cNvPr>
          <xdr:cNvSpPr>
            <a:spLocks noChangeShapeType="1"/>
          </xdr:cNvSpPr>
        </xdr:nvSpPr>
        <xdr:spPr bwMode="auto">
          <a:xfrm>
            <a:off x="558" y="439"/>
            <a:ext cx="0" cy="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00251" name="Line 46">
            <a:extLst>
              <a:ext uri="{FF2B5EF4-FFF2-40B4-BE49-F238E27FC236}">
                <a16:creationId xmlns="" xmlns:a16="http://schemas.microsoft.com/office/drawing/2014/main" id="{00000000-0008-0000-1300-00007B244300}"/>
              </a:ext>
            </a:extLst>
          </xdr:cNvPr>
          <xdr:cNvSpPr>
            <a:spLocks noChangeShapeType="1"/>
          </xdr:cNvSpPr>
        </xdr:nvSpPr>
        <xdr:spPr bwMode="auto">
          <a:xfrm>
            <a:off x="554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10</xdr:col>
      <xdr:colOff>628650</xdr:colOff>
      <xdr:row>0</xdr:row>
      <xdr:rowOff>0</xdr:rowOff>
    </xdr:from>
    <xdr:to>
      <xdr:col>11</xdr:col>
      <xdr:colOff>38100</xdr:colOff>
      <xdr:row>0</xdr:row>
      <xdr:rowOff>0</xdr:rowOff>
    </xdr:to>
    <xdr:grpSp>
      <xdr:nvGrpSpPr>
        <xdr:cNvPr id="4372433" name="Group 47">
          <a:extLst>
            <a:ext uri="{FF2B5EF4-FFF2-40B4-BE49-F238E27FC236}">
              <a16:creationId xmlns="" xmlns:a16="http://schemas.microsoft.com/office/drawing/2014/main" id="{00000000-0008-0000-1300-0000D1B74200}"/>
            </a:ext>
          </a:extLst>
        </xdr:cNvPr>
        <xdr:cNvGrpSpPr>
          <a:grpSpLocks/>
        </xdr:cNvGrpSpPr>
      </xdr:nvGrpSpPr>
      <xdr:grpSpPr bwMode="auto">
        <a:xfrm>
          <a:off x="11601450" y="0"/>
          <a:ext cx="76200" cy="0"/>
          <a:chOff x="680" y="439"/>
          <a:chExt cx="10" cy="98"/>
        </a:xfrm>
      </xdr:grpSpPr>
      <xdr:sp macro="" textlink="">
        <xdr:nvSpPr>
          <xdr:cNvPr id="4400248" name="Line 48">
            <a:extLst>
              <a:ext uri="{FF2B5EF4-FFF2-40B4-BE49-F238E27FC236}">
                <a16:creationId xmlns="" xmlns:a16="http://schemas.microsoft.com/office/drawing/2014/main" id="{00000000-0008-0000-1300-000078244300}"/>
              </a:ext>
            </a:extLst>
          </xdr:cNvPr>
          <xdr:cNvSpPr>
            <a:spLocks noChangeShapeType="1"/>
          </xdr:cNvSpPr>
        </xdr:nvSpPr>
        <xdr:spPr bwMode="auto">
          <a:xfrm>
            <a:off x="685" y="439"/>
            <a:ext cx="0" cy="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00249" name="Line 49">
            <a:extLst>
              <a:ext uri="{FF2B5EF4-FFF2-40B4-BE49-F238E27FC236}">
                <a16:creationId xmlns="" xmlns:a16="http://schemas.microsoft.com/office/drawing/2014/main" id="{00000000-0008-0000-1300-000079244300}"/>
              </a:ext>
            </a:extLst>
          </xdr:cNvPr>
          <xdr:cNvSpPr>
            <a:spLocks noChangeShapeType="1"/>
          </xdr:cNvSpPr>
        </xdr:nvSpPr>
        <xdr:spPr bwMode="auto">
          <a:xfrm>
            <a:off x="680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4372434" name="Group 50">
          <a:extLst>
            <a:ext uri="{FF2B5EF4-FFF2-40B4-BE49-F238E27FC236}">
              <a16:creationId xmlns="" xmlns:a16="http://schemas.microsoft.com/office/drawing/2014/main" id="{00000000-0008-0000-1300-0000D2B74200}"/>
            </a:ext>
          </a:extLst>
        </xdr:cNvPr>
        <xdr:cNvGrpSpPr>
          <a:grpSpLocks/>
        </xdr:cNvGrpSpPr>
      </xdr:nvGrpSpPr>
      <xdr:grpSpPr bwMode="auto">
        <a:xfrm>
          <a:off x="11963400" y="0"/>
          <a:ext cx="142875" cy="0"/>
          <a:chOff x="759" y="438"/>
          <a:chExt cx="10" cy="121"/>
        </a:xfrm>
      </xdr:grpSpPr>
      <xdr:sp macro="" textlink="">
        <xdr:nvSpPr>
          <xdr:cNvPr id="4400246" name="Line 51">
            <a:extLst>
              <a:ext uri="{FF2B5EF4-FFF2-40B4-BE49-F238E27FC236}">
                <a16:creationId xmlns="" xmlns:a16="http://schemas.microsoft.com/office/drawing/2014/main" id="{00000000-0008-0000-1300-0000762443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00247" name="Line 52">
            <a:extLst>
              <a:ext uri="{FF2B5EF4-FFF2-40B4-BE49-F238E27FC236}">
                <a16:creationId xmlns="" xmlns:a16="http://schemas.microsoft.com/office/drawing/2014/main" id="{00000000-0008-0000-1300-0000772443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13</xdr:col>
      <xdr:colOff>76200</xdr:colOff>
      <xdr:row>0</xdr:row>
      <xdr:rowOff>0</xdr:rowOff>
    </xdr:from>
    <xdr:to>
      <xdr:col>13</xdr:col>
      <xdr:colOff>676275</xdr:colOff>
      <xdr:row>0</xdr:row>
      <xdr:rowOff>0</xdr:rowOff>
    </xdr:to>
    <xdr:grpSp>
      <xdr:nvGrpSpPr>
        <xdr:cNvPr id="4372435" name="Group 53">
          <a:extLst>
            <a:ext uri="{FF2B5EF4-FFF2-40B4-BE49-F238E27FC236}">
              <a16:creationId xmlns="" xmlns:a16="http://schemas.microsoft.com/office/drawing/2014/main" id="{00000000-0008-0000-1300-0000D3B74200}"/>
            </a:ext>
          </a:extLst>
        </xdr:cNvPr>
        <xdr:cNvGrpSpPr>
          <a:grpSpLocks/>
        </xdr:cNvGrpSpPr>
      </xdr:nvGrpSpPr>
      <xdr:grpSpPr bwMode="auto">
        <a:xfrm>
          <a:off x="12287250" y="0"/>
          <a:ext cx="600075" cy="0"/>
          <a:chOff x="842" y="438"/>
          <a:chExt cx="10" cy="147"/>
        </a:xfrm>
      </xdr:grpSpPr>
      <xdr:sp macro="" textlink="">
        <xdr:nvSpPr>
          <xdr:cNvPr id="4400244" name="Line 54">
            <a:extLst>
              <a:ext uri="{FF2B5EF4-FFF2-40B4-BE49-F238E27FC236}">
                <a16:creationId xmlns="" xmlns:a16="http://schemas.microsoft.com/office/drawing/2014/main" id="{00000000-0008-0000-1300-0000742443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00245" name="Line 55">
            <a:extLst>
              <a:ext uri="{FF2B5EF4-FFF2-40B4-BE49-F238E27FC236}">
                <a16:creationId xmlns="" xmlns:a16="http://schemas.microsoft.com/office/drawing/2014/main" id="{00000000-0008-0000-1300-0000752443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76200</xdr:colOff>
      <xdr:row>0</xdr:row>
      <xdr:rowOff>0</xdr:rowOff>
    </xdr:to>
    <xdr:sp macro="" textlink="">
      <xdr:nvSpPr>
        <xdr:cNvPr id="4372436" name="Rectangle 56">
          <a:extLst>
            <a:ext uri="{FF2B5EF4-FFF2-40B4-BE49-F238E27FC236}">
              <a16:creationId xmlns="" xmlns:a16="http://schemas.microsoft.com/office/drawing/2014/main" id="{00000000-0008-0000-1300-0000D4B74200}"/>
            </a:ext>
          </a:extLst>
        </xdr:cNvPr>
        <xdr:cNvSpPr>
          <a:spLocks noChangeArrowheads="1"/>
        </xdr:cNvSpPr>
      </xdr:nvSpPr>
      <xdr:spPr bwMode="auto">
        <a:xfrm>
          <a:off x="9839325" y="0"/>
          <a:ext cx="55721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4372437" name="Line 57">
          <a:extLst>
            <a:ext uri="{FF2B5EF4-FFF2-40B4-BE49-F238E27FC236}">
              <a16:creationId xmlns="" xmlns:a16="http://schemas.microsoft.com/office/drawing/2014/main" id="{00000000-0008-0000-1300-0000D5B74200}"/>
            </a:ext>
          </a:extLst>
        </xdr:cNvPr>
        <xdr:cNvSpPr>
          <a:spLocks noChangeShapeType="1"/>
        </xdr:cNvSpPr>
      </xdr:nvSpPr>
      <xdr:spPr bwMode="auto">
        <a:xfrm>
          <a:off x="153352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638175</xdr:colOff>
      <xdr:row>0</xdr:row>
      <xdr:rowOff>0</xdr:rowOff>
    </xdr:from>
    <xdr:to>
      <xdr:col>16</xdr:col>
      <xdr:colOff>47625</xdr:colOff>
      <xdr:row>0</xdr:row>
      <xdr:rowOff>0</xdr:rowOff>
    </xdr:to>
    <xdr:sp macro="" textlink="">
      <xdr:nvSpPr>
        <xdr:cNvPr id="4372438" name="Line 58">
          <a:extLst>
            <a:ext uri="{FF2B5EF4-FFF2-40B4-BE49-F238E27FC236}">
              <a16:creationId xmlns="" xmlns:a16="http://schemas.microsoft.com/office/drawing/2014/main" id="{00000000-0008-0000-1300-0000D6B74200}"/>
            </a:ext>
          </a:extLst>
        </xdr:cNvPr>
        <xdr:cNvSpPr>
          <a:spLocks noChangeShapeType="1"/>
        </xdr:cNvSpPr>
      </xdr:nvSpPr>
      <xdr:spPr bwMode="auto">
        <a:xfrm>
          <a:off x="14887575" y="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15</xdr:col>
      <xdr:colOff>1181100</xdr:colOff>
      <xdr:row>0</xdr:row>
      <xdr:rowOff>0</xdr:rowOff>
    </xdr:to>
    <xdr:sp macro="" textlink="">
      <xdr:nvSpPr>
        <xdr:cNvPr id="4372439" name="Line 59">
          <a:extLst>
            <a:ext uri="{FF2B5EF4-FFF2-40B4-BE49-F238E27FC236}">
              <a16:creationId xmlns="" xmlns:a16="http://schemas.microsoft.com/office/drawing/2014/main" id="{00000000-0008-0000-1300-0000D7B74200}"/>
            </a:ext>
          </a:extLst>
        </xdr:cNvPr>
        <xdr:cNvSpPr>
          <a:spLocks noChangeShapeType="1"/>
        </xdr:cNvSpPr>
      </xdr:nvSpPr>
      <xdr:spPr bwMode="auto">
        <a:xfrm flipV="1">
          <a:off x="9867900" y="0"/>
          <a:ext cx="546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666750</xdr:colOff>
      <xdr:row>0</xdr:row>
      <xdr:rowOff>0</xdr:rowOff>
    </xdr:from>
    <xdr:to>
      <xdr:col>14</xdr:col>
      <xdr:colOff>838200</xdr:colOff>
      <xdr:row>0</xdr:row>
      <xdr:rowOff>0</xdr:rowOff>
    </xdr:to>
    <xdr:grpSp>
      <xdr:nvGrpSpPr>
        <xdr:cNvPr id="4372440" name="Group 60">
          <a:extLst>
            <a:ext uri="{FF2B5EF4-FFF2-40B4-BE49-F238E27FC236}">
              <a16:creationId xmlns="" xmlns:a16="http://schemas.microsoft.com/office/drawing/2014/main" id="{00000000-0008-0000-1300-0000D8B74200}"/>
            </a:ext>
          </a:extLst>
        </xdr:cNvPr>
        <xdr:cNvGrpSpPr>
          <a:grpSpLocks/>
        </xdr:cNvGrpSpPr>
      </xdr:nvGrpSpPr>
      <xdr:grpSpPr bwMode="auto">
        <a:xfrm>
          <a:off x="14077950" y="0"/>
          <a:ext cx="171450" cy="0"/>
          <a:chOff x="912" y="438"/>
          <a:chExt cx="11" cy="175"/>
        </a:xfrm>
      </xdr:grpSpPr>
      <xdr:sp macro="" textlink="">
        <xdr:nvSpPr>
          <xdr:cNvPr id="4400242" name="Line 61">
            <a:extLst>
              <a:ext uri="{FF2B5EF4-FFF2-40B4-BE49-F238E27FC236}">
                <a16:creationId xmlns="" xmlns:a16="http://schemas.microsoft.com/office/drawing/2014/main" id="{00000000-0008-0000-1300-0000722443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00243" name="Line 62">
            <a:extLst>
              <a:ext uri="{FF2B5EF4-FFF2-40B4-BE49-F238E27FC236}">
                <a16:creationId xmlns="" xmlns:a16="http://schemas.microsoft.com/office/drawing/2014/main" id="{00000000-0008-0000-1300-0000732443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171450</xdr:colOff>
      <xdr:row>0</xdr:row>
      <xdr:rowOff>0</xdr:rowOff>
    </xdr:from>
    <xdr:to>
      <xdr:col>4</xdr:col>
      <xdr:colOff>542925</xdr:colOff>
      <xdr:row>0</xdr:row>
      <xdr:rowOff>0</xdr:rowOff>
    </xdr:to>
    <xdr:sp macro="" textlink="">
      <xdr:nvSpPr>
        <xdr:cNvPr id="4372441" name="Line 63">
          <a:extLst>
            <a:ext uri="{FF2B5EF4-FFF2-40B4-BE49-F238E27FC236}">
              <a16:creationId xmlns="" xmlns:a16="http://schemas.microsoft.com/office/drawing/2014/main" id="{00000000-0008-0000-1300-0000D9B74200}"/>
            </a:ext>
          </a:extLst>
        </xdr:cNvPr>
        <xdr:cNvSpPr>
          <a:spLocks noChangeShapeType="1"/>
        </xdr:cNvSpPr>
      </xdr:nvSpPr>
      <xdr:spPr bwMode="auto">
        <a:xfrm>
          <a:off x="2800350" y="0"/>
          <a:ext cx="3390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190500</xdr:colOff>
      <xdr:row>0</xdr:row>
      <xdr:rowOff>0</xdr:rowOff>
    </xdr:from>
    <xdr:to>
      <xdr:col>4</xdr:col>
      <xdr:colOff>571500</xdr:colOff>
      <xdr:row>0</xdr:row>
      <xdr:rowOff>0</xdr:rowOff>
    </xdr:to>
    <xdr:sp macro="" textlink="">
      <xdr:nvSpPr>
        <xdr:cNvPr id="4372442" name="Line 64">
          <a:extLst>
            <a:ext uri="{FF2B5EF4-FFF2-40B4-BE49-F238E27FC236}">
              <a16:creationId xmlns="" xmlns:a16="http://schemas.microsoft.com/office/drawing/2014/main" id="{00000000-0008-0000-1300-0000DAB74200}"/>
            </a:ext>
          </a:extLst>
        </xdr:cNvPr>
        <xdr:cNvSpPr>
          <a:spLocks noChangeShapeType="1"/>
        </xdr:cNvSpPr>
      </xdr:nvSpPr>
      <xdr:spPr bwMode="auto">
        <a:xfrm>
          <a:off x="2819400" y="0"/>
          <a:ext cx="3400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72443" name="Line 65">
          <a:extLst>
            <a:ext uri="{FF2B5EF4-FFF2-40B4-BE49-F238E27FC236}">
              <a16:creationId xmlns="" xmlns:a16="http://schemas.microsoft.com/office/drawing/2014/main" id="{00000000-0008-0000-1300-0000DBB742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876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4</xdr:col>
      <xdr:colOff>676275</xdr:colOff>
      <xdr:row>0</xdr:row>
      <xdr:rowOff>0</xdr:rowOff>
    </xdr:to>
    <xdr:sp macro="" textlink="">
      <xdr:nvSpPr>
        <xdr:cNvPr id="4372444" name="Line 66">
          <a:extLst>
            <a:ext uri="{FF2B5EF4-FFF2-40B4-BE49-F238E27FC236}">
              <a16:creationId xmlns="" xmlns:a16="http://schemas.microsoft.com/office/drawing/2014/main" id="{00000000-0008-0000-1300-0000DCB742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219075</xdr:colOff>
      <xdr:row>0</xdr:row>
      <xdr:rowOff>0</xdr:rowOff>
    </xdr:from>
    <xdr:to>
      <xdr:col>2</xdr:col>
      <xdr:colOff>219075</xdr:colOff>
      <xdr:row>0</xdr:row>
      <xdr:rowOff>0</xdr:rowOff>
    </xdr:to>
    <xdr:sp macro="" textlink="">
      <xdr:nvSpPr>
        <xdr:cNvPr id="4372445" name="Line 67">
          <a:extLst>
            <a:ext uri="{FF2B5EF4-FFF2-40B4-BE49-F238E27FC236}">
              <a16:creationId xmlns="" xmlns:a16="http://schemas.microsoft.com/office/drawing/2014/main" id="{00000000-0008-0000-1300-0000DDB74200}"/>
            </a:ext>
          </a:extLst>
        </xdr:cNvPr>
        <xdr:cNvSpPr>
          <a:spLocks noChangeShapeType="1"/>
        </xdr:cNvSpPr>
      </xdr:nvSpPr>
      <xdr:spPr bwMode="auto">
        <a:xfrm>
          <a:off x="28479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266700</xdr:colOff>
      <xdr:row>0</xdr:row>
      <xdr:rowOff>0</xdr:rowOff>
    </xdr:from>
    <xdr:to>
      <xdr:col>2</xdr:col>
      <xdr:colOff>266700</xdr:colOff>
      <xdr:row>0</xdr:row>
      <xdr:rowOff>0</xdr:rowOff>
    </xdr:to>
    <xdr:sp macro="" textlink="">
      <xdr:nvSpPr>
        <xdr:cNvPr id="4372446" name="Line 68">
          <a:extLst>
            <a:ext uri="{FF2B5EF4-FFF2-40B4-BE49-F238E27FC236}">
              <a16:creationId xmlns="" xmlns:a16="http://schemas.microsoft.com/office/drawing/2014/main" id="{00000000-0008-0000-1300-0000DEB74200}"/>
            </a:ext>
          </a:extLst>
        </xdr:cNvPr>
        <xdr:cNvSpPr>
          <a:spLocks noChangeShapeType="1"/>
        </xdr:cNvSpPr>
      </xdr:nvSpPr>
      <xdr:spPr bwMode="auto">
        <a:xfrm>
          <a:off x="2895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333375</xdr:colOff>
      <xdr:row>0</xdr:row>
      <xdr:rowOff>0</xdr:rowOff>
    </xdr:from>
    <xdr:to>
      <xdr:col>2</xdr:col>
      <xdr:colOff>333375</xdr:colOff>
      <xdr:row>0</xdr:row>
      <xdr:rowOff>0</xdr:rowOff>
    </xdr:to>
    <xdr:sp macro="" textlink="">
      <xdr:nvSpPr>
        <xdr:cNvPr id="4372447" name="Line 69">
          <a:extLst>
            <a:ext uri="{FF2B5EF4-FFF2-40B4-BE49-F238E27FC236}">
              <a16:creationId xmlns="" xmlns:a16="http://schemas.microsoft.com/office/drawing/2014/main" id="{00000000-0008-0000-1300-0000DFB74200}"/>
            </a:ext>
          </a:extLst>
        </xdr:cNvPr>
        <xdr:cNvSpPr>
          <a:spLocks noChangeShapeType="1"/>
        </xdr:cNvSpPr>
      </xdr:nvSpPr>
      <xdr:spPr bwMode="auto">
        <a:xfrm>
          <a:off x="29622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0</xdr:row>
      <xdr:rowOff>0</xdr:rowOff>
    </xdr:from>
    <xdr:to>
      <xdr:col>2</xdr:col>
      <xdr:colOff>390525</xdr:colOff>
      <xdr:row>0</xdr:row>
      <xdr:rowOff>0</xdr:rowOff>
    </xdr:to>
    <xdr:sp macro="" textlink="">
      <xdr:nvSpPr>
        <xdr:cNvPr id="4372448" name="Line 70">
          <a:extLst>
            <a:ext uri="{FF2B5EF4-FFF2-40B4-BE49-F238E27FC236}">
              <a16:creationId xmlns="" xmlns:a16="http://schemas.microsoft.com/office/drawing/2014/main" id="{00000000-0008-0000-1300-0000E0B74200}"/>
            </a:ext>
          </a:extLst>
        </xdr:cNvPr>
        <xdr:cNvSpPr>
          <a:spLocks noChangeShapeType="1"/>
        </xdr:cNvSpPr>
      </xdr:nvSpPr>
      <xdr:spPr bwMode="auto">
        <a:xfrm>
          <a:off x="3019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447675</xdr:colOff>
      <xdr:row>0</xdr:row>
      <xdr:rowOff>0</xdr:rowOff>
    </xdr:to>
    <xdr:sp macro="" textlink="">
      <xdr:nvSpPr>
        <xdr:cNvPr id="4372449" name="Line 71">
          <a:extLst>
            <a:ext uri="{FF2B5EF4-FFF2-40B4-BE49-F238E27FC236}">
              <a16:creationId xmlns="" xmlns:a16="http://schemas.microsoft.com/office/drawing/2014/main" id="{00000000-0008-0000-1300-0000E1B742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4372450" name="Line 72">
          <a:extLst>
            <a:ext uri="{FF2B5EF4-FFF2-40B4-BE49-F238E27FC236}">
              <a16:creationId xmlns="" xmlns:a16="http://schemas.microsoft.com/office/drawing/2014/main" id="{00000000-0008-0000-1300-0000E2B7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314325</xdr:colOff>
      <xdr:row>0</xdr:row>
      <xdr:rowOff>0</xdr:rowOff>
    </xdr:to>
    <xdr:sp macro="" textlink="">
      <xdr:nvSpPr>
        <xdr:cNvPr id="4372451" name="Line 73">
          <a:extLst>
            <a:ext uri="{FF2B5EF4-FFF2-40B4-BE49-F238E27FC236}">
              <a16:creationId xmlns="" xmlns:a16="http://schemas.microsoft.com/office/drawing/2014/main" id="{00000000-0008-0000-1300-0000E3B742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657225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72452" name="Line 74">
          <a:extLst>
            <a:ext uri="{FF2B5EF4-FFF2-40B4-BE49-F238E27FC236}">
              <a16:creationId xmlns="" xmlns:a16="http://schemas.microsoft.com/office/drawing/2014/main" id="{00000000-0008-0000-1300-0000E4B742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266700</xdr:colOff>
      <xdr:row>0</xdr:row>
      <xdr:rowOff>0</xdr:rowOff>
    </xdr:from>
    <xdr:to>
      <xdr:col>11</xdr:col>
      <xdr:colOff>352425</xdr:colOff>
      <xdr:row>0</xdr:row>
      <xdr:rowOff>0</xdr:rowOff>
    </xdr:to>
    <xdr:sp macro="" textlink="">
      <xdr:nvSpPr>
        <xdr:cNvPr id="4372453" name="Text Box 75">
          <a:extLst>
            <a:ext uri="{FF2B5EF4-FFF2-40B4-BE49-F238E27FC236}">
              <a16:creationId xmlns="" xmlns:a16="http://schemas.microsoft.com/office/drawing/2014/main" id="{00000000-0008-0000-1300-0000E5B74200}"/>
            </a:ext>
          </a:extLst>
        </xdr:cNvPr>
        <xdr:cNvSpPr txBox="1">
          <a:spLocks noChangeArrowheads="1"/>
        </xdr:cNvSpPr>
      </xdr:nvSpPr>
      <xdr:spPr bwMode="auto">
        <a:xfrm>
          <a:off x="11182350" y="0"/>
          <a:ext cx="7048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209550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4372454" name="Line 76">
          <a:extLst>
            <a:ext uri="{FF2B5EF4-FFF2-40B4-BE49-F238E27FC236}">
              <a16:creationId xmlns="" xmlns:a16="http://schemas.microsoft.com/office/drawing/2014/main" id="{00000000-0008-0000-1300-0000E6B74200}"/>
            </a:ext>
          </a:extLst>
        </xdr:cNvPr>
        <xdr:cNvSpPr>
          <a:spLocks noChangeShapeType="1"/>
        </xdr:cNvSpPr>
      </xdr:nvSpPr>
      <xdr:spPr bwMode="auto">
        <a:xfrm flipV="1">
          <a:off x="7267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819150</xdr:colOff>
      <xdr:row>0</xdr:row>
      <xdr:rowOff>0</xdr:rowOff>
    </xdr:to>
    <xdr:sp macro="" textlink="">
      <xdr:nvSpPr>
        <xdr:cNvPr id="4372455" name="Line 77">
          <a:extLst>
            <a:ext uri="{FF2B5EF4-FFF2-40B4-BE49-F238E27FC236}">
              <a16:creationId xmlns="" xmlns:a16="http://schemas.microsoft.com/office/drawing/2014/main" id="{00000000-0008-0000-1300-0000E7B74200}"/>
            </a:ext>
          </a:extLst>
        </xdr:cNvPr>
        <xdr:cNvSpPr>
          <a:spLocks noChangeShapeType="1"/>
        </xdr:cNvSpPr>
      </xdr:nvSpPr>
      <xdr:spPr bwMode="auto">
        <a:xfrm>
          <a:off x="7553325" y="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114300</xdr:colOff>
      <xdr:row>0</xdr:row>
      <xdr:rowOff>0</xdr:rowOff>
    </xdr:from>
    <xdr:to>
      <xdr:col>5</xdr:col>
      <xdr:colOff>323850</xdr:colOff>
      <xdr:row>0</xdr:row>
      <xdr:rowOff>0</xdr:rowOff>
    </xdr:to>
    <xdr:sp macro="" textlink="">
      <xdr:nvSpPr>
        <xdr:cNvPr id="4372456" name="Line 78">
          <a:extLst>
            <a:ext uri="{FF2B5EF4-FFF2-40B4-BE49-F238E27FC236}">
              <a16:creationId xmlns="" xmlns:a16="http://schemas.microsoft.com/office/drawing/2014/main" id="{00000000-0008-0000-1300-0000E8B74200}"/>
            </a:ext>
          </a:extLst>
        </xdr:cNvPr>
        <xdr:cNvSpPr>
          <a:spLocks noChangeShapeType="1"/>
        </xdr:cNvSpPr>
      </xdr:nvSpPr>
      <xdr:spPr bwMode="auto">
        <a:xfrm>
          <a:off x="7172325" y="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2457" name="Rectangle 79">
          <a:extLst>
            <a:ext uri="{FF2B5EF4-FFF2-40B4-BE49-F238E27FC236}">
              <a16:creationId xmlns="" xmlns:a16="http://schemas.microsoft.com/office/drawing/2014/main" id="{00000000-0008-0000-1300-0000E9B74200}"/>
            </a:ext>
          </a:extLst>
        </xdr:cNvPr>
        <xdr:cNvSpPr>
          <a:spLocks noChangeArrowheads="1"/>
        </xdr:cNvSpPr>
      </xdr:nvSpPr>
      <xdr:spPr bwMode="auto">
        <a:xfrm>
          <a:off x="16573500" y="0"/>
          <a:ext cx="325755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72458" name="Line 80">
          <a:extLst>
            <a:ext uri="{FF2B5EF4-FFF2-40B4-BE49-F238E27FC236}">
              <a16:creationId xmlns="" xmlns:a16="http://schemas.microsoft.com/office/drawing/2014/main" id="{00000000-0008-0000-1300-0000EAB74200}"/>
            </a:ext>
          </a:extLst>
        </xdr:cNvPr>
        <xdr:cNvSpPr>
          <a:spLocks noChangeShapeType="1"/>
        </xdr:cNvSpPr>
      </xdr:nvSpPr>
      <xdr:spPr bwMode="auto">
        <a:xfrm flipV="1">
          <a:off x="16725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2459" name="Line 81">
          <a:extLst>
            <a:ext uri="{FF2B5EF4-FFF2-40B4-BE49-F238E27FC236}">
              <a16:creationId xmlns="" xmlns:a16="http://schemas.microsoft.com/office/drawing/2014/main" id="{00000000-0008-0000-1300-0000EBB7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72460" name="Line 82">
          <a:extLst>
            <a:ext uri="{FF2B5EF4-FFF2-40B4-BE49-F238E27FC236}">
              <a16:creationId xmlns="" xmlns:a16="http://schemas.microsoft.com/office/drawing/2014/main" id="{00000000-0008-0000-1300-0000ECB74200}"/>
            </a:ext>
          </a:extLst>
        </xdr:cNvPr>
        <xdr:cNvSpPr>
          <a:spLocks noChangeShapeType="1"/>
        </xdr:cNvSpPr>
      </xdr:nvSpPr>
      <xdr:spPr bwMode="auto">
        <a:xfrm flipV="1">
          <a:off x="16725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2461" name="Line 83">
          <a:extLst>
            <a:ext uri="{FF2B5EF4-FFF2-40B4-BE49-F238E27FC236}">
              <a16:creationId xmlns="" xmlns:a16="http://schemas.microsoft.com/office/drawing/2014/main" id="{00000000-0008-0000-1300-0000EDB7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19050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2462" name="Line 84">
          <a:extLst>
            <a:ext uri="{FF2B5EF4-FFF2-40B4-BE49-F238E27FC236}">
              <a16:creationId xmlns="" xmlns:a16="http://schemas.microsoft.com/office/drawing/2014/main" id="{00000000-0008-0000-1300-0000EEB74200}"/>
            </a:ext>
          </a:extLst>
        </xdr:cNvPr>
        <xdr:cNvSpPr>
          <a:spLocks noChangeShapeType="1"/>
        </xdr:cNvSpPr>
      </xdr:nvSpPr>
      <xdr:spPr bwMode="auto">
        <a:xfrm>
          <a:off x="16744950" y="0"/>
          <a:ext cx="3086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609600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2463" name="Line 85">
          <a:extLst>
            <a:ext uri="{FF2B5EF4-FFF2-40B4-BE49-F238E27FC236}">
              <a16:creationId xmlns="" xmlns:a16="http://schemas.microsoft.com/office/drawing/2014/main" id="{00000000-0008-0000-1300-0000EFB74200}"/>
            </a:ext>
          </a:extLst>
        </xdr:cNvPr>
        <xdr:cNvSpPr>
          <a:spLocks noChangeShapeType="1"/>
        </xdr:cNvSpPr>
      </xdr:nvSpPr>
      <xdr:spPr bwMode="auto">
        <a:xfrm>
          <a:off x="16592550" y="0"/>
          <a:ext cx="3238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628650</xdr:colOff>
      <xdr:row>0</xdr:row>
      <xdr:rowOff>0</xdr:rowOff>
    </xdr:from>
    <xdr:to>
      <xdr:col>17</xdr:col>
      <xdr:colOff>628650</xdr:colOff>
      <xdr:row>0</xdr:row>
      <xdr:rowOff>0</xdr:rowOff>
    </xdr:to>
    <xdr:sp macro="" textlink="">
      <xdr:nvSpPr>
        <xdr:cNvPr id="4372464" name="Line 86">
          <a:extLst>
            <a:ext uri="{FF2B5EF4-FFF2-40B4-BE49-F238E27FC236}">
              <a16:creationId xmlns="" xmlns:a16="http://schemas.microsoft.com/office/drawing/2014/main" id="{00000000-0008-0000-1300-0000F0B74200}"/>
            </a:ext>
          </a:extLst>
        </xdr:cNvPr>
        <xdr:cNvSpPr>
          <a:spLocks noChangeShapeType="1"/>
        </xdr:cNvSpPr>
      </xdr:nvSpPr>
      <xdr:spPr bwMode="auto">
        <a:xfrm flipV="1">
          <a:off x="16611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2465" name="Line 87">
          <a:extLst>
            <a:ext uri="{FF2B5EF4-FFF2-40B4-BE49-F238E27FC236}">
              <a16:creationId xmlns="" xmlns:a16="http://schemas.microsoft.com/office/drawing/2014/main" id="{00000000-0008-0000-1300-0000F1B7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38100</xdr:colOff>
      <xdr:row>0</xdr:row>
      <xdr:rowOff>0</xdr:rowOff>
    </xdr:to>
    <xdr:sp macro="" textlink="">
      <xdr:nvSpPr>
        <xdr:cNvPr id="4372466" name="Rectangle 88">
          <a:extLst>
            <a:ext uri="{FF2B5EF4-FFF2-40B4-BE49-F238E27FC236}">
              <a16:creationId xmlns="" xmlns:a16="http://schemas.microsoft.com/office/drawing/2014/main" id="{00000000-0008-0000-1300-0000F2B74200}"/>
            </a:ext>
          </a:extLst>
        </xdr:cNvPr>
        <xdr:cNvSpPr>
          <a:spLocks noChangeArrowheads="1"/>
        </xdr:cNvSpPr>
      </xdr:nvSpPr>
      <xdr:spPr bwMode="auto">
        <a:xfrm>
          <a:off x="19831050" y="0"/>
          <a:ext cx="38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2467" name="Line 89">
          <a:extLst>
            <a:ext uri="{FF2B5EF4-FFF2-40B4-BE49-F238E27FC236}">
              <a16:creationId xmlns="" xmlns:a16="http://schemas.microsoft.com/office/drawing/2014/main" id="{00000000-0008-0000-1300-0000F3B7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2468" name="Line 90">
          <a:extLst>
            <a:ext uri="{FF2B5EF4-FFF2-40B4-BE49-F238E27FC236}">
              <a16:creationId xmlns="" xmlns:a16="http://schemas.microsoft.com/office/drawing/2014/main" id="{00000000-0008-0000-1300-0000F4B74200}"/>
            </a:ext>
          </a:extLst>
        </xdr:cNvPr>
        <xdr:cNvSpPr>
          <a:spLocks noChangeShapeType="1"/>
        </xdr:cNvSpPr>
      </xdr:nvSpPr>
      <xdr:spPr bwMode="auto">
        <a:xfrm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22</xdr:col>
      <xdr:colOff>19050</xdr:colOff>
      <xdr:row>0</xdr:row>
      <xdr:rowOff>0</xdr:rowOff>
    </xdr:from>
    <xdr:to>
      <xdr:col>22</xdr:col>
      <xdr:colOff>19050</xdr:colOff>
      <xdr:row>0</xdr:row>
      <xdr:rowOff>0</xdr:rowOff>
    </xdr:to>
    <xdr:sp macro="" textlink="">
      <xdr:nvSpPr>
        <xdr:cNvPr id="4372469" name="Line 91">
          <a:extLst>
            <a:ext uri="{FF2B5EF4-FFF2-40B4-BE49-F238E27FC236}">
              <a16:creationId xmlns="" xmlns:a16="http://schemas.microsoft.com/office/drawing/2014/main" id="{00000000-0008-0000-1300-0000F5B74200}"/>
            </a:ext>
          </a:extLst>
        </xdr:cNvPr>
        <xdr:cNvSpPr>
          <a:spLocks noChangeShapeType="1"/>
        </xdr:cNvSpPr>
      </xdr:nvSpPr>
      <xdr:spPr bwMode="auto">
        <a:xfrm>
          <a:off x="198501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400050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72470" name="Line 92">
          <a:extLst>
            <a:ext uri="{FF2B5EF4-FFF2-40B4-BE49-F238E27FC236}">
              <a16:creationId xmlns="" xmlns:a16="http://schemas.microsoft.com/office/drawing/2014/main" id="{00000000-0008-0000-1300-0000F6B74200}"/>
            </a:ext>
          </a:extLst>
        </xdr:cNvPr>
        <xdr:cNvSpPr>
          <a:spLocks noChangeShapeType="1"/>
        </xdr:cNvSpPr>
      </xdr:nvSpPr>
      <xdr:spPr bwMode="auto">
        <a:xfrm flipH="1" flipV="1">
          <a:off x="13725525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14</xdr:col>
      <xdr:colOff>781050</xdr:colOff>
      <xdr:row>0</xdr:row>
      <xdr:rowOff>0</xdr:rowOff>
    </xdr:to>
    <xdr:sp macro="" textlink="">
      <xdr:nvSpPr>
        <xdr:cNvPr id="4372471" name="Line 93">
          <a:extLst>
            <a:ext uri="{FF2B5EF4-FFF2-40B4-BE49-F238E27FC236}">
              <a16:creationId xmlns="" xmlns:a16="http://schemas.microsoft.com/office/drawing/2014/main" id="{00000000-0008-0000-1300-0000F7B74200}"/>
            </a:ext>
          </a:extLst>
        </xdr:cNvPr>
        <xdr:cNvSpPr>
          <a:spLocks noChangeShapeType="1"/>
        </xdr:cNvSpPr>
      </xdr:nvSpPr>
      <xdr:spPr bwMode="auto">
        <a:xfrm flipH="1">
          <a:off x="9867900" y="0"/>
          <a:ext cx="4238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4</xdr:col>
      <xdr:colOff>704850</xdr:colOff>
      <xdr:row>0</xdr:row>
      <xdr:rowOff>0</xdr:rowOff>
    </xdr:to>
    <xdr:sp macro="" textlink="">
      <xdr:nvSpPr>
        <xdr:cNvPr id="4372472" name="Line 94">
          <a:extLst>
            <a:ext uri="{FF2B5EF4-FFF2-40B4-BE49-F238E27FC236}">
              <a16:creationId xmlns="" xmlns:a16="http://schemas.microsoft.com/office/drawing/2014/main" id="{00000000-0008-0000-1300-0000F8B7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3571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72473" name="Line 95">
          <a:extLst>
            <a:ext uri="{FF2B5EF4-FFF2-40B4-BE49-F238E27FC236}">
              <a16:creationId xmlns="" xmlns:a16="http://schemas.microsoft.com/office/drawing/2014/main" id="{00000000-0008-0000-1300-0000F9B74200}"/>
            </a:ext>
          </a:extLst>
        </xdr:cNvPr>
        <xdr:cNvSpPr>
          <a:spLocks noChangeShapeType="1"/>
        </xdr:cNvSpPr>
      </xdr:nvSpPr>
      <xdr:spPr bwMode="auto">
        <a:xfrm>
          <a:off x="116681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247650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72474" name="Line 96">
          <a:extLst>
            <a:ext uri="{FF2B5EF4-FFF2-40B4-BE49-F238E27FC236}">
              <a16:creationId xmlns="" xmlns:a16="http://schemas.microsoft.com/office/drawing/2014/main" id="{00000000-0008-0000-1300-0000FAB7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1047750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72475" name="Line 97">
          <a:extLst>
            <a:ext uri="{FF2B5EF4-FFF2-40B4-BE49-F238E27FC236}">
              <a16:creationId xmlns="" xmlns:a16="http://schemas.microsoft.com/office/drawing/2014/main" id="{00000000-0008-0000-1300-0000FBB7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571500</xdr:colOff>
      <xdr:row>0</xdr:row>
      <xdr:rowOff>0</xdr:rowOff>
    </xdr:from>
    <xdr:to>
      <xdr:col>13</xdr:col>
      <xdr:colOff>571500</xdr:colOff>
      <xdr:row>0</xdr:row>
      <xdr:rowOff>0</xdr:rowOff>
    </xdr:to>
    <xdr:sp macro="" textlink="">
      <xdr:nvSpPr>
        <xdr:cNvPr id="4372476" name="Line 98">
          <a:extLst>
            <a:ext uri="{FF2B5EF4-FFF2-40B4-BE49-F238E27FC236}">
              <a16:creationId xmlns="" xmlns:a16="http://schemas.microsoft.com/office/drawing/2014/main" id="{00000000-0008-0000-1300-0000FCB74200}"/>
            </a:ext>
          </a:extLst>
        </xdr:cNvPr>
        <xdr:cNvSpPr>
          <a:spLocks noChangeShapeType="1"/>
        </xdr:cNvSpPr>
      </xdr:nvSpPr>
      <xdr:spPr bwMode="auto">
        <a:xfrm>
          <a:off x="12706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14</xdr:col>
      <xdr:colOff>457200</xdr:colOff>
      <xdr:row>0</xdr:row>
      <xdr:rowOff>0</xdr:rowOff>
    </xdr:to>
    <xdr:sp macro="" textlink="">
      <xdr:nvSpPr>
        <xdr:cNvPr id="4372477" name="Line 99">
          <a:extLst>
            <a:ext uri="{FF2B5EF4-FFF2-40B4-BE49-F238E27FC236}">
              <a16:creationId xmlns="" xmlns:a16="http://schemas.microsoft.com/office/drawing/2014/main" id="{00000000-0008-0000-1300-0000FDB74200}"/>
            </a:ext>
          </a:extLst>
        </xdr:cNvPr>
        <xdr:cNvSpPr>
          <a:spLocks noChangeShapeType="1"/>
        </xdr:cNvSpPr>
      </xdr:nvSpPr>
      <xdr:spPr bwMode="auto">
        <a:xfrm>
          <a:off x="137826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323850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72478" name="Line 100">
          <a:extLst>
            <a:ext uri="{FF2B5EF4-FFF2-40B4-BE49-F238E27FC236}">
              <a16:creationId xmlns="" xmlns:a16="http://schemas.microsoft.com/office/drawing/2014/main" id="{00000000-0008-0000-1300-0000FEB74200}"/>
            </a:ext>
          </a:extLst>
        </xdr:cNvPr>
        <xdr:cNvSpPr>
          <a:spLocks noChangeShapeType="1"/>
        </xdr:cNvSpPr>
      </xdr:nvSpPr>
      <xdr:spPr bwMode="auto">
        <a:xfrm flipH="1">
          <a:off x="9572625" y="0"/>
          <a:ext cx="2095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15</xdr:col>
      <xdr:colOff>161925</xdr:colOff>
      <xdr:row>0</xdr:row>
      <xdr:rowOff>0</xdr:rowOff>
    </xdr:to>
    <xdr:sp macro="" textlink="">
      <xdr:nvSpPr>
        <xdr:cNvPr id="4372479" name="Line 101">
          <a:extLst>
            <a:ext uri="{FF2B5EF4-FFF2-40B4-BE49-F238E27FC236}">
              <a16:creationId xmlns="" xmlns:a16="http://schemas.microsoft.com/office/drawing/2014/main" id="{00000000-0008-0000-1300-0000FFB74200}"/>
            </a:ext>
          </a:extLst>
        </xdr:cNvPr>
        <xdr:cNvSpPr>
          <a:spLocks noChangeShapeType="1"/>
        </xdr:cNvSpPr>
      </xdr:nvSpPr>
      <xdr:spPr bwMode="auto">
        <a:xfrm>
          <a:off x="13782675" y="0"/>
          <a:ext cx="628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400128" name="Line 102">
          <a:extLst>
            <a:ext uri="{FF2B5EF4-FFF2-40B4-BE49-F238E27FC236}">
              <a16:creationId xmlns="" xmlns:a16="http://schemas.microsoft.com/office/drawing/2014/main" id="{00000000-0008-0000-1300-000000244300}"/>
            </a:ext>
          </a:extLst>
        </xdr:cNvPr>
        <xdr:cNvSpPr>
          <a:spLocks noChangeShapeType="1"/>
        </xdr:cNvSpPr>
      </xdr:nvSpPr>
      <xdr:spPr bwMode="auto">
        <a:xfrm flipV="1">
          <a:off x="12744450" y="0"/>
          <a:ext cx="165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1066800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400129" name="Line 103">
          <a:extLst>
            <a:ext uri="{FF2B5EF4-FFF2-40B4-BE49-F238E27FC236}">
              <a16:creationId xmlns="" xmlns:a16="http://schemas.microsoft.com/office/drawing/2014/main" id="{00000000-0008-0000-1300-00000124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266700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400130" name="Line 104">
          <a:extLst>
            <a:ext uri="{FF2B5EF4-FFF2-40B4-BE49-F238E27FC236}">
              <a16:creationId xmlns="" xmlns:a16="http://schemas.microsoft.com/office/drawing/2014/main" id="{00000000-0008-0000-1300-00000224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400131" name="Line 105">
          <a:extLst>
            <a:ext uri="{FF2B5EF4-FFF2-40B4-BE49-F238E27FC236}">
              <a16:creationId xmlns="" xmlns:a16="http://schemas.microsoft.com/office/drawing/2014/main" id="{00000000-0008-0000-1300-000003244300}"/>
            </a:ext>
          </a:extLst>
        </xdr:cNvPr>
        <xdr:cNvSpPr>
          <a:spLocks noChangeShapeType="1"/>
        </xdr:cNvSpPr>
      </xdr:nvSpPr>
      <xdr:spPr bwMode="auto">
        <a:xfrm>
          <a:off x="1166812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495300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400132" name="Line 106">
          <a:extLst>
            <a:ext uri="{FF2B5EF4-FFF2-40B4-BE49-F238E27FC236}">
              <a16:creationId xmlns="" xmlns:a16="http://schemas.microsoft.com/office/drawing/2014/main" id="{00000000-0008-0000-1300-000004244300}"/>
            </a:ext>
          </a:extLst>
        </xdr:cNvPr>
        <xdr:cNvSpPr>
          <a:spLocks noChangeShapeType="1"/>
        </xdr:cNvSpPr>
      </xdr:nvSpPr>
      <xdr:spPr bwMode="auto">
        <a:xfrm flipH="1">
          <a:off x="9744075" y="0"/>
          <a:ext cx="2390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1028700</xdr:colOff>
      <xdr:row>0</xdr:row>
      <xdr:rowOff>0</xdr:rowOff>
    </xdr:to>
    <xdr:sp macro="" textlink="">
      <xdr:nvSpPr>
        <xdr:cNvPr id="4400133" name="Line 107">
          <a:extLst>
            <a:ext uri="{FF2B5EF4-FFF2-40B4-BE49-F238E27FC236}">
              <a16:creationId xmlns="" xmlns:a16="http://schemas.microsoft.com/office/drawing/2014/main" id="{00000000-0008-0000-1300-000005244300}"/>
            </a:ext>
          </a:extLst>
        </xdr:cNvPr>
        <xdr:cNvSpPr>
          <a:spLocks noChangeShapeType="1"/>
        </xdr:cNvSpPr>
      </xdr:nvSpPr>
      <xdr:spPr bwMode="auto">
        <a:xfrm flipH="1">
          <a:off x="9839325" y="0"/>
          <a:ext cx="2295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171450</xdr:colOff>
      <xdr:row>0</xdr:row>
      <xdr:rowOff>0</xdr:rowOff>
    </xdr:from>
    <xdr:to>
      <xdr:col>13</xdr:col>
      <xdr:colOff>552450</xdr:colOff>
      <xdr:row>0</xdr:row>
      <xdr:rowOff>0</xdr:rowOff>
    </xdr:to>
    <xdr:sp macro="" textlink="">
      <xdr:nvSpPr>
        <xdr:cNvPr id="4400134" name="Line 108">
          <a:extLst>
            <a:ext uri="{FF2B5EF4-FFF2-40B4-BE49-F238E27FC236}">
              <a16:creationId xmlns="" xmlns:a16="http://schemas.microsoft.com/office/drawing/2014/main" id="{00000000-0008-0000-1300-000006244300}"/>
            </a:ext>
          </a:extLst>
        </xdr:cNvPr>
        <xdr:cNvSpPr>
          <a:spLocks noChangeShapeType="1"/>
        </xdr:cNvSpPr>
      </xdr:nvSpPr>
      <xdr:spPr bwMode="auto">
        <a:xfrm flipH="1">
          <a:off x="11087100" y="0"/>
          <a:ext cx="1600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457200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400135" name="Line 109">
          <a:extLst>
            <a:ext uri="{FF2B5EF4-FFF2-40B4-BE49-F238E27FC236}">
              <a16:creationId xmlns="" xmlns:a16="http://schemas.microsoft.com/office/drawing/2014/main" id="{00000000-0008-0000-1300-000007244300}"/>
            </a:ext>
          </a:extLst>
        </xdr:cNvPr>
        <xdr:cNvSpPr>
          <a:spLocks noChangeShapeType="1"/>
        </xdr:cNvSpPr>
      </xdr:nvSpPr>
      <xdr:spPr bwMode="auto">
        <a:xfrm flipH="1">
          <a:off x="11372850" y="0"/>
          <a:ext cx="2371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1104900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400136" name="Line 110">
          <a:extLst>
            <a:ext uri="{FF2B5EF4-FFF2-40B4-BE49-F238E27FC236}">
              <a16:creationId xmlns="" xmlns:a16="http://schemas.microsoft.com/office/drawing/2014/main" id="{00000000-0008-0000-1300-000008244300}"/>
            </a:ext>
          </a:extLst>
        </xdr:cNvPr>
        <xdr:cNvSpPr>
          <a:spLocks noChangeShapeType="1"/>
        </xdr:cNvSpPr>
      </xdr:nvSpPr>
      <xdr:spPr bwMode="auto">
        <a:xfrm>
          <a:off x="1157287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1085850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400137" name="Line 111">
          <a:extLst>
            <a:ext uri="{FF2B5EF4-FFF2-40B4-BE49-F238E27FC236}">
              <a16:creationId xmlns="" xmlns:a16="http://schemas.microsoft.com/office/drawing/2014/main" id="{00000000-0008-0000-1300-000009244300}"/>
            </a:ext>
          </a:extLst>
        </xdr:cNvPr>
        <xdr:cNvSpPr>
          <a:spLocks noChangeShapeType="1"/>
        </xdr:cNvSpPr>
      </xdr:nvSpPr>
      <xdr:spPr bwMode="auto">
        <a:xfrm>
          <a:off x="1157287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123825</xdr:colOff>
      <xdr:row>0</xdr:row>
      <xdr:rowOff>0</xdr:rowOff>
    </xdr:from>
    <xdr:to>
      <xdr:col>21</xdr:col>
      <xdr:colOff>438150</xdr:colOff>
      <xdr:row>0</xdr:row>
      <xdr:rowOff>0</xdr:rowOff>
    </xdr:to>
    <xdr:sp macro="" textlink="">
      <xdr:nvSpPr>
        <xdr:cNvPr id="113" name="Text Box 112">
          <a:extLst>
            <a:ext uri="{FF2B5EF4-FFF2-40B4-BE49-F238E27FC236}">
              <a16:creationId xmlns="" xmlns:a16="http://schemas.microsoft.com/office/drawing/2014/main" id="{00000000-0008-0000-1300-000071000000}"/>
            </a:ext>
          </a:extLst>
        </xdr:cNvPr>
        <xdr:cNvSpPr txBox="1">
          <a:spLocks noChangeArrowheads="1"/>
        </xdr:cNvSpPr>
      </xdr:nvSpPr>
      <xdr:spPr bwMode="auto">
        <a:xfrm>
          <a:off x="19516725" y="0"/>
          <a:ext cx="3143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1°</a:t>
          </a:r>
        </a:p>
      </xdr:txBody>
    </xdr:sp>
    <xdr:clientData/>
  </xdr:twoCellAnchor>
  <xdr:twoCellAnchor>
    <xdr:from>
      <xdr:col>19</xdr:col>
      <xdr:colOff>1285875</xdr:colOff>
      <xdr:row>0</xdr:row>
      <xdr:rowOff>0</xdr:rowOff>
    </xdr:from>
    <xdr:to>
      <xdr:col>21</xdr:col>
      <xdr:colOff>333375</xdr:colOff>
      <xdr:row>0</xdr:row>
      <xdr:rowOff>0</xdr:rowOff>
    </xdr:to>
    <xdr:sp macro="" textlink="">
      <xdr:nvSpPr>
        <xdr:cNvPr id="114" name="Text Box 113">
          <a:extLst>
            <a:ext uri="{FF2B5EF4-FFF2-40B4-BE49-F238E27FC236}">
              <a16:creationId xmlns="" xmlns:a16="http://schemas.microsoft.com/office/drawing/2014/main" id="{00000000-0008-0000-1300-000072000000}"/>
            </a:ext>
          </a:extLst>
        </xdr:cNvPr>
        <xdr:cNvSpPr txBox="1">
          <a:spLocks noChangeArrowheads="1"/>
        </xdr:cNvSpPr>
      </xdr:nvSpPr>
      <xdr:spPr bwMode="auto">
        <a:xfrm>
          <a:off x="18630900" y="0"/>
          <a:ext cx="10953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3°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5" name="Text Box 114">
          <a:extLst>
            <a:ext uri="{FF2B5EF4-FFF2-40B4-BE49-F238E27FC236}">
              <a16:creationId xmlns="" xmlns:a16="http://schemas.microsoft.com/office/drawing/2014/main" id="{00000000-0008-0000-1300-000073000000}"/>
            </a:ext>
          </a:extLst>
        </xdr:cNvPr>
        <xdr:cNvSpPr txBox="1">
          <a:spLocks noChangeArrowheads="1"/>
        </xdr:cNvSpPr>
      </xdr:nvSpPr>
      <xdr:spPr bwMode="auto">
        <a:xfrm>
          <a:off x="19945350" y="0"/>
          <a:ext cx="5715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21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6" name="Text Box 115">
          <a:extLst>
            <a:ext uri="{FF2B5EF4-FFF2-40B4-BE49-F238E27FC236}">
              <a16:creationId xmlns="" xmlns:a16="http://schemas.microsoft.com/office/drawing/2014/main" id="{00000000-0008-0000-1300-000074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257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19</xdr:col>
      <xdr:colOff>819150</xdr:colOff>
      <xdr:row>0</xdr:row>
      <xdr:rowOff>0</xdr:rowOff>
    </xdr:from>
    <xdr:to>
      <xdr:col>19</xdr:col>
      <xdr:colOff>1000125</xdr:colOff>
      <xdr:row>0</xdr:row>
      <xdr:rowOff>0</xdr:rowOff>
    </xdr:to>
    <xdr:sp macro="" textlink="">
      <xdr:nvSpPr>
        <xdr:cNvPr id="117" name="Text Box 116">
          <a:extLst>
            <a:ext uri="{FF2B5EF4-FFF2-40B4-BE49-F238E27FC236}">
              <a16:creationId xmlns="" xmlns:a16="http://schemas.microsoft.com/office/drawing/2014/main" id="{00000000-0008-0000-1300-000075000000}"/>
            </a:ext>
          </a:extLst>
        </xdr:cNvPr>
        <xdr:cNvSpPr txBox="1">
          <a:spLocks noChangeArrowheads="1"/>
        </xdr:cNvSpPr>
      </xdr:nvSpPr>
      <xdr:spPr bwMode="auto">
        <a:xfrm>
          <a:off x="18183225" y="0"/>
          <a:ext cx="1809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5°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8" name="Text Box 117">
          <a:extLst>
            <a:ext uri="{FF2B5EF4-FFF2-40B4-BE49-F238E27FC236}">
              <a16:creationId xmlns="" xmlns:a16="http://schemas.microsoft.com/office/drawing/2014/main" id="{00000000-0008-0000-1300-000076000000}"/>
            </a:ext>
          </a:extLst>
        </xdr:cNvPr>
        <xdr:cNvSpPr txBox="1">
          <a:spLocks noChangeArrowheads="1"/>
        </xdr:cNvSpPr>
      </xdr:nvSpPr>
      <xdr:spPr bwMode="auto">
        <a:xfrm>
          <a:off x="20440650" y="0"/>
          <a:ext cx="5334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6°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1" i="0" strike="noStrike">
              <a:solidFill>
                <a:srgbClr val="000000"/>
              </a:solidFill>
              <a:latin typeface="Times New Roman"/>
              <a:cs typeface="Times New Roman"/>
            </a:rPr>
            <a:t>6</a:t>
          </a:r>
        </a:p>
      </xdr:txBody>
    </xdr:sp>
    <xdr:clientData/>
  </xdr:twoCellAnchor>
  <xdr:twoCellAnchor>
    <xdr:from>
      <xdr:col>14</xdr:col>
      <xdr:colOff>266700</xdr:colOff>
      <xdr:row>15</xdr:row>
      <xdr:rowOff>38100</xdr:rowOff>
    </xdr:from>
    <xdr:to>
      <xdr:col>15</xdr:col>
      <xdr:colOff>352425</xdr:colOff>
      <xdr:row>16</xdr:row>
      <xdr:rowOff>161925</xdr:rowOff>
    </xdr:to>
    <xdr:sp macro="" textlink="">
      <xdr:nvSpPr>
        <xdr:cNvPr id="4400144" name="Text Box 118">
          <a:extLst>
            <a:ext uri="{FF2B5EF4-FFF2-40B4-BE49-F238E27FC236}">
              <a16:creationId xmlns="" xmlns:a16="http://schemas.microsoft.com/office/drawing/2014/main" id="{00000000-0008-0000-1300-000010244300}"/>
            </a:ext>
          </a:extLst>
        </xdr:cNvPr>
        <xdr:cNvSpPr txBox="1">
          <a:spLocks noChangeArrowheads="1"/>
        </xdr:cNvSpPr>
      </xdr:nvSpPr>
      <xdr:spPr bwMode="auto">
        <a:xfrm>
          <a:off x="13592175" y="5600700"/>
          <a:ext cx="1009650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19</xdr:col>
      <xdr:colOff>990600</xdr:colOff>
      <xdr:row>37</xdr:row>
      <xdr:rowOff>0</xdr:rowOff>
    </xdr:from>
    <xdr:to>
      <xdr:col>19</xdr:col>
      <xdr:colOff>990600</xdr:colOff>
      <xdr:row>37</xdr:row>
      <xdr:rowOff>0</xdr:rowOff>
    </xdr:to>
    <xdr:sp macro="" textlink="">
      <xdr:nvSpPr>
        <xdr:cNvPr id="4400145" name="Line 119">
          <a:extLst>
            <a:ext uri="{FF2B5EF4-FFF2-40B4-BE49-F238E27FC236}">
              <a16:creationId xmlns="" xmlns:a16="http://schemas.microsoft.com/office/drawing/2014/main" id="{00000000-0008-0000-1300-000011244300}"/>
            </a:ext>
          </a:extLst>
        </xdr:cNvPr>
        <xdr:cNvSpPr>
          <a:spLocks noChangeShapeType="1"/>
        </xdr:cNvSpPr>
      </xdr:nvSpPr>
      <xdr:spPr bwMode="auto">
        <a:xfrm>
          <a:off x="18354675" y="133254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oneCell">
    <xdr:from>
      <xdr:col>2</xdr:col>
      <xdr:colOff>190500</xdr:colOff>
      <xdr:row>15</xdr:row>
      <xdr:rowOff>142875</xdr:rowOff>
    </xdr:from>
    <xdr:to>
      <xdr:col>4</xdr:col>
      <xdr:colOff>161925</xdr:colOff>
      <xdr:row>19</xdr:row>
      <xdr:rowOff>66675</xdr:rowOff>
    </xdr:to>
    <xdr:grpSp>
      <xdr:nvGrpSpPr>
        <xdr:cNvPr id="4400146" name="Group 120">
          <a:extLst>
            <a:ext uri="{FF2B5EF4-FFF2-40B4-BE49-F238E27FC236}">
              <a16:creationId xmlns="" xmlns:a16="http://schemas.microsoft.com/office/drawing/2014/main" id="{00000000-0008-0000-1300-000012244300}"/>
            </a:ext>
          </a:extLst>
        </xdr:cNvPr>
        <xdr:cNvGrpSpPr>
          <a:grpSpLocks/>
        </xdr:cNvGrpSpPr>
      </xdr:nvGrpSpPr>
      <xdr:grpSpPr bwMode="auto">
        <a:xfrm>
          <a:off x="2819400" y="5819775"/>
          <a:ext cx="3000375" cy="1333500"/>
          <a:chOff x="358" y="540"/>
          <a:chExt cx="293" cy="139"/>
        </a:xfrm>
      </xdr:grpSpPr>
      <xdr:sp macro="" textlink="">
        <xdr:nvSpPr>
          <xdr:cNvPr id="4400183" name="Line 121">
            <a:extLst>
              <a:ext uri="{FF2B5EF4-FFF2-40B4-BE49-F238E27FC236}">
                <a16:creationId xmlns="" xmlns:a16="http://schemas.microsoft.com/office/drawing/2014/main" id="{00000000-0008-0000-1300-0000372443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400184" name="Group 122">
            <a:extLst>
              <a:ext uri="{FF2B5EF4-FFF2-40B4-BE49-F238E27FC236}">
                <a16:creationId xmlns="" xmlns:a16="http://schemas.microsoft.com/office/drawing/2014/main" id="{00000000-0008-0000-1300-0000382443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400240" name="Line 123">
              <a:extLst>
                <a:ext uri="{FF2B5EF4-FFF2-40B4-BE49-F238E27FC236}">
                  <a16:creationId xmlns="" xmlns:a16="http://schemas.microsoft.com/office/drawing/2014/main" id="{00000000-0008-0000-1300-0000702443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400241" name="Line 124">
              <a:extLst>
                <a:ext uri="{FF2B5EF4-FFF2-40B4-BE49-F238E27FC236}">
                  <a16:creationId xmlns="" xmlns:a16="http://schemas.microsoft.com/office/drawing/2014/main" id="{00000000-0008-0000-1300-0000712443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400185" name="Line 125">
            <a:extLst>
              <a:ext uri="{FF2B5EF4-FFF2-40B4-BE49-F238E27FC236}">
                <a16:creationId xmlns="" xmlns:a16="http://schemas.microsoft.com/office/drawing/2014/main" id="{00000000-0008-0000-1300-00003924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00186" name="Line 126">
            <a:extLst>
              <a:ext uri="{FF2B5EF4-FFF2-40B4-BE49-F238E27FC236}">
                <a16:creationId xmlns="" xmlns:a16="http://schemas.microsoft.com/office/drawing/2014/main" id="{00000000-0008-0000-1300-00003A24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0187" name="Line 127">
            <a:extLst>
              <a:ext uri="{FF2B5EF4-FFF2-40B4-BE49-F238E27FC236}">
                <a16:creationId xmlns="" xmlns:a16="http://schemas.microsoft.com/office/drawing/2014/main" id="{00000000-0008-0000-1300-00003B24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0188" name="Line 128">
            <a:extLst>
              <a:ext uri="{FF2B5EF4-FFF2-40B4-BE49-F238E27FC236}">
                <a16:creationId xmlns="" xmlns:a16="http://schemas.microsoft.com/office/drawing/2014/main" id="{00000000-0008-0000-1300-00003C2443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400189" name="Line 129">
            <a:extLst>
              <a:ext uri="{FF2B5EF4-FFF2-40B4-BE49-F238E27FC236}">
                <a16:creationId xmlns="" xmlns:a16="http://schemas.microsoft.com/office/drawing/2014/main" id="{00000000-0008-0000-1300-00003D2443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400190" name="Group 130">
            <a:extLst>
              <a:ext uri="{FF2B5EF4-FFF2-40B4-BE49-F238E27FC236}">
                <a16:creationId xmlns="" xmlns:a16="http://schemas.microsoft.com/office/drawing/2014/main" id="{00000000-0008-0000-1300-00003E2443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400234" name="Line 131">
              <a:extLst>
                <a:ext uri="{FF2B5EF4-FFF2-40B4-BE49-F238E27FC236}">
                  <a16:creationId xmlns="" xmlns:a16="http://schemas.microsoft.com/office/drawing/2014/main" id="{00000000-0008-0000-1300-00006A2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400235" name="Group 132">
              <a:extLst>
                <a:ext uri="{FF2B5EF4-FFF2-40B4-BE49-F238E27FC236}">
                  <a16:creationId xmlns="" xmlns:a16="http://schemas.microsoft.com/office/drawing/2014/main" id="{00000000-0008-0000-1300-00006B24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400236" name="Line 133">
                <a:extLst>
                  <a:ext uri="{FF2B5EF4-FFF2-40B4-BE49-F238E27FC236}">
                    <a16:creationId xmlns="" xmlns:a16="http://schemas.microsoft.com/office/drawing/2014/main" id="{00000000-0008-0000-1300-00006C24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400237" name="Group 134">
                <a:extLst>
                  <a:ext uri="{FF2B5EF4-FFF2-40B4-BE49-F238E27FC236}">
                    <a16:creationId xmlns="" xmlns:a16="http://schemas.microsoft.com/office/drawing/2014/main" id="{00000000-0008-0000-1300-00006D24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400238" name="Line 135">
                  <a:extLst>
                    <a:ext uri="{FF2B5EF4-FFF2-40B4-BE49-F238E27FC236}">
                      <a16:creationId xmlns="" xmlns:a16="http://schemas.microsoft.com/office/drawing/2014/main" id="{00000000-0008-0000-1300-00006E2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400239" name="Line 136">
                  <a:extLst>
                    <a:ext uri="{FF2B5EF4-FFF2-40B4-BE49-F238E27FC236}">
                      <a16:creationId xmlns="" xmlns:a16="http://schemas.microsoft.com/office/drawing/2014/main" id="{00000000-0008-0000-1300-00006F2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400191" name="Group 137">
            <a:extLst>
              <a:ext uri="{FF2B5EF4-FFF2-40B4-BE49-F238E27FC236}">
                <a16:creationId xmlns="" xmlns:a16="http://schemas.microsoft.com/office/drawing/2014/main" id="{00000000-0008-0000-1300-00003F2443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400228" name="Line 138">
              <a:extLst>
                <a:ext uri="{FF2B5EF4-FFF2-40B4-BE49-F238E27FC236}">
                  <a16:creationId xmlns="" xmlns:a16="http://schemas.microsoft.com/office/drawing/2014/main" id="{00000000-0008-0000-1300-0000642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400229" name="Group 139">
              <a:extLst>
                <a:ext uri="{FF2B5EF4-FFF2-40B4-BE49-F238E27FC236}">
                  <a16:creationId xmlns="" xmlns:a16="http://schemas.microsoft.com/office/drawing/2014/main" id="{00000000-0008-0000-1300-00006524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400230" name="Line 140">
                <a:extLst>
                  <a:ext uri="{FF2B5EF4-FFF2-40B4-BE49-F238E27FC236}">
                    <a16:creationId xmlns="" xmlns:a16="http://schemas.microsoft.com/office/drawing/2014/main" id="{00000000-0008-0000-1300-00006624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400231" name="Group 141">
                <a:extLst>
                  <a:ext uri="{FF2B5EF4-FFF2-40B4-BE49-F238E27FC236}">
                    <a16:creationId xmlns="" xmlns:a16="http://schemas.microsoft.com/office/drawing/2014/main" id="{00000000-0008-0000-1300-00006724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400232" name="Line 142">
                  <a:extLst>
                    <a:ext uri="{FF2B5EF4-FFF2-40B4-BE49-F238E27FC236}">
                      <a16:creationId xmlns="" xmlns:a16="http://schemas.microsoft.com/office/drawing/2014/main" id="{00000000-0008-0000-1300-0000682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400233" name="Line 143">
                  <a:extLst>
                    <a:ext uri="{FF2B5EF4-FFF2-40B4-BE49-F238E27FC236}">
                      <a16:creationId xmlns="" xmlns:a16="http://schemas.microsoft.com/office/drawing/2014/main" id="{00000000-0008-0000-1300-0000692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400192" name="Group 144">
            <a:extLst>
              <a:ext uri="{FF2B5EF4-FFF2-40B4-BE49-F238E27FC236}">
                <a16:creationId xmlns="" xmlns:a16="http://schemas.microsoft.com/office/drawing/2014/main" id="{00000000-0008-0000-1300-0000402443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400222" name="Line 145">
              <a:extLst>
                <a:ext uri="{FF2B5EF4-FFF2-40B4-BE49-F238E27FC236}">
                  <a16:creationId xmlns="" xmlns:a16="http://schemas.microsoft.com/office/drawing/2014/main" id="{00000000-0008-0000-1300-00005E2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400223" name="Group 146">
              <a:extLst>
                <a:ext uri="{FF2B5EF4-FFF2-40B4-BE49-F238E27FC236}">
                  <a16:creationId xmlns="" xmlns:a16="http://schemas.microsoft.com/office/drawing/2014/main" id="{00000000-0008-0000-1300-00005F24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400224" name="Line 147">
                <a:extLst>
                  <a:ext uri="{FF2B5EF4-FFF2-40B4-BE49-F238E27FC236}">
                    <a16:creationId xmlns="" xmlns:a16="http://schemas.microsoft.com/office/drawing/2014/main" id="{00000000-0008-0000-1300-00006024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400225" name="Group 148">
                <a:extLst>
                  <a:ext uri="{FF2B5EF4-FFF2-40B4-BE49-F238E27FC236}">
                    <a16:creationId xmlns="" xmlns:a16="http://schemas.microsoft.com/office/drawing/2014/main" id="{00000000-0008-0000-1300-00006124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400226" name="Line 149">
                  <a:extLst>
                    <a:ext uri="{FF2B5EF4-FFF2-40B4-BE49-F238E27FC236}">
                      <a16:creationId xmlns="" xmlns:a16="http://schemas.microsoft.com/office/drawing/2014/main" id="{00000000-0008-0000-1300-0000622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400227" name="Line 150">
                  <a:extLst>
                    <a:ext uri="{FF2B5EF4-FFF2-40B4-BE49-F238E27FC236}">
                      <a16:creationId xmlns="" xmlns:a16="http://schemas.microsoft.com/office/drawing/2014/main" id="{00000000-0008-0000-1300-0000632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400193" name="Group 151">
            <a:extLst>
              <a:ext uri="{FF2B5EF4-FFF2-40B4-BE49-F238E27FC236}">
                <a16:creationId xmlns="" xmlns:a16="http://schemas.microsoft.com/office/drawing/2014/main" id="{00000000-0008-0000-1300-0000412443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400216" name="Line 152">
              <a:extLst>
                <a:ext uri="{FF2B5EF4-FFF2-40B4-BE49-F238E27FC236}">
                  <a16:creationId xmlns="" xmlns:a16="http://schemas.microsoft.com/office/drawing/2014/main" id="{00000000-0008-0000-1300-0000582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400217" name="Group 153">
              <a:extLst>
                <a:ext uri="{FF2B5EF4-FFF2-40B4-BE49-F238E27FC236}">
                  <a16:creationId xmlns="" xmlns:a16="http://schemas.microsoft.com/office/drawing/2014/main" id="{00000000-0008-0000-1300-00005924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400218" name="Line 154">
                <a:extLst>
                  <a:ext uri="{FF2B5EF4-FFF2-40B4-BE49-F238E27FC236}">
                    <a16:creationId xmlns="" xmlns:a16="http://schemas.microsoft.com/office/drawing/2014/main" id="{00000000-0008-0000-1300-00005A24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400219" name="Group 155">
                <a:extLst>
                  <a:ext uri="{FF2B5EF4-FFF2-40B4-BE49-F238E27FC236}">
                    <a16:creationId xmlns="" xmlns:a16="http://schemas.microsoft.com/office/drawing/2014/main" id="{00000000-0008-0000-1300-00005B24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400220" name="Line 156">
                  <a:extLst>
                    <a:ext uri="{FF2B5EF4-FFF2-40B4-BE49-F238E27FC236}">
                      <a16:creationId xmlns="" xmlns:a16="http://schemas.microsoft.com/office/drawing/2014/main" id="{00000000-0008-0000-1300-00005C2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400221" name="Line 157">
                  <a:extLst>
                    <a:ext uri="{FF2B5EF4-FFF2-40B4-BE49-F238E27FC236}">
                      <a16:creationId xmlns="" xmlns:a16="http://schemas.microsoft.com/office/drawing/2014/main" id="{00000000-0008-0000-1300-00005D2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400194" name="Group 158">
            <a:extLst>
              <a:ext uri="{FF2B5EF4-FFF2-40B4-BE49-F238E27FC236}">
                <a16:creationId xmlns="" xmlns:a16="http://schemas.microsoft.com/office/drawing/2014/main" id="{00000000-0008-0000-1300-0000422443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400210" name="Line 159">
              <a:extLst>
                <a:ext uri="{FF2B5EF4-FFF2-40B4-BE49-F238E27FC236}">
                  <a16:creationId xmlns="" xmlns:a16="http://schemas.microsoft.com/office/drawing/2014/main" id="{00000000-0008-0000-1300-0000522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400211" name="Group 160">
              <a:extLst>
                <a:ext uri="{FF2B5EF4-FFF2-40B4-BE49-F238E27FC236}">
                  <a16:creationId xmlns="" xmlns:a16="http://schemas.microsoft.com/office/drawing/2014/main" id="{00000000-0008-0000-1300-00005324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400212" name="Line 161">
                <a:extLst>
                  <a:ext uri="{FF2B5EF4-FFF2-40B4-BE49-F238E27FC236}">
                    <a16:creationId xmlns="" xmlns:a16="http://schemas.microsoft.com/office/drawing/2014/main" id="{00000000-0008-0000-1300-00005424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400213" name="Group 162">
                <a:extLst>
                  <a:ext uri="{FF2B5EF4-FFF2-40B4-BE49-F238E27FC236}">
                    <a16:creationId xmlns="" xmlns:a16="http://schemas.microsoft.com/office/drawing/2014/main" id="{00000000-0008-0000-1300-00005524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400214" name="Line 163">
                  <a:extLst>
                    <a:ext uri="{FF2B5EF4-FFF2-40B4-BE49-F238E27FC236}">
                      <a16:creationId xmlns="" xmlns:a16="http://schemas.microsoft.com/office/drawing/2014/main" id="{00000000-0008-0000-1300-0000562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400215" name="Line 164">
                  <a:extLst>
                    <a:ext uri="{FF2B5EF4-FFF2-40B4-BE49-F238E27FC236}">
                      <a16:creationId xmlns="" xmlns:a16="http://schemas.microsoft.com/office/drawing/2014/main" id="{00000000-0008-0000-1300-0000572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400195" name="Group 165">
            <a:extLst>
              <a:ext uri="{FF2B5EF4-FFF2-40B4-BE49-F238E27FC236}">
                <a16:creationId xmlns="" xmlns:a16="http://schemas.microsoft.com/office/drawing/2014/main" id="{00000000-0008-0000-1300-0000432443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400204" name="Line 166">
              <a:extLst>
                <a:ext uri="{FF2B5EF4-FFF2-40B4-BE49-F238E27FC236}">
                  <a16:creationId xmlns="" xmlns:a16="http://schemas.microsoft.com/office/drawing/2014/main" id="{00000000-0008-0000-1300-00004C2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400205" name="Group 167">
              <a:extLst>
                <a:ext uri="{FF2B5EF4-FFF2-40B4-BE49-F238E27FC236}">
                  <a16:creationId xmlns="" xmlns:a16="http://schemas.microsoft.com/office/drawing/2014/main" id="{00000000-0008-0000-1300-00004D24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400206" name="Line 168">
                <a:extLst>
                  <a:ext uri="{FF2B5EF4-FFF2-40B4-BE49-F238E27FC236}">
                    <a16:creationId xmlns="" xmlns:a16="http://schemas.microsoft.com/office/drawing/2014/main" id="{00000000-0008-0000-1300-00004E24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400207" name="Group 169">
                <a:extLst>
                  <a:ext uri="{FF2B5EF4-FFF2-40B4-BE49-F238E27FC236}">
                    <a16:creationId xmlns="" xmlns:a16="http://schemas.microsoft.com/office/drawing/2014/main" id="{00000000-0008-0000-1300-00004F24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400208" name="Line 170">
                  <a:extLst>
                    <a:ext uri="{FF2B5EF4-FFF2-40B4-BE49-F238E27FC236}">
                      <a16:creationId xmlns="" xmlns:a16="http://schemas.microsoft.com/office/drawing/2014/main" id="{00000000-0008-0000-1300-0000502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400209" name="Line 171">
                  <a:extLst>
                    <a:ext uri="{FF2B5EF4-FFF2-40B4-BE49-F238E27FC236}">
                      <a16:creationId xmlns="" xmlns:a16="http://schemas.microsoft.com/office/drawing/2014/main" id="{00000000-0008-0000-1300-0000512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400196" name="Group 172">
            <a:extLst>
              <a:ext uri="{FF2B5EF4-FFF2-40B4-BE49-F238E27FC236}">
                <a16:creationId xmlns="" xmlns:a16="http://schemas.microsoft.com/office/drawing/2014/main" id="{00000000-0008-0000-1300-0000442443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400198" name="Line 173">
              <a:extLst>
                <a:ext uri="{FF2B5EF4-FFF2-40B4-BE49-F238E27FC236}">
                  <a16:creationId xmlns="" xmlns:a16="http://schemas.microsoft.com/office/drawing/2014/main" id="{00000000-0008-0000-1300-0000462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400199" name="Group 174">
              <a:extLst>
                <a:ext uri="{FF2B5EF4-FFF2-40B4-BE49-F238E27FC236}">
                  <a16:creationId xmlns="" xmlns:a16="http://schemas.microsoft.com/office/drawing/2014/main" id="{00000000-0008-0000-1300-00004724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400200" name="Line 175">
                <a:extLst>
                  <a:ext uri="{FF2B5EF4-FFF2-40B4-BE49-F238E27FC236}">
                    <a16:creationId xmlns="" xmlns:a16="http://schemas.microsoft.com/office/drawing/2014/main" id="{00000000-0008-0000-1300-00004824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400201" name="Group 176">
                <a:extLst>
                  <a:ext uri="{FF2B5EF4-FFF2-40B4-BE49-F238E27FC236}">
                    <a16:creationId xmlns="" xmlns:a16="http://schemas.microsoft.com/office/drawing/2014/main" id="{00000000-0008-0000-1300-00004924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400202" name="Line 177">
                  <a:extLst>
                    <a:ext uri="{FF2B5EF4-FFF2-40B4-BE49-F238E27FC236}">
                      <a16:creationId xmlns="" xmlns:a16="http://schemas.microsoft.com/office/drawing/2014/main" id="{00000000-0008-0000-1300-00004A2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400203" name="Line 178">
                  <a:extLst>
                    <a:ext uri="{FF2B5EF4-FFF2-40B4-BE49-F238E27FC236}">
                      <a16:creationId xmlns="" xmlns:a16="http://schemas.microsoft.com/office/drawing/2014/main" id="{00000000-0008-0000-1300-00004B2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400197" name="Line 179">
            <a:extLst>
              <a:ext uri="{FF2B5EF4-FFF2-40B4-BE49-F238E27FC236}">
                <a16:creationId xmlns="" xmlns:a16="http://schemas.microsoft.com/office/drawing/2014/main" id="{00000000-0008-0000-1300-0000452443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-3638550</xdr:colOff>
      <xdr:row>23</xdr:row>
      <xdr:rowOff>0</xdr:rowOff>
    </xdr:from>
    <xdr:to>
      <xdr:col>17</xdr:col>
      <xdr:colOff>457200</xdr:colOff>
      <xdr:row>34</xdr:row>
      <xdr:rowOff>0</xdr:rowOff>
    </xdr:to>
    <xdr:grpSp>
      <xdr:nvGrpSpPr>
        <xdr:cNvPr id="4400147" name="Group 180">
          <a:extLst>
            <a:ext uri="{FF2B5EF4-FFF2-40B4-BE49-F238E27FC236}">
              <a16:creationId xmlns="" xmlns:a16="http://schemas.microsoft.com/office/drawing/2014/main" id="{00000000-0008-0000-1300-000013244300}"/>
            </a:ext>
          </a:extLst>
        </xdr:cNvPr>
        <xdr:cNvGrpSpPr>
          <a:grpSpLocks/>
        </xdr:cNvGrpSpPr>
      </xdr:nvGrpSpPr>
      <xdr:grpSpPr bwMode="auto">
        <a:xfrm>
          <a:off x="-3638550" y="8058150"/>
          <a:ext cx="20173950" cy="4171950"/>
          <a:chOff x="-531" y="871"/>
          <a:chExt cx="1931" cy="339"/>
        </a:xfrm>
      </xdr:grpSpPr>
      <xdr:sp macro="" textlink="">
        <xdr:nvSpPr>
          <xdr:cNvPr id="4400151" name="Line 181">
            <a:extLst>
              <a:ext uri="{FF2B5EF4-FFF2-40B4-BE49-F238E27FC236}">
                <a16:creationId xmlns="" xmlns:a16="http://schemas.microsoft.com/office/drawing/2014/main" id="{00000000-0008-0000-1300-00001724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8" y="962"/>
            <a:ext cx="47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400152" name="Line 182">
            <a:extLst>
              <a:ext uri="{FF2B5EF4-FFF2-40B4-BE49-F238E27FC236}">
                <a16:creationId xmlns="" xmlns:a16="http://schemas.microsoft.com/office/drawing/2014/main" id="{00000000-0008-0000-1300-000018244300}"/>
              </a:ext>
            </a:extLst>
          </xdr:cNvPr>
          <xdr:cNvSpPr>
            <a:spLocks noChangeShapeType="1"/>
          </xdr:cNvSpPr>
        </xdr:nvSpPr>
        <xdr:spPr bwMode="auto">
          <a:xfrm>
            <a:off x="68" y="905"/>
            <a:ext cx="0" cy="305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0153" name="Line 183">
            <a:extLst>
              <a:ext uri="{FF2B5EF4-FFF2-40B4-BE49-F238E27FC236}">
                <a16:creationId xmlns="" xmlns:a16="http://schemas.microsoft.com/office/drawing/2014/main" id="{00000000-0008-0000-1300-000019244300}"/>
              </a:ext>
            </a:extLst>
          </xdr:cNvPr>
          <xdr:cNvSpPr>
            <a:spLocks noChangeShapeType="1"/>
          </xdr:cNvSpPr>
        </xdr:nvSpPr>
        <xdr:spPr bwMode="auto">
          <a:xfrm>
            <a:off x="69" y="995"/>
            <a:ext cx="187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400154" name="Line 184">
            <a:extLst>
              <a:ext uri="{FF2B5EF4-FFF2-40B4-BE49-F238E27FC236}">
                <a16:creationId xmlns="" xmlns:a16="http://schemas.microsoft.com/office/drawing/2014/main" id="{00000000-0008-0000-1300-00001A244300}"/>
              </a:ext>
            </a:extLst>
          </xdr:cNvPr>
          <xdr:cNvSpPr>
            <a:spLocks noChangeShapeType="1"/>
          </xdr:cNvSpPr>
        </xdr:nvSpPr>
        <xdr:spPr bwMode="auto">
          <a:xfrm>
            <a:off x="68" y="1033"/>
            <a:ext cx="307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400155" name="Line 185">
            <a:extLst>
              <a:ext uri="{FF2B5EF4-FFF2-40B4-BE49-F238E27FC236}">
                <a16:creationId xmlns="" xmlns:a16="http://schemas.microsoft.com/office/drawing/2014/main" id="{00000000-0008-0000-1300-00001B24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9" y="1066"/>
            <a:ext cx="42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400156" name="Line 186">
            <a:extLst>
              <a:ext uri="{FF2B5EF4-FFF2-40B4-BE49-F238E27FC236}">
                <a16:creationId xmlns="" xmlns:a16="http://schemas.microsoft.com/office/drawing/2014/main" id="{00000000-0008-0000-1300-00001C244300}"/>
              </a:ext>
            </a:extLst>
          </xdr:cNvPr>
          <xdr:cNvSpPr>
            <a:spLocks noChangeShapeType="1"/>
          </xdr:cNvSpPr>
        </xdr:nvSpPr>
        <xdr:spPr bwMode="auto">
          <a:xfrm>
            <a:off x="116" y="875"/>
            <a:ext cx="0" cy="96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0157" name="Line 187">
            <a:extLst>
              <a:ext uri="{FF2B5EF4-FFF2-40B4-BE49-F238E27FC236}">
                <a16:creationId xmlns="" xmlns:a16="http://schemas.microsoft.com/office/drawing/2014/main" id="{00000000-0008-0000-1300-00001D244300}"/>
              </a:ext>
            </a:extLst>
          </xdr:cNvPr>
          <xdr:cNvSpPr>
            <a:spLocks noChangeShapeType="1"/>
          </xdr:cNvSpPr>
        </xdr:nvSpPr>
        <xdr:spPr bwMode="auto">
          <a:xfrm>
            <a:off x="72" y="880"/>
            <a:ext cx="57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0158" name="Line 188">
            <a:extLst>
              <a:ext uri="{FF2B5EF4-FFF2-40B4-BE49-F238E27FC236}">
                <a16:creationId xmlns="" xmlns:a16="http://schemas.microsoft.com/office/drawing/2014/main" id="{00000000-0008-0000-1300-00001E244300}"/>
              </a:ext>
            </a:extLst>
          </xdr:cNvPr>
          <xdr:cNvSpPr>
            <a:spLocks noChangeShapeType="1"/>
          </xdr:cNvSpPr>
        </xdr:nvSpPr>
        <xdr:spPr bwMode="auto">
          <a:xfrm>
            <a:off x="256" y="874"/>
            <a:ext cx="0" cy="125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0159" name="Line 189">
            <a:extLst>
              <a:ext uri="{FF2B5EF4-FFF2-40B4-BE49-F238E27FC236}">
                <a16:creationId xmlns="" xmlns:a16="http://schemas.microsoft.com/office/drawing/2014/main" id="{00000000-0008-0000-1300-00001F244300}"/>
              </a:ext>
            </a:extLst>
          </xdr:cNvPr>
          <xdr:cNvSpPr>
            <a:spLocks noChangeShapeType="1"/>
          </xdr:cNvSpPr>
        </xdr:nvSpPr>
        <xdr:spPr bwMode="auto">
          <a:xfrm>
            <a:off x="178" y="881"/>
            <a:ext cx="122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grpSp>
        <xdr:nvGrpSpPr>
          <xdr:cNvPr id="4400160" name="Group 190">
            <a:extLst>
              <a:ext uri="{FF2B5EF4-FFF2-40B4-BE49-F238E27FC236}">
                <a16:creationId xmlns="" xmlns:a16="http://schemas.microsoft.com/office/drawing/2014/main" id="{00000000-0008-0000-1300-000020244300}"/>
              </a:ext>
            </a:extLst>
          </xdr:cNvPr>
          <xdr:cNvGrpSpPr>
            <a:grpSpLocks/>
          </xdr:cNvGrpSpPr>
        </xdr:nvGrpSpPr>
        <xdr:grpSpPr bwMode="auto">
          <a:xfrm>
            <a:off x="369" y="875"/>
            <a:ext cx="468" cy="157"/>
            <a:chOff x="301" y="438"/>
            <a:chExt cx="468" cy="121"/>
          </a:xfrm>
        </xdr:grpSpPr>
        <xdr:sp macro="" textlink="">
          <xdr:nvSpPr>
            <xdr:cNvPr id="4400181" name="Line 191">
              <a:extLst>
                <a:ext uri="{FF2B5EF4-FFF2-40B4-BE49-F238E27FC236}">
                  <a16:creationId xmlns="" xmlns:a16="http://schemas.microsoft.com/office/drawing/2014/main" id="{00000000-0008-0000-1300-0000352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01" y="438"/>
              <a:ext cx="0" cy="121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400182" name="Line 192">
              <a:extLst>
                <a:ext uri="{FF2B5EF4-FFF2-40B4-BE49-F238E27FC236}">
                  <a16:creationId xmlns="" xmlns:a16="http://schemas.microsoft.com/office/drawing/2014/main" id="{00000000-0008-0000-1300-0000362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59" y="443"/>
              <a:ext cx="10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grpSp>
        <xdr:nvGrpSpPr>
          <xdr:cNvPr id="4400161" name="Group 193">
            <a:extLst>
              <a:ext uri="{FF2B5EF4-FFF2-40B4-BE49-F238E27FC236}">
                <a16:creationId xmlns="" xmlns:a16="http://schemas.microsoft.com/office/drawing/2014/main" id="{00000000-0008-0000-1300-000021244300}"/>
              </a:ext>
            </a:extLst>
          </xdr:cNvPr>
          <xdr:cNvGrpSpPr>
            <a:grpSpLocks/>
          </xdr:cNvGrpSpPr>
        </xdr:nvGrpSpPr>
        <xdr:grpSpPr bwMode="auto">
          <a:xfrm>
            <a:off x="-531" y="876"/>
            <a:ext cx="10" cy="190"/>
            <a:chOff x="842" y="438"/>
            <a:chExt cx="10" cy="147"/>
          </a:xfrm>
        </xdr:grpSpPr>
        <xdr:sp macro="" textlink="">
          <xdr:nvSpPr>
            <xdr:cNvPr id="4400179" name="Line 194">
              <a:extLst>
                <a:ext uri="{FF2B5EF4-FFF2-40B4-BE49-F238E27FC236}">
                  <a16:creationId xmlns="" xmlns:a16="http://schemas.microsoft.com/office/drawing/2014/main" id="{00000000-0008-0000-1300-0000332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47" y="438"/>
              <a:ext cx="0" cy="147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400180" name="Line 195">
              <a:extLst>
                <a:ext uri="{FF2B5EF4-FFF2-40B4-BE49-F238E27FC236}">
                  <a16:creationId xmlns="" xmlns:a16="http://schemas.microsoft.com/office/drawing/2014/main" id="{00000000-0008-0000-1300-0000342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42" y="443"/>
              <a:ext cx="10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sp macro="" textlink="">
        <xdr:nvSpPr>
          <xdr:cNvPr id="4400162" name="Rectangle 196">
            <a:extLst>
              <a:ext uri="{FF2B5EF4-FFF2-40B4-BE49-F238E27FC236}">
                <a16:creationId xmlns="" xmlns:a16="http://schemas.microsoft.com/office/drawing/2014/main" id="{00000000-0008-0000-1300-000022244300}"/>
              </a:ext>
            </a:extLst>
          </xdr:cNvPr>
          <xdr:cNvSpPr>
            <a:spLocks noChangeArrowheads="1"/>
          </xdr:cNvSpPr>
        </xdr:nvSpPr>
        <xdr:spPr bwMode="auto">
          <a:xfrm>
            <a:off x="68" y="871"/>
            <a:ext cx="868" cy="30"/>
          </a:xfrm>
          <a:prstGeom prst="rect">
            <a:avLst/>
          </a:prstGeom>
          <a:noFill/>
          <a:ln w="158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400163" name="Line 197">
            <a:extLst>
              <a:ext uri="{FF2B5EF4-FFF2-40B4-BE49-F238E27FC236}">
                <a16:creationId xmlns="" xmlns:a16="http://schemas.microsoft.com/office/drawing/2014/main" id="{00000000-0008-0000-1300-000023244300}"/>
              </a:ext>
            </a:extLst>
          </xdr:cNvPr>
          <xdr:cNvSpPr>
            <a:spLocks noChangeShapeType="1"/>
          </xdr:cNvSpPr>
        </xdr:nvSpPr>
        <xdr:spPr bwMode="auto">
          <a:xfrm>
            <a:off x="893" y="874"/>
            <a:ext cx="0" cy="332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0164" name="Line 198">
            <a:extLst>
              <a:ext uri="{FF2B5EF4-FFF2-40B4-BE49-F238E27FC236}">
                <a16:creationId xmlns="" xmlns:a16="http://schemas.microsoft.com/office/drawing/2014/main" id="{00000000-0008-0000-1300-000024244300}"/>
              </a:ext>
            </a:extLst>
          </xdr:cNvPr>
          <xdr:cNvSpPr>
            <a:spLocks noChangeShapeType="1"/>
          </xdr:cNvSpPr>
        </xdr:nvSpPr>
        <xdr:spPr bwMode="auto">
          <a:xfrm>
            <a:off x="654" y="881"/>
            <a:ext cx="2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0165" name="Line 199">
            <a:extLst>
              <a:ext uri="{FF2B5EF4-FFF2-40B4-BE49-F238E27FC236}">
                <a16:creationId xmlns="" xmlns:a16="http://schemas.microsoft.com/office/drawing/2014/main" id="{00000000-0008-0000-1300-00002524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" y="1206"/>
            <a:ext cx="825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grpSp>
        <xdr:nvGrpSpPr>
          <xdr:cNvPr id="4400166" name="Group 200">
            <a:extLst>
              <a:ext uri="{FF2B5EF4-FFF2-40B4-BE49-F238E27FC236}">
                <a16:creationId xmlns="" xmlns:a16="http://schemas.microsoft.com/office/drawing/2014/main" id="{00000000-0008-0000-1300-000026244300}"/>
              </a:ext>
            </a:extLst>
          </xdr:cNvPr>
          <xdr:cNvGrpSpPr>
            <a:grpSpLocks/>
          </xdr:cNvGrpSpPr>
        </xdr:nvGrpSpPr>
        <xdr:grpSpPr bwMode="auto">
          <a:xfrm>
            <a:off x="708" y="881"/>
            <a:ext cx="565" cy="242"/>
            <a:chOff x="358" y="443"/>
            <a:chExt cx="565" cy="179"/>
          </a:xfrm>
        </xdr:grpSpPr>
        <xdr:sp macro="" textlink="">
          <xdr:nvSpPr>
            <xdr:cNvPr id="4400177" name="Line 201">
              <a:extLst>
                <a:ext uri="{FF2B5EF4-FFF2-40B4-BE49-F238E27FC236}">
                  <a16:creationId xmlns="" xmlns:a16="http://schemas.microsoft.com/office/drawing/2014/main" id="{00000000-0008-0000-1300-0000312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447"/>
              <a:ext cx="0" cy="175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400178" name="Line 202">
              <a:extLst>
                <a:ext uri="{FF2B5EF4-FFF2-40B4-BE49-F238E27FC236}">
                  <a16:creationId xmlns="" xmlns:a16="http://schemas.microsoft.com/office/drawing/2014/main" id="{00000000-0008-0000-1300-0000322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sp macro="" textlink="">
        <xdr:nvSpPr>
          <xdr:cNvPr id="4400167" name="Line 203">
            <a:extLst>
              <a:ext uri="{FF2B5EF4-FFF2-40B4-BE49-F238E27FC236}">
                <a16:creationId xmlns="" xmlns:a16="http://schemas.microsoft.com/office/drawing/2014/main" id="{00000000-0008-0000-1300-00002724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" y="1102"/>
            <a:ext cx="535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400168" name="Line 204">
            <a:extLst>
              <a:ext uri="{FF2B5EF4-FFF2-40B4-BE49-F238E27FC236}">
                <a16:creationId xmlns="" xmlns:a16="http://schemas.microsoft.com/office/drawing/2014/main" id="{00000000-0008-0000-1300-00002824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" y="1140"/>
            <a:ext cx="646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400169" name="Line 205">
            <a:extLst>
              <a:ext uri="{FF2B5EF4-FFF2-40B4-BE49-F238E27FC236}">
                <a16:creationId xmlns="" xmlns:a16="http://schemas.microsoft.com/office/drawing/2014/main" id="{00000000-0008-0000-1300-00002924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" y="1172"/>
            <a:ext cx="74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grpSp>
        <xdr:nvGrpSpPr>
          <xdr:cNvPr id="4400170" name="Group 206">
            <a:extLst>
              <a:ext uri="{FF2B5EF4-FFF2-40B4-BE49-F238E27FC236}">
                <a16:creationId xmlns="" xmlns:a16="http://schemas.microsoft.com/office/drawing/2014/main" id="{00000000-0008-0000-1300-00002A244300}"/>
              </a:ext>
            </a:extLst>
          </xdr:cNvPr>
          <xdr:cNvGrpSpPr>
            <a:grpSpLocks/>
          </xdr:cNvGrpSpPr>
        </xdr:nvGrpSpPr>
        <xdr:grpSpPr bwMode="auto">
          <a:xfrm>
            <a:off x="810" y="882"/>
            <a:ext cx="572" cy="279"/>
            <a:chOff x="351" y="443"/>
            <a:chExt cx="572" cy="185"/>
          </a:xfrm>
        </xdr:grpSpPr>
        <xdr:sp macro="" textlink="">
          <xdr:nvSpPr>
            <xdr:cNvPr id="4400175" name="Line 207">
              <a:extLst>
                <a:ext uri="{FF2B5EF4-FFF2-40B4-BE49-F238E27FC236}">
                  <a16:creationId xmlns="" xmlns:a16="http://schemas.microsoft.com/office/drawing/2014/main" id="{00000000-0008-0000-1300-00002F2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1" y="453"/>
              <a:ext cx="0" cy="175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400176" name="Line 208">
              <a:extLst>
                <a:ext uri="{FF2B5EF4-FFF2-40B4-BE49-F238E27FC236}">
                  <a16:creationId xmlns="" xmlns:a16="http://schemas.microsoft.com/office/drawing/2014/main" id="{00000000-0008-0000-1300-0000302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grpSp>
        <xdr:nvGrpSpPr>
          <xdr:cNvPr id="4400171" name="Group 209">
            <a:extLst>
              <a:ext uri="{FF2B5EF4-FFF2-40B4-BE49-F238E27FC236}">
                <a16:creationId xmlns="" xmlns:a16="http://schemas.microsoft.com/office/drawing/2014/main" id="{00000000-0008-0000-1300-00002B244300}"/>
              </a:ext>
            </a:extLst>
          </xdr:cNvPr>
          <xdr:cNvGrpSpPr>
            <a:grpSpLocks/>
          </xdr:cNvGrpSpPr>
        </xdr:nvGrpSpPr>
        <xdr:grpSpPr bwMode="auto">
          <a:xfrm>
            <a:off x="591" y="881"/>
            <a:ext cx="809" cy="219"/>
            <a:chOff x="114" y="442"/>
            <a:chExt cx="809" cy="127"/>
          </a:xfrm>
        </xdr:grpSpPr>
        <xdr:sp macro="" textlink="">
          <xdr:nvSpPr>
            <xdr:cNvPr id="4400173" name="Line 210">
              <a:extLst>
                <a:ext uri="{FF2B5EF4-FFF2-40B4-BE49-F238E27FC236}">
                  <a16:creationId xmlns="" xmlns:a16="http://schemas.microsoft.com/office/drawing/2014/main" id="{00000000-0008-0000-1300-00002D2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4" y="442"/>
              <a:ext cx="1" cy="127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400174" name="Line 211">
              <a:extLst>
                <a:ext uri="{FF2B5EF4-FFF2-40B4-BE49-F238E27FC236}">
                  <a16:creationId xmlns="" xmlns:a16="http://schemas.microsoft.com/office/drawing/2014/main" id="{00000000-0008-0000-1300-00002E2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sp macro="" textlink="">
        <xdr:nvSpPr>
          <xdr:cNvPr id="4400172" name="Line 212">
            <a:extLst>
              <a:ext uri="{FF2B5EF4-FFF2-40B4-BE49-F238E27FC236}">
                <a16:creationId xmlns="" xmlns:a16="http://schemas.microsoft.com/office/drawing/2014/main" id="{00000000-0008-0000-1300-00002C244300}"/>
              </a:ext>
            </a:extLst>
          </xdr:cNvPr>
          <xdr:cNvSpPr>
            <a:spLocks noChangeShapeType="1"/>
          </xdr:cNvSpPr>
        </xdr:nvSpPr>
        <xdr:spPr bwMode="auto">
          <a:xfrm>
            <a:off x="880" y="881"/>
            <a:ext cx="2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0</xdr:row>
      <xdr:rowOff>133350</xdr:rowOff>
    </xdr:from>
    <xdr:to>
      <xdr:col>21</xdr:col>
      <xdr:colOff>1314450</xdr:colOff>
      <xdr:row>2</xdr:row>
      <xdr:rowOff>28575</xdr:rowOff>
    </xdr:to>
    <xdr:sp macro="" textlink="">
      <xdr:nvSpPr>
        <xdr:cNvPr id="4340060" name="Rectangle 250">
          <a:extLst>
            <a:ext uri="{FF2B5EF4-FFF2-40B4-BE49-F238E27FC236}">
              <a16:creationId xmlns="" xmlns:a16="http://schemas.microsoft.com/office/drawing/2014/main" id="{00000000-0008-0000-1300-00005C394200}"/>
            </a:ext>
          </a:extLst>
        </xdr:cNvPr>
        <xdr:cNvSpPr>
          <a:spLocks noChangeArrowheads="1"/>
        </xdr:cNvSpPr>
      </xdr:nvSpPr>
      <xdr:spPr bwMode="auto">
        <a:xfrm>
          <a:off x="2324100" y="133350"/>
          <a:ext cx="17506950" cy="5524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  <xdr:txBody>
        <a:bodyPr/>
        <a:lstStyle/>
        <a:p>
          <a:endParaRPr lang="it-IT"/>
        </a:p>
      </xdr:txBody>
    </xdr:sp>
    <xdr:clientData/>
  </xdr:twoCellAnchor>
  <xdr:twoCellAnchor>
    <xdr:from>
      <xdr:col>19</xdr:col>
      <xdr:colOff>990600</xdr:colOff>
      <xdr:row>36</xdr:row>
      <xdr:rowOff>0</xdr:rowOff>
    </xdr:from>
    <xdr:to>
      <xdr:col>19</xdr:col>
      <xdr:colOff>990600</xdr:colOff>
      <xdr:row>36</xdr:row>
      <xdr:rowOff>0</xdr:rowOff>
    </xdr:to>
    <xdr:sp macro="" textlink="">
      <xdr:nvSpPr>
        <xdr:cNvPr id="4400149" name="Line 251">
          <a:extLst>
            <a:ext uri="{FF2B5EF4-FFF2-40B4-BE49-F238E27FC236}">
              <a16:creationId xmlns="" xmlns:a16="http://schemas.microsoft.com/office/drawing/2014/main" id="{00000000-0008-0000-1300-000015244300}"/>
            </a:ext>
          </a:extLst>
        </xdr:cNvPr>
        <xdr:cNvSpPr>
          <a:spLocks noChangeShapeType="1"/>
        </xdr:cNvSpPr>
      </xdr:nvSpPr>
      <xdr:spPr bwMode="auto">
        <a:xfrm>
          <a:off x="18354675" y="12868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oneCell">
    <xdr:from>
      <xdr:col>12</xdr:col>
      <xdr:colOff>133350</xdr:colOff>
      <xdr:row>17</xdr:row>
      <xdr:rowOff>152400</xdr:rowOff>
    </xdr:from>
    <xdr:to>
      <xdr:col>21</xdr:col>
      <xdr:colOff>361950</xdr:colOff>
      <xdr:row>29</xdr:row>
      <xdr:rowOff>266700</xdr:rowOff>
    </xdr:to>
    <xdr:pic>
      <xdr:nvPicPr>
        <xdr:cNvPr id="4400150" name="Picture 1">
          <a:extLst>
            <a:ext uri="{FF2B5EF4-FFF2-40B4-BE49-F238E27FC236}">
              <a16:creationId xmlns="" xmlns:a16="http://schemas.microsoft.com/office/drawing/2014/main" id="{00000000-0008-0000-1300-000016244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2020550" y="6296025"/>
          <a:ext cx="7734300" cy="3771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90009" name="Line 1">
          <a:extLst>
            <a:ext uri="{FF2B5EF4-FFF2-40B4-BE49-F238E27FC236}">
              <a16:creationId xmlns="" xmlns:a16="http://schemas.microsoft.com/office/drawing/2014/main" id="{00000000-0008-0000-1400-000079FC4200}"/>
            </a:ext>
          </a:extLst>
        </xdr:cNvPr>
        <xdr:cNvSpPr>
          <a:spLocks noChangeShapeType="1"/>
        </xdr:cNvSpPr>
      </xdr:nvSpPr>
      <xdr:spPr bwMode="auto">
        <a:xfrm flipV="1">
          <a:off x="2695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90010" name="Line 2">
          <a:extLst>
            <a:ext uri="{FF2B5EF4-FFF2-40B4-BE49-F238E27FC236}">
              <a16:creationId xmlns="" xmlns:a16="http://schemas.microsoft.com/office/drawing/2014/main" id="{00000000-0008-0000-1400-00007AFC4200}"/>
            </a:ext>
          </a:extLst>
        </xdr:cNvPr>
        <xdr:cNvSpPr>
          <a:spLocks noChangeShapeType="1"/>
        </xdr:cNvSpPr>
      </xdr:nvSpPr>
      <xdr:spPr bwMode="auto">
        <a:xfrm flipV="1">
          <a:off x="6096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676275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90011" name="Line 3">
          <a:extLst>
            <a:ext uri="{FF2B5EF4-FFF2-40B4-BE49-F238E27FC236}">
              <a16:creationId xmlns="" xmlns:a16="http://schemas.microsoft.com/office/drawing/2014/main" id="{00000000-0008-0000-1400-00007BFC4200}"/>
            </a:ext>
          </a:extLst>
        </xdr:cNvPr>
        <xdr:cNvSpPr>
          <a:spLocks noChangeShapeType="1"/>
        </xdr:cNvSpPr>
      </xdr:nvSpPr>
      <xdr:spPr bwMode="auto">
        <a:xfrm>
          <a:off x="2695575" y="0"/>
          <a:ext cx="3400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95250</xdr:colOff>
      <xdr:row>0</xdr:row>
      <xdr:rowOff>0</xdr:rowOff>
    </xdr:from>
    <xdr:to>
      <xdr:col>6</xdr:col>
      <xdr:colOff>200025</xdr:colOff>
      <xdr:row>0</xdr:row>
      <xdr:rowOff>0</xdr:rowOff>
    </xdr:to>
    <xdr:sp macro="" textlink="">
      <xdr:nvSpPr>
        <xdr:cNvPr id="4390012" name="Line 4">
          <a:extLst>
            <a:ext uri="{FF2B5EF4-FFF2-40B4-BE49-F238E27FC236}">
              <a16:creationId xmlns="" xmlns:a16="http://schemas.microsoft.com/office/drawing/2014/main" id="{00000000-0008-0000-1400-00007CFC4200}"/>
            </a:ext>
          </a:extLst>
        </xdr:cNvPr>
        <xdr:cNvSpPr>
          <a:spLocks noChangeShapeType="1"/>
        </xdr:cNvSpPr>
      </xdr:nvSpPr>
      <xdr:spPr bwMode="auto">
        <a:xfrm>
          <a:off x="6191250" y="0"/>
          <a:ext cx="1104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104775</xdr:colOff>
      <xdr:row>0</xdr:row>
      <xdr:rowOff>0</xdr:rowOff>
    </xdr:from>
    <xdr:to>
      <xdr:col>6</xdr:col>
      <xdr:colOff>104775</xdr:colOff>
      <xdr:row>0</xdr:row>
      <xdr:rowOff>0</xdr:rowOff>
    </xdr:to>
    <xdr:sp macro="" textlink="">
      <xdr:nvSpPr>
        <xdr:cNvPr id="4390013" name="Line 5">
          <a:extLst>
            <a:ext uri="{FF2B5EF4-FFF2-40B4-BE49-F238E27FC236}">
              <a16:creationId xmlns="" xmlns:a16="http://schemas.microsoft.com/office/drawing/2014/main" id="{00000000-0008-0000-1400-00007DFC4200}"/>
            </a:ext>
          </a:extLst>
        </xdr:cNvPr>
        <xdr:cNvSpPr>
          <a:spLocks noChangeShapeType="1"/>
        </xdr:cNvSpPr>
      </xdr:nvSpPr>
      <xdr:spPr bwMode="auto">
        <a:xfrm>
          <a:off x="7200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0</xdr:row>
      <xdr:rowOff>0</xdr:rowOff>
    </xdr:from>
    <xdr:to>
      <xdr:col>6</xdr:col>
      <xdr:colOff>114300</xdr:colOff>
      <xdr:row>0</xdr:row>
      <xdr:rowOff>0</xdr:rowOff>
    </xdr:to>
    <xdr:sp macro="" textlink="">
      <xdr:nvSpPr>
        <xdr:cNvPr id="4390014" name="Line 6">
          <a:extLst>
            <a:ext uri="{FF2B5EF4-FFF2-40B4-BE49-F238E27FC236}">
              <a16:creationId xmlns="" xmlns:a16="http://schemas.microsoft.com/office/drawing/2014/main" id="{00000000-0008-0000-1400-00007EFC4200}"/>
            </a:ext>
          </a:extLst>
        </xdr:cNvPr>
        <xdr:cNvSpPr>
          <a:spLocks noChangeShapeType="1"/>
        </xdr:cNvSpPr>
      </xdr:nvSpPr>
      <xdr:spPr bwMode="auto">
        <a:xfrm>
          <a:off x="7210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85725</xdr:colOff>
      <xdr:row>0</xdr:row>
      <xdr:rowOff>0</xdr:rowOff>
    </xdr:from>
    <xdr:to>
      <xdr:col>6</xdr:col>
      <xdr:colOff>228600</xdr:colOff>
      <xdr:row>0</xdr:row>
      <xdr:rowOff>0</xdr:rowOff>
    </xdr:to>
    <xdr:sp macro="" textlink="">
      <xdr:nvSpPr>
        <xdr:cNvPr id="4390015" name="Line 7">
          <a:extLst>
            <a:ext uri="{FF2B5EF4-FFF2-40B4-BE49-F238E27FC236}">
              <a16:creationId xmlns="" xmlns:a16="http://schemas.microsoft.com/office/drawing/2014/main" id="{00000000-0008-0000-1400-00007FFC42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1143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533400</xdr:colOff>
      <xdr:row>0</xdr:row>
      <xdr:rowOff>0</xdr:rowOff>
    </xdr:from>
    <xdr:to>
      <xdr:col>12</xdr:col>
      <xdr:colOff>123825</xdr:colOff>
      <xdr:row>0</xdr:row>
      <xdr:rowOff>0</xdr:rowOff>
    </xdr:to>
    <xdr:sp macro="" textlink="">
      <xdr:nvSpPr>
        <xdr:cNvPr id="4390016" name="Line 8">
          <a:extLst>
            <a:ext uri="{FF2B5EF4-FFF2-40B4-BE49-F238E27FC236}">
              <a16:creationId xmlns="" xmlns:a16="http://schemas.microsoft.com/office/drawing/2014/main" id="{00000000-0008-0000-1400-000080FC4200}"/>
            </a:ext>
          </a:extLst>
        </xdr:cNvPr>
        <xdr:cNvSpPr>
          <a:spLocks noChangeShapeType="1"/>
        </xdr:cNvSpPr>
      </xdr:nvSpPr>
      <xdr:spPr bwMode="auto">
        <a:xfrm>
          <a:off x="10972800" y="0"/>
          <a:ext cx="20955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12</xdr:col>
      <xdr:colOff>238125</xdr:colOff>
      <xdr:row>0</xdr:row>
      <xdr:rowOff>0</xdr:rowOff>
    </xdr:to>
    <xdr:sp macro="" textlink="">
      <xdr:nvSpPr>
        <xdr:cNvPr id="4390017" name="Line 9">
          <a:extLst>
            <a:ext uri="{FF2B5EF4-FFF2-40B4-BE49-F238E27FC236}">
              <a16:creationId xmlns="" xmlns:a16="http://schemas.microsoft.com/office/drawing/2014/main" id="{00000000-0008-0000-1400-000081FC4200}"/>
            </a:ext>
          </a:extLst>
        </xdr:cNvPr>
        <xdr:cNvSpPr>
          <a:spLocks noChangeShapeType="1"/>
        </xdr:cNvSpPr>
      </xdr:nvSpPr>
      <xdr:spPr bwMode="auto">
        <a:xfrm flipV="1">
          <a:off x="1118235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238125</xdr:colOff>
      <xdr:row>0</xdr:row>
      <xdr:rowOff>0</xdr:rowOff>
    </xdr:from>
    <xdr:to>
      <xdr:col>12</xdr:col>
      <xdr:colOff>304800</xdr:colOff>
      <xdr:row>0</xdr:row>
      <xdr:rowOff>0</xdr:rowOff>
    </xdr:to>
    <xdr:sp macro="" textlink="">
      <xdr:nvSpPr>
        <xdr:cNvPr id="4390018" name="Line 10">
          <a:extLst>
            <a:ext uri="{FF2B5EF4-FFF2-40B4-BE49-F238E27FC236}">
              <a16:creationId xmlns="" xmlns:a16="http://schemas.microsoft.com/office/drawing/2014/main" id="{00000000-0008-0000-1400-000082FC4200}"/>
            </a:ext>
          </a:extLst>
        </xdr:cNvPr>
        <xdr:cNvSpPr>
          <a:spLocks noChangeShapeType="1"/>
        </xdr:cNvSpPr>
      </xdr:nvSpPr>
      <xdr:spPr bwMode="auto">
        <a:xfrm>
          <a:off x="11296650" y="0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361950</xdr:colOff>
      <xdr:row>0</xdr:row>
      <xdr:rowOff>0</xdr:rowOff>
    </xdr:from>
    <xdr:to>
      <xdr:col>12</xdr:col>
      <xdr:colOff>304800</xdr:colOff>
      <xdr:row>0</xdr:row>
      <xdr:rowOff>0</xdr:rowOff>
    </xdr:to>
    <xdr:sp macro="" textlink="">
      <xdr:nvSpPr>
        <xdr:cNvPr id="4390019" name="Line 11">
          <a:extLst>
            <a:ext uri="{FF2B5EF4-FFF2-40B4-BE49-F238E27FC236}">
              <a16:creationId xmlns="" xmlns:a16="http://schemas.microsoft.com/office/drawing/2014/main" id="{00000000-0008-0000-1400-000083FC4200}"/>
            </a:ext>
          </a:extLst>
        </xdr:cNvPr>
        <xdr:cNvSpPr>
          <a:spLocks noChangeShapeType="1"/>
        </xdr:cNvSpPr>
      </xdr:nvSpPr>
      <xdr:spPr bwMode="auto">
        <a:xfrm flipV="1">
          <a:off x="11363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466725</xdr:colOff>
      <xdr:row>0</xdr:row>
      <xdr:rowOff>0</xdr:rowOff>
    </xdr:from>
    <xdr:to>
      <xdr:col>12</xdr:col>
      <xdr:colOff>304800</xdr:colOff>
      <xdr:row>0</xdr:row>
      <xdr:rowOff>0</xdr:rowOff>
    </xdr:to>
    <xdr:sp macro="" textlink="">
      <xdr:nvSpPr>
        <xdr:cNvPr id="4390020" name="Line 12">
          <a:extLst>
            <a:ext uri="{FF2B5EF4-FFF2-40B4-BE49-F238E27FC236}">
              <a16:creationId xmlns="" xmlns:a16="http://schemas.microsoft.com/office/drawing/2014/main" id="{00000000-0008-0000-1400-000084FC4200}"/>
            </a:ext>
          </a:extLst>
        </xdr:cNvPr>
        <xdr:cNvSpPr>
          <a:spLocks noChangeShapeType="1"/>
        </xdr:cNvSpPr>
      </xdr:nvSpPr>
      <xdr:spPr bwMode="auto">
        <a:xfrm>
          <a:off x="11363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581025</xdr:colOff>
      <xdr:row>0</xdr:row>
      <xdr:rowOff>0</xdr:rowOff>
    </xdr:from>
    <xdr:to>
      <xdr:col>13</xdr:col>
      <xdr:colOff>0</xdr:colOff>
      <xdr:row>0</xdr:row>
      <xdr:rowOff>0</xdr:rowOff>
    </xdr:to>
    <xdr:sp macro="" textlink="">
      <xdr:nvSpPr>
        <xdr:cNvPr id="4390021" name="Line 13">
          <a:extLst>
            <a:ext uri="{FF2B5EF4-FFF2-40B4-BE49-F238E27FC236}">
              <a16:creationId xmlns="" xmlns:a16="http://schemas.microsoft.com/office/drawing/2014/main" id="{00000000-0008-0000-1400-000085FC4200}"/>
            </a:ext>
          </a:extLst>
        </xdr:cNvPr>
        <xdr:cNvSpPr>
          <a:spLocks noChangeShapeType="1"/>
        </xdr:cNvSpPr>
      </xdr:nvSpPr>
      <xdr:spPr bwMode="auto">
        <a:xfrm flipV="1">
          <a:off x="11363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0</xdr:row>
      <xdr:rowOff>0</xdr:rowOff>
    </xdr:from>
    <xdr:to>
      <xdr:col>13</xdr:col>
      <xdr:colOff>123825</xdr:colOff>
      <xdr:row>0</xdr:row>
      <xdr:rowOff>0</xdr:rowOff>
    </xdr:to>
    <xdr:sp macro="" textlink="">
      <xdr:nvSpPr>
        <xdr:cNvPr id="4390022" name="Line 14">
          <a:extLst>
            <a:ext uri="{FF2B5EF4-FFF2-40B4-BE49-F238E27FC236}">
              <a16:creationId xmlns="" xmlns:a16="http://schemas.microsoft.com/office/drawing/2014/main" id="{00000000-0008-0000-1400-000086FC4200}"/>
            </a:ext>
          </a:extLst>
        </xdr:cNvPr>
        <xdr:cNvSpPr>
          <a:spLocks noChangeShapeType="1"/>
        </xdr:cNvSpPr>
      </xdr:nvSpPr>
      <xdr:spPr bwMode="auto">
        <a:xfrm>
          <a:off x="1136332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123825</xdr:colOff>
      <xdr:row>0</xdr:row>
      <xdr:rowOff>0</xdr:rowOff>
    </xdr:from>
    <xdr:to>
      <xdr:col>13</xdr:col>
      <xdr:colOff>238125</xdr:colOff>
      <xdr:row>0</xdr:row>
      <xdr:rowOff>0</xdr:rowOff>
    </xdr:to>
    <xdr:sp macro="" textlink="">
      <xdr:nvSpPr>
        <xdr:cNvPr id="4390023" name="Line 15">
          <a:extLst>
            <a:ext uri="{FF2B5EF4-FFF2-40B4-BE49-F238E27FC236}">
              <a16:creationId xmlns="" xmlns:a16="http://schemas.microsoft.com/office/drawing/2014/main" id="{00000000-0008-0000-1400-000087FC4200}"/>
            </a:ext>
          </a:extLst>
        </xdr:cNvPr>
        <xdr:cNvSpPr>
          <a:spLocks noChangeShapeType="1"/>
        </xdr:cNvSpPr>
      </xdr:nvSpPr>
      <xdr:spPr bwMode="auto">
        <a:xfrm flipV="1">
          <a:off x="1148715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238125</xdr:colOff>
      <xdr:row>0</xdr:row>
      <xdr:rowOff>0</xdr:rowOff>
    </xdr:from>
    <xdr:to>
      <xdr:col>13</xdr:col>
      <xdr:colOff>361950</xdr:colOff>
      <xdr:row>0</xdr:row>
      <xdr:rowOff>0</xdr:rowOff>
    </xdr:to>
    <xdr:sp macro="" textlink="">
      <xdr:nvSpPr>
        <xdr:cNvPr id="4390024" name="Line 16">
          <a:extLst>
            <a:ext uri="{FF2B5EF4-FFF2-40B4-BE49-F238E27FC236}">
              <a16:creationId xmlns="" xmlns:a16="http://schemas.microsoft.com/office/drawing/2014/main" id="{00000000-0008-0000-1400-000088FC4200}"/>
            </a:ext>
          </a:extLst>
        </xdr:cNvPr>
        <xdr:cNvSpPr>
          <a:spLocks noChangeShapeType="1"/>
        </xdr:cNvSpPr>
      </xdr:nvSpPr>
      <xdr:spPr bwMode="auto">
        <a:xfrm>
          <a:off x="116014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361950</xdr:colOff>
      <xdr:row>0</xdr:row>
      <xdr:rowOff>0</xdr:rowOff>
    </xdr:from>
    <xdr:to>
      <xdr:col>13</xdr:col>
      <xdr:colOff>476250</xdr:colOff>
      <xdr:row>0</xdr:row>
      <xdr:rowOff>0</xdr:rowOff>
    </xdr:to>
    <xdr:sp macro="" textlink="">
      <xdr:nvSpPr>
        <xdr:cNvPr id="4390025" name="Line 17">
          <a:extLst>
            <a:ext uri="{FF2B5EF4-FFF2-40B4-BE49-F238E27FC236}">
              <a16:creationId xmlns="" xmlns:a16="http://schemas.microsoft.com/office/drawing/2014/main" id="{00000000-0008-0000-1400-000089FC4200}"/>
            </a:ext>
          </a:extLst>
        </xdr:cNvPr>
        <xdr:cNvSpPr>
          <a:spLocks noChangeShapeType="1"/>
        </xdr:cNvSpPr>
      </xdr:nvSpPr>
      <xdr:spPr bwMode="auto">
        <a:xfrm flipV="1">
          <a:off x="117252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476250</xdr:colOff>
      <xdr:row>0</xdr:row>
      <xdr:rowOff>0</xdr:rowOff>
    </xdr:from>
    <xdr:to>
      <xdr:col>13</xdr:col>
      <xdr:colOff>609600</xdr:colOff>
      <xdr:row>0</xdr:row>
      <xdr:rowOff>0</xdr:rowOff>
    </xdr:to>
    <xdr:sp macro="" textlink="">
      <xdr:nvSpPr>
        <xdr:cNvPr id="4390026" name="Line 18">
          <a:extLst>
            <a:ext uri="{FF2B5EF4-FFF2-40B4-BE49-F238E27FC236}">
              <a16:creationId xmlns="" xmlns:a16="http://schemas.microsoft.com/office/drawing/2014/main" id="{00000000-0008-0000-1400-00008AFC4200}"/>
            </a:ext>
          </a:extLst>
        </xdr:cNvPr>
        <xdr:cNvSpPr>
          <a:spLocks noChangeShapeType="1"/>
        </xdr:cNvSpPr>
      </xdr:nvSpPr>
      <xdr:spPr bwMode="auto">
        <a:xfrm>
          <a:off x="11839575" y="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14</xdr:col>
      <xdr:colOff>28575</xdr:colOff>
      <xdr:row>0</xdr:row>
      <xdr:rowOff>0</xdr:rowOff>
    </xdr:to>
    <xdr:sp macro="" textlink="">
      <xdr:nvSpPr>
        <xdr:cNvPr id="4390027" name="Line 19">
          <a:extLst>
            <a:ext uri="{FF2B5EF4-FFF2-40B4-BE49-F238E27FC236}">
              <a16:creationId xmlns="" xmlns:a16="http://schemas.microsoft.com/office/drawing/2014/main" id="{00000000-0008-0000-1400-00008BFC4200}"/>
            </a:ext>
          </a:extLst>
        </xdr:cNvPr>
        <xdr:cNvSpPr>
          <a:spLocks noChangeShapeType="1"/>
        </xdr:cNvSpPr>
      </xdr:nvSpPr>
      <xdr:spPr bwMode="auto">
        <a:xfrm flipV="1">
          <a:off x="11972925" y="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28575</xdr:colOff>
      <xdr:row>0</xdr:row>
      <xdr:rowOff>0</xdr:rowOff>
    </xdr:from>
    <xdr:to>
      <xdr:col>14</xdr:col>
      <xdr:colOff>152400</xdr:colOff>
      <xdr:row>0</xdr:row>
      <xdr:rowOff>0</xdr:rowOff>
    </xdr:to>
    <xdr:sp macro="" textlink="">
      <xdr:nvSpPr>
        <xdr:cNvPr id="4390028" name="Line 20">
          <a:extLst>
            <a:ext uri="{FF2B5EF4-FFF2-40B4-BE49-F238E27FC236}">
              <a16:creationId xmlns="" xmlns:a16="http://schemas.microsoft.com/office/drawing/2014/main" id="{00000000-0008-0000-1400-00008CFC4200}"/>
            </a:ext>
          </a:extLst>
        </xdr:cNvPr>
        <xdr:cNvSpPr>
          <a:spLocks noChangeShapeType="1"/>
        </xdr:cNvSpPr>
      </xdr:nvSpPr>
      <xdr:spPr bwMode="auto">
        <a:xfrm>
          <a:off x="1258252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152400</xdr:colOff>
      <xdr:row>0</xdr:row>
      <xdr:rowOff>0</xdr:rowOff>
    </xdr:from>
    <xdr:to>
      <xdr:col>14</xdr:col>
      <xdr:colOff>266700</xdr:colOff>
      <xdr:row>0</xdr:row>
      <xdr:rowOff>0</xdr:rowOff>
    </xdr:to>
    <xdr:sp macro="" textlink="">
      <xdr:nvSpPr>
        <xdr:cNvPr id="4390029" name="Line 21">
          <a:extLst>
            <a:ext uri="{FF2B5EF4-FFF2-40B4-BE49-F238E27FC236}">
              <a16:creationId xmlns="" xmlns:a16="http://schemas.microsoft.com/office/drawing/2014/main" id="{00000000-0008-0000-1400-00008DFC4200}"/>
            </a:ext>
          </a:extLst>
        </xdr:cNvPr>
        <xdr:cNvSpPr>
          <a:spLocks noChangeShapeType="1"/>
        </xdr:cNvSpPr>
      </xdr:nvSpPr>
      <xdr:spPr bwMode="auto">
        <a:xfrm flipV="1">
          <a:off x="1270635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266700</xdr:colOff>
      <xdr:row>0</xdr:row>
      <xdr:rowOff>0</xdr:rowOff>
    </xdr:from>
    <xdr:to>
      <xdr:col>14</xdr:col>
      <xdr:colOff>381000</xdr:colOff>
      <xdr:row>0</xdr:row>
      <xdr:rowOff>0</xdr:rowOff>
    </xdr:to>
    <xdr:sp macro="" textlink="">
      <xdr:nvSpPr>
        <xdr:cNvPr id="4390030" name="Line 22">
          <a:extLst>
            <a:ext uri="{FF2B5EF4-FFF2-40B4-BE49-F238E27FC236}">
              <a16:creationId xmlns="" xmlns:a16="http://schemas.microsoft.com/office/drawing/2014/main" id="{00000000-0008-0000-1400-00008EFC4200}"/>
            </a:ext>
          </a:extLst>
        </xdr:cNvPr>
        <xdr:cNvSpPr>
          <a:spLocks noChangeShapeType="1"/>
        </xdr:cNvSpPr>
      </xdr:nvSpPr>
      <xdr:spPr bwMode="auto">
        <a:xfrm>
          <a:off x="1282065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381000</xdr:colOff>
      <xdr:row>0</xdr:row>
      <xdr:rowOff>0</xdr:rowOff>
    </xdr:from>
    <xdr:to>
      <xdr:col>14</xdr:col>
      <xdr:colOff>495300</xdr:colOff>
      <xdr:row>0</xdr:row>
      <xdr:rowOff>0</xdr:rowOff>
    </xdr:to>
    <xdr:sp macro="" textlink="">
      <xdr:nvSpPr>
        <xdr:cNvPr id="4390031" name="Line 23">
          <a:extLst>
            <a:ext uri="{FF2B5EF4-FFF2-40B4-BE49-F238E27FC236}">
              <a16:creationId xmlns="" xmlns:a16="http://schemas.microsoft.com/office/drawing/2014/main" id="{00000000-0008-0000-1400-00008FFC4200}"/>
            </a:ext>
          </a:extLst>
        </xdr:cNvPr>
        <xdr:cNvSpPr>
          <a:spLocks noChangeShapeType="1"/>
        </xdr:cNvSpPr>
      </xdr:nvSpPr>
      <xdr:spPr bwMode="auto">
        <a:xfrm flipV="1">
          <a:off x="1293495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495300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90032" name="Line 24">
          <a:extLst>
            <a:ext uri="{FF2B5EF4-FFF2-40B4-BE49-F238E27FC236}">
              <a16:creationId xmlns="" xmlns:a16="http://schemas.microsoft.com/office/drawing/2014/main" id="{00000000-0008-0000-1400-000090FC4200}"/>
            </a:ext>
          </a:extLst>
        </xdr:cNvPr>
        <xdr:cNvSpPr>
          <a:spLocks noChangeShapeType="1"/>
        </xdr:cNvSpPr>
      </xdr:nvSpPr>
      <xdr:spPr bwMode="auto">
        <a:xfrm>
          <a:off x="130492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90033" name="Line 25">
          <a:extLst>
            <a:ext uri="{FF2B5EF4-FFF2-40B4-BE49-F238E27FC236}">
              <a16:creationId xmlns="" xmlns:a16="http://schemas.microsoft.com/office/drawing/2014/main" id="{00000000-0008-0000-1400-000091FC4200}"/>
            </a:ext>
          </a:extLst>
        </xdr:cNvPr>
        <xdr:cNvSpPr>
          <a:spLocks noChangeShapeType="1"/>
        </xdr:cNvSpPr>
      </xdr:nvSpPr>
      <xdr:spPr bwMode="auto">
        <a:xfrm flipV="1">
          <a:off x="13173075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66675</xdr:colOff>
      <xdr:row>0</xdr:row>
      <xdr:rowOff>0</xdr:rowOff>
    </xdr:to>
    <xdr:sp macro="" textlink="">
      <xdr:nvSpPr>
        <xdr:cNvPr id="4390034" name="Line 26">
          <a:extLst>
            <a:ext uri="{FF2B5EF4-FFF2-40B4-BE49-F238E27FC236}">
              <a16:creationId xmlns="" xmlns:a16="http://schemas.microsoft.com/office/drawing/2014/main" id="{00000000-0008-0000-1400-000092FC4200}"/>
            </a:ext>
          </a:extLst>
        </xdr:cNvPr>
        <xdr:cNvSpPr>
          <a:spLocks noChangeShapeType="1"/>
        </xdr:cNvSpPr>
      </xdr:nvSpPr>
      <xdr:spPr bwMode="auto">
        <a:xfrm flipV="1">
          <a:off x="111252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90035" name="Line 27">
          <a:extLst>
            <a:ext uri="{FF2B5EF4-FFF2-40B4-BE49-F238E27FC236}">
              <a16:creationId xmlns="" xmlns:a16="http://schemas.microsoft.com/office/drawing/2014/main" id="{00000000-0008-0000-1400-000093FC4200}"/>
            </a:ext>
          </a:extLst>
        </xdr:cNvPr>
        <xdr:cNvSpPr>
          <a:spLocks noChangeShapeType="1"/>
        </xdr:cNvSpPr>
      </xdr:nvSpPr>
      <xdr:spPr bwMode="auto">
        <a:xfrm flipV="1">
          <a:off x="131730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90036" name="Line 28">
          <a:extLst>
            <a:ext uri="{FF2B5EF4-FFF2-40B4-BE49-F238E27FC236}">
              <a16:creationId xmlns="" xmlns:a16="http://schemas.microsoft.com/office/drawing/2014/main" id="{00000000-0008-0000-1400-000094FC4200}"/>
            </a:ext>
          </a:extLst>
        </xdr:cNvPr>
        <xdr:cNvSpPr>
          <a:spLocks noChangeShapeType="1"/>
        </xdr:cNvSpPr>
      </xdr:nvSpPr>
      <xdr:spPr bwMode="auto">
        <a:xfrm>
          <a:off x="11182350" y="0"/>
          <a:ext cx="1990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352425</xdr:colOff>
      <xdr:row>0</xdr:row>
      <xdr:rowOff>0</xdr:rowOff>
    </xdr:from>
    <xdr:to>
      <xdr:col>2</xdr:col>
      <xdr:colOff>352425</xdr:colOff>
      <xdr:row>0</xdr:row>
      <xdr:rowOff>0</xdr:rowOff>
    </xdr:to>
    <xdr:sp macro="" textlink="">
      <xdr:nvSpPr>
        <xdr:cNvPr id="4390037" name="Line 29">
          <a:extLst>
            <a:ext uri="{FF2B5EF4-FFF2-40B4-BE49-F238E27FC236}">
              <a16:creationId xmlns="" xmlns:a16="http://schemas.microsoft.com/office/drawing/2014/main" id="{00000000-0008-0000-1400-000095FC4200}"/>
            </a:ext>
          </a:extLst>
        </xdr:cNvPr>
        <xdr:cNvSpPr>
          <a:spLocks noChangeShapeType="1"/>
        </xdr:cNvSpPr>
      </xdr:nvSpPr>
      <xdr:spPr bwMode="auto">
        <a:xfrm>
          <a:off x="3048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152400</xdr:colOff>
      <xdr:row>0</xdr:row>
      <xdr:rowOff>0</xdr:rowOff>
    </xdr:to>
    <xdr:sp macro="" textlink="">
      <xdr:nvSpPr>
        <xdr:cNvPr id="4390038" name="Line 30">
          <a:extLst>
            <a:ext uri="{FF2B5EF4-FFF2-40B4-BE49-F238E27FC236}">
              <a16:creationId xmlns="" xmlns:a16="http://schemas.microsoft.com/office/drawing/2014/main" id="{00000000-0008-0000-1400-000096FC4200}"/>
            </a:ext>
          </a:extLst>
        </xdr:cNvPr>
        <xdr:cNvSpPr>
          <a:spLocks noChangeShapeType="1"/>
        </xdr:cNvSpPr>
      </xdr:nvSpPr>
      <xdr:spPr bwMode="auto">
        <a:xfrm>
          <a:off x="28479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723900</xdr:colOff>
      <xdr:row>0</xdr:row>
      <xdr:rowOff>0</xdr:rowOff>
    </xdr:from>
    <xdr:to>
      <xdr:col>4</xdr:col>
      <xdr:colOff>723900</xdr:colOff>
      <xdr:row>0</xdr:row>
      <xdr:rowOff>0</xdr:rowOff>
    </xdr:to>
    <xdr:sp macro="" textlink="">
      <xdr:nvSpPr>
        <xdr:cNvPr id="4390039" name="Line 31">
          <a:extLst>
            <a:ext uri="{FF2B5EF4-FFF2-40B4-BE49-F238E27FC236}">
              <a16:creationId xmlns="" xmlns:a16="http://schemas.microsoft.com/office/drawing/2014/main" id="{00000000-0008-0000-1400-000097FC4200}"/>
            </a:ext>
          </a:extLst>
        </xdr:cNvPr>
        <xdr:cNvSpPr>
          <a:spLocks noChangeShapeType="1"/>
        </xdr:cNvSpPr>
      </xdr:nvSpPr>
      <xdr:spPr bwMode="auto">
        <a:xfrm>
          <a:off x="58674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285750</xdr:colOff>
      <xdr:row>0</xdr:row>
      <xdr:rowOff>0</xdr:rowOff>
    </xdr:from>
    <xdr:to>
      <xdr:col>2</xdr:col>
      <xdr:colOff>285750</xdr:colOff>
      <xdr:row>0</xdr:row>
      <xdr:rowOff>0</xdr:rowOff>
    </xdr:to>
    <xdr:sp macro="" textlink="">
      <xdr:nvSpPr>
        <xdr:cNvPr id="4390040" name="Line 32">
          <a:extLst>
            <a:ext uri="{FF2B5EF4-FFF2-40B4-BE49-F238E27FC236}">
              <a16:creationId xmlns="" xmlns:a16="http://schemas.microsoft.com/office/drawing/2014/main" id="{00000000-0008-0000-1400-000098FC4200}"/>
            </a:ext>
          </a:extLst>
        </xdr:cNvPr>
        <xdr:cNvSpPr>
          <a:spLocks noChangeShapeType="1"/>
        </xdr:cNvSpPr>
      </xdr:nvSpPr>
      <xdr:spPr bwMode="auto">
        <a:xfrm>
          <a:off x="2981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590550</xdr:colOff>
      <xdr:row>0</xdr:row>
      <xdr:rowOff>0</xdr:rowOff>
    </xdr:from>
    <xdr:to>
      <xdr:col>4</xdr:col>
      <xdr:colOff>590550</xdr:colOff>
      <xdr:row>0</xdr:row>
      <xdr:rowOff>0</xdr:rowOff>
    </xdr:to>
    <xdr:sp macro="" textlink="">
      <xdr:nvSpPr>
        <xdr:cNvPr id="4390041" name="Line 33">
          <a:extLst>
            <a:ext uri="{FF2B5EF4-FFF2-40B4-BE49-F238E27FC236}">
              <a16:creationId xmlns="" xmlns:a16="http://schemas.microsoft.com/office/drawing/2014/main" id="{00000000-0008-0000-1400-000099FC4200}"/>
            </a:ext>
          </a:extLst>
        </xdr:cNvPr>
        <xdr:cNvSpPr>
          <a:spLocks noChangeShapeType="1"/>
        </xdr:cNvSpPr>
      </xdr:nvSpPr>
      <xdr:spPr bwMode="auto">
        <a:xfrm flipH="1">
          <a:off x="5734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90042" name="Line 34">
          <a:extLst>
            <a:ext uri="{FF2B5EF4-FFF2-40B4-BE49-F238E27FC236}">
              <a16:creationId xmlns="" xmlns:a16="http://schemas.microsoft.com/office/drawing/2014/main" id="{00000000-0008-0000-1400-00009AFC4200}"/>
            </a:ext>
          </a:extLst>
        </xdr:cNvPr>
        <xdr:cNvSpPr>
          <a:spLocks noChangeShapeType="1"/>
        </xdr:cNvSpPr>
      </xdr:nvSpPr>
      <xdr:spPr bwMode="auto">
        <a:xfrm flipV="1">
          <a:off x="13173075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95250</xdr:colOff>
      <xdr:row>0</xdr:row>
      <xdr:rowOff>0</xdr:rowOff>
    </xdr:to>
    <xdr:grpSp>
      <xdr:nvGrpSpPr>
        <xdr:cNvPr id="4390043" name="Group 35">
          <a:extLst>
            <a:ext uri="{FF2B5EF4-FFF2-40B4-BE49-F238E27FC236}">
              <a16:creationId xmlns="" xmlns:a16="http://schemas.microsoft.com/office/drawing/2014/main" id="{00000000-0008-0000-1400-00009BFC4200}"/>
            </a:ext>
          </a:extLst>
        </xdr:cNvPr>
        <xdr:cNvGrpSpPr>
          <a:grpSpLocks/>
        </xdr:cNvGrpSpPr>
      </xdr:nvGrpSpPr>
      <xdr:grpSpPr bwMode="auto">
        <a:xfrm>
          <a:off x="8553450" y="0"/>
          <a:ext cx="6210300" cy="0"/>
          <a:chOff x="630" y="359"/>
          <a:chExt cx="361" cy="60"/>
        </a:xfrm>
      </xdr:grpSpPr>
      <xdr:sp macro="" textlink="">
        <xdr:nvSpPr>
          <xdr:cNvPr id="4390224" name="Line 36">
            <a:extLst>
              <a:ext uri="{FF2B5EF4-FFF2-40B4-BE49-F238E27FC236}">
                <a16:creationId xmlns="" xmlns:a16="http://schemas.microsoft.com/office/drawing/2014/main" id="{00000000-0008-0000-1400-000050FD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0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0225" name="Line 37">
            <a:extLst>
              <a:ext uri="{FF2B5EF4-FFF2-40B4-BE49-F238E27FC236}">
                <a16:creationId xmlns="" xmlns:a16="http://schemas.microsoft.com/office/drawing/2014/main" id="{00000000-0008-0000-1400-000051FD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91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0226" name="Line 38">
            <a:extLst>
              <a:ext uri="{FF2B5EF4-FFF2-40B4-BE49-F238E27FC236}">
                <a16:creationId xmlns="" xmlns:a16="http://schemas.microsoft.com/office/drawing/2014/main" id="{00000000-0008-0000-1400-000052FD4200}"/>
              </a:ext>
            </a:extLst>
          </xdr:cNvPr>
          <xdr:cNvSpPr>
            <a:spLocks noChangeShapeType="1"/>
          </xdr:cNvSpPr>
        </xdr:nvSpPr>
        <xdr:spPr bwMode="auto">
          <a:xfrm>
            <a:off x="630" y="381"/>
            <a:ext cx="3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7</xdr:col>
      <xdr:colOff>590550</xdr:colOff>
      <xdr:row>0</xdr:row>
      <xdr:rowOff>0</xdr:rowOff>
    </xdr:to>
    <xdr:sp macro="" textlink="">
      <xdr:nvSpPr>
        <xdr:cNvPr id="4390044" name="Line 39">
          <a:extLst>
            <a:ext uri="{FF2B5EF4-FFF2-40B4-BE49-F238E27FC236}">
              <a16:creationId xmlns="" xmlns:a16="http://schemas.microsoft.com/office/drawing/2014/main" id="{00000000-0008-0000-1400-00009CFC4200}"/>
            </a:ext>
          </a:extLst>
        </xdr:cNvPr>
        <xdr:cNvSpPr>
          <a:spLocks noChangeShapeType="1"/>
        </xdr:cNvSpPr>
      </xdr:nvSpPr>
      <xdr:spPr bwMode="auto">
        <a:xfrm>
          <a:off x="8515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10</xdr:col>
      <xdr:colOff>47625</xdr:colOff>
      <xdr:row>0</xdr:row>
      <xdr:rowOff>0</xdr:rowOff>
    </xdr:to>
    <xdr:sp macro="" textlink="">
      <xdr:nvSpPr>
        <xdr:cNvPr id="4390045" name="Line 40">
          <a:extLst>
            <a:ext uri="{FF2B5EF4-FFF2-40B4-BE49-F238E27FC236}">
              <a16:creationId xmlns="" xmlns:a16="http://schemas.microsoft.com/office/drawing/2014/main" id="{00000000-0008-0000-1400-00009DFC4200}"/>
            </a:ext>
          </a:extLst>
        </xdr:cNvPr>
        <xdr:cNvSpPr>
          <a:spLocks noChangeShapeType="1"/>
        </xdr:cNvSpPr>
      </xdr:nvSpPr>
      <xdr:spPr bwMode="auto">
        <a:xfrm flipV="1">
          <a:off x="8058150" y="0"/>
          <a:ext cx="1771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10</xdr:col>
      <xdr:colOff>914400</xdr:colOff>
      <xdr:row>0</xdr:row>
      <xdr:rowOff>0</xdr:rowOff>
    </xdr:to>
    <xdr:sp macro="" textlink="">
      <xdr:nvSpPr>
        <xdr:cNvPr id="4390046" name="Line 41">
          <a:extLst>
            <a:ext uri="{FF2B5EF4-FFF2-40B4-BE49-F238E27FC236}">
              <a16:creationId xmlns="" xmlns:a16="http://schemas.microsoft.com/office/drawing/2014/main" id="{00000000-0008-0000-1400-00009EFC4200}"/>
            </a:ext>
          </a:extLst>
        </xdr:cNvPr>
        <xdr:cNvSpPr>
          <a:spLocks noChangeShapeType="1"/>
        </xdr:cNvSpPr>
      </xdr:nvSpPr>
      <xdr:spPr bwMode="auto">
        <a:xfrm>
          <a:off x="8515350" y="0"/>
          <a:ext cx="1924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28575</xdr:colOff>
      <xdr:row>0</xdr:row>
      <xdr:rowOff>0</xdr:rowOff>
    </xdr:to>
    <xdr:sp macro="" textlink="">
      <xdr:nvSpPr>
        <xdr:cNvPr id="4390047" name="Line 42">
          <a:extLst>
            <a:ext uri="{FF2B5EF4-FFF2-40B4-BE49-F238E27FC236}">
              <a16:creationId xmlns="" xmlns:a16="http://schemas.microsoft.com/office/drawing/2014/main" id="{00000000-0008-0000-1400-00009FFC4200}"/>
            </a:ext>
          </a:extLst>
        </xdr:cNvPr>
        <xdr:cNvSpPr>
          <a:spLocks noChangeShapeType="1"/>
        </xdr:cNvSpPr>
      </xdr:nvSpPr>
      <xdr:spPr bwMode="auto">
        <a:xfrm>
          <a:off x="8515350" y="0"/>
          <a:ext cx="2571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552450</xdr:colOff>
      <xdr:row>0</xdr:row>
      <xdr:rowOff>0</xdr:rowOff>
    </xdr:from>
    <xdr:to>
      <xdr:col>13</xdr:col>
      <xdr:colOff>400050</xdr:colOff>
      <xdr:row>0</xdr:row>
      <xdr:rowOff>0</xdr:rowOff>
    </xdr:to>
    <xdr:sp macro="" textlink="">
      <xdr:nvSpPr>
        <xdr:cNvPr id="4390048" name="Line 43">
          <a:extLst>
            <a:ext uri="{FF2B5EF4-FFF2-40B4-BE49-F238E27FC236}">
              <a16:creationId xmlns="" xmlns:a16="http://schemas.microsoft.com/office/drawing/2014/main" id="{00000000-0008-0000-1400-0000A0FC4200}"/>
            </a:ext>
          </a:extLst>
        </xdr:cNvPr>
        <xdr:cNvSpPr>
          <a:spLocks noChangeShapeType="1"/>
        </xdr:cNvSpPr>
      </xdr:nvSpPr>
      <xdr:spPr bwMode="auto">
        <a:xfrm flipH="1">
          <a:off x="8477250" y="0"/>
          <a:ext cx="3286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10</xdr:col>
      <xdr:colOff>57150</xdr:colOff>
      <xdr:row>0</xdr:row>
      <xdr:rowOff>0</xdr:rowOff>
    </xdr:to>
    <xdr:grpSp>
      <xdr:nvGrpSpPr>
        <xdr:cNvPr id="4390049" name="Group 44">
          <a:extLst>
            <a:ext uri="{FF2B5EF4-FFF2-40B4-BE49-F238E27FC236}">
              <a16:creationId xmlns="" xmlns:a16="http://schemas.microsoft.com/office/drawing/2014/main" id="{00000000-0008-0000-1400-0000A1FC4200}"/>
            </a:ext>
          </a:extLst>
        </xdr:cNvPr>
        <xdr:cNvGrpSpPr>
          <a:grpSpLocks/>
        </xdr:cNvGrpSpPr>
      </xdr:nvGrpSpPr>
      <xdr:grpSpPr bwMode="auto">
        <a:xfrm>
          <a:off x="8591550" y="0"/>
          <a:ext cx="1314450" cy="0"/>
          <a:chOff x="554" y="439"/>
          <a:chExt cx="10" cy="76"/>
        </a:xfrm>
      </xdr:grpSpPr>
      <xdr:sp macro="" textlink="">
        <xdr:nvSpPr>
          <xdr:cNvPr id="4390222" name="Line 45">
            <a:extLst>
              <a:ext uri="{FF2B5EF4-FFF2-40B4-BE49-F238E27FC236}">
                <a16:creationId xmlns="" xmlns:a16="http://schemas.microsoft.com/office/drawing/2014/main" id="{00000000-0008-0000-1400-00004EFD4200}"/>
              </a:ext>
            </a:extLst>
          </xdr:cNvPr>
          <xdr:cNvSpPr>
            <a:spLocks noChangeShapeType="1"/>
          </xdr:cNvSpPr>
        </xdr:nvSpPr>
        <xdr:spPr bwMode="auto">
          <a:xfrm>
            <a:off x="558" y="439"/>
            <a:ext cx="0" cy="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0223" name="Line 46">
            <a:extLst>
              <a:ext uri="{FF2B5EF4-FFF2-40B4-BE49-F238E27FC236}">
                <a16:creationId xmlns="" xmlns:a16="http://schemas.microsoft.com/office/drawing/2014/main" id="{00000000-0008-0000-1400-00004FFD4200}"/>
              </a:ext>
            </a:extLst>
          </xdr:cNvPr>
          <xdr:cNvSpPr>
            <a:spLocks noChangeShapeType="1"/>
          </xdr:cNvSpPr>
        </xdr:nvSpPr>
        <xdr:spPr bwMode="auto">
          <a:xfrm>
            <a:off x="554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10</xdr:col>
      <xdr:colOff>628650</xdr:colOff>
      <xdr:row>0</xdr:row>
      <xdr:rowOff>0</xdr:rowOff>
    </xdr:from>
    <xdr:to>
      <xdr:col>11</xdr:col>
      <xdr:colOff>38100</xdr:colOff>
      <xdr:row>0</xdr:row>
      <xdr:rowOff>0</xdr:rowOff>
    </xdr:to>
    <xdr:grpSp>
      <xdr:nvGrpSpPr>
        <xdr:cNvPr id="4390050" name="Group 47">
          <a:extLst>
            <a:ext uri="{FF2B5EF4-FFF2-40B4-BE49-F238E27FC236}">
              <a16:creationId xmlns="" xmlns:a16="http://schemas.microsoft.com/office/drawing/2014/main" id="{00000000-0008-0000-1400-0000A2FC4200}"/>
            </a:ext>
          </a:extLst>
        </xdr:cNvPr>
        <xdr:cNvGrpSpPr>
          <a:grpSpLocks/>
        </xdr:cNvGrpSpPr>
      </xdr:nvGrpSpPr>
      <xdr:grpSpPr bwMode="auto">
        <a:xfrm>
          <a:off x="10477500" y="0"/>
          <a:ext cx="76200" cy="0"/>
          <a:chOff x="680" y="439"/>
          <a:chExt cx="10" cy="98"/>
        </a:xfrm>
      </xdr:grpSpPr>
      <xdr:sp macro="" textlink="">
        <xdr:nvSpPr>
          <xdr:cNvPr id="4390220" name="Line 48">
            <a:extLst>
              <a:ext uri="{FF2B5EF4-FFF2-40B4-BE49-F238E27FC236}">
                <a16:creationId xmlns="" xmlns:a16="http://schemas.microsoft.com/office/drawing/2014/main" id="{00000000-0008-0000-1400-00004CFD4200}"/>
              </a:ext>
            </a:extLst>
          </xdr:cNvPr>
          <xdr:cNvSpPr>
            <a:spLocks noChangeShapeType="1"/>
          </xdr:cNvSpPr>
        </xdr:nvSpPr>
        <xdr:spPr bwMode="auto">
          <a:xfrm>
            <a:off x="685" y="439"/>
            <a:ext cx="0" cy="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0221" name="Line 49">
            <a:extLst>
              <a:ext uri="{FF2B5EF4-FFF2-40B4-BE49-F238E27FC236}">
                <a16:creationId xmlns="" xmlns:a16="http://schemas.microsoft.com/office/drawing/2014/main" id="{00000000-0008-0000-1400-00004DFD4200}"/>
              </a:ext>
            </a:extLst>
          </xdr:cNvPr>
          <xdr:cNvSpPr>
            <a:spLocks noChangeShapeType="1"/>
          </xdr:cNvSpPr>
        </xdr:nvSpPr>
        <xdr:spPr bwMode="auto">
          <a:xfrm>
            <a:off x="680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4390051" name="Group 50">
          <a:extLst>
            <a:ext uri="{FF2B5EF4-FFF2-40B4-BE49-F238E27FC236}">
              <a16:creationId xmlns="" xmlns:a16="http://schemas.microsoft.com/office/drawing/2014/main" id="{00000000-0008-0000-1400-0000A3FC4200}"/>
            </a:ext>
          </a:extLst>
        </xdr:cNvPr>
        <xdr:cNvGrpSpPr>
          <a:grpSpLocks/>
        </xdr:cNvGrpSpPr>
      </xdr:nvGrpSpPr>
      <xdr:grpSpPr bwMode="auto">
        <a:xfrm>
          <a:off x="11144250" y="0"/>
          <a:ext cx="142875" cy="0"/>
          <a:chOff x="759" y="438"/>
          <a:chExt cx="10" cy="121"/>
        </a:xfrm>
      </xdr:grpSpPr>
      <xdr:sp macro="" textlink="">
        <xdr:nvSpPr>
          <xdr:cNvPr id="4390218" name="Line 51">
            <a:extLst>
              <a:ext uri="{FF2B5EF4-FFF2-40B4-BE49-F238E27FC236}">
                <a16:creationId xmlns="" xmlns:a16="http://schemas.microsoft.com/office/drawing/2014/main" id="{00000000-0008-0000-1400-00004AFD42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0219" name="Line 52">
            <a:extLst>
              <a:ext uri="{FF2B5EF4-FFF2-40B4-BE49-F238E27FC236}">
                <a16:creationId xmlns="" xmlns:a16="http://schemas.microsoft.com/office/drawing/2014/main" id="{00000000-0008-0000-1400-00004BFD42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13</xdr:col>
      <xdr:colOff>76200</xdr:colOff>
      <xdr:row>0</xdr:row>
      <xdr:rowOff>0</xdr:rowOff>
    </xdr:from>
    <xdr:to>
      <xdr:col>13</xdr:col>
      <xdr:colOff>676275</xdr:colOff>
      <xdr:row>0</xdr:row>
      <xdr:rowOff>0</xdr:rowOff>
    </xdr:to>
    <xdr:grpSp>
      <xdr:nvGrpSpPr>
        <xdr:cNvPr id="4390052" name="Group 53">
          <a:extLst>
            <a:ext uri="{FF2B5EF4-FFF2-40B4-BE49-F238E27FC236}">
              <a16:creationId xmlns="" xmlns:a16="http://schemas.microsoft.com/office/drawing/2014/main" id="{00000000-0008-0000-1400-0000A4FC4200}"/>
            </a:ext>
          </a:extLst>
        </xdr:cNvPr>
        <xdr:cNvGrpSpPr>
          <a:grpSpLocks/>
        </xdr:cNvGrpSpPr>
      </xdr:nvGrpSpPr>
      <xdr:grpSpPr bwMode="auto">
        <a:xfrm>
          <a:off x="11525250" y="0"/>
          <a:ext cx="600075" cy="0"/>
          <a:chOff x="842" y="438"/>
          <a:chExt cx="10" cy="147"/>
        </a:xfrm>
      </xdr:grpSpPr>
      <xdr:sp macro="" textlink="">
        <xdr:nvSpPr>
          <xdr:cNvPr id="4390216" name="Line 54">
            <a:extLst>
              <a:ext uri="{FF2B5EF4-FFF2-40B4-BE49-F238E27FC236}">
                <a16:creationId xmlns="" xmlns:a16="http://schemas.microsoft.com/office/drawing/2014/main" id="{00000000-0008-0000-1400-000048FD42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0217" name="Line 55">
            <a:extLst>
              <a:ext uri="{FF2B5EF4-FFF2-40B4-BE49-F238E27FC236}">
                <a16:creationId xmlns="" xmlns:a16="http://schemas.microsoft.com/office/drawing/2014/main" id="{00000000-0008-0000-1400-000049FD42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76200</xdr:colOff>
      <xdr:row>0</xdr:row>
      <xdr:rowOff>0</xdr:rowOff>
    </xdr:to>
    <xdr:sp macro="" textlink="">
      <xdr:nvSpPr>
        <xdr:cNvPr id="4390053" name="Rectangle 56">
          <a:extLst>
            <a:ext uri="{FF2B5EF4-FFF2-40B4-BE49-F238E27FC236}">
              <a16:creationId xmlns="" xmlns:a16="http://schemas.microsoft.com/office/drawing/2014/main" id="{00000000-0008-0000-1400-0000A5FC4200}"/>
            </a:ext>
          </a:extLst>
        </xdr:cNvPr>
        <xdr:cNvSpPr>
          <a:spLocks noChangeArrowheads="1"/>
        </xdr:cNvSpPr>
      </xdr:nvSpPr>
      <xdr:spPr bwMode="auto">
        <a:xfrm>
          <a:off x="8515350" y="0"/>
          <a:ext cx="612457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4390054" name="Line 57">
          <a:extLst>
            <a:ext uri="{FF2B5EF4-FFF2-40B4-BE49-F238E27FC236}">
              <a16:creationId xmlns="" xmlns:a16="http://schemas.microsoft.com/office/drawing/2014/main" id="{00000000-0008-0000-1400-0000A6FC4200}"/>
            </a:ext>
          </a:extLst>
        </xdr:cNvPr>
        <xdr:cNvSpPr>
          <a:spLocks noChangeShapeType="1"/>
        </xdr:cNvSpPr>
      </xdr:nvSpPr>
      <xdr:spPr bwMode="auto">
        <a:xfrm>
          <a:off x="145637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638175</xdr:colOff>
      <xdr:row>0</xdr:row>
      <xdr:rowOff>0</xdr:rowOff>
    </xdr:from>
    <xdr:to>
      <xdr:col>16</xdr:col>
      <xdr:colOff>47625</xdr:colOff>
      <xdr:row>0</xdr:row>
      <xdr:rowOff>0</xdr:rowOff>
    </xdr:to>
    <xdr:sp macro="" textlink="">
      <xdr:nvSpPr>
        <xdr:cNvPr id="4390055" name="Line 58">
          <a:extLst>
            <a:ext uri="{FF2B5EF4-FFF2-40B4-BE49-F238E27FC236}">
              <a16:creationId xmlns="" xmlns:a16="http://schemas.microsoft.com/office/drawing/2014/main" id="{00000000-0008-0000-1400-0000A7FC4200}"/>
            </a:ext>
          </a:extLst>
        </xdr:cNvPr>
        <xdr:cNvSpPr>
          <a:spLocks noChangeShapeType="1"/>
        </xdr:cNvSpPr>
      </xdr:nvSpPr>
      <xdr:spPr bwMode="auto">
        <a:xfrm>
          <a:off x="14116050" y="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15</xdr:col>
      <xdr:colOff>1181100</xdr:colOff>
      <xdr:row>0</xdr:row>
      <xdr:rowOff>0</xdr:rowOff>
    </xdr:to>
    <xdr:sp macro="" textlink="">
      <xdr:nvSpPr>
        <xdr:cNvPr id="4390056" name="Line 59">
          <a:extLst>
            <a:ext uri="{FF2B5EF4-FFF2-40B4-BE49-F238E27FC236}">
              <a16:creationId xmlns="" xmlns:a16="http://schemas.microsoft.com/office/drawing/2014/main" id="{00000000-0008-0000-1400-0000A8FC4200}"/>
            </a:ext>
          </a:extLst>
        </xdr:cNvPr>
        <xdr:cNvSpPr>
          <a:spLocks noChangeShapeType="1"/>
        </xdr:cNvSpPr>
      </xdr:nvSpPr>
      <xdr:spPr bwMode="auto">
        <a:xfrm flipV="1">
          <a:off x="8543925" y="0"/>
          <a:ext cx="6019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666750</xdr:colOff>
      <xdr:row>0</xdr:row>
      <xdr:rowOff>0</xdr:rowOff>
    </xdr:from>
    <xdr:to>
      <xdr:col>14</xdr:col>
      <xdr:colOff>838200</xdr:colOff>
      <xdr:row>0</xdr:row>
      <xdr:rowOff>0</xdr:rowOff>
    </xdr:to>
    <xdr:grpSp>
      <xdr:nvGrpSpPr>
        <xdr:cNvPr id="4390057" name="Group 60">
          <a:extLst>
            <a:ext uri="{FF2B5EF4-FFF2-40B4-BE49-F238E27FC236}">
              <a16:creationId xmlns="" xmlns:a16="http://schemas.microsoft.com/office/drawing/2014/main" id="{00000000-0008-0000-1400-0000A9FC4200}"/>
            </a:ext>
          </a:extLst>
        </xdr:cNvPr>
        <xdr:cNvGrpSpPr>
          <a:grpSpLocks/>
        </xdr:cNvGrpSpPr>
      </xdr:nvGrpSpPr>
      <xdr:grpSpPr bwMode="auto">
        <a:xfrm>
          <a:off x="13315950" y="0"/>
          <a:ext cx="171450" cy="0"/>
          <a:chOff x="912" y="438"/>
          <a:chExt cx="11" cy="175"/>
        </a:xfrm>
      </xdr:grpSpPr>
      <xdr:sp macro="" textlink="">
        <xdr:nvSpPr>
          <xdr:cNvPr id="4390214" name="Line 61">
            <a:extLst>
              <a:ext uri="{FF2B5EF4-FFF2-40B4-BE49-F238E27FC236}">
                <a16:creationId xmlns="" xmlns:a16="http://schemas.microsoft.com/office/drawing/2014/main" id="{00000000-0008-0000-1400-000046FD42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0215" name="Line 62">
            <a:extLst>
              <a:ext uri="{FF2B5EF4-FFF2-40B4-BE49-F238E27FC236}">
                <a16:creationId xmlns="" xmlns:a16="http://schemas.microsoft.com/office/drawing/2014/main" id="{00000000-0008-0000-1400-000047FD42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171450</xdr:colOff>
      <xdr:row>0</xdr:row>
      <xdr:rowOff>0</xdr:rowOff>
    </xdr:from>
    <xdr:to>
      <xdr:col>4</xdr:col>
      <xdr:colOff>542925</xdr:colOff>
      <xdr:row>0</xdr:row>
      <xdr:rowOff>0</xdr:rowOff>
    </xdr:to>
    <xdr:sp macro="" textlink="">
      <xdr:nvSpPr>
        <xdr:cNvPr id="4390058" name="Line 63">
          <a:extLst>
            <a:ext uri="{FF2B5EF4-FFF2-40B4-BE49-F238E27FC236}">
              <a16:creationId xmlns="" xmlns:a16="http://schemas.microsoft.com/office/drawing/2014/main" id="{00000000-0008-0000-1400-0000AAFC4200}"/>
            </a:ext>
          </a:extLst>
        </xdr:cNvPr>
        <xdr:cNvSpPr>
          <a:spLocks noChangeShapeType="1"/>
        </xdr:cNvSpPr>
      </xdr:nvSpPr>
      <xdr:spPr bwMode="auto">
        <a:xfrm>
          <a:off x="2867025" y="0"/>
          <a:ext cx="2819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190500</xdr:colOff>
      <xdr:row>0</xdr:row>
      <xdr:rowOff>0</xdr:rowOff>
    </xdr:from>
    <xdr:to>
      <xdr:col>4</xdr:col>
      <xdr:colOff>571500</xdr:colOff>
      <xdr:row>0</xdr:row>
      <xdr:rowOff>0</xdr:rowOff>
    </xdr:to>
    <xdr:sp macro="" textlink="">
      <xdr:nvSpPr>
        <xdr:cNvPr id="4390059" name="Line 64">
          <a:extLst>
            <a:ext uri="{FF2B5EF4-FFF2-40B4-BE49-F238E27FC236}">
              <a16:creationId xmlns="" xmlns:a16="http://schemas.microsoft.com/office/drawing/2014/main" id="{00000000-0008-0000-1400-0000ABFC4200}"/>
            </a:ext>
          </a:extLst>
        </xdr:cNvPr>
        <xdr:cNvSpPr>
          <a:spLocks noChangeShapeType="1"/>
        </xdr:cNvSpPr>
      </xdr:nvSpPr>
      <xdr:spPr bwMode="auto">
        <a:xfrm>
          <a:off x="2886075" y="0"/>
          <a:ext cx="2828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90060" name="Line 65">
          <a:extLst>
            <a:ext uri="{FF2B5EF4-FFF2-40B4-BE49-F238E27FC236}">
              <a16:creationId xmlns="" xmlns:a16="http://schemas.microsoft.com/office/drawing/2014/main" id="{00000000-0008-0000-1400-0000ACFC4200}"/>
            </a:ext>
          </a:extLst>
        </xdr:cNvPr>
        <xdr:cNvSpPr>
          <a:spLocks noChangeShapeType="1"/>
        </xdr:cNvSpPr>
      </xdr:nvSpPr>
      <xdr:spPr bwMode="auto">
        <a:xfrm>
          <a:off x="5676900" y="0"/>
          <a:ext cx="419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4</xdr:col>
      <xdr:colOff>676275</xdr:colOff>
      <xdr:row>0</xdr:row>
      <xdr:rowOff>0</xdr:rowOff>
    </xdr:to>
    <xdr:sp macro="" textlink="">
      <xdr:nvSpPr>
        <xdr:cNvPr id="4390061" name="Line 66">
          <a:extLst>
            <a:ext uri="{FF2B5EF4-FFF2-40B4-BE49-F238E27FC236}">
              <a16:creationId xmlns="" xmlns:a16="http://schemas.microsoft.com/office/drawing/2014/main" id="{00000000-0008-0000-1400-0000ADFC4200}"/>
            </a:ext>
          </a:extLst>
        </xdr:cNvPr>
        <xdr:cNvSpPr>
          <a:spLocks noChangeShapeType="1"/>
        </xdr:cNvSpPr>
      </xdr:nvSpPr>
      <xdr:spPr bwMode="auto">
        <a:xfrm>
          <a:off x="5676900" y="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219075</xdr:colOff>
      <xdr:row>0</xdr:row>
      <xdr:rowOff>0</xdr:rowOff>
    </xdr:from>
    <xdr:to>
      <xdr:col>2</xdr:col>
      <xdr:colOff>219075</xdr:colOff>
      <xdr:row>0</xdr:row>
      <xdr:rowOff>0</xdr:rowOff>
    </xdr:to>
    <xdr:sp macro="" textlink="">
      <xdr:nvSpPr>
        <xdr:cNvPr id="4390062" name="Line 67">
          <a:extLst>
            <a:ext uri="{FF2B5EF4-FFF2-40B4-BE49-F238E27FC236}">
              <a16:creationId xmlns="" xmlns:a16="http://schemas.microsoft.com/office/drawing/2014/main" id="{00000000-0008-0000-1400-0000AEFC4200}"/>
            </a:ext>
          </a:extLst>
        </xdr:cNvPr>
        <xdr:cNvSpPr>
          <a:spLocks noChangeShapeType="1"/>
        </xdr:cNvSpPr>
      </xdr:nvSpPr>
      <xdr:spPr bwMode="auto">
        <a:xfrm>
          <a:off x="29146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266700</xdr:colOff>
      <xdr:row>0</xdr:row>
      <xdr:rowOff>0</xdr:rowOff>
    </xdr:from>
    <xdr:to>
      <xdr:col>2</xdr:col>
      <xdr:colOff>266700</xdr:colOff>
      <xdr:row>0</xdr:row>
      <xdr:rowOff>0</xdr:rowOff>
    </xdr:to>
    <xdr:sp macro="" textlink="">
      <xdr:nvSpPr>
        <xdr:cNvPr id="4390063" name="Line 68">
          <a:extLst>
            <a:ext uri="{FF2B5EF4-FFF2-40B4-BE49-F238E27FC236}">
              <a16:creationId xmlns="" xmlns:a16="http://schemas.microsoft.com/office/drawing/2014/main" id="{00000000-0008-0000-1400-0000AFFC4200}"/>
            </a:ext>
          </a:extLst>
        </xdr:cNvPr>
        <xdr:cNvSpPr>
          <a:spLocks noChangeShapeType="1"/>
        </xdr:cNvSpPr>
      </xdr:nvSpPr>
      <xdr:spPr bwMode="auto">
        <a:xfrm>
          <a:off x="29622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333375</xdr:colOff>
      <xdr:row>0</xdr:row>
      <xdr:rowOff>0</xdr:rowOff>
    </xdr:from>
    <xdr:to>
      <xdr:col>2</xdr:col>
      <xdr:colOff>333375</xdr:colOff>
      <xdr:row>0</xdr:row>
      <xdr:rowOff>0</xdr:rowOff>
    </xdr:to>
    <xdr:sp macro="" textlink="">
      <xdr:nvSpPr>
        <xdr:cNvPr id="4390064" name="Line 69">
          <a:extLst>
            <a:ext uri="{FF2B5EF4-FFF2-40B4-BE49-F238E27FC236}">
              <a16:creationId xmlns="" xmlns:a16="http://schemas.microsoft.com/office/drawing/2014/main" id="{00000000-0008-0000-1400-0000B0FC4200}"/>
            </a:ext>
          </a:extLst>
        </xdr:cNvPr>
        <xdr:cNvSpPr>
          <a:spLocks noChangeShapeType="1"/>
        </xdr:cNvSpPr>
      </xdr:nvSpPr>
      <xdr:spPr bwMode="auto">
        <a:xfrm>
          <a:off x="30289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0</xdr:row>
      <xdr:rowOff>0</xdr:rowOff>
    </xdr:from>
    <xdr:to>
      <xdr:col>2</xdr:col>
      <xdr:colOff>390525</xdr:colOff>
      <xdr:row>0</xdr:row>
      <xdr:rowOff>0</xdr:rowOff>
    </xdr:to>
    <xdr:sp macro="" textlink="">
      <xdr:nvSpPr>
        <xdr:cNvPr id="4390065" name="Line 70">
          <a:extLst>
            <a:ext uri="{FF2B5EF4-FFF2-40B4-BE49-F238E27FC236}">
              <a16:creationId xmlns="" xmlns:a16="http://schemas.microsoft.com/office/drawing/2014/main" id="{00000000-0008-0000-1400-0000B1FC4200}"/>
            </a:ext>
          </a:extLst>
        </xdr:cNvPr>
        <xdr:cNvSpPr>
          <a:spLocks noChangeShapeType="1"/>
        </xdr:cNvSpPr>
      </xdr:nvSpPr>
      <xdr:spPr bwMode="auto">
        <a:xfrm>
          <a:off x="30861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447675</xdr:colOff>
      <xdr:row>0</xdr:row>
      <xdr:rowOff>0</xdr:rowOff>
    </xdr:to>
    <xdr:sp macro="" textlink="">
      <xdr:nvSpPr>
        <xdr:cNvPr id="4390066" name="Line 71">
          <a:extLst>
            <a:ext uri="{FF2B5EF4-FFF2-40B4-BE49-F238E27FC236}">
              <a16:creationId xmlns="" xmlns:a16="http://schemas.microsoft.com/office/drawing/2014/main" id="{00000000-0008-0000-1400-0000B2FC4200}"/>
            </a:ext>
          </a:extLst>
        </xdr:cNvPr>
        <xdr:cNvSpPr>
          <a:spLocks noChangeShapeType="1"/>
        </xdr:cNvSpPr>
      </xdr:nvSpPr>
      <xdr:spPr bwMode="auto">
        <a:xfrm>
          <a:off x="2857500" y="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4390067" name="Line 72">
          <a:extLst>
            <a:ext uri="{FF2B5EF4-FFF2-40B4-BE49-F238E27FC236}">
              <a16:creationId xmlns="" xmlns:a16="http://schemas.microsoft.com/office/drawing/2014/main" id="{00000000-0008-0000-1400-0000B3FC4200}"/>
            </a:ext>
          </a:extLst>
        </xdr:cNvPr>
        <xdr:cNvSpPr>
          <a:spLocks noChangeShapeType="1"/>
        </xdr:cNvSpPr>
      </xdr:nvSpPr>
      <xdr:spPr bwMode="auto">
        <a:xfrm>
          <a:off x="2847975" y="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314325</xdr:colOff>
      <xdr:row>0</xdr:row>
      <xdr:rowOff>0</xdr:rowOff>
    </xdr:to>
    <xdr:sp macro="" textlink="">
      <xdr:nvSpPr>
        <xdr:cNvPr id="4390068" name="Line 73">
          <a:extLst>
            <a:ext uri="{FF2B5EF4-FFF2-40B4-BE49-F238E27FC236}">
              <a16:creationId xmlns="" xmlns:a16="http://schemas.microsoft.com/office/drawing/2014/main" id="{00000000-0008-0000-1400-0000B4FC4200}"/>
            </a:ext>
          </a:extLst>
        </xdr:cNvPr>
        <xdr:cNvSpPr>
          <a:spLocks noChangeShapeType="1"/>
        </xdr:cNvSpPr>
      </xdr:nvSpPr>
      <xdr:spPr bwMode="auto">
        <a:xfrm>
          <a:off x="2857500" y="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657225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90069" name="Line 74">
          <a:extLst>
            <a:ext uri="{FF2B5EF4-FFF2-40B4-BE49-F238E27FC236}">
              <a16:creationId xmlns="" xmlns:a16="http://schemas.microsoft.com/office/drawing/2014/main" id="{00000000-0008-0000-1400-0000B5FC4200}"/>
            </a:ext>
          </a:extLst>
        </xdr:cNvPr>
        <xdr:cNvSpPr>
          <a:spLocks noChangeShapeType="1"/>
        </xdr:cNvSpPr>
      </xdr:nvSpPr>
      <xdr:spPr bwMode="auto">
        <a:xfrm>
          <a:off x="2695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266700</xdr:colOff>
      <xdr:row>0</xdr:row>
      <xdr:rowOff>0</xdr:rowOff>
    </xdr:from>
    <xdr:to>
      <xdr:col>11</xdr:col>
      <xdr:colOff>352425</xdr:colOff>
      <xdr:row>0</xdr:row>
      <xdr:rowOff>0</xdr:rowOff>
    </xdr:to>
    <xdr:sp macro="" textlink="">
      <xdr:nvSpPr>
        <xdr:cNvPr id="4390070" name="Text Box 75">
          <a:extLst>
            <a:ext uri="{FF2B5EF4-FFF2-40B4-BE49-F238E27FC236}">
              <a16:creationId xmlns="" xmlns:a16="http://schemas.microsoft.com/office/drawing/2014/main" id="{00000000-0008-0000-1400-0000B6FC4200}"/>
            </a:ext>
          </a:extLst>
        </xdr:cNvPr>
        <xdr:cNvSpPr txBox="1">
          <a:spLocks noChangeArrowheads="1"/>
        </xdr:cNvSpPr>
      </xdr:nvSpPr>
      <xdr:spPr bwMode="auto">
        <a:xfrm>
          <a:off x="10048875" y="0"/>
          <a:ext cx="7429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209550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4390071" name="Line 76">
          <a:extLst>
            <a:ext uri="{FF2B5EF4-FFF2-40B4-BE49-F238E27FC236}">
              <a16:creationId xmlns="" xmlns:a16="http://schemas.microsoft.com/office/drawing/2014/main" id="{00000000-0008-0000-1400-0000B7FC4200}"/>
            </a:ext>
          </a:extLst>
        </xdr:cNvPr>
        <xdr:cNvSpPr>
          <a:spLocks noChangeShapeType="1"/>
        </xdr:cNvSpPr>
      </xdr:nvSpPr>
      <xdr:spPr bwMode="auto">
        <a:xfrm flipV="1">
          <a:off x="63055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819150</xdr:colOff>
      <xdr:row>0</xdr:row>
      <xdr:rowOff>0</xdr:rowOff>
    </xdr:to>
    <xdr:sp macro="" textlink="">
      <xdr:nvSpPr>
        <xdr:cNvPr id="4390072" name="Line 77">
          <a:extLst>
            <a:ext uri="{FF2B5EF4-FFF2-40B4-BE49-F238E27FC236}">
              <a16:creationId xmlns="" xmlns:a16="http://schemas.microsoft.com/office/drawing/2014/main" id="{00000000-0008-0000-1400-0000B8FC4200}"/>
            </a:ext>
          </a:extLst>
        </xdr:cNvPr>
        <xdr:cNvSpPr>
          <a:spLocks noChangeShapeType="1"/>
        </xdr:cNvSpPr>
      </xdr:nvSpPr>
      <xdr:spPr bwMode="auto">
        <a:xfrm>
          <a:off x="6591300" y="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114300</xdr:colOff>
      <xdr:row>0</xdr:row>
      <xdr:rowOff>0</xdr:rowOff>
    </xdr:from>
    <xdr:to>
      <xdr:col>5</xdr:col>
      <xdr:colOff>323850</xdr:colOff>
      <xdr:row>0</xdr:row>
      <xdr:rowOff>0</xdr:rowOff>
    </xdr:to>
    <xdr:sp macro="" textlink="">
      <xdr:nvSpPr>
        <xdr:cNvPr id="4390073" name="Line 78">
          <a:extLst>
            <a:ext uri="{FF2B5EF4-FFF2-40B4-BE49-F238E27FC236}">
              <a16:creationId xmlns="" xmlns:a16="http://schemas.microsoft.com/office/drawing/2014/main" id="{00000000-0008-0000-1400-0000B9FC4200}"/>
            </a:ext>
          </a:extLst>
        </xdr:cNvPr>
        <xdr:cNvSpPr>
          <a:spLocks noChangeShapeType="1"/>
        </xdr:cNvSpPr>
      </xdr:nvSpPr>
      <xdr:spPr bwMode="auto">
        <a:xfrm>
          <a:off x="6210300" y="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0074" name="Rectangle 79">
          <a:extLst>
            <a:ext uri="{FF2B5EF4-FFF2-40B4-BE49-F238E27FC236}">
              <a16:creationId xmlns="" xmlns:a16="http://schemas.microsoft.com/office/drawing/2014/main" id="{00000000-0008-0000-1400-0000BAFC4200}"/>
            </a:ext>
          </a:extLst>
        </xdr:cNvPr>
        <xdr:cNvSpPr>
          <a:spLocks noChangeArrowheads="1"/>
        </xdr:cNvSpPr>
      </xdr:nvSpPr>
      <xdr:spPr bwMode="auto">
        <a:xfrm>
          <a:off x="15801975" y="0"/>
          <a:ext cx="325755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90075" name="Line 80">
          <a:extLst>
            <a:ext uri="{FF2B5EF4-FFF2-40B4-BE49-F238E27FC236}">
              <a16:creationId xmlns="" xmlns:a16="http://schemas.microsoft.com/office/drawing/2014/main" id="{00000000-0008-0000-1400-0000BBFC4200}"/>
            </a:ext>
          </a:extLst>
        </xdr:cNvPr>
        <xdr:cNvSpPr>
          <a:spLocks noChangeShapeType="1"/>
        </xdr:cNvSpPr>
      </xdr:nvSpPr>
      <xdr:spPr bwMode="auto">
        <a:xfrm flipV="1">
          <a:off x="159543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0076" name="Line 81">
          <a:extLst>
            <a:ext uri="{FF2B5EF4-FFF2-40B4-BE49-F238E27FC236}">
              <a16:creationId xmlns="" xmlns:a16="http://schemas.microsoft.com/office/drawing/2014/main" id="{00000000-0008-0000-1400-0000BCFC4200}"/>
            </a:ext>
          </a:extLst>
        </xdr:cNvPr>
        <xdr:cNvSpPr>
          <a:spLocks noChangeShapeType="1"/>
        </xdr:cNvSpPr>
      </xdr:nvSpPr>
      <xdr:spPr bwMode="auto">
        <a:xfrm flipV="1">
          <a:off x="190595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90077" name="Line 82">
          <a:extLst>
            <a:ext uri="{FF2B5EF4-FFF2-40B4-BE49-F238E27FC236}">
              <a16:creationId xmlns="" xmlns:a16="http://schemas.microsoft.com/office/drawing/2014/main" id="{00000000-0008-0000-1400-0000BDFC4200}"/>
            </a:ext>
          </a:extLst>
        </xdr:cNvPr>
        <xdr:cNvSpPr>
          <a:spLocks noChangeShapeType="1"/>
        </xdr:cNvSpPr>
      </xdr:nvSpPr>
      <xdr:spPr bwMode="auto">
        <a:xfrm flipV="1">
          <a:off x="159543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0078" name="Line 83">
          <a:extLst>
            <a:ext uri="{FF2B5EF4-FFF2-40B4-BE49-F238E27FC236}">
              <a16:creationId xmlns="" xmlns:a16="http://schemas.microsoft.com/office/drawing/2014/main" id="{00000000-0008-0000-1400-0000BEFC4200}"/>
            </a:ext>
          </a:extLst>
        </xdr:cNvPr>
        <xdr:cNvSpPr>
          <a:spLocks noChangeShapeType="1"/>
        </xdr:cNvSpPr>
      </xdr:nvSpPr>
      <xdr:spPr bwMode="auto">
        <a:xfrm flipV="1">
          <a:off x="190595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19050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0079" name="Line 84">
          <a:extLst>
            <a:ext uri="{FF2B5EF4-FFF2-40B4-BE49-F238E27FC236}">
              <a16:creationId xmlns="" xmlns:a16="http://schemas.microsoft.com/office/drawing/2014/main" id="{00000000-0008-0000-1400-0000BFFC4200}"/>
            </a:ext>
          </a:extLst>
        </xdr:cNvPr>
        <xdr:cNvSpPr>
          <a:spLocks noChangeShapeType="1"/>
        </xdr:cNvSpPr>
      </xdr:nvSpPr>
      <xdr:spPr bwMode="auto">
        <a:xfrm>
          <a:off x="15973425" y="0"/>
          <a:ext cx="3086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609600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0080" name="Line 85">
          <a:extLst>
            <a:ext uri="{FF2B5EF4-FFF2-40B4-BE49-F238E27FC236}">
              <a16:creationId xmlns="" xmlns:a16="http://schemas.microsoft.com/office/drawing/2014/main" id="{00000000-0008-0000-1400-0000C0FC4200}"/>
            </a:ext>
          </a:extLst>
        </xdr:cNvPr>
        <xdr:cNvSpPr>
          <a:spLocks noChangeShapeType="1"/>
        </xdr:cNvSpPr>
      </xdr:nvSpPr>
      <xdr:spPr bwMode="auto">
        <a:xfrm>
          <a:off x="15821025" y="0"/>
          <a:ext cx="3238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628650</xdr:colOff>
      <xdr:row>0</xdr:row>
      <xdr:rowOff>0</xdr:rowOff>
    </xdr:from>
    <xdr:to>
      <xdr:col>17</xdr:col>
      <xdr:colOff>628650</xdr:colOff>
      <xdr:row>0</xdr:row>
      <xdr:rowOff>0</xdr:rowOff>
    </xdr:to>
    <xdr:sp macro="" textlink="">
      <xdr:nvSpPr>
        <xdr:cNvPr id="4390081" name="Line 86">
          <a:extLst>
            <a:ext uri="{FF2B5EF4-FFF2-40B4-BE49-F238E27FC236}">
              <a16:creationId xmlns="" xmlns:a16="http://schemas.microsoft.com/office/drawing/2014/main" id="{00000000-0008-0000-1400-0000C1FC4200}"/>
            </a:ext>
          </a:extLst>
        </xdr:cNvPr>
        <xdr:cNvSpPr>
          <a:spLocks noChangeShapeType="1"/>
        </xdr:cNvSpPr>
      </xdr:nvSpPr>
      <xdr:spPr bwMode="auto">
        <a:xfrm flipV="1">
          <a:off x="158400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0082" name="Line 87">
          <a:extLst>
            <a:ext uri="{FF2B5EF4-FFF2-40B4-BE49-F238E27FC236}">
              <a16:creationId xmlns="" xmlns:a16="http://schemas.microsoft.com/office/drawing/2014/main" id="{00000000-0008-0000-1400-0000C2FC4200}"/>
            </a:ext>
          </a:extLst>
        </xdr:cNvPr>
        <xdr:cNvSpPr>
          <a:spLocks noChangeShapeType="1"/>
        </xdr:cNvSpPr>
      </xdr:nvSpPr>
      <xdr:spPr bwMode="auto">
        <a:xfrm flipV="1">
          <a:off x="190595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25</xdr:col>
      <xdr:colOff>38100</xdr:colOff>
      <xdr:row>0</xdr:row>
      <xdr:rowOff>0</xdr:rowOff>
    </xdr:to>
    <xdr:sp macro="" textlink="">
      <xdr:nvSpPr>
        <xdr:cNvPr id="4390083" name="Rectangle 88">
          <a:extLst>
            <a:ext uri="{FF2B5EF4-FFF2-40B4-BE49-F238E27FC236}">
              <a16:creationId xmlns="" xmlns:a16="http://schemas.microsoft.com/office/drawing/2014/main" id="{00000000-0008-0000-1400-0000C3FC4200}"/>
            </a:ext>
          </a:extLst>
        </xdr:cNvPr>
        <xdr:cNvSpPr>
          <a:spLocks noChangeArrowheads="1"/>
        </xdr:cNvSpPr>
      </xdr:nvSpPr>
      <xdr:spPr bwMode="auto">
        <a:xfrm>
          <a:off x="19059525" y="0"/>
          <a:ext cx="23717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0084" name="Line 89">
          <a:extLst>
            <a:ext uri="{FF2B5EF4-FFF2-40B4-BE49-F238E27FC236}">
              <a16:creationId xmlns="" xmlns:a16="http://schemas.microsoft.com/office/drawing/2014/main" id="{00000000-0008-0000-1400-0000C4FC4200}"/>
            </a:ext>
          </a:extLst>
        </xdr:cNvPr>
        <xdr:cNvSpPr>
          <a:spLocks noChangeShapeType="1"/>
        </xdr:cNvSpPr>
      </xdr:nvSpPr>
      <xdr:spPr bwMode="auto">
        <a:xfrm flipV="1">
          <a:off x="190595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25</xdr:col>
      <xdr:colOff>0</xdr:colOff>
      <xdr:row>0</xdr:row>
      <xdr:rowOff>0</xdr:rowOff>
    </xdr:to>
    <xdr:sp macro="" textlink="">
      <xdr:nvSpPr>
        <xdr:cNvPr id="4390085" name="Line 90">
          <a:extLst>
            <a:ext uri="{FF2B5EF4-FFF2-40B4-BE49-F238E27FC236}">
              <a16:creationId xmlns="" xmlns:a16="http://schemas.microsoft.com/office/drawing/2014/main" id="{00000000-0008-0000-1400-0000C5FC4200}"/>
            </a:ext>
          </a:extLst>
        </xdr:cNvPr>
        <xdr:cNvSpPr>
          <a:spLocks noChangeShapeType="1"/>
        </xdr:cNvSpPr>
      </xdr:nvSpPr>
      <xdr:spPr bwMode="auto">
        <a:xfrm>
          <a:off x="19059525" y="0"/>
          <a:ext cx="2333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25</xdr:col>
      <xdr:colOff>19050</xdr:colOff>
      <xdr:row>0</xdr:row>
      <xdr:rowOff>0</xdr:rowOff>
    </xdr:from>
    <xdr:to>
      <xdr:col>25</xdr:col>
      <xdr:colOff>19050</xdr:colOff>
      <xdr:row>0</xdr:row>
      <xdr:rowOff>0</xdr:rowOff>
    </xdr:to>
    <xdr:sp macro="" textlink="">
      <xdr:nvSpPr>
        <xdr:cNvPr id="4390086" name="Line 91">
          <a:extLst>
            <a:ext uri="{FF2B5EF4-FFF2-40B4-BE49-F238E27FC236}">
              <a16:creationId xmlns="" xmlns:a16="http://schemas.microsoft.com/office/drawing/2014/main" id="{00000000-0008-0000-1400-0000C6FC4200}"/>
            </a:ext>
          </a:extLst>
        </xdr:cNvPr>
        <xdr:cNvSpPr>
          <a:spLocks noChangeShapeType="1"/>
        </xdr:cNvSpPr>
      </xdr:nvSpPr>
      <xdr:spPr bwMode="auto">
        <a:xfrm>
          <a:off x="214122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400050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90087" name="Line 92">
          <a:extLst>
            <a:ext uri="{FF2B5EF4-FFF2-40B4-BE49-F238E27FC236}">
              <a16:creationId xmlns="" xmlns:a16="http://schemas.microsoft.com/office/drawing/2014/main" id="{00000000-0008-0000-1400-0000C7FC4200}"/>
            </a:ext>
          </a:extLst>
        </xdr:cNvPr>
        <xdr:cNvSpPr>
          <a:spLocks noChangeShapeType="1"/>
        </xdr:cNvSpPr>
      </xdr:nvSpPr>
      <xdr:spPr bwMode="auto">
        <a:xfrm flipH="1" flipV="1">
          <a:off x="12954000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14</xdr:col>
      <xdr:colOff>781050</xdr:colOff>
      <xdr:row>0</xdr:row>
      <xdr:rowOff>0</xdr:rowOff>
    </xdr:to>
    <xdr:sp macro="" textlink="">
      <xdr:nvSpPr>
        <xdr:cNvPr id="4390088" name="Line 93">
          <a:extLst>
            <a:ext uri="{FF2B5EF4-FFF2-40B4-BE49-F238E27FC236}">
              <a16:creationId xmlns="" xmlns:a16="http://schemas.microsoft.com/office/drawing/2014/main" id="{00000000-0008-0000-1400-0000C8FC4200}"/>
            </a:ext>
          </a:extLst>
        </xdr:cNvPr>
        <xdr:cNvSpPr>
          <a:spLocks noChangeShapeType="1"/>
        </xdr:cNvSpPr>
      </xdr:nvSpPr>
      <xdr:spPr bwMode="auto">
        <a:xfrm flipH="1">
          <a:off x="8543925" y="0"/>
          <a:ext cx="479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4</xdr:col>
      <xdr:colOff>704850</xdr:colOff>
      <xdr:row>0</xdr:row>
      <xdr:rowOff>0</xdr:rowOff>
    </xdr:to>
    <xdr:sp macro="" textlink="">
      <xdr:nvSpPr>
        <xdr:cNvPr id="4390089" name="Line 94">
          <a:extLst>
            <a:ext uri="{FF2B5EF4-FFF2-40B4-BE49-F238E27FC236}">
              <a16:creationId xmlns="" xmlns:a16="http://schemas.microsoft.com/office/drawing/2014/main" id="{00000000-0008-0000-1400-0000C9FC4200}"/>
            </a:ext>
          </a:extLst>
        </xdr:cNvPr>
        <xdr:cNvSpPr>
          <a:spLocks noChangeShapeType="1"/>
        </xdr:cNvSpPr>
      </xdr:nvSpPr>
      <xdr:spPr bwMode="auto">
        <a:xfrm>
          <a:off x="2847975" y="0"/>
          <a:ext cx="3000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90090" name="Line 95">
          <a:extLst>
            <a:ext uri="{FF2B5EF4-FFF2-40B4-BE49-F238E27FC236}">
              <a16:creationId xmlns="" xmlns:a16="http://schemas.microsoft.com/office/drawing/2014/main" id="{00000000-0008-0000-1400-0000CAFC4200}"/>
            </a:ext>
          </a:extLst>
        </xdr:cNvPr>
        <xdr:cNvSpPr>
          <a:spLocks noChangeShapeType="1"/>
        </xdr:cNvSpPr>
      </xdr:nvSpPr>
      <xdr:spPr bwMode="auto">
        <a:xfrm>
          <a:off x="105346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247650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0091" name="Line 96">
          <a:extLst>
            <a:ext uri="{FF2B5EF4-FFF2-40B4-BE49-F238E27FC236}">
              <a16:creationId xmlns="" xmlns:a16="http://schemas.microsoft.com/office/drawing/2014/main" id="{00000000-0008-0000-1400-0000CBFC4200}"/>
            </a:ext>
          </a:extLst>
        </xdr:cNvPr>
        <xdr:cNvSpPr>
          <a:spLocks noChangeShapeType="1"/>
        </xdr:cNvSpPr>
      </xdr:nvSpPr>
      <xdr:spPr bwMode="auto">
        <a:xfrm>
          <a:off x="11306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1047750</xdr:colOff>
      <xdr:row>0</xdr:row>
      <xdr:rowOff>0</xdr:rowOff>
    </xdr:from>
    <xdr:to>
      <xdr:col>12</xdr:col>
      <xdr:colOff>304800</xdr:colOff>
      <xdr:row>0</xdr:row>
      <xdr:rowOff>0</xdr:rowOff>
    </xdr:to>
    <xdr:sp macro="" textlink="">
      <xdr:nvSpPr>
        <xdr:cNvPr id="4390092" name="Line 97">
          <a:extLst>
            <a:ext uri="{FF2B5EF4-FFF2-40B4-BE49-F238E27FC236}">
              <a16:creationId xmlns="" xmlns:a16="http://schemas.microsoft.com/office/drawing/2014/main" id="{00000000-0008-0000-1400-0000CCFC4200}"/>
            </a:ext>
          </a:extLst>
        </xdr:cNvPr>
        <xdr:cNvSpPr>
          <a:spLocks noChangeShapeType="1"/>
        </xdr:cNvSpPr>
      </xdr:nvSpPr>
      <xdr:spPr bwMode="auto">
        <a:xfrm>
          <a:off x="11363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571500</xdr:colOff>
      <xdr:row>0</xdr:row>
      <xdr:rowOff>0</xdr:rowOff>
    </xdr:from>
    <xdr:to>
      <xdr:col>13</xdr:col>
      <xdr:colOff>571500</xdr:colOff>
      <xdr:row>0</xdr:row>
      <xdr:rowOff>0</xdr:rowOff>
    </xdr:to>
    <xdr:sp macro="" textlink="">
      <xdr:nvSpPr>
        <xdr:cNvPr id="4390093" name="Line 98">
          <a:extLst>
            <a:ext uri="{FF2B5EF4-FFF2-40B4-BE49-F238E27FC236}">
              <a16:creationId xmlns="" xmlns:a16="http://schemas.microsoft.com/office/drawing/2014/main" id="{00000000-0008-0000-1400-0000CDFC4200}"/>
            </a:ext>
          </a:extLst>
        </xdr:cNvPr>
        <xdr:cNvSpPr>
          <a:spLocks noChangeShapeType="1"/>
        </xdr:cNvSpPr>
      </xdr:nvSpPr>
      <xdr:spPr bwMode="auto">
        <a:xfrm>
          <a:off x="119348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14</xdr:col>
      <xdr:colOff>457200</xdr:colOff>
      <xdr:row>0</xdr:row>
      <xdr:rowOff>0</xdr:rowOff>
    </xdr:to>
    <xdr:sp macro="" textlink="">
      <xdr:nvSpPr>
        <xdr:cNvPr id="4390094" name="Line 99">
          <a:extLst>
            <a:ext uri="{FF2B5EF4-FFF2-40B4-BE49-F238E27FC236}">
              <a16:creationId xmlns="" xmlns:a16="http://schemas.microsoft.com/office/drawing/2014/main" id="{00000000-0008-0000-1400-0000CEFC4200}"/>
            </a:ext>
          </a:extLst>
        </xdr:cNvPr>
        <xdr:cNvSpPr>
          <a:spLocks noChangeShapeType="1"/>
        </xdr:cNvSpPr>
      </xdr:nvSpPr>
      <xdr:spPr bwMode="auto">
        <a:xfrm>
          <a:off x="130111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323850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90095" name="Line 100">
          <a:extLst>
            <a:ext uri="{FF2B5EF4-FFF2-40B4-BE49-F238E27FC236}">
              <a16:creationId xmlns="" xmlns:a16="http://schemas.microsoft.com/office/drawing/2014/main" id="{00000000-0008-0000-1400-0000CFFC4200}"/>
            </a:ext>
          </a:extLst>
        </xdr:cNvPr>
        <xdr:cNvSpPr>
          <a:spLocks noChangeShapeType="1"/>
        </xdr:cNvSpPr>
      </xdr:nvSpPr>
      <xdr:spPr bwMode="auto">
        <a:xfrm flipH="1">
          <a:off x="8248650" y="0"/>
          <a:ext cx="2286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15</xdr:col>
      <xdr:colOff>161925</xdr:colOff>
      <xdr:row>0</xdr:row>
      <xdr:rowOff>0</xdr:rowOff>
    </xdr:to>
    <xdr:sp macro="" textlink="">
      <xdr:nvSpPr>
        <xdr:cNvPr id="4390096" name="Line 101">
          <a:extLst>
            <a:ext uri="{FF2B5EF4-FFF2-40B4-BE49-F238E27FC236}">
              <a16:creationId xmlns="" xmlns:a16="http://schemas.microsoft.com/office/drawing/2014/main" id="{00000000-0008-0000-1400-0000D0FC4200}"/>
            </a:ext>
          </a:extLst>
        </xdr:cNvPr>
        <xdr:cNvSpPr>
          <a:spLocks noChangeShapeType="1"/>
        </xdr:cNvSpPr>
      </xdr:nvSpPr>
      <xdr:spPr bwMode="auto">
        <a:xfrm>
          <a:off x="13011150" y="0"/>
          <a:ext cx="628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0097" name="Line 102">
          <a:extLst>
            <a:ext uri="{FF2B5EF4-FFF2-40B4-BE49-F238E27FC236}">
              <a16:creationId xmlns="" xmlns:a16="http://schemas.microsoft.com/office/drawing/2014/main" id="{00000000-0008-0000-1400-0000D1FC4200}"/>
            </a:ext>
          </a:extLst>
        </xdr:cNvPr>
        <xdr:cNvSpPr>
          <a:spLocks noChangeShapeType="1"/>
        </xdr:cNvSpPr>
      </xdr:nvSpPr>
      <xdr:spPr bwMode="auto">
        <a:xfrm flipV="1">
          <a:off x="11972925" y="0"/>
          <a:ext cx="165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1066800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0098" name="Line 103">
          <a:extLst>
            <a:ext uri="{FF2B5EF4-FFF2-40B4-BE49-F238E27FC236}">
              <a16:creationId xmlns="" xmlns:a16="http://schemas.microsoft.com/office/drawing/2014/main" id="{00000000-0008-0000-1400-0000D2FC4200}"/>
            </a:ext>
          </a:extLst>
        </xdr:cNvPr>
        <xdr:cNvSpPr>
          <a:spLocks noChangeShapeType="1"/>
        </xdr:cNvSpPr>
      </xdr:nvSpPr>
      <xdr:spPr bwMode="auto">
        <a:xfrm>
          <a:off x="11363325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266700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0099" name="Line 104">
          <a:extLst>
            <a:ext uri="{FF2B5EF4-FFF2-40B4-BE49-F238E27FC236}">
              <a16:creationId xmlns="" xmlns:a16="http://schemas.microsoft.com/office/drawing/2014/main" id="{00000000-0008-0000-1400-0000D3FC4200}"/>
            </a:ext>
          </a:extLst>
        </xdr:cNvPr>
        <xdr:cNvSpPr>
          <a:spLocks noChangeShapeType="1"/>
        </xdr:cNvSpPr>
      </xdr:nvSpPr>
      <xdr:spPr bwMode="auto">
        <a:xfrm>
          <a:off x="11325225" y="0"/>
          <a:ext cx="2305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0100" name="Line 105">
          <a:extLst>
            <a:ext uri="{FF2B5EF4-FFF2-40B4-BE49-F238E27FC236}">
              <a16:creationId xmlns="" xmlns:a16="http://schemas.microsoft.com/office/drawing/2014/main" id="{00000000-0008-0000-1400-0000D4FC4200}"/>
            </a:ext>
          </a:extLst>
        </xdr:cNvPr>
        <xdr:cNvSpPr>
          <a:spLocks noChangeShapeType="1"/>
        </xdr:cNvSpPr>
      </xdr:nvSpPr>
      <xdr:spPr bwMode="auto">
        <a:xfrm>
          <a:off x="10534650" y="0"/>
          <a:ext cx="3095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495300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0101" name="Line 106">
          <a:extLst>
            <a:ext uri="{FF2B5EF4-FFF2-40B4-BE49-F238E27FC236}">
              <a16:creationId xmlns="" xmlns:a16="http://schemas.microsoft.com/office/drawing/2014/main" id="{00000000-0008-0000-1400-0000D5FC4200}"/>
            </a:ext>
          </a:extLst>
        </xdr:cNvPr>
        <xdr:cNvSpPr>
          <a:spLocks noChangeShapeType="1"/>
        </xdr:cNvSpPr>
      </xdr:nvSpPr>
      <xdr:spPr bwMode="auto">
        <a:xfrm flipH="1">
          <a:off x="8420100" y="0"/>
          <a:ext cx="2886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1028700</xdr:colOff>
      <xdr:row>0</xdr:row>
      <xdr:rowOff>0</xdr:rowOff>
    </xdr:to>
    <xdr:sp macro="" textlink="">
      <xdr:nvSpPr>
        <xdr:cNvPr id="4390102" name="Line 107">
          <a:extLst>
            <a:ext uri="{FF2B5EF4-FFF2-40B4-BE49-F238E27FC236}">
              <a16:creationId xmlns="" xmlns:a16="http://schemas.microsoft.com/office/drawing/2014/main" id="{00000000-0008-0000-1400-0000D6FC4200}"/>
            </a:ext>
          </a:extLst>
        </xdr:cNvPr>
        <xdr:cNvSpPr>
          <a:spLocks noChangeShapeType="1"/>
        </xdr:cNvSpPr>
      </xdr:nvSpPr>
      <xdr:spPr bwMode="auto">
        <a:xfrm flipH="1">
          <a:off x="8515350" y="0"/>
          <a:ext cx="2847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171450</xdr:colOff>
      <xdr:row>0</xdr:row>
      <xdr:rowOff>0</xdr:rowOff>
    </xdr:from>
    <xdr:to>
      <xdr:col>13</xdr:col>
      <xdr:colOff>552450</xdr:colOff>
      <xdr:row>0</xdr:row>
      <xdr:rowOff>0</xdr:rowOff>
    </xdr:to>
    <xdr:sp macro="" textlink="">
      <xdr:nvSpPr>
        <xdr:cNvPr id="4390103" name="Line 108">
          <a:extLst>
            <a:ext uri="{FF2B5EF4-FFF2-40B4-BE49-F238E27FC236}">
              <a16:creationId xmlns="" xmlns:a16="http://schemas.microsoft.com/office/drawing/2014/main" id="{00000000-0008-0000-1400-0000D7FC4200}"/>
            </a:ext>
          </a:extLst>
        </xdr:cNvPr>
        <xdr:cNvSpPr>
          <a:spLocks noChangeShapeType="1"/>
        </xdr:cNvSpPr>
      </xdr:nvSpPr>
      <xdr:spPr bwMode="auto">
        <a:xfrm flipH="1">
          <a:off x="9953625" y="0"/>
          <a:ext cx="1962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457200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90104" name="Line 109">
          <a:extLst>
            <a:ext uri="{FF2B5EF4-FFF2-40B4-BE49-F238E27FC236}">
              <a16:creationId xmlns="" xmlns:a16="http://schemas.microsoft.com/office/drawing/2014/main" id="{00000000-0008-0000-1400-0000D8FC4200}"/>
            </a:ext>
          </a:extLst>
        </xdr:cNvPr>
        <xdr:cNvSpPr>
          <a:spLocks noChangeShapeType="1"/>
        </xdr:cNvSpPr>
      </xdr:nvSpPr>
      <xdr:spPr bwMode="auto">
        <a:xfrm flipH="1">
          <a:off x="1023937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1104900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90105" name="Line 110">
          <a:extLst>
            <a:ext uri="{FF2B5EF4-FFF2-40B4-BE49-F238E27FC236}">
              <a16:creationId xmlns="" xmlns:a16="http://schemas.microsoft.com/office/drawing/2014/main" id="{00000000-0008-0000-1400-0000D9FC4200}"/>
            </a:ext>
          </a:extLst>
        </xdr:cNvPr>
        <xdr:cNvSpPr>
          <a:spLocks noChangeShapeType="1"/>
        </xdr:cNvSpPr>
      </xdr:nvSpPr>
      <xdr:spPr bwMode="auto">
        <a:xfrm>
          <a:off x="10439400" y="0"/>
          <a:ext cx="2838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1085850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90106" name="Line 111">
          <a:extLst>
            <a:ext uri="{FF2B5EF4-FFF2-40B4-BE49-F238E27FC236}">
              <a16:creationId xmlns="" xmlns:a16="http://schemas.microsoft.com/office/drawing/2014/main" id="{00000000-0008-0000-1400-0000DAFC4200}"/>
            </a:ext>
          </a:extLst>
        </xdr:cNvPr>
        <xdr:cNvSpPr>
          <a:spLocks noChangeShapeType="1"/>
        </xdr:cNvSpPr>
      </xdr:nvSpPr>
      <xdr:spPr bwMode="auto">
        <a:xfrm>
          <a:off x="10439400" y="0"/>
          <a:ext cx="2838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123825</xdr:colOff>
      <xdr:row>0</xdr:row>
      <xdr:rowOff>0</xdr:rowOff>
    </xdr:from>
    <xdr:to>
      <xdr:col>21</xdr:col>
      <xdr:colOff>438150</xdr:colOff>
      <xdr:row>0</xdr:row>
      <xdr:rowOff>0</xdr:rowOff>
    </xdr:to>
    <xdr:sp macro="" textlink="">
      <xdr:nvSpPr>
        <xdr:cNvPr id="113" name="Text Box 112">
          <a:extLst>
            <a:ext uri="{FF2B5EF4-FFF2-40B4-BE49-F238E27FC236}">
              <a16:creationId xmlns="" xmlns:a16="http://schemas.microsoft.com/office/drawing/2014/main" id="{00000000-0008-0000-1400-000071000000}"/>
            </a:ext>
          </a:extLst>
        </xdr:cNvPr>
        <xdr:cNvSpPr txBox="1">
          <a:spLocks noChangeArrowheads="1"/>
        </xdr:cNvSpPr>
      </xdr:nvSpPr>
      <xdr:spPr bwMode="auto">
        <a:xfrm>
          <a:off x="18745200" y="0"/>
          <a:ext cx="3143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1°</a:t>
          </a:r>
        </a:p>
      </xdr:txBody>
    </xdr:sp>
    <xdr:clientData/>
  </xdr:twoCellAnchor>
  <xdr:twoCellAnchor>
    <xdr:from>
      <xdr:col>19</xdr:col>
      <xdr:colOff>1285875</xdr:colOff>
      <xdr:row>0</xdr:row>
      <xdr:rowOff>0</xdr:rowOff>
    </xdr:from>
    <xdr:to>
      <xdr:col>21</xdr:col>
      <xdr:colOff>333375</xdr:colOff>
      <xdr:row>0</xdr:row>
      <xdr:rowOff>0</xdr:rowOff>
    </xdr:to>
    <xdr:sp macro="" textlink="">
      <xdr:nvSpPr>
        <xdr:cNvPr id="114" name="Text Box 113">
          <a:extLst>
            <a:ext uri="{FF2B5EF4-FFF2-40B4-BE49-F238E27FC236}">
              <a16:creationId xmlns="" xmlns:a16="http://schemas.microsoft.com/office/drawing/2014/main" id="{00000000-0008-0000-1400-000072000000}"/>
            </a:ext>
          </a:extLst>
        </xdr:cNvPr>
        <xdr:cNvSpPr txBox="1">
          <a:spLocks noChangeArrowheads="1"/>
        </xdr:cNvSpPr>
      </xdr:nvSpPr>
      <xdr:spPr bwMode="auto">
        <a:xfrm>
          <a:off x="17859375" y="0"/>
          <a:ext cx="10953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3°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5" name="Text Box 114">
          <a:extLst>
            <a:ext uri="{FF2B5EF4-FFF2-40B4-BE49-F238E27FC236}">
              <a16:creationId xmlns="" xmlns:a16="http://schemas.microsoft.com/office/drawing/2014/main" id="{00000000-0008-0000-1400-000073000000}"/>
            </a:ext>
          </a:extLst>
        </xdr:cNvPr>
        <xdr:cNvSpPr txBox="1">
          <a:spLocks noChangeArrowheads="1"/>
        </xdr:cNvSpPr>
      </xdr:nvSpPr>
      <xdr:spPr bwMode="auto">
        <a:xfrm>
          <a:off x="19059525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21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6" name="Text Box 115">
          <a:extLst>
            <a:ext uri="{FF2B5EF4-FFF2-40B4-BE49-F238E27FC236}">
              <a16:creationId xmlns="" xmlns:a16="http://schemas.microsoft.com/office/drawing/2014/main" id="{00000000-0008-0000-1400-000074000000}"/>
            </a:ext>
          </a:extLst>
        </xdr:cNvPr>
        <xdr:cNvSpPr txBox="1">
          <a:spLocks noChangeArrowheads="1"/>
        </xdr:cNvSpPr>
      </xdr:nvSpPr>
      <xdr:spPr bwMode="auto">
        <a:xfrm>
          <a:off x="19059525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19</xdr:col>
      <xdr:colOff>819150</xdr:colOff>
      <xdr:row>0</xdr:row>
      <xdr:rowOff>0</xdr:rowOff>
    </xdr:from>
    <xdr:to>
      <xdr:col>19</xdr:col>
      <xdr:colOff>1000125</xdr:colOff>
      <xdr:row>0</xdr:row>
      <xdr:rowOff>0</xdr:rowOff>
    </xdr:to>
    <xdr:sp macro="" textlink="">
      <xdr:nvSpPr>
        <xdr:cNvPr id="117" name="Text Box 116">
          <a:extLst>
            <a:ext uri="{FF2B5EF4-FFF2-40B4-BE49-F238E27FC236}">
              <a16:creationId xmlns="" xmlns:a16="http://schemas.microsoft.com/office/drawing/2014/main" id="{00000000-0008-0000-1400-000075000000}"/>
            </a:ext>
          </a:extLst>
        </xdr:cNvPr>
        <xdr:cNvSpPr txBox="1">
          <a:spLocks noChangeArrowheads="1"/>
        </xdr:cNvSpPr>
      </xdr:nvSpPr>
      <xdr:spPr bwMode="auto">
        <a:xfrm>
          <a:off x="17411700" y="0"/>
          <a:ext cx="1809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5°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8" name="Text Box 117">
          <a:extLst>
            <a:ext uri="{FF2B5EF4-FFF2-40B4-BE49-F238E27FC236}">
              <a16:creationId xmlns="" xmlns:a16="http://schemas.microsoft.com/office/drawing/2014/main" id="{00000000-0008-0000-1400-000076000000}"/>
            </a:ext>
          </a:extLst>
        </xdr:cNvPr>
        <xdr:cNvSpPr txBox="1">
          <a:spLocks noChangeArrowheads="1"/>
        </xdr:cNvSpPr>
      </xdr:nvSpPr>
      <xdr:spPr bwMode="auto">
        <a:xfrm>
          <a:off x="19059525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6°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1" i="0" strike="noStrike">
              <a:solidFill>
                <a:srgbClr val="000000"/>
              </a:solidFill>
              <a:latin typeface="Times New Roman"/>
              <a:cs typeface="Times New Roman"/>
            </a:rPr>
            <a:t>6</a:t>
          </a:r>
        </a:p>
      </xdr:txBody>
    </xdr:sp>
    <xdr:clientData/>
  </xdr:twoCellAnchor>
  <xdr:twoCellAnchor>
    <xdr:from>
      <xdr:col>14</xdr:col>
      <xdr:colOff>266700</xdr:colOff>
      <xdr:row>15</xdr:row>
      <xdr:rowOff>38100</xdr:rowOff>
    </xdr:from>
    <xdr:to>
      <xdr:col>15</xdr:col>
      <xdr:colOff>352425</xdr:colOff>
      <xdr:row>16</xdr:row>
      <xdr:rowOff>161925</xdr:rowOff>
    </xdr:to>
    <xdr:sp macro="" textlink="">
      <xdr:nvSpPr>
        <xdr:cNvPr id="4390113" name="Text Box 118">
          <a:extLst>
            <a:ext uri="{FF2B5EF4-FFF2-40B4-BE49-F238E27FC236}">
              <a16:creationId xmlns="" xmlns:a16="http://schemas.microsoft.com/office/drawing/2014/main" id="{00000000-0008-0000-1400-0000E1FC4200}"/>
            </a:ext>
          </a:extLst>
        </xdr:cNvPr>
        <xdr:cNvSpPr txBox="1">
          <a:spLocks noChangeArrowheads="1"/>
        </xdr:cNvSpPr>
      </xdr:nvSpPr>
      <xdr:spPr bwMode="auto">
        <a:xfrm>
          <a:off x="12820650" y="5638800"/>
          <a:ext cx="1009650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19</xdr:col>
      <xdr:colOff>990600</xdr:colOff>
      <xdr:row>37</xdr:row>
      <xdr:rowOff>0</xdr:rowOff>
    </xdr:from>
    <xdr:to>
      <xdr:col>19</xdr:col>
      <xdr:colOff>990600</xdr:colOff>
      <xdr:row>37</xdr:row>
      <xdr:rowOff>0</xdr:rowOff>
    </xdr:to>
    <xdr:sp macro="" textlink="">
      <xdr:nvSpPr>
        <xdr:cNvPr id="4390114" name="Line 119">
          <a:extLst>
            <a:ext uri="{FF2B5EF4-FFF2-40B4-BE49-F238E27FC236}">
              <a16:creationId xmlns="" xmlns:a16="http://schemas.microsoft.com/office/drawing/2014/main" id="{00000000-0008-0000-1400-0000E2FC4200}"/>
            </a:ext>
          </a:extLst>
        </xdr:cNvPr>
        <xdr:cNvSpPr>
          <a:spLocks noChangeShapeType="1"/>
        </xdr:cNvSpPr>
      </xdr:nvSpPr>
      <xdr:spPr bwMode="auto">
        <a:xfrm>
          <a:off x="17583150" y="13363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oneCell">
    <xdr:from>
      <xdr:col>2</xdr:col>
      <xdr:colOff>190500</xdr:colOff>
      <xdr:row>15</xdr:row>
      <xdr:rowOff>142875</xdr:rowOff>
    </xdr:from>
    <xdr:to>
      <xdr:col>4</xdr:col>
      <xdr:colOff>723900</xdr:colOff>
      <xdr:row>19</xdr:row>
      <xdr:rowOff>66675</xdr:rowOff>
    </xdr:to>
    <xdr:grpSp>
      <xdr:nvGrpSpPr>
        <xdr:cNvPr id="4390115" name="Group 120">
          <a:extLst>
            <a:ext uri="{FF2B5EF4-FFF2-40B4-BE49-F238E27FC236}">
              <a16:creationId xmlns="" xmlns:a16="http://schemas.microsoft.com/office/drawing/2014/main" id="{00000000-0008-0000-1400-0000E3FC4200}"/>
            </a:ext>
          </a:extLst>
        </xdr:cNvPr>
        <xdr:cNvGrpSpPr>
          <a:grpSpLocks/>
        </xdr:cNvGrpSpPr>
      </xdr:nvGrpSpPr>
      <xdr:grpSpPr bwMode="auto">
        <a:xfrm>
          <a:off x="2895600" y="5857875"/>
          <a:ext cx="2990850" cy="1333500"/>
          <a:chOff x="358" y="540"/>
          <a:chExt cx="293" cy="139"/>
        </a:xfrm>
      </xdr:grpSpPr>
      <xdr:sp macro="" textlink="">
        <xdr:nvSpPr>
          <xdr:cNvPr id="4390155" name="Line 121">
            <a:extLst>
              <a:ext uri="{FF2B5EF4-FFF2-40B4-BE49-F238E27FC236}">
                <a16:creationId xmlns="" xmlns:a16="http://schemas.microsoft.com/office/drawing/2014/main" id="{00000000-0008-0000-1400-00000BFD42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90156" name="Group 122">
            <a:extLst>
              <a:ext uri="{FF2B5EF4-FFF2-40B4-BE49-F238E27FC236}">
                <a16:creationId xmlns="" xmlns:a16="http://schemas.microsoft.com/office/drawing/2014/main" id="{00000000-0008-0000-1400-00000CFD42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390212" name="Line 123">
              <a:extLst>
                <a:ext uri="{FF2B5EF4-FFF2-40B4-BE49-F238E27FC236}">
                  <a16:creationId xmlns="" xmlns:a16="http://schemas.microsoft.com/office/drawing/2014/main" id="{00000000-0008-0000-1400-000044FD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0213" name="Line 124">
              <a:extLst>
                <a:ext uri="{FF2B5EF4-FFF2-40B4-BE49-F238E27FC236}">
                  <a16:creationId xmlns="" xmlns:a16="http://schemas.microsoft.com/office/drawing/2014/main" id="{00000000-0008-0000-1400-000045FD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90157" name="Line 125">
            <a:extLst>
              <a:ext uri="{FF2B5EF4-FFF2-40B4-BE49-F238E27FC236}">
                <a16:creationId xmlns="" xmlns:a16="http://schemas.microsoft.com/office/drawing/2014/main" id="{00000000-0008-0000-1400-00000DFD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0158" name="Line 126">
            <a:extLst>
              <a:ext uri="{FF2B5EF4-FFF2-40B4-BE49-F238E27FC236}">
                <a16:creationId xmlns="" xmlns:a16="http://schemas.microsoft.com/office/drawing/2014/main" id="{00000000-0008-0000-1400-00000EFD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0159" name="Line 127">
            <a:extLst>
              <a:ext uri="{FF2B5EF4-FFF2-40B4-BE49-F238E27FC236}">
                <a16:creationId xmlns="" xmlns:a16="http://schemas.microsoft.com/office/drawing/2014/main" id="{00000000-0008-0000-1400-00000FFD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0160" name="Line 128">
            <a:extLst>
              <a:ext uri="{FF2B5EF4-FFF2-40B4-BE49-F238E27FC236}">
                <a16:creationId xmlns="" xmlns:a16="http://schemas.microsoft.com/office/drawing/2014/main" id="{00000000-0008-0000-1400-000010FD42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0161" name="Line 129">
            <a:extLst>
              <a:ext uri="{FF2B5EF4-FFF2-40B4-BE49-F238E27FC236}">
                <a16:creationId xmlns="" xmlns:a16="http://schemas.microsoft.com/office/drawing/2014/main" id="{00000000-0008-0000-1400-000011FD42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90162" name="Group 130">
            <a:extLst>
              <a:ext uri="{FF2B5EF4-FFF2-40B4-BE49-F238E27FC236}">
                <a16:creationId xmlns="" xmlns:a16="http://schemas.microsoft.com/office/drawing/2014/main" id="{00000000-0008-0000-1400-000012FD42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390206" name="Line 131">
              <a:extLst>
                <a:ext uri="{FF2B5EF4-FFF2-40B4-BE49-F238E27FC236}">
                  <a16:creationId xmlns="" xmlns:a16="http://schemas.microsoft.com/office/drawing/2014/main" id="{00000000-0008-0000-1400-00003EF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0207" name="Group 132">
              <a:extLst>
                <a:ext uri="{FF2B5EF4-FFF2-40B4-BE49-F238E27FC236}">
                  <a16:creationId xmlns="" xmlns:a16="http://schemas.microsoft.com/office/drawing/2014/main" id="{00000000-0008-0000-1400-00003FFD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0208" name="Line 133">
                <a:extLst>
                  <a:ext uri="{FF2B5EF4-FFF2-40B4-BE49-F238E27FC236}">
                    <a16:creationId xmlns="" xmlns:a16="http://schemas.microsoft.com/office/drawing/2014/main" id="{00000000-0008-0000-1400-000040FD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0209" name="Group 134">
                <a:extLst>
                  <a:ext uri="{FF2B5EF4-FFF2-40B4-BE49-F238E27FC236}">
                    <a16:creationId xmlns="" xmlns:a16="http://schemas.microsoft.com/office/drawing/2014/main" id="{00000000-0008-0000-1400-000041FD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0210" name="Line 135">
                  <a:extLst>
                    <a:ext uri="{FF2B5EF4-FFF2-40B4-BE49-F238E27FC236}">
                      <a16:creationId xmlns="" xmlns:a16="http://schemas.microsoft.com/office/drawing/2014/main" id="{00000000-0008-0000-1400-000042F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0211" name="Line 136">
                  <a:extLst>
                    <a:ext uri="{FF2B5EF4-FFF2-40B4-BE49-F238E27FC236}">
                      <a16:creationId xmlns="" xmlns:a16="http://schemas.microsoft.com/office/drawing/2014/main" id="{00000000-0008-0000-1400-000043F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0163" name="Group 137">
            <a:extLst>
              <a:ext uri="{FF2B5EF4-FFF2-40B4-BE49-F238E27FC236}">
                <a16:creationId xmlns="" xmlns:a16="http://schemas.microsoft.com/office/drawing/2014/main" id="{00000000-0008-0000-1400-000013FD42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390200" name="Line 138">
              <a:extLst>
                <a:ext uri="{FF2B5EF4-FFF2-40B4-BE49-F238E27FC236}">
                  <a16:creationId xmlns="" xmlns:a16="http://schemas.microsoft.com/office/drawing/2014/main" id="{00000000-0008-0000-1400-000038F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0201" name="Group 139">
              <a:extLst>
                <a:ext uri="{FF2B5EF4-FFF2-40B4-BE49-F238E27FC236}">
                  <a16:creationId xmlns="" xmlns:a16="http://schemas.microsoft.com/office/drawing/2014/main" id="{00000000-0008-0000-1400-000039FD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0202" name="Line 140">
                <a:extLst>
                  <a:ext uri="{FF2B5EF4-FFF2-40B4-BE49-F238E27FC236}">
                    <a16:creationId xmlns="" xmlns:a16="http://schemas.microsoft.com/office/drawing/2014/main" id="{00000000-0008-0000-1400-00003AFD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0203" name="Group 141">
                <a:extLst>
                  <a:ext uri="{FF2B5EF4-FFF2-40B4-BE49-F238E27FC236}">
                    <a16:creationId xmlns="" xmlns:a16="http://schemas.microsoft.com/office/drawing/2014/main" id="{00000000-0008-0000-1400-00003BFD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0204" name="Line 142">
                  <a:extLst>
                    <a:ext uri="{FF2B5EF4-FFF2-40B4-BE49-F238E27FC236}">
                      <a16:creationId xmlns="" xmlns:a16="http://schemas.microsoft.com/office/drawing/2014/main" id="{00000000-0008-0000-1400-00003CF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0205" name="Line 143">
                  <a:extLst>
                    <a:ext uri="{FF2B5EF4-FFF2-40B4-BE49-F238E27FC236}">
                      <a16:creationId xmlns="" xmlns:a16="http://schemas.microsoft.com/office/drawing/2014/main" id="{00000000-0008-0000-1400-00003DF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0164" name="Group 144">
            <a:extLst>
              <a:ext uri="{FF2B5EF4-FFF2-40B4-BE49-F238E27FC236}">
                <a16:creationId xmlns="" xmlns:a16="http://schemas.microsoft.com/office/drawing/2014/main" id="{00000000-0008-0000-1400-000014FD42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390194" name="Line 145">
              <a:extLst>
                <a:ext uri="{FF2B5EF4-FFF2-40B4-BE49-F238E27FC236}">
                  <a16:creationId xmlns="" xmlns:a16="http://schemas.microsoft.com/office/drawing/2014/main" id="{00000000-0008-0000-1400-000032F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0195" name="Group 146">
              <a:extLst>
                <a:ext uri="{FF2B5EF4-FFF2-40B4-BE49-F238E27FC236}">
                  <a16:creationId xmlns="" xmlns:a16="http://schemas.microsoft.com/office/drawing/2014/main" id="{00000000-0008-0000-1400-000033FD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0196" name="Line 147">
                <a:extLst>
                  <a:ext uri="{FF2B5EF4-FFF2-40B4-BE49-F238E27FC236}">
                    <a16:creationId xmlns="" xmlns:a16="http://schemas.microsoft.com/office/drawing/2014/main" id="{00000000-0008-0000-1400-000034FD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0197" name="Group 148">
                <a:extLst>
                  <a:ext uri="{FF2B5EF4-FFF2-40B4-BE49-F238E27FC236}">
                    <a16:creationId xmlns="" xmlns:a16="http://schemas.microsoft.com/office/drawing/2014/main" id="{00000000-0008-0000-1400-000035FD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0198" name="Line 149">
                  <a:extLst>
                    <a:ext uri="{FF2B5EF4-FFF2-40B4-BE49-F238E27FC236}">
                      <a16:creationId xmlns="" xmlns:a16="http://schemas.microsoft.com/office/drawing/2014/main" id="{00000000-0008-0000-1400-000036F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0199" name="Line 150">
                  <a:extLst>
                    <a:ext uri="{FF2B5EF4-FFF2-40B4-BE49-F238E27FC236}">
                      <a16:creationId xmlns="" xmlns:a16="http://schemas.microsoft.com/office/drawing/2014/main" id="{00000000-0008-0000-1400-000037F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0165" name="Group 151">
            <a:extLst>
              <a:ext uri="{FF2B5EF4-FFF2-40B4-BE49-F238E27FC236}">
                <a16:creationId xmlns="" xmlns:a16="http://schemas.microsoft.com/office/drawing/2014/main" id="{00000000-0008-0000-1400-000015FD42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390188" name="Line 152">
              <a:extLst>
                <a:ext uri="{FF2B5EF4-FFF2-40B4-BE49-F238E27FC236}">
                  <a16:creationId xmlns="" xmlns:a16="http://schemas.microsoft.com/office/drawing/2014/main" id="{00000000-0008-0000-1400-00002CF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0189" name="Group 153">
              <a:extLst>
                <a:ext uri="{FF2B5EF4-FFF2-40B4-BE49-F238E27FC236}">
                  <a16:creationId xmlns="" xmlns:a16="http://schemas.microsoft.com/office/drawing/2014/main" id="{00000000-0008-0000-1400-00002DFD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0190" name="Line 154">
                <a:extLst>
                  <a:ext uri="{FF2B5EF4-FFF2-40B4-BE49-F238E27FC236}">
                    <a16:creationId xmlns="" xmlns:a16="http://schemas.microsoft.com/office/drawing/2014/main" id="{00000000-0008-0000-1400-00002EFD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0191" name="Group 155">
                <a:extLst>
                  <a:ext uri="{FF2B5EF4-FFF2-40B4-BE49-F238E27FC236}">
                    <a16:creationId xmlns="" xmlns:a16="http://schemas.microsoft.com/office/drawing/2014/main" id="{00000000-0008-0000-1400-00002FFD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0192" name="Line 156">
                  <a:extLst>
                    <a:ext uri="{FF2B5EF4-FFF2-40B4-BE49-F238E27FC236}">
                      <a16:creationId xmlns="" xmlns:a16="http://schemas.microsoft.com/office/drawing/2014/main" id="{00000000-0008-0000-1400-000030F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0193" name="Line 157">
                  <a:extLst>
                    <a:ext uri="{FF2B5EF4-FFF2-40B4-BE49-F238E27FC236}">
                      <a16:creationId xmlns="" xmlns:a16="http://schemas.microsoft.com/office/drawing/2014/main" id="{00000000-0008-0000-1400-000031F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0166" name="Group 158">
            <a:extLst>
              <a:ext uri="{FF2B5EF4-FFF2-40B4-BE49-F238E27FC236}">
                <a16:creationId xmlns="" xmlns:a16="http://schemas.microsoft.com/office/drawing/2014/main" id="{00000000-0008-0000-1400-000016FD42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390182" name="Line 159">
              <a:extLst>
                <a:ext uri="{FF2B5EF4-FFF2-40B4-BE49-F238E27FC236}">
                  <a16:creationId xmlns="" xmlns:a16="http://schemas.microsoft.com/office/drawing/2014/main" id="{00000000-0008-0000-1400-000026F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0183" name="Group 160">
              <a:extLst>
                <a:ext uri="{FF2B5EF4-FFF2-40B4-BE49-F238E27FC236}">
                  <a16:creationId xmlns="" xmlns:a16="http://schemas.microsoft.com/office/drawing/2014/main" id="{00000000-0008-0000-1400-000027FD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0184" name="Line 161">
                <a:extLst>
                  <a:ext uri="{FF2B5EF4-FFF2-40B4-BE49-F238E27FC236}">
                    <a16:creationId xmlns="" xmlns:a16="http://schemas.microsoft.com/office/drawing/2014/main" id="{00000000-0008-0000-1400-000028FD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0185" name="Group 162">
                <a:extLst>
                  <a:ext uri="{FF2B5EF4-FFF2-40B4-BE49-F238E27FC236}">
                    <a16:creationId xmlns="" xmlns:a16="http://schemas.microsoft.com/office/drawing/2014/main" id="{00000000-0008-0000-1400-000029FD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0186" name="Line 163">
                  <a:extLst>
                    <a:ext uri="{FF2B5EF4-FFF2-40B4-BE49-F238E27FC236}">
                      <a16:creationId xmlns="" xmlns:a16="http://schemas.microsoft.com/office/drawing/2014/main" id="{00000000-0008-0000-1400-00002AF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0187" name="Line 164">
                  <a:extLst>
                    <a:ext uri="{FF2B5EF4-FFF2-40B4-BE49-F238E27FC236}">
                      <a16:creationId xmlns="" xmlns:a16="http://schemas.microsoft.com/office/drawing/2014/main" id="{00000000-0008-0000-1400-00002BF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0167" name="Group 165">
            <a:extLst>
              <a:ext uri="{FF2B5EF4-FFF2-40B4-BE49-F238E27FC236}">
                <a16:creationId xmlns="" xmlns:a16="http://schemas.microsoft.com/office/drawing/2014/main" id="{00000000-0008-0000-1400-000017FD42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390176" name="Line 166">
              <a:extLst>
                <a:ext uri="{FF2B5EF4-FFF2-40B4-BE49-F238E27FC236}">
                  <a16:creationId xmlns="" xmlns:a16="http://schemas.microsoft.com/office/drawing/2014/main" id="{00000000-0008-0000-1400-000020F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0177" name="Group 167">
              <a:extLst>
                <a:ext uri="{FF2B5EF4-FFF2-40B4-BE49-F238E27FC236}">
                  <a16:creationId xmlns="" xmlns:a16="http://schemas.microsoft.com/office/drawing/2014/main" id="{00000000-0008-0000-1400-000021FD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0178" name="Line 168">
                <a:extLst>
                  <a:ext uri="{FF2B5EF4-FFF2-40B4-BE49-F238E27FC236}">
                    <a16:creationId xmlns="" xmlns:a16="http://schemas.microsoft.com/office/drawing/2014/main" id="{00000000-0008-0000-1400-000022FD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0179" name="Group 169">
                <a:extLst>
                  <a:ext uri="{FF2B5EF4-FFF2-40B4-BE49-F238E27FC236}">
                    <a16:creationId xmlns="" xmlns:a16="http://schemas.microsoft.com/office/drawing/2014/main" id="{00000000-0008-0000-1400-000023FD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0180" name="Line 170">
                  <a:extLst>
                    <a:ext uri="{FF2B5EF4-FFF2-40B4-BE49-F238E27FC236}">
                      <a16:creationId xmlns="" xmlns:a16="http://schemas.microsoft.com/office/drawing/2014/main" id="{00000000-0008-0000-1400-000024F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0181" name="Line 171">
                  <a:extLst>
                    <a:ext uri="{FF2B5EF4-FFF2-40B4-BE49-F238E27FC236}">
                      <a16:creationId xmlns="" xmlns:a16="http://schemas.microsoft.com/office/drawing/2014/main" id="{00000000-0008-0000-1400-000025F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0168" name="Group 172">
            <a:extLst>
              <a:ext uri="{FF2B5EF4-FFF2-40B4-BE49-F238E27FC236}">
                <a16:creationId xmlns="" xmlns:a16="http://schemas.microsoft.com/office/drawing/2014/main" id="{00000000-0008-0000-1400-000018FD42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390170" name="Line 173">
              <a:extLst>
                <a:ext uri="{FF2B5EF4-FFF2-40B4-BE49-F238E27FC236}">
                  <a16:creationId xmlns="" xmlns:a16="http://schemas.microsoft.com/office/drawing/2014/main" id="{00000000-0008-0000-1400-00001AF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0171" name="Group 174">
              <a:extLst>
                <a:ext uri="{FF2B5EF4-FFF2-40B4-BE49-F238E27FC236}">
                  <a16:creationId xmlns="" xmlns:a16="http://schemas.microsoft.com/office/drawing/2014/main" id="{00000000-0008-0000-1400-00001BFD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0172" name="Line 175">
                <a:extLst>
                  <a:ext uri="{FF2B5EF4-FFF2-40B4-BE49-F238E27FC236}">
                    <a16:creationId xmlns="" xmlns:a16="http://schemas.microsoft.com/office/drawing/2014/main" id="{00000000-0008-0000-1400-00001CFD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0173" name="Group 176">
                <a:extLst>
                  <a:ext uri="{FF2B5EF4-FFF2-40B4-BE49-F238E27FC236}">
                    <a16:creationId xmlns="" xmlns:a16="http://schemas.microsoft.com/office/drawing/2014/main" id="{00000000-0008-0000-1400-00001DFD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0174" name="Line 177">
                  <a:extLst>
                    <a:ext uri="{FF2B5EF4-FFF2-40B4-BE49-F238E27FC236}">
                      <a16:creationId xmlns="" xmlns:a16="http://schemas.microsoft.com/office/drawing/2014/main" id="{00000000-0008-0000-1400-00001EF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0175" name="Line 178">
                  <a:extLst>
                    <a:ext uri="{FF2B5EF4-FFF2-40B4-BE49-F238E27FC236}">
                      <a16:creationId xmlns="" xmlns:a16="http://schemas.microsoft.com/office/drawing/2014/main" id="{00000000-0008-0000-1400-00001FF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90169" name="Line 179">
            <a:extLst>
              <a:ext uri="{FF2B5EF4-FFF2-40B4-BE49-F238E27FC236}">
                <a16:creationId xmlns="" xmlns:a16="http://schemas.microsoft.com/office/drawing/2014/main" id="{00000000-0008-0000-1400-000019FD42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-2714625</xdr:colOff>
      <xdr:row>23</xdr:row>
      <xdr:rowOff>57150</xdr:rowOff>
    </xdr:from>
    <xdr:to>
      <xdr:col>0</xdr:col>
      <xdr:colOff>-2619375</xdr:colOff>
      <xdr:row>30</xdr:row>
      <xdr:rowOff>47625</xdr:rowOff>
    </xdr:to>
    <xdr:grpSp>
      <xdr:nvGrpSpPr>
        <xdr:cNvPr id="4390116" name="Group 193">
          <a:extLst>
            <a:ext uri="{FF2B5EF4-FFF2-40B4-BE49-F238E27FC236}">
              <a16:creationId xmlns="" xmlns:a16="http://schemas.microsoft.com/office/drawing/2014/main" id="{00000000-0008-0000-1400-0000E4FC4200}"/>
            </a:ext>
          </a:extLst>
        </xdr:cNvPr>
        <xdr:cNvGrpSpPr>
          <a:grpSpLocks/>
        </xdr:cNvGrpSpPr>
      </xdr:nvGrpSpPr>
      <xdr:grpSpPr bwMode="auto">
        <a:xfrm>
          <a:off x="-2714625" y="8153400"/>
          <a:ext cx="95250" cy="2333625"/>
          <a:chOff x="842" y="438"/>
          <a:chExt cx="10" cy="147"/>
        </a:xfrm>
      </xdr:grpSpPr>
      <xdr:sp macro="" textlink="">
        <xdr:nvSpPr>
          <xdr:cNvPr id="4390153" name="Line 194">
            <a:extLst>
              <a:ext uri="{FF2B5EF4-FFF2-40B4-BE49-F238E27FC236}">
                <a16:creationId xmlns="" xmlns:a16="http://schemas.microsoft.com/office/drawing/2014/main" id="{00000000-0008-0000-1400-000009FD42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0154" name="Line 195">
            <a:extLst>
              <a:ext uri="{FF2B5EF4-FFF2-40B4-BE49-F238E27FC236}">
                <a16:creationId xmlns="" xmlns:a16="http://schemas.microsoft.com/office/drawing/2014/main" id="{00000000-0008-0000-1400-00000AFD42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0</xdr:row>
      <xdr:rowOff>133350</xdr:rowOff>
    </xdr:from>
    <xdr:to>
      <xdr:col>21</xdr:col>
      <xdr:colOff>1314450</xdr:colOff>
      <xdr:row>2</xdr:row>
      <xdr:rowOff>28575</xdr:rowOff>
    </xdr:to>
    <xdr:sp macro="" textlink="">
      <xdr:nvSpPr>
        <xdr:cNvPr id="4341269" name="Rectangle 250">
          <a:extLst>
            <a:ext uri="{FF2B5EF4-FFF2-40B4-BE49-F238E27FC236}">
              <a16:creationId xmlns="" xmlns:a16="http://schemas.microsoft.com/office/drawing/2014/main" id="{00000000-0008-0000-1400-0000153E4200}"/>
            </a:ext>
          </a:extLst>
        </xdr:cNvPr>
        <xdr:cNvSpPr>
          <a:spLocks noChangeArrowheads="1"/>
        </xdr:cNvSpPr>
      </xdr:nvSpPr>
      <xdr:spPr bwMode="auto">
        <a:xfrm>
          <a:off x="2390775" y="133350"/>
          <a:ext cx="16668750" cy="5524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  <xdr:txBody>
        <a:bodyPr/>
        <a:lstStyle/>
        <a:p>
          <a:endParaRPr lang="it-IT"/>
        </a:p>
      </xdr:txBody>
    </xdr:sp>
    <xdr:clientData/>
  </xdr:twoCellAnchor>
  <xdr:twoCellAnchor>
    <xdr:from>
      <xdr:col>19</xdr:col>
      <xdr:colOff>990600</xdr:colOff>
      <xdr:row>36</xdr:row>
      <xdr:rowOff>0</xdr:rowOff>
    </xdr:from>
    <xdr:to>
      <xdr:col>19</xdr:col>
      <xdr:colOff>990600</xdr:colOff>
      <xdr:row>36</xdr:row>
      <xdr:rowOff>0</xdr:rowOff>
    </xdr:to>
    <xdr:sp macro="" textlink="">
      <xdr:nvSpPr>
        <xdr:cNvPr id="4390118" name="Line 251">
          <a:extLst>
            <a:ext uri="{FF2B5EF4-FFF2-40B4-BE49-F238E27FC236}">
              <a16:creationId xmlns="" xmlns:a16="http://schemas.microsoft.com/office/drawing/2014/main" id="{00000000-0008-0000-1400-0000E6FC4200}"/>
            </a:ext>
          </a:extLst>
        </xdr:cNvPr>
        <xdr:cNvSpPr>
          <a:spLocks noChangeShapeType="1"/>
        </xdr:cNvSpPr>
      </xdr:nvSpPr>
      <xdr:spPr bwMode="auto">
        <a:xfrm>
          <a:off x="17583150" y="129063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285750</xdr:colOff>
      <xdr:row>23</xdr:row>
      <xdr:rowOff>0</xdr:rowOff>
    </xdr:from>
    <xdr:to>
      <xdr:col>11</xdr:col>
      <xdr:colOff>47625</xdr:colOff>
      <xdr:row>34</xdr:row>
      <xdr:rowOff>0</xdr:rowOff>
    </xdr:to>
    <xdr:grpSp>
      <xdr:nvGrpSpPr>
        <xdr:cNvPr id="4390119" name="Gruppo 255">
          <a:extLst>
            <a:ext uri="{FF2B5EF4-FFF2-40B4-BE49-F238E27FC236}">
              <a16:creationId xmlns="" xmlns:a16="http://schemas.microsoft.com/office/drawing/2014/main" id="{00000000-0008-0000-1400-0000E7FC4200}"/>
            </a:ext>
          </a:extLst>
        </xdr:cNvPr>
        <xdr:cNvGrpSpPr>
          <a:grpSpLocks/>
        </xdr:cNvGrpSpPr>
      </xdr:nvGrpSpPr>
      <xdr:grpSpPr bwMode="auto">
        <a:xfrm>
          <a:off x="2686050" y="8096250"/>
          <a:ext cx="7877175" cy="4171950"/>
          <a:chOff x="2675659" y="8001000"/>
          <a:chExt cx="7832148" cy="4121727"/>
        </a:xfrm>
      </xdr:grpSpPr>
      <xdr:sp macro="" textlink="">
        <xdr:nvSpPr>
          <xdr:cNvPr id="4390121" name="Line 181">
            <a:extLst>
              <a:ext uri="{FF2B5EF4-FFF2-40B4-BE49-F238E27FC236}">
                <a16:creationId xmlns="" xmlns:a16="http://schemas.microsoft.com/office/drawing/2014/main" id="{00000000-0008-0000-1400-0000E9FC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684672" y="9107422"/>
            <a:ext cx="42360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0122" name="Line 182">
            <a:extLst>
              <a:ext uri="{FF2B5EF4-FFF2-40B4-BE49-F238E27FC236}">
                <a16:creationId xmlns="" xmlns:a16="http://schemas.microsoft.com/office/drawing/2014/main" id="{00000000-0008-0000-1400-0000EAFC4200}"/>
              </a:ext>
            </a:extLst>
          </xdr:cNvPr>
          <xdr:cNvSpPr>
            <a:spLocks noChangeShapeType="1"/>
          </xdr:cNvSpPr>
        </xdr:nvSpPr>
        <xdr:spPr bwMode="auto">
          <a:xfrm>
            <a:off x="2684672" y="8414389"/>
            <a:ext cx="0" cy="3708338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0123" name="Line 183">
            <a:extLst>
              <a:ext uri="{FF2B5EF4-FFF2-40B4-BE49-F238E27FC236}">
                <a16:creationId xmlns="" xmlns:a16="http://schemas.microsoft.com/office/drawing/2014/main" id="{00000000-0008-0000-1400-0000EBFC4200}"/>
              </a:ext>
            </a:extLst>
          </xdr:cNvPr>
          <xdr:cNvSpPr>
            <a:spLocks noChangeShapeType="1"/>
          </xdr:cNvSpPr>
        </xdr:nvSpPr>
        <xdr:spPr bwMode="auto">
          <a:xfrm>
            <a:off x="2693685" y="9508652"/>
            <a:ext cx="168539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0124" name="Line 184">
            <a:extLst>
              <a:ext uri="{FF2B5EF4-FFF2-40B4-BE49-F238E27FC236}">
                <a16:creationId xmlns="" xmlns:a16="http://schemas.microsoft.com/office/drawing/2014/main" id="{00000000-0008-0000-1400-0000ECFC4200}"/>
              </a:ext>
            </a:extLst>
          </xdr:cNvPr>
          <xdr:cNvSpPr>
            <a:spLocks noChangeShapeType="1"/>
          </xdr:cNvSpPr>
        </xdr:nvSpPr>
        <xdr:spPr bwMode="auto">
          <a:xfrm>
            <a:off x="2684672" y="9970675"/>
            <a:ext cx="2766938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0125" name="Line 185">
            <a:extLst>
              <a:ext uri="{FF2B5EF4-FFF2-40B4-BE49-F238E27FC236}">
                <a16:creationId xmlns="" xmlns:a16="http://schemas.microsoft.com/office/drawing/2014/main" id="{00000000-0008-0000-1400-0000EDFC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93685" y="10371905"/>
            <a:ext cx="379440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0126" name="Line 186">
            <a:extLst>
              <a:ext uri="{FF2B5EF4-FFF2-40B4-BE49-F238E27FC236}">
                <a16:creationId xmlns="" xmlns:a16="http://schemas.microsoft.com/office/drawing/2014/main" id="{00000000-0008-0000-1400-0000EEFC4200}"/>
              </a:ext>
            </a:extLst>
          </xdr:cNvPr>
          <xdr:cNvSpPr>
            <a:spLocks noChangeShapeType="1"/>
          </xdr:cNvSpPr>
        </xdr:nvSpPr>
        <xdr:spPr bwMode="auto">
          <a:xfrm>
            <a:off x="3117288" y="8049634"/>
            <a:ext cx="0" cy="1167215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0127" name="Line 187">
            <a:extLst>
              <a:ext uri="{FF2B5EF4-FFF2-40B4-BE49-F238E27FC236}">
                <a16:creationId xmlns="" xmlns:a16="http://schemas.microsoft.com/office/drawing/2014/main" id="{00000000-0008-0000-1400-0000EFFC4200}"/>
              </a:ext>
            </a:extLst>
          </xdr:cNvPr>
          <xdr:cNvSpPr>
            <a:spLocks noChangeShapeType="1"/>
          </xdr:cNvSpPr>
        </xdr:nvSpPr>
        <xdr:spPr bwMode="auto">
          <a:xfrm>
            <a:off x="2720723" y="8110426"/>
            <a:ext cx="51373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0128" name="Line 188">
            <a:extLst>
              <a:ext uri="{FF2B5EF4-FFF2-40B4-BE49-F238E27FC236}">
                <a16:creationId xmlns="" xmlns:a16="http://schemas.microsoft.com/office/drawing/2014/main" id="{00000000-0008-0000-1400-0000F0FC4200}"/>
              </a:ext>
            </a:extLst>
          </xdr:cNvPr>
          <xdr:cNvSpPr>
            <a:spLocks noChangeShapeType="1"/>
          </xdr:cNvSpPr>
        </xdr:nvSpPr>
        <xdr:spPr bwMode="auto">
          <a:xfrm>
            <a:off x="4379084" y="8037475"/>
            <a:ext cx="0" cy="151981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0129" name="Line 189">
            <a:extLst>
              <a:ext uri="{FF2B5EF4-FFF2-40B4-BE49-F238E27FC236}">
                <a16:creationId xmlns="" xmlns:a16="http://schemas.microsoft.com/office/drawing/2014/main" id="{00000000-0008-0000-1400-0000F1FC4200}"/>
              </a:ext>
            </a:extLst>
          </xdr:cNvPr>
          <xdr:cNvSpPr>
            <a:spLocks noChangeShapeType="1"/>
          </xdr:cNvSpPr>
        </xdr:nvSpPr>
        <xdr:spPr bwMode="auto">
          <a:xfrm>
            <a:off x="3676083" y="8122585"/>
            <a:ext cx="1099565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grpSp>
        <xdr:nvGrpSpPr>
          <xdr:cNvPr id="4390130" name="Group 190">
            <a:extLst>
              <a:ext uri="{FF2B5EF4-FFF2-40B4-BE49-F238E27FC236}">
                <a16:creationId xmlns="" xmlns:a16="http://schemas.microsoft.com/office/drawing/2014/main" id="{00000000-0008-0000-1400-0000F2FC4200}"/>
              </a:ext>
            </a:extLst>
          </xdr:cNvPr>
          <xdr:cNvGrpSpPr>
            <a:grpSpLocks/>
          </xdr:cNvGrpSpPr>
        </xdr:nvGrpSpPr>
        <xdr:grpSpPr bwMode="auto">
          <a:xfrm>
            <a:off x="5455679" y="8049634"/>
            <a:ext cx="90128" cy="1908882"/>
            <a:chOff x="759" y="438"/>
            <a:chExt cx="10" cy="121"/>
          </a:xfrm>
        </xdr:grpSpPr>
        <xdr:sp macro="" textlink="">
          <xdr:nvSpPr>
            <xdr:cNvPr id="4390151" name="Line 191">
              <a:extLst>
                <a:ext uri="{FF2B5EF4-FFF2-40B4-BE49-F238E27FC236}">
                  <a16:creationId xmlns="" xmlns:a16="http://schemas.microsoft.com/office/drawing/2014/main" id="{00000000-0008-0000-1400-000007F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64" y="438"/>
              <a:ext cx="0" cy="121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90152" name="Line 192">
              <a:extLst>
                <a:ext uri="{FF2B5EF4-FFF2-40B4-BE49-F238E27FC236}">
                  <a16:creationId xmlns="" xmlns:a16="http://schemas.microsoft.com/office/drawing/2014/main" id="{00000000-0008-0000-1400-000008F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59" y="443"/>
              <a:ext cx="10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sp macro="" textlink="">
        <xdr:nvSpPr>
          <xdr:cNvPr id="4390131" name="Rectangle 196">
            <a:extLst>
              <a:ext uri="{FF2B5EF4-FFF2-40B4-BE49-F238E27FC236}">
                <a16:creationId xmlns="" xmlns:a16="http://schemas.microsoft.com/office/drawing/2014/main" id="{00000000-0008-0000-1400-0000F3FC4200}"/>
              </a:ext>
            </a:extLst>
          </xdr:cNvPr>
          <xdr:cNvSpPr>
            <a:spLocks noChangeArrowheads="1"/>
          </xdr:cNvSpPr>
        </xdr:nvSpPr>
        <xdr:spPr bwMode="auto">
          <a:xfrm>
            <a:off x="2684672" y="8001000"/>
            <a:ext cx="7823135" cy="364755"/>
          </a:xfrm>
          <a:prstGeom prst="rect">
            <a:avLst/>
          </a:prstGeom>
          <a:noFill/>
          <a:ln w="158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90132" name="Line 197">
            <a:extLst>
              <a:ext uri="{FF2B5EF4-FFF2-40B4-BE49-F238E27FC236}">
                <a16:creationId xmlns="" xmlns:a16="http://schemas.microsoft.com/office/drawing/2014/main" id="{00000000-0008-0000-1400-0000F4FC4200}"/>
              </a:ext>
            </a:extLst>
          </xdr:cNvPr>
          <xdr:cNvSpPr>
            <a:spLocks noChangeShapeType="1"/>
          </xdr:cNvSpPr>
        </xdr:nvSpPr>
        <xdr:spPr bwMode="auto">
          <a:xfrm>
            <a:off x="10120255" y="8037475"/>
            <a:ext cx="0" cy="4036618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0133" name="Line 198">
            <a:extLst>
              <a:ext uri="{FF2B5EF4-FFF2-40B4-BE49-F238E27FC236}">
                <a16:creationId xmlns="" xmlns:a16="http://schemas.microsoft.com/office/drawing/2014/main" id="{00000000-0008-0000-1400-0000F5FC4200}"/>
              </a:ext>
            </a:extLst>
          </xdr:cNvPr>
          <xdr:cNvSpPr>
            <a:spLocks noChangeShapeType="1"/>
          </xdr:cNvSpPr>
        </xdr:nvSpPr>
        <xdr:spPr bwMode="auto">
          <a:xfrm>
            <a:off x="7966189" y="8122585"/>
            <a:ext cx="216308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0134" name="Line 199">
            <a:extLst>
              <a:ext uri="{FF2B5EF4-FFF2-40B4-BE49-F238E27FC236}">
                <a16:creationId xmlns="" xmlns:a16="http://schemas.microsoft.com/office/drawing/2014/main" id="{00000000-0008-0000-1400-0000F6FC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675659" y="12074093"/>
            <a:ext cx="743558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grpSp>
        <xdr:nvGrpSpPr>
          <xdr:cNvPr id="4390135" name="Group 200">
            <a:extLst>
              <a:ext uri="{FF2B5EF4-FFF2-40B4-BE49-F238E27FC236}">
                <a16:creationId xmlns="" xmlns:a16="http://schemas.microsoft.com/office/drawing/2014/main" id="{00000000-0008-0000-1400-0000F7FC4200}"/>
              </a:ext>
            </a:extLst>
          </xdr:cNvPr>
          <xdr:cNvGrpSpPr>
            <a:grpSpLocks/>
          </xdr:cNvGrpSpPr>
        </xdr:nvGrpSpPr>
        <xdr:grpSpPr bwMode="auto">
          <a:xfrm>
            <a:off x="7436643" y="8049634"/>
            <a:ext cx="99141" cy="2881561"/>
            <a:chOff x="912" y="438"/>
            <a:chExt cx="11" cy="175"/>
          </a:xfrm>
        </xdr:grpSpPr>
        <xdr:sp macro="" textlink="">
          <xdr:nvSpPr>
            <xdr:cNvPr id="4390149" name="Line 201">
              <a:extLst>
                <a:ext uri="{FF2B5EF4-FFF2-40B4-BE49-F238E27FC236}">
                  <a16:creationId xmlns="" xmlns:a16="http://schemas.microsoft.com/office/drawing/2014/main" id="{00000000-0008-0000-1400-000005F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90150" name="Line 202">
              <a:extLst>
                <a:ext uri="{FF2B5EF4-FFF2-40B4-BE49-F238E27FC236}">
                  <a16:creationId xmlns="" xmlns:a16="http://schemas.microsoft.com/office/drawing/2014/main" id="{00000000-0008-0000-1400-000006F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sp macro="" textlink="">
        <xdr:nvSpPr>
          <xdr:cNvPr id="4390136" name="Line 203">
            <a:extLst>
              <a:ext uri="{FF2B5EF4-FFF2-40B4-BE49-F238E27FC236}">
                <a16:creationId xmlns="" xmlns:a16="http://schemas.microsoft.com/office/drawing/2014/main" id="{00000000-0008-0000-1400-0000F8FC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5659" y="10809610"/>
            <a:ext cx="482186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0137" name="Line 204">
            <a:extLst>
              <a:ext uri="{FF2B5EF4-FFF2-40B4-BE49-F238E27FC236}">
                <a16:creationId xmlns="" xmlns:a16="http://schemas.microsoft.com/office/drawing/2014/main" id="{00000000-0008-0000-1400-0000F9FC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5659" y="11271633"/>
            <a:ext cx="5822287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0138" name="Line 205">
            <a:extLst>
              <a:ext uri="{FF2B5EF4-FFF2-40B4-BE49-F238E27FC236}">
                <a16:creationId xmlns="" xmlns:a16="http://schemas.microsoft.com/office/drawing/2014/main" id="{00000000-0008-0000-1400-0000FAFC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5659" y="11660705"/>
            <a:ext cx="6696532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grpSp>
        <xdr:nvGrpSpPr>
          <xdr:cNvPr id="4390139" name="Group 206">
            <a:extLst>
              <a:ext uri="{FF2B5EF4-FFF2-40B4-BE49-F238E27FC236}">
                <a16:creationId xmlns="" xmlns:a16="http://schemas.microsoft.com/office/drawing/2014/main" id="{00000000-0008-0000-1400-0000FBFC4200}"/>
              </a:ext>
            </a:extLst>
          </xdr:cNvPr>
          <xdr:cNvGrpSpPr>
            <a:grpSpLocks/>
          </xdr:cNvGrpSpPr>
        </xdr:nvGrpSpPr>
        <xdr:grpSpPr bwMode="auto">
          <a:xfrm>
            <a:off x="8488313" y="8049634"/>
            <a:ext cx="99141" cy="3209840"/>
            <a:chOff x="912" y="438"/>
            <a:chExt cx="11" cy="175"/>
          </a:xfrm>
        </xdr:grpSpPr>
        <xdr:sp macro="" textlink="">
          <xdr:nvSpPr>
            <xdr:cNvPr id="4390147" name="Line 207">
              <a:extLst>
                <a:ext uri="{FF2B5EF4-FFF2-40B4-BE49-F238E27FC236}">
                  <a16:creationId xmlns="" xmlns:a16="http://schemas.microsoft.com/office/drawing/2014/main" id="{00000000-0008-0000-1400-000003F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90148" name="Line 208">
              <a:extLst>
                <a:ext uri="{FF2B5EF4-FFF2-40B4-BE49-F238E27FC236}">
                  <a16:creationId xmlns="" xmlns:a16="http://schemas.microsoft.com/office/drawing/2014/main" id="{00000000-0008-0000-1400-000004F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grpSp>
        <xdr:nvGrpSpPr>
          <xdr:cNvPr id="4390140" name="Group 209">
            <a:extLst>
              <a:ext uri="{FF2B5EF4-FFF2-40B4-BE49-F238E27FC236}">
                <a16:creationId xmlns="" xmlns:a16="http://schemas.microsoft.com/office/drawing/2014/main" id="{00000000-0008-0000-1400-0000FCFC4200}"/>
              </a:ext>
            </a:extLst>
          </xdr:cNvPr>
          <xdr:cNvGrpSpPr>
            <a:grpSpLocks/>
          </xdr:cNvGrpSpPr>
        </xdr:nvGrpSpPr>
        <xdr:grpSpPr bwMode="auto">
          <a:xfrm>
            <a:off x="9308628" y="8049634"/>
            <a:ext cx="99141" cy="3671863"/>
            <a:chOff x="912" y="438"/>
            <a:chExt cx="11" cy="175"/>
          </a:xfrm>
        </xdr:grpSpPr>
        <xdr:sp macro="" textlink="">
          <xdr:nvSpPr>
            <xdr:cNvPr id="4390145" name="Line 210">
              <a:extLst>
                <a:ext uri="{FF2B5EF4-FFF2-40B4-BE49-F238E27FC236}">
                  <a16:creationId xmlns="" xmlns:a16="http://schemas.microsoft.com/office/drawing/2014/main" id="{00000000-0008-0000-1400-000001F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90146" name="Line 211">
              <a:extLst>
                <a:ext uri="{FF2B5EF4-FFF2-40B4-BE49-F238E27FC236}">
                  <a16:creationId xmlns="" xmlns:a16="http://schemas.microsoft.com/office/drawing/2014/main" id="{00000000-0008-0000-1400-000002F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sp macro="" textlink="">
        <xdr:nvSpPr>
          <xdr:cNvPr id="4390141" name="Line 212">
            <a:extLst>
              <a:ext uri="{FF2B5EF4-FFF2-40B4-BE49-F238E27FC236}">
                <a16:creationId xmlns="" xmlns:a16="http://schemas.microsoft.com/office/drawing/2014/main" id="{00000000-0008-0000-1400-0000FDFC4200}"/>
              </a:ext>
            </a:extLst>
          </xdr:cNvPr>
          <xdr:cNvSpPr>
            <a:spLocks noChangeShapeType="1"/>
          </xdr:cNvSpPr>
        </xdr:nvSpPr>
        <xdr:spPr bwMode="auto">
          <a:xfrm>
            <a:off x="10003089" y="8122585"/>
            <a:ext cx="216308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grpSp>
        <xdr:nvGrpSpPr>
          <xdr:cNvPr id="4390142" name="Group 190">
            <a:extLst>
              <a:ext uri="{FF2B5EF4-FFF2-40B4-BE49-F238E27FC236}">
                <a16:creationId xmlns="" xmlns:a16="http://schemas.microsoft.com/office/drawing/2014/main" id="{00000000-0008-0000-1400-0000FEFC4200}"/>
              </a:ext>
            </a:extLst>
          </xdr:cNvPr>
          <xdr:cNvGrpSpPr>
            <a:grpSpLocks/>
          </xdr:cNvGrpSpPr>
        </xdr:nvGrpSpPr>
        <xdr:grpSpPr bwMode="auto">
          <a:xfrm>
            <a:off x="6477000" y="8063489"/>
            <a:ext cx="139070" cy="2362056"/>
            <a:chOff x="759" y="438"/>
            <a:chExt cx="10" cy="121"/>
          </a:xfrm>
        </xdr:grpSpPr>
        <xdr:sp macro="" textlink="">
          <xdr:nvSpPr>
            <xdr:cNvPr id="4390143" name="Line 191">
              <a:extLst>
                <a:ext uri="{FF2B5EF4-FFF2-40B4-BE49-F238E27FC236}">
                  <a16:creationId xmlns="" xmlns:a16="http://schemas.microsoft.com/office/drawing/2014/main" id="{00000000-0008-0000-1400-0000FFFC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64" y="438"/>
              <a:ext cx="0" cy="121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90144" name="Line 192">
              <a:extLst>
                <a:ext uri="{FF2B5EF4-FFF2-40B4-BE49-F238E27FC236}">
                  <a16:creationId xmlns="" xmlns:a16="http://schemas.microsoft.com/office/drawing/2014/main" id="{00000000-0008-0000-1400-000000F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59" y="443"/>
              <a:ext cx="10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</xdr:grpSp>
    <xdr:clientData/>
  </xdr:twoCellAnchor>
  <xdr:twoCellAnchor editAs="oneCell">
    <xdr:from>
      <xdr:col>12</xdr:col>
      <xdr:colOff>123825</xdr:colOff>
      <xdr:row>17</xdr:row>
      <xdr:rowOff>228600</xdr:rowOff>
    </xdr:from>
    <xdr:to>
      <xdr:col>22</xdr:col>
      <xdr:colOff>247650</xdr:colOff>
      <xdr:row>34</xdr:row>
      <xdr:rowOff>66675</xdr:rowOff>
    </xdr:to>
    <xdr:pic>
      <xdr:nvPicPr>
        <xdr:cNvPr id="4390120" name="Picture 69">
          <a:extLst>
            <a:ext uri="{FF2B5EF4-FFF2-40B4-BE49-F238E27FC236}">
              <a16:creationId xmlns="" xmlns:a16="http://schemas.microsoft.com/office/drawing/2014/main" id="{00000000-0008-0000-1400-0000E8FC4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1182350" y="6410325"/>
          <a:ext cx="8124825" cy="5781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91066" name="Line 1">
          <a:extLst>
            <a:ext uri="{FF2B5EF4-FFF2-40B4-BE49-F238E27FC236}">
              <a16:creationId xmlns="" xmlns:a16="http://schemas.microsoft.com/office/drawing/2014/main" id="{00000000-0008-0000-1500-00009A004300}"/>
            </a:ext>
          </a:extLst>
        </xdr:cNvPr>
        <xdr:cNvSpPr>
          <a:spLocks noChangeShapeType="1"/>
        </xdr:cNvSpPr>
      </xdr:nvSpPr>
      <xdr:spPr bwMode="auto">
        <a:xfrm flipV="1">
          <a:off x="28384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91067" name="Line 2">
          <a:extLst>
            <a:ext uri="{FF2B5EF4-FFF2-40B4-BE49-F238E27FC236}">
              <a16:creationId xmlns="" xmlns:a16="http://schemas.microsoft.com/office/drawing/2014/main" id="{00000000-0008-0000-1500-00009B004300}"/>
            </a:ext>
          </a:extLst>
        </xdr:cNvPr>
        <xdr:cNvSpPr>
          <a:spLocks noChangeShapeType="1"/>
        </xdr:cNvSpPr>
      </xdr:nvSpPr>
      <xdr:spPr bwMode="auto">
        <a:xfrm flipV="1">
          <a:off x="66484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676275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91068" name="Line 3">
          <a:extLst>
            <a:ext uri="{FF2B5EF4-FFF2-40B4-BE49-F238E27FC236}">
              <a16:creationId xmlns="" xmlns:a16="http://schemas.microsoft.com/office/drawing/2014/main" id="{00000000-0008-0000-1500-00009C004300}"/>
            </a:ext>
          </a:extLst>
        </xdr:cNvPr>
        <xdr:cNvSpPr>
          <a:spLocks noChangeShapeType="1"/>
        </xdr:cNvSpPr>
      </xdr:nvSpPr>
      <xdr:spPr bwMode="auto">
        <a:xfrm>
          <a:off x="2838450" y="0"/>
          <a:ext cx="3810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95250</xdr:colOff>
      <xdr:row>0</xdr:row>
      <xdr:rowOff>0</xdr:rowOff>
    </xdr:from>
    <xdr:to>
      <xdr:col>6</xdr:col>
      <xdr:colOff>200025</xdr:colOff>
      <xdr:row>0</xdr:row>
      <xdr:rowOff>0</xdr:rowOff>
    </xdr:to>
    <xdr:sp macro="" textlink="">
      <xdr:nvSpPr>
        <xdr:cNvPr id="4391069" name="Line 4">
          <a:extLst>
            <a:ext uri="{FF2B5EF4-FFF2-40B4-BE49-F238E27FC236}">
              <a16:creationId xmlns="" xmlns:a16="http://schemas.microsoft.com/office/drawing/2014/main" id="{00000000-0008-0000-1500-00009D004300}"/>
            </a:ext>
          </a:extLst>
        </xdr:cNvPr>
        <xdr:cNvSpPr>
          <a:spLocks noChangeShapeType="1"/>
        </xdr:cNvSpPr>
      </xdr:nvSpPr>
      <xdr:spPr bwMode="auto">
        <a:xfrm>
          <a:off x="6743700" y="0"/>
          <a:ext cx="1019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104775</xdr:colOff>
      <xdr:row>0</xdr:row>
      <xdr:rowOff>0</xdr:rowOff>
    </xdr:from>
    <xdr:to>
      <xdr:col>6</xdr:col>
      <xdr:colOff>104775</xdr:colOff>
      <xdr:row>0</xdr:row>
      <xdr:rowOff>0</xdr:rowOff>
    </xdr:to>
    <xdr:sp macro="" textlink="">
      <xdr:nvSpPr>
        <xdr:cNvPr id="4391070" name="Line 5">
          <a:extLst>
            <a:ext uri="{FF2B5EF4-FFF2-40B4-BE49-F238E27FC236}">
              <a16:creationId xmlns="" xmlns:a16="http://schemas.microsoft.com/office/drawing/2014/main" id="{00000000-0008-0000-1500-00009E004300}"/>
            </a:ext>
          </a:extLst>
        </xdr:cNvPr>
        <xdr:cNvSpPr>
          <a:spLocks noChangeShapeType="1"/>
        </xdr:cNvSpPr>
      </xdr:nvSpPr>
      <xdr:spPr bwMode="auto">
        <a:xfrm>
          <a:off x="76676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0</xdr:row>
      <xdr:rowOff>0</xdr:rowOff>
    </xdr:from>
    <xdr:to>
      <xdr:col>6</xdr:col>
      <xdr:colOff>114300</xdr:colOff>
      <xdr:row>0</xdr:row>
      <xdr:rowOff>0</xdr:rowOff>
    </xdr:to>
    <xdr:sp macro="" textlink="">
      <xdr:nvSpPr>
        <xdr:cNvPr id="4391071" name="Line 6">
          <a:extLst>
            <a:ext uri="{FF2B5EF4-FFF2-40B4-BE49-F238E27FC236}">
              <a16:creationId xmlns="" xmlns:a16="http://schemas.microsoft.com/office/drawing/2014/main" id="{00000000-0008-0000-1500-00009F004300}"/>
            </a:ext>
          </a:extLst>
        </xdr:cNvPr>
        <xdr:cNvSpPr>
          <a:spLocks noChangeShapeType="1"/>
        </xdr:cNvSpPr>
      </xdr:nvSpPr>
      <xdr:spPr bwMode="auto">
        <a:xfrm>
          <a:off x="76771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85725</xdr:colOff>
      <xdr:row>0</xdr:row>
      <xdr:rowOff>0</xdr:rowOff>
    </xdr:from>
    <xdr:to>
      <xdr:col>6</xdr:col>
      <xdr:colOff>228600</xdr:colOff>
      <xdr:row>0</xdr:row>
      <xdr:rowOff>0</xdr:rowOff>
    </xdr:to>
    <xdr:sp macro="" textlink="">
      <xdr:nvSpPr>
        <xdr:cNvPr id="4391072" name="Line 7">
          <a:extLst>
            <a:ext uri="{FF2B5EF4-FFF2-40B4-BE49-F238E27FC236}">
              <a16:creationId xmlns="" xmlns:a16="http://schemas.microsoft.com/office/drawing/2014/main" id="{00000000-0008-0000-1500-0000A0004300}"/>
            </a:ext>
          </a:extLst>
        </xdr:cNvPr>
        <xdr:cNvSpPr>
          <a:spLocks noChangeShapeType="1"/>
        </xdr:cNvSpPr>
      </xdr:nvSpPr>
      <xdr:spPr bwMode="auto">
        <a:xfrm>
          <a:off x="6734175" y="0"/>
          <a:ext cx="1057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533400</xdr:colOff>
      <xdr:row>0</xdr:row>
      <xdr:rowOff>0</xdr:rowOff>
    </xdr:from>
    <xdr:to>
      <xdr:col>12</xdr:col>
      <xdr:colOff>123825</xdr:colOff>
      <xdr:row>0</xdr:row>
      <xdr:rowOff>0</xdr:rowOff>
    </xdr:to>
    <xdr:sp macro="" textlink="">
      <xdr:nvSpPr>
        <xdr:cNvPr id="4391073" name="Line 8">
          <a:extLst>
            <a:ext uri="{FF2B5EF4-FFF2-40B4-BE49-F238E27FC236}">
              <a16:creationId xmlns="" xmlns:a16="http://schemas.microsoft.com/office/drawing/2014/main" id="{00000000-0008-0000-1500-0000A1004300}"/>
            </a:ext>
          </a:extLst>
        </xdr:cNvPr>
        <xdr:cNvSpPr>
          <a:spLocks noChangeShapeType="1"/>
        </xdr:cNvSpPr>
      </xdr:nvSpPr>
      <xdr:spPr bwMode="auto">
        <a:xfrm>
          <a:off x="11182350" y="0"/>
          <a:ext cx="12382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12</xdr:col>
      <xdr:colOff>200025</xdr:colOff>
      <xdr:row>0</xdr:row>
      <xdr:rowOff>0</xdr:rowOff>
    </xdr:to>
    <xdr:sp macro="" textlink="">
      <xdr:nvSpPr>
        <xdr:cNvPr id="4391074" name="Line 9">
          <a:extLst>
            <a:ext uri="{FF2B5EF4-FFF2-40B4-BE49-F238E27FC236}">
              <a16:creationId xmlns="" xmlns:a16="http://schemas.microsoft.com/office/drawing/2014/main" id="{00000000-0008-0000-1500-0000A2004300}"/>
            </a:ext>
          </a:extLst>
        </xdr:cNvPr>
        <xdr:cNvSpPr>
          <a:spLocks noChangeShapeType="1"/>
        </xdr:cNvSpPr>
      </xdr:nvSpPr>
      <xdr:spPr bwMode="auto">
        <a:xfrm flipV="1">
          <a:off x="11306175" y="0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238125</xdr:colOff>
      <xdr:row>0</xdr:row>
      <xdr:rowOff>0</xdr:rowOff>
    </xdr:from>
    <xdr:to>
      <xdr:col>12</xdr:col>
      <xdr:colOff>200025</xdr:colOff>
      <xdr:row>0</xdr:row>
      <xdr:rowOff>0</xdr:rowOff>
    </xdr:to>
    <xdr:sp macro="" textlink="">
      <xdr:nvSpPr>
        <xdr:cNvPr id="4391075" name="Line 10">
          <a:extLst>
            <a:ext uri="{FF2B5EF4-FFF2-40B4-BE49-F238E27FC236}">
              <a16:creationId xmlns="" xmlns:a16="http://schemas.microsoft.com/office/drawing/2014/main" id="{00000000-0008-0000-1500-0000A3004300}"/>
            </a:ext>
          </a:extLst>
        </xdr:cNvPr>
        <xdr:cNvSpPr>
          <a:spLocks noChangeShapeType="1"/>
        </xdr:cNvSpPr>
      </xdr:nvSpPr>
      <xdr:spPr bwMode="auto">
        <a:xfrm>
          <a:off x="113823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361950</xdr:colOff>
      <xdr:row>0</xdr:row>
      <xdr:rowOff>0</xdr:rowOff>
    </xdr:from>
    <xdr:to>
      <xdr:col>12</xdr:col>
      <xdr:colOff>200025</xdr:colOff>
      <xdr:row>0</xdr:row>
      <xdr:rowOff>0</xdr:rowOff>
    </xdr:to>
    <xdr:sp macro="" textlink="">
      <xdr:nvSpPr>
        <xdr:cNvPr id="4391076" name="Line 11">
          <a:extLst>
            <a:ext uri="{FF2B5EF4-FFF2-40B4-BE49-F238E27FC236}">
              <a16:creationId xmlns="" xmlns:a16="http://schemas.microsoft.com/office/drawing/2014/main" id="{00000000-0008-0000-1500-0000A4004300}"/>
            </a:ext>
          </a:extLst>
        </xdr:cNvPr>
        <xdr:cNvSpPr>
          <a:spLocks noChangeShapeType="1"/>
        </xdr:cNvSpPr>
      </xdr:nvSpPr>
      <xdr:spPr bwMode="auto">
        <a:xfrm flipV="1">
          <a:off x="113823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466725</xdr:colOff>
      <xdr:row>0</xdr:row>
      <xdr:rowOff>0</xdr:rowOff>
    </xdr:from>
    <xdr:to>
      <xdr:col>12</xdr:col>
      <xdr:colOff>200025</xdr:colOff>
      <xdr:row>0</xdr:row>
      <xdr:rowOff>0</xdr:rowOff>
    </xdr:to>
    <xdr:sp macro="" textlink="">
      <xdr:nvSpPr>
        <xdr:cNvPr id="4391077" name="Line 12">
          <a:extLst>
            <a:ext uri="{FF2B5EF4-FFF2-40B4-BE49-F238E27FC236}">
              <a16:creationId xmlns="" xmlns:a16="http://schemas.microsoft.com/office/drawing/2014/main" id="{00000000-0008-0000-1500-0000A5004300}"/>
            </a:ext>
          </a:extLst>
        </xdr:cNvPr>
        <xdr:cNvSpPr>
          <a:spLocks noChangeShapeType="1"/>
        </xdr:cNvSpPr>
      </xdr:nvSpPr>
      <xdr:spPr bwMode="auto">
        <a:xfrm>
          <a:off x="113823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581025</xdr:colOff>
      <xdr:row>0</xdr:row>
      <xdr:rowOff>0</xdr:rowOff>
    </xdr:from>
    <xdr:to>
      <xdr:col>13</xdr:col>
      <xdr:colOff>0</xdr:colOff>
      <xdr:row>0</xdr:row>
      <xdr:rowOff>0</xdr:rowOff>
    </xdr:to>
    <xdr:sp macro="" textlink="">
      <xdr:nvSpPr>
        <xdr:cNvPr id="4391078" name="Line 13">
          <a:extLst>
            <a:ext uri="{FF2B5EF4-FFF2-40B4-BE49-F238E27FC236}">
              <a16:creationId xmlns="" xmlns:a16="http://schemas.microsoft.com/office/drawing/2014/main" id="{00000000-0008-0000-1500-0000A6004300}"/>
            </a:ext>
          </a:extLst>
        </xdr:cNvPr>
        <xdr:cNvSpPr>
          <a:spLocks noChangeShapeType="1"/>
        </xdr:cNvSpPr>
      </xdr:nvSpPr>
      <xdr:spPr bwMode="auto">
        <a:xfrm flipV="1">
          <a:off x="113823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0</xdr:row>
      <xdr:rowOff>0</xdr:rowOff>
    </xdr:from>
    <xdr:to>
      <xdr:col>13</xdr:col>
      <xdr:colOff>123825</xdr:colOff>
      <xdr:row>0</xdr:row>
      <xdr:rowOff>0</xdr:rowOff>
    </xdr:to>
    <xdr:sp macro="" textlink="">
      <xdr:nvSpPr>
        <xdr:cNvPr id="4391079" name="Line 14">
          <a:extLst>
            <a:ext uri="{FF2B5EF4-FFF2-40B4-BE49-F238E27FC236}">
              <a16:creationId xmlns="" xmlns:a16="http://schemas.microsoft.com/office/drawing/2014/main" id="{00000000-0008-0000-1500-0000A7004300}"/>
            </a:ext>
          </a:extLst>
        </xdr:cNvPr>
        <xdr:cNvSpPr>
          <a:spLocks noChangeShapeType="1"/>
        </xdr:cNvSpPr>
      </xdr:nvSpPr>
      <xdr:spPr bwMode="auto">
        <a:xfrm>
          <a:off x="113823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123825</xdr:colOff>
      <xdr:row>0</xdr:row>
      <xdr:rowOff>0</xdr:rowOff>
    </xdr:from>
    <xdr:to>
      <xdr:col>13</xdr:col>
      <xdr:colOff>238125</xdr:colOff>
      <xdr:row>0</xdr:row>
      <xdr:rowOff>0</xdr:rowOff>
    </xdr:to>
    <xdr:sp macro="" textlink="">
      <xdr:nvSpPr>
        <xdr:cNvPr id="4391080" name="Line 15">
          <a:extLst>
            <a:ext uri="{FF2B5EF4-FFF2-40B4-BE49-F238E27FC236}">
              <a16:creationId xmlns="" xmlns:a16="http://schemas.microsoft.com/office/drawing/2014/main" id="{00000000-0008-0000-1500-0000A8004300}"/>
            </a:ext>
          </a:extLst>
        </xdr:cNvPr>
        <xdr:cNvSpPr>
          <a:spLocks noChangeShapeType="1"/>
        </xdr:cNvSpPr>
      </xdr:nvSpPr>
      <xdr:spPr bwMode="auto">
        <a:xfrm flipV="1">
          <a:off x="1150620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238125</xdr:colOff>
      <xdr:row>0</xdr:row>
      <xdr:rowOff>0</xdr:rowOff>
    </xdr:from>
    <xdr:to>
      <xdr:col>13</xdr:col>
      <xdr:colOff>361950</xdr:colOff>
      <xdr:row>0</xdr:row>
      <xdr:rowOff>0</xdr:rowOff>
    </xdr:to>
    <xdr:sp macro="" textlink="">
      <xdr:nvSpPr>
        <xdr:cNvPr id="4391081" name="Line 16">
          <a:extLst>
            <a:ext uri="{FF2B5EF4-FFF2-40B4-BE49-F238E27FC236}">
              <a16:creationId xmlns="" xmlns:a16="http://schemas.microsoft.com/office/drawing/2014/main" id="{00000000-0008-0000-1500-0000A9004300}"/>
            </a:ext>
          </a:extLst>
        </xdr:cNvPr>
        <xdr:cNvSpPr>
          <a:spLocks noChangeShapeType="1"/>
        </xdr:cNvSpPr>
      </xdr:nvSpPr>
      <xdr:spPr bwMode="auto">
        <a:xfrm>
          <a:off x="1162050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361950</xdr:colOff>
      <xdr:row>0</xdr:row>
      <xdr:rowOff>0</xdr:rowOff>
    </xdr:from>
    <xdr:to>
      <xdr:col>13</xdr:col>
      <xdr:colOff>476250</xdr:colOff>
      <xdr:row>0</xdr:row>
      <xdr:rowOff>0</xdr:rowOff>
    </xdr:to>
    <xdr:sp macro="" textlink="">
      <xdr:nvSpPr>
        <xdr:cNvPr id="4391082" name="Line 17">
          <a:extLst>
            <a:ext uri="{FF2B5EF4-FFF2-40B4-BE49-F238E27FC236}">
              <a16:creationId xmlns="" xmlns:a16="http://schemas.microsoft.com/office/drawing/2014/main" id="{00000000-0008-0000-1500-0000AA004300}"/>
            </a:ext>
          </a:extLst>
        </xdr:cNvPr>
        <xdr:cNvSpPr>
          <a:spLocks noChangeShapeType="1"/>
        </xdr:cNvSpPr>
      </xdr:nvSpPr>
      <xdr:spPr bwMode="auto">
        <a:xfrm flipV="1">
          <a:off x="117443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476250</xdr:colOff>
      <xdr:row>0</xdr:row>
      <xdr:rowOff>0</xdr:rowOff>
    </xdr:from>
    <xdr:to>
      <xdr:col>13</xdr:col>
      <xdr:colOff>609600</xdr:colOff>
      <xdr:row>0</xdr:row>
      <xdr:rowOff>0</xdr:rowOff>
    </xdr:to>
    <xdr:sp macro="" textlink="">
      <xdr:nvSpPr>
        <xdr:cNvPr id="4391083" name="Line 18">
          <a:extLst>
            <a:ext uri="{FF2B5EF4-FFF2-40B4-BE49-F238E27FC236}">
              <a16:creationId xmlns="" xmlns:a16="http://schemas.microsoft.com/office/drawing/2014/main" id="{00000000-0008-0000-1500-0000AB004300}"/>
            </a:ext>
          </a:extLst>
        </xdr:cNvPr>
        <xdr:cNvSpPr>
          <a:spLocks noChangeShapeType="1"/>
        </xdr:cNvSpPr>
      </xdr:nvSpPr>
      <xdr:spPr bwMode="auto">
        <a:xfrm>
          <a:off x="11858625" y="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14</xdr:col>
      <xdr:colOff>28575</xdr:colOff>
      <xdr:row>0</xdr:row>
      <xdr:rowOff>0</xdr:rowOff>
    </xdr:to>
    <xdr:sp macro="" textlink="">
      <xdr:nvSpPr>
        <xdr:cNvPr id="4391084" name="Line 19">
          <a:extLst>
            <a:ext uri="{FF2B5EF4-FFF2-40B4-BE49-F238E27FC236}">
              <a16:creationId xmlns="" xmlns:a16="http://schemas.microsoft.com/office/drawing/2014/main" id="{00000000-0008-0000-1500-0000AC004300}"/>
            </a:ext>
          </a:extLst>
        </xdr:cNvPr>
        <xdr:cNvSpPr>
          <a:spLocks noChangeShapeType="1"/>
        </xdr:cNvSpPr>
      </xdr:nvSpPr>
      <xdr:spPr bwMode="auto">
        <a:xfrm flipV="1">
          <a:off x="11991975" y="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28575</xdr:colOff>
      <xdr:row>0</xdr:row>
      <xdr:rowOff>0</xdr:rowOff>
    </xdr:from>
    <xdr:to>
      <xdr:col>14</xdr:col>
      <xdr:colOff>152400</xdr:colOff>
      <xdr:row>0</xdr:row>
      <xdr:rowOff>0</xdr:rowOff>
    </xdr:to>
    <xdr:sp macro="" textlink="">
      <xdr:nvSpPr>
        <xdr:cNvPr id="4391085" name="Line 20">
          <a:extLst>
            <a:ext uri="{FF2B5EF4-FFF2-40B4-BE49-F238E27FC236}">
              <a16:creationId xmlns="" xmlns:a16="http://schemas.microsoft.com/office/drawing/2014/main" id="{00000000-0008-0000-1500-0000AD004300}"/>
            </a:ext>
          </a:extLst>
        </xdr:cNvPr>
        <xdr:cNvSpPr>
          <a:spLocks noChangeShapeType="1"/>
        </xdr:cNvSpPr>
      </xdr:nvSpPr>
      <xdr:spPr bwMode="auto">
        <a:xfrm>
          <a:off x="126015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152400</xdr:colOff>
      <xdr:row>0</xdr:row>
      <xdr:rowOff>0</xdr:rowOff>
    </xdr:from>
    <xdr:to>
      <xdr:col>14</xdr:col>
      <xdr:colOff>266700</xdr:colOff>
      <xdr:row>0</xdr:row>
      <xdr:rowOff>0</xdr:rowOff>
    </xdr:to>
    <xdr:sp macro="" textlink="">
      <xdr:nvSpPr>
        <xdr:cNvPr id="4391086" name="Line 21">
          <a:extLst>
            <a:ext uri="{FF2B5EF4-FFF2-40B4-BE49-F238E27FC236}">
              <a16:creationId xmlns="" xmlns:a16="http://schemas.microsoft.com/office/drawing/2014/main" id="{00000000-0008-0000-1500-0000AE004300}"/>
            </a:ext>
          </a:extLst>
        </xdr:cNvPr>
        <xdr:cNvSpPr>
          <a:spLocks noChangeShapeType="1"/>
        </xdr:cNvSpPr>
      </xdr:nvSpPr>
      <xdr:spPr bwMode="auto">
        <a:xfrm flipV="1">
          <a:off x="1272540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266700</xdr:colOff>
      <xdr:row>0</xdr:row>
      <xdr:rowOff>0</xdr:rowOff>
    </xdr:from>
    <xdr:to>
      <xdr:col>14</xdr:col>
      <xdr:colOff>381000</xdr:colOff>
      <xdr:row>0</xdr:row>
      <xdr:rowOff>0</xdr:rowOff>
    </xdr:to>
    <xdr:sp macro="" textlink="">
      <xdr:nvSpPr>
        <xdr:cNvPr id="4391087" name="Line 22">
          <a:extLst>
            <a:ext uri="{FF2B5EF4-FFF2-40B4-BE49-F238E27FC236}">
              <a16:creationId xmlns="" xmlns:a16="http://schemas.microsoft.com/office/drawing/2014/main" id="{00000000-0008-0000-1500-0000AF004300}"/>
            </a:ext>
          </a:extLst>
        </xdr:cNvPr>
        <xdr:cNvSpPr>
          <a:spLocks noChangeShapeType="1"/>
        </xdr:cNvSpPr>
      </xdr:nvSpPr>
      <xdr:spPr bwMode="auto">
        <a:xfrm>
          <a:off x="1283970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381000</xdr:colOff>
      <xdr:row>0</xdr:row>
      <xdr:rowOff>0</xdr:rowOff>
    </xdr:from>
    <xdr:to>
      <xdr:col>14</xdr:col>
      <xdr:colOff>495300</xdr:colOff>
      <xdr:row>0</xdr:row>
      <xdr:rowOff>0</xdr:rowOff>
    </xdr:to>
    <xdr:sp macro="" textlink="">
      <xdr:nvSpPr>
        <xdr:cNvPr id="4391088" name="Line 23">
          <a:extLst>
            <a:ext uri="{FF2B5EF4-FFF2-40B4-BE49-F238E27FC236}">
              <a16:creationId xmlns="" xmlns:a16="http://schemas.microsoft.com/office/drawing/2014/main" id="{00000000-0008-0000-1500-0000B0004300}"/>
            </a:ext>
          </a:extLst>
        </xdr:cNvPr>
        <xdr:cNvSpPr>
          <a:spLocks noChangeShapeType="1"/>
        </xdr:cNvSpPr>
      </xdr:nvSpPr>
      <xdr:spPr bwMode="auto">
        <a:xfrm flipV="1">
          <a:off x="1295400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495300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91089" name="Line 24">
          <a:extLst>
            <a:ext uri="{FF2B5EF4-FFF2-40B4-BE49-F238E27FC236}">
              <a16:creationId xmlns="" xmlns:a16="http://schemas.microsoft.com/office/drawing/2014/main" id="{00000000-0008-0000-1500-0000B1004300}"/>
            </a:ext>
          </a:extLst>
        </xdr:cNvPr>
        <xdr:cNvSpPr>
          <a:spLocks noChangeShapeType="1"/>
        </xdr:cNvSpPr>
      </xdr:nvSpPr>
      <xdr:spPr bwMode="auto">
        <a:xfrm>
          <a:off x="1306830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91090" name="Line 25">
          <a:extLst>
            <a:ext uri="{FF2B5EF4-FFF2-40B4-BE49-F238E27FC236}">
              <a16:creationId xmlns="" xmlns:a16="http://schemas.microsoft.com/office/drawing/2014/main" id="{00000000-0008-0000-1500-0000B2004300}"/>
            </a:ext>
          </a:extLst>
        </xdr:cNvPr>
        <xdr:cNvSpPr>
          <a:spLocks noChangeShapeType="1"/>
        </xdr:cNvSpPr>
      </xdr:nvSpPr>
      <xdr:spPr bwMode="auto">
        <a:xfrm flipV="1">
          <a:off x="13192125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66675</xdr:colOff>
      <xdr:row>0</xdr:row>
      <xdr:rowOff>0</xdr:rowOff>
    </xdr:to>
    <xdr:sp macro="" textlink="">
      <xdr:nvSpPr>
        <xdr:cNvPr id="4391091" name="Line 26">
          <a:extLst>
            <a:ext uri="{FF2B5EF4-FFF2-40B4-BE49-F238E27FC236}">
              <a16:creationId xmlns="" xmlns:a16="http://schemas.microsoft.com/office/drawing/2014/main" id="{00000000-0008-0000-1500-0000B3004300}"/>
            </a:ext>
          </a:extLst>
        </xdr:cNvPr>
        <xdr:cNvSpPr>
          <a:spLocks noChangeShapeType="1"/>
        </xdr:cNvSpPr>
      </xdr:nvSpPr>
      <xdr:spPr bwMode="auto">
        <a:xfrm flipV="1">
          <a:off x="112490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91092" name="Line 27">
          <a:extLst>
            <a:ext uri="{FF2B5EF4-FFF2-40B4-BE49-F238E27FC236}">
              <a16:creationId xmlns="" xmlns:a16="http://schemas.microsoft.com/office/drawing/2014/main" id="{00000000-0008-0000-1500-0000B4004300}"/>
            </a:ext>
          </a:extLst>
        </xdr:cNvPr>
        <xdr:cNvSpPr>
          <a:spLocks noChangeShapeType="1"/>
        </xdr:cNvSpPr>
      </xdr:nvSpPr>
      <xdr:spPr bwMode="auto">
        <a:xfrm flipV="1">
          <a:off x="131921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91093" name="Line 28">
          <a:extLst>
            <a:ext uri="{FF2B5EF4-FFF2-40B4-BE49-F238E27FC236}">
              <a16:creationId xmlns="" xmlns:a16="http://schemas.microsoft.com/office/drawing/2014/main" id="{00000000-0008-0000-1500-0000B5004300}"/>
            </a:ext>
          </a:extLst>
        </xdr:cNvPr>
        <xdr:cNvSpPr>
          <a:spLocks noChangeShapeType="1"/>
        </xdr:cNvSpPr>
      </xdr:nvSpPr>
      <xdr:spPr bwMode="auto">
        <a:xfrm>
          <a:off x="11306175" y="0"/>
          <a:ext cx="1885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352425</xdr:colOff>
      <xdr:row>0</xdr:row>
      <xdr:rowOff>0</xdr:rowOff>
    </xdr:from>
    <xdr:to>
      <xdr:col>2</xdr:col>
      <xdr:colOff>352425</xdr:colOff>
      <xdr:row>0</xdr:row>
      <xdr:rowOff>0</xdr:rowOff>
    </xdr:to>
    <xdr:sp macro="" textlink="">
      <xdr:nvSpPr>
        <xdr:cNvPr id="4391094" name="Line 29">
          <a:extLst>
            <a:ext uri="{FF2B5EF4-FFF2-40B4-BE49-F238E27FC236}">
              <a16:creationId xmlns="" xmlns:a16="http://schemas.microsoft.com/office/drawing/2014/main" id="{00000000-0008-0000-1500-0000B6004300}"/>
            </a:ext>
          </a:extLst>
        </xdr:cNvPr>
        <xdr:cNvSpPr>
          <a:spLocks noChangeShapeType="1"/>
        </xdr:cNvSpPr>
      </xdr:nvSpPr>
      <xdr:spPr bwMode="auto">
        <a:xfrm>
          <a:off x="3190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152400</xdr:colOff>
      <xdr:row>0</xdr:row>
      <xdr:rowOff>0</xdr:rowOff>
    </xdr:to>
    <xdr:sp macro="" textlink="">
      <xdr:nvSpPr>
        <xdr:cNvPr id="4391095" name="Line 30">
          <a:extLst>
            <a:ext uri="{FF2B5EF4-FFF2-40B4-BE49-F238E27FC236}">
              <a16:creationId xmlns="" xmlns:a16="http://schemas.microsoft.com/office/drawing/2014/main" id="{00000000-0008-0000-1500-0000B7004300}"/>
            </a:ext>
          </a:extLst>
        </xdr:cNvPr>
        <xdr:cNvSpPr>
          <a:spLocks noChangeShapeType="1"/>
        </xdr:cNvSpPr>
      </xdr:nvSpPr>
      <xdr:spPr bwMode="auto">
        <a:xfrm>
          <a:off x="2990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723900</xdr:colOff>
      <xdr:row>0</xdr:row>
      <xdr:rowOff>0</xdr:rowOff>
    </xdr:from>
    <xdr:to>
      <xdr:col>4</xdr:col>
      <xdr:colOff>723900</xdr:colOff>
      <xdr:row>0</xdr:row>
      <xdr:rowOff>0</xdr:rowOff>
    </xdr:to>
    <xdr:sp macro="" textlink="">
      <xdr:nvSpPr>
        <xdr:cNvPr id="4391096" name="Line 31">
          <a:extLst>
            <a:ext uri="{FF2B5EF4-FFF2-40B4-BE49-F238E27FC236}">
              <a16:creationId xmlns="" xmlns:a16="http://schemas.microsoft.com/office/drawing/2014/main" id="{00000000-0008-0000-1500-0000B8004300}"/>
            </a:ext>
          </a:extLst>
        </xdr:cNvPr>
        <xdr:cNvSpPr>
          <a:spLocks noChangeShapeType="1"/>
        </xdr:cNvSpPr>
      </xdr:nvSpPr>
      <xdr:spPr bwMode="auto">
        <a:xfrm>
          <a:off x="6200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285750</xdr:colOff>
      <xdr:row>0</xdr:row>
      <xdr:rowOff>0</xdr:rowOff>
    </xdr:from>
    <xdr:to>
      <xdr:col>2</xdr:col>
      <xdr:colOff>285750</xdr:colOff>
      <xdr:row>0</xdr:row>
      <xdr:rowOff>0</xdr:rowOff>
    </xdr:to>
    <xdr:sp macro="" textlink="">
      <xdr:nvSpPr>
        <xdr:cNvPr id="4391097" name="Line 32">
          <a:extLst>
            <a:ext uri="{FF2B5EF4-FFF2-40B4-BE49-F238E27FC236}">
              <a16:creationId xmlns="" xmlns:a16="http://schemas.microsoft.com/office/drawing/2014/main" id="{00000000-0008-0000-1500-0000B9004300}"/>
            </a:ext>
          </a:extLst>
        </xdr:cNvPr>
        <xdr:cNvSpPr>
          <a:spLocks noChangeShapeType="1"/>
        </xdr:cNvSpPr>
      </xdr:nvSpPr>
      <xdr:spPr bwMode="auto">
        <a:xfrm>
          <a:off x="31242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590550</xdr:colOff>
      <xdr:row>0</xdr:row>
      <xdr:rowOff>0</xdr:rowOff>
    </xdr:from>
    <xdr:to>
      <xdr:col>4</xdr:col>
      <xdr:colOff>590550</xdr:colOff>
      <xdr:row>0</xdr:row>
      <xdr:rowOff>0</xdr:rowOff>
    </xdr:to>
    <xdr:sp macro="" textlink="">
      <xdr:nvSpPr>
        <xdr:cNvPr id="4391098" name="Line 33">
          <a:extLst>
            <a:ext uri="{FF2B5EF4-FFF2-40B4-BE49-F238E27FC236}">
              <a16:creationId xmlns="" xmlns:a16="http://schemas.microsoft.com/office/drawing/2014/main" id="{00000000-0008-0000-1500-0000BA004300}"/>
            </a:ext>
          </a:extLst>
        </xdr:cNvPr>
        <xdr:cNvSpPr>
          <a:spLocks noChangeShapeType="1"/>
        </xdr:cNvSpPr>
      </xdr:nvSpPr>
      <xdr:spPr bwMode="auto">
        <a:xfrm flipH="1">
          <a:off x="6067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91099" name="Line 34">
          <a:extLst>
            <a:ext uri="{FF2B5EF4-FFF2-40B4-BE49-F238E27FC236}">
              <a16:creationId xmlns="" xmlns:a16="http://schemas.microsoft.com/office/drawing/2014/main" id="{00000000-0008-0000-1500-0000BB004300}"/>
            </a:ext>
          </a:extLst>
        </xdr:cNvPr>
        <xdr:cNvSpPr>
          <a:spLocks noChangeShapeType="1"/>
        </xdr:cNvSpPr>
      </xdr:nvSpPr>
      <xdr:spPr bwMode="auto">
        <a:xfrm flipV="1">
          <a:off x="13192125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95250</xdr:colOff>
      <xdr:row>0</xdr:row>
      <xdr:rowOff>0</xdr:rowOff>
    </xdr:to>
    <xdr:grpSp>
      <xdr:nvGrpSpPr>
        <xdr:cNvPr id="4391100" name="Group 35">
          <a:extLst>
            <a:ext uri="{FF2B5EF4-FFF2-40B4-BE49-F238E27FC236}">
              <a16:creationId xmlns="" xmlns:a16="http://schemas.microsoft.com/office/drawing/2014/main" id="{00000000-0008-0000-1500-0000BC004300}"/>
            </a:ext>
          </a:extLst>
        </xdr:cNvPr>
        <xdr:cNvGrpSpPr>
          <a:grpSpLocks/>
        </xdr:cNvGrpSpPr>
      </xdr:nvGrpSpPr>
      <xdr:grpSpPr bwMode="auto">
        <a:xfrm>
          <a:off x="9010650" y="0"/>
          <a:ext cx="5772150" cy="0"/>
          <a:chOff x="630" y="359"/>
          <a:chExt cx="361" cy="60"/>
        </a:xfrm>
      </xdr:grpSpPr>
      <xdr:sp macro="" textlink="">
        <xdr:nvSpPr>
          <xdr:cNvPr id="4391281" name="Line 36">
            <a:extLst>
              <a:ext uri="{FF2B5EF4-FFF2-40B4-BE49-F238E27FC236}">
                <a16:creationId xmlns="" xmlns:a16="http://schemas.microsoft.com/office/drawing/2014/main" id="{00000000-0008-0000-1500-00007101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0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1282" name="Line 37">
            <a:extLst>
              <a:ext uri="{FF2B5EF4-FFF2-40B4-BE49-F238E27FC236}">
                <a16:creationId xmlns="" xmlns:a16="http://schemas.microsoft.com/office/drawing/2014/main" id="{00000000-0008-0000-1500-00007201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91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1283" name="Line 38">
            <a:extLst>
              <a:ext uri="{FF2B5EF4-FFF2-40B4-BE49-F238E27FC236}">
                <a16:creationId xmlns="" xmlns:a16="http://schemas.microsoft.com/office/drawing/2014/main" id="{00000000-0008-0000-1500-000073014300}"/>
              </a:ext>
            </a:extLst>
          </xdr:cNvPr>
          <xdr:cNvSpPr>
            <a:spLocks noChangeShapeType="1"/>
          </xdr:cNvSpPr>
        </xdr:nvSpPr>
        <xdr:spPr bwMode="auto">
          <a:xfrm>
            <a:off x="630" y="381"/>
            <a:ext cx="3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7</xdr:col>
      <xdr:colOff>590550</xdr:colOff>
      <xdr:row>0</xdr:row>
      <xdr:rowOff>0</xdr:rowOff>
    </xdr:to>
    <xdr:sp macro="" textlink="">
      <xdr:nvSpPr>
        <xdr:cNvPr id="4391101" name="Line 39">
          <a:extLst>
            <a:ext uri="{FF2B5EF4-FFF2-40B4-BE49-F238E27FC236}">
              <a16:creationId xmlns="" xmlns:a16="http://schemas.microsoft.com/office/drawing/2014/main" id="{00000000-0008-0000-1500-0000BD004300}"/>
            </a:ext>
          </a:extLst>
        </xdr:cNvPr>
        <xdr:cNvSpPr>
          <a:spLocks noChangeShapeType="1"/>
        </xdr:cNvSpPr>
      </xdr:nvSpPr>
      <xdr:spPr bwMode="auto">
        <a:xfrm>
          <a:off x="89820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10</xdr:col>
      <xdr:colOff>47625</xdr:colOff>
      <xdr:row>0</xdr:row>
      <xdr:rowOff>0</xdr:rowOff>
    </xdr:to>
    <xdr:sp macro="" textlink="">
      <xdr:nvSpPr>
        <xdr:cNvPr id="4391102" name="Line 40">
          <a:extLst>
            <a:ext uri="{FF2B5EF4-FFF2-40B4-BE49-F238E27FC236}">
              <a16:creationId xmlns="" xmlns:a16="http://schemas.microsoft.com/office/drawing/2014/main" id="{00000000-0008-0000-1500-0000BE004300}"/>
            </a:ext>
          </a:extLst>
        </xdr:cNvPr>
        <xdr:cNvSpPr>
          <a:spLocks noChangeShapeType="1"/>
        </xdr:cNvSpPr>
      </xdr:nvSpPr>
      <xdr:spPr bwMode="auto">
        <a:xfrm flipV="1">
          <a:off x="8524875" y="0"/>
          <a:ext cx="1771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10</xdr:col>
      <xdr:colOff>914400</xdr:colOff>
      <xdr:row>0</xdr:row>
      <xdr:rowOff>0</xdr:rowOff>
    </xdr:to>
    <xdr:sp macro="" textlink="">
      <xdr:nvSpPr>
        <xdr:cNvPr id="4391103" name="Line 41">
          <a:extLst>
            <a:ext uri="{FF2B5EF4-FFF2-40B4-BE49-F238E27FC236}">
              <a16:creationId xmlns="" xmlns:a16="http://schemas.microsoft.com/office/drawing/2014/main" id="{00000000-0008-0000-1500-0000BF004300}"/>
            </a:ext>
          </a:extLst>
        </xdr:cNvPr>
        <xdr:cNvSpPr>
          <a:spLocks noChangeShapeType="1"/>
        </xdr:cNvSpPr>
      </xdr:nvSpPr>
      <xdr:spPr bwMode="auto">
        <a:xfrm>
          <a:off x="8982075" y="0"/>
          <a:ext cx="1924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28575</xdr:colOff>
      <xdr:row>0</xdr:row>
      <xdr:rowOff>0</xdr:rowOff>
    </xdr:to>
    <xdr:sp macro="" textlink="">
      <xdr:nvSpPr>
        <xdr:cNvPr id="4391104" name="Line 42">
          <a:extLst>
            <a:ext uri="{FF2B5EF4-FFF2-40B4-BE49-F238E27FC236}">
              <a16:creationId xmlns="" xmlns:a16="http://schemas.microsoft.com/office/drawing/2014/main" id="{00000000-0008-0000-1500-0000C0004300}"/>
            </a:ext>
          </a:extLst>
        </xdr:cNvPr>
        <xdr:cNvSpPr>
          <a:spLocks noChangeShapeType="1"/>
        </xdr:cNvSpPr>
      </xdr:nvSpPr>
      <xdr:spPr bwMode="auto">
        <a:xfrm>
          <a:off x="8982075" y="0"/>
          <a:ext cx="2228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552450</xdr:colOff>
      <xdr:row>0</xdr:row>
      <xdr:rowOff>0</xdr:rowOff>
    </xdr:from>
    <xdr:to>
      <xdr:col>13</xdr:col>
      <xdr:colOff>400050</xdr:colOff>
      <xdr:row>0</xdr:row>
      <xdr:rowOff>0</xdr:rowOff>
    </xdr:to>
    <xdr:sp macro="" textlink="">
      <xdr:nvSpPr>
        <xdr:cNvPr id="4391105" name="Line 43">
          <a:extLst>
            <a:ext uri="{FF2B5EF4-FFF2-40B4-BE49-F238E27FC236}">
              <a16:creationId xmlns="" xmlns:a16="http://schemas.microsoft.com/office/drawing/2014/main" id="{00000000-0008-0000-1500-0000C1004300}"/>
            </a:ext>
          </a:extLst>
        </xdr:cNvPr>
        <xdr:cNvSpPr>
          <a:spLocks noChangeShapeType="1"/>
        </xdr:cNvSpPr>
      </xdr:nvSpPr>
      <xdr:spPr bwMode="auto">
        <a:xfrm flipH="1">
          <a:off x="8943975" y="0"/>
          <a:ext cx="2838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10</xdr:col>
      <xdr:colOff>57150</xdr:colOff>
      <xdr:row>0</xdr:row>
      <xdr:rowOff>0</xdr:rowOff>
    </xdr:to>
    <xdr:grpSp>
      <xdr:nvGrpSpPr>
        <xdr:cNvPr id="4391106" name="Group 44">
          <a:extLst>
            <a:ext uri="{FF2B5EF4-FFF2-40B4-BE49-F238E27FC236}">
              <a16:creationId xmlns="" xmlns:a16="http://schemas.microsoft.com/office/drawing/2014/main" id="{00000000-0008-0000-1500-0000C2004300}"/>
            </a:ext>
          </a:extLst>
        </xdr:cNvPr>
        <xdr:cNvGrpSpPr>
          <a:grpSpLocks/>
        </xdr:cNvGrpSpPr>
      </xdr:nvGrpSpPr>
      <xdr:grpSpPr bwMode="auto">
        <a:xfrm>
          <a:off x="9048750" y="0"/>
          <a:ext cx="1314450" cy="0"/>
          <a:chOff x="554" y="439"/>
          <a:chExt cx="10" cy="76"/>
        </a:xfrm>
      </xdr:grpSpPr>
      <xdr:sp macro="" textlink="">
        <xdr:nvSpPr>
          <xdr:cNvPr id="4391279" name="Line 45">
            <a:extLst>
              <a:ext uri="{FF2B5EF4-FFF2-40B4-BE49-F238E27FC236}">
                <a16:creationId xmlns="" xmlns:a16="http://schemas.microsoft.com/office/drawing/2014/main" id="{00000000-0008-0000-1500-00006F014300}"/>
              </a:ext>
            </a:extLst>
          </xdr:cNvPr>
          <xdr:cNvSpPr>
            <a:spLocks noChangeShapeType="1"/>
          </xdr:cNvSpPr>
        </xdr:nvSpPr>
        <xdr:spPr bwMode="auto">
          <a:xfrm>
            <a:off x="558" y="439"/>
            <a:ext cx="0" cy="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1280" name="Line 46">
            <a:extLst>
              <a:ext uri="{FF2B5EF4-FFF2-40B4-BE49-F238E27FC236}">
                <a16:creationId xmlns="" xmlns:a16="http://schemas.microsoft.com/office/drawing/2014/main" id="{00000000-0008-0000-1500-000070014300}"/>
              </a:ext>
            </a:extLst>
          </xdr:cNvPr>
          <xdr:cNvSpPr>
            <a:spLocks noChangeShapeType="1"/>
          </xdr:cNvSpPr>
        </xdr:nvSpPr>
        <xdr:spPr bwMode="auto">
          <a:xfrm>
            <a:off x="554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10</xdr:col>
      <xdr:colOff>628650</xdr:colOff>
      <xdr:row>0</xdr:row>
      <xdr:rowOff>0</xdr:rowOff>
    </xdr:from>
    <xdr:to>
      <xdr:col>11</xdr:col>
      <xdr:colOff>38100</xdr:colOff>
      <xdr:row>0</xdr:row>
      <xdr:rowOff>0</xdr:rowOff>
    </xdr:to>
    <xdr:grpSp>
      <xdr:nvGrpSpPr>
        <xdr:cNvPr id="4391107" name="Group 47">
          <a:extLst>
            <a:ext uri="{FF2B5EF4-FFF2-40B4-BE49-F238E27FC236}">
              <a16:creationId xmlns="" xmlns:a16="http://schemas.microsoft.com/office/drawing/2014/main" id="{00000000-0008-0000-1500-0000C3004300}"/>
            </a:ext>
          </a:extLst>
        </xdr:cNvPr>
        <xdr:cNvGrpSpPr>
          <a:grpSpLocks/>
        </xdr:cNvGrpSpPr>
      </xdr:nvGrpSpPr>
      <xdr:grpSpPr bwMode="auto">
        <a:xfrm>
          <a:off x="10934700" y="0"/>
          <a:ext cx="76200" cy="0"/>
          <a:chOff x="680" y="439"/>
          <a:chExt cx="10" cy="98"/>
        </a:xfrm>
      </xdr:grpSpPr>
      <xdr:sp macro="" textlink="">
        <xdr:nvSpPr>
          <xdr:cNvPr id="4391277" name="Line 48">
            <a:extLst>
              <a:ext uri="{FF2B5EF4-FFF2-40B4-BE49-F238E27FC236}">
                <a16:creationId xmlns="" xmlns:a16="http://schemas.microsoft.com/office/drawing/2014/main" id="{00000000-0008-0000-1500-00006D014300}"/>
              </a:ext>
            </a:extLst>
          </xdr:cNvPr>
          <xdr:cNvSpPr>
            <a:spLocks noChangeShapeType="1"/>
          </xdr:cNvSpPr>
        </xdr:nvSpPr>
        <xdr:spPr bwMode="auto">
          <a:xfrm>
            <a:off x="685" y="439"/>
            <a:ext cx="0" cy="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1278" name="Line 49">
            <a:extLst>
              <a:ext uri="{FF2B5EF4-FFF2-40B4-BE49-F238E27FC236}">
                <a16:creationId xmlns="" xmlns:a16="http://schemas.microsoft.com/office/drawing/2014/main" id="{00000000-0008-0000-1500-00006E014300}"/>
              </a:ext>
            </a:extLst>
          </xdr:cNvPr>
          <xdr:cNvSpPr>
            <a:spLocks noChangeShapeType="1"/>
          </xdr:cNvSpPr>
        </xdr:nvSpPr>
        <xdr:spPr bwMode="auto">
          <a:xfrm>
            <a:off x="680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4391108" name="Group 50">
          <a:extLst>
            <a:ext uri="{FF2B5EF4-FFF2-40B4-BE49-F238E27FC236}">
              <a16:creationId xmlns="" xmlns:a16="http://schemas.microsoft.com/office/drawing/2014/main" id="{00000000-0008-0000-1500-0000C4004300}"/>
            </a:ext>
          </a:extLst>
        </xdr:cNvPr>
        <xdr:cNvGrpSpPr>
          <a:grpSpLocks/>
        </xdr:cNvGrpSpPr>
      </xdr:nvGrpSpPr>
      <xdr:grpSpPr bwMode="auto">
        <a:xfrm>
          <a:off x="11258550" y="0"/>
          <a:ext cx="142875" cy="0"/>
          <a:chOff x="759" y="438"/>
          <a:chExt cx="10" cy="121"/>
        </a:xfrm>
      </xdr:grpSpPr>
      <xdr:sp macro="" textlink="">
        <xdr:nvSpPr>
          <xdr:cNvPr id="4391275" name="Line 51">
            <a:extLst>
              <a:ext uri="{FF2B5EF4-FFF2-40B4-BE49-F238E27FC236}">
                <a16:creationId xmlns="" xmlns:a16="http://schemas.microsoft.com/office/drawing/2014/main" id="{00000000-0008-0000-1500-00006B0143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1276" name="Line 52">
            <a:extLst>
              <a:ext uri="{FF2B5EF4-FFF2-40B4-BE49-F238E27FC236}">
                <a16:creationId xmlns="" xmlns:a16="http://schemas.microsoft.com/office/drawing/2014/main" id="{00000000-0008-0000-1500-00006C0143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13</xdr:col>
      <xdr:colOff>76200</xdr:colOff>
      <xdr:row>0</xdr:row>
      <xdr:rowOff>0</xdr:rowOff>
    </xdr:from>
    <xdr:to>
      <xdr:col>13</xdr:col>
      <xdr:colOff>676275</xdr:colOff>
      <xdr:row>0</xdr:row>
      <xdr:rowOff>0</xdr:rowOff>
    </xdr:to>
    <xdr:grpSp>
      <xdr:nvGrpSpPr>
        <xdr:cNvPr id="4391109" name="Group 53">
          <a:extLst>
            <a:ext uri="{FF2B5EF4-FFF2-40B4-BE49-F238E27FC236}">
              <a16:creationId xmlns="" xmlns:a16="http://schemas.microsoft.com/office/drawing/2014/main" id="{00000000-0008-0000-1500-0000C5004300}"/>
            </a:ext>
          </a:extLst>
        </xdr:cNvPr>
        <xdr:cNvGrpSpPr>
          <a:grpSpLocks/>
        </xdr:cNvGrpSpPr>
      </xdr:nvGrpSpPr>
      <xdr:grpSpPr bwMode="auto">
        <a:xfrm>
          <a:off x="11544300" y="0"/>
          <a:ext cx="600075" cy="0"/>
          <a:chOff x="842" y="438"/>
          <a:chExt cx="10" cy="147"/>
        </a:xfrm>
      </xdr:grpSpPr>
      <xdr:sp macro="" textlink="">
        <xdr:nvSpPr>
          <xdr:cNvPr id="4391273" name="Line 54">
            <a:extLst>
              <a:ext uri="{FF2B5EF4-FFF2-40B4-BE49-F238E27FC236}">
                <a16:creationId xmlns="" xmlns:a16="http://schemas.microsoft.com/office/drawing/2014/main" id="{00000000-0008-0000-1500-0000690143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1274" name="Line 55">
            <a:extLst>
              <a:ext uri="{FF2B5EF4-FFF2-40B4-BE49-F238E27FC236}">
                <a16:creationId xmlns="" xmlns:a16="http://schemas.microsoft.com/office/drawing/2014/main" id="{00000000-0008-0000-1500-00006A0143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76200</xdr:colOff>
      <xdr:row>0</xdr:row>
      <xdr:rowOff>0</xdr:rowOff>
    </xdr:to>
    <xdr:sp macro="" textlink="">
      <xdr:nvSpPr>
        <xdr:cNvPr id="4391110" name="Rectangle 56">
          <a:extLst>
            <a:ext uri="{FF2B5EF4-FFF2-40B4-BE49-F238E27FC236}">
              <a16:creationId xmlns="" xmlns:a16="http://schemas.microsoft.com/office/drawing/2014/main" id="{00000000-0008-0000-1500-0000C6004300}"/>
            </a:ext>
          </a:extLst>
        </xdr:cNvPr>
        <xdr:cNvSpPr>
          <a:spLocks noChangeArrowheads="1"/>
        </xdr:cNvSpPr>
      </xdr:nvSpPr>
      <xdr:spPr bwMode="auto">
        <a:xfrm>
          <a:off x="8982075" y="0"/>
          <a:ext cx="567690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4391111" name="Line 57">
          <a:extLst>
            <a:ext uri="{FF2B5EF4-FFF2-40B4-BE49-F238E27FC236}">
              <a16:creationId xmlns="" xmlns:a16="http://schemas.microsoft.com/office/drawing/2014/main" id="{00000000-0008-0000-1500-0000C7004300}"/>
            </a:ext>
          </a:extLst>
        </xdr:cNvPr>
        <xdr:cNvSpPr>
          <a:spLocks noChangeShapeType="1"/>
        </xdr:cNvSpPr>
      </xdr:nvSpPr>
      <xdr:spPr bwMode="auto">
        <a:xfrm>
          <a:off x="14582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638175</xdr:colOff>
      <xdr:row>0</xdr:row>
      <xdr:rowOff>0</xdr:rowOff>
    </xdr:from>
    <xdr:to>
      <xdr:col>16</xdr:col>
      <xdr:colOff>47625</xdr:colOff>
      <xdr:row>0</xdr:row>
      <xdr:rowOff>0</xdr:rowOff>
    </xdr:to>
    <xdr:sp macro="" textlink="">
      <xdr:nvSpPr>
        <xdr:cNvPr id="4391112" name="Line 58">
          <a:extLst>
            <a:ext uri="{FF2B5EF4-FFF2-40B4-BE49-F238E27FC236}">
              <a16:creationId xmlns="" xmlns:a16="http://schemas.microsoft.com/office/drawing/2014/main" id="{00000000-0008-0000-1500-0000C8004300}"/>
            </a:ext>
          </a:extLst>
        </xdr:cNvPr>
        <xdr:cNvSpPr>
          <a:spLocks noChangeShapeType="1"/>
        </xdr:cNvSpPr>
      </xdr:nvSpPr>
      <xdr:spPr bwMode="auto">
        <a:xfrm>
          <a:off x="14135100" y="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15</xdr:col>
      <xdr:colOff>1181100</xdr:colOff>
      <xdr:row>0</xdr:row>
      <xdr:rowOff>0</xdr:rowOff>
    </xdr:to>
    <xdr:sp macro="" textlink="">
      <xdr:nvSpPr>
        <xdr:cNvPr id="4391113" name="Line 59">
          <a:extLst>
            <a:ext uri="{FF2B5EF4-FFF2-40B4-BE49-F238E27FC236}">
              <a16:creationId xmlns="" xmlns:a16="http://schemas.microsoft.com/office/drawing/2014/main" id="{00000000-0008-0000-1500-0000C9004300}"/>
            </a:ext>
          </a:extLst>
        </xdr:cNvPr>
        <xdr:cNvSpPr>
          <a:spLocks noChangeShapeType="1"/>
        </xdr:cNvSpPr>
      </xdr:nvSpPr>
      <xdr:spPr bwMode="auto">
        <a:xfrm flipV="1">
          <a:off x="9010650" y="0"/>
          <a:ext cx="5572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666750</xdr:colOff>
      <xdr:row>0</xdr:row>
      <xdr:rowOff>0</xdr:rowOff>
    </xdr:from>
    <xdr:to>
      <xdr:col>14</xdr:col>
      <xdr:colOff>838200</xdr:colOff>
      <xdr:row>0</xdr:row>
      <xdr:rowOff>0</xdr:rowOff>
    </xdr:to>
    <xdr:grpSp>
      <xdr:nvGrpSpPr>
        <xdr:cNvPr id="4391114" name="Group 60">
          <a:extLst>
            <a:ext uri="{FF2B5EF4-FFF2-40B4-BE49-F238E27FC236}">
              <a16:creationId xmlns="" xmlns:a16="http://schemas.microsoft.com/office/drawing/2014/main" id="{00000000-0008-0000-1500-0000CA004300}"/>
            </a:ext>
          </a:extLst>
        </xdr:cNvPr>
        <xdr:cNvGrpSpPr>
          <a:grpSpLocks/>
        </xdr:cNvGrpSpPr>
      </xdr:nvGrpSpPr>
      <xdr:grpSpPr bwMode="auto">
        <a:xfrm>
          <a:off x="13335000" y="0"/>
          <a:ext cx="171450" cy="0"/>
          <a:chOff x="912" y="438"/>
          <a:chExt cx="11" cy="175"/>
        </a:xfrm>
      </xdr:grpSpPr>
      <xdr:sp macro="" textlink="">
        <xdr:nvSpPr>
          <xdr:cNvPr id="4391271" name="Line 61">
            <a:extLst>
              <a:ext uri="{FF2B5EF4-FFF2-40B4-BE49-F238E27FC236}">
                <a16:creationId xmlns="" xmlns:a16="http://schemas.microsoft.com/office/drawing/2014/main" id="{00000000-0008-0000-1500-0000670143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1272" name="Line 62">
            <a:extLst>
              <a:ext uri="{FF2B5EF4-FFF2-40B4-BE49-F238E27FC236}">
                <a16:creationId xmlns="" xmlns:a16="http://schemas.microsoft.com/office/drawing/2014/main" id="{00000000-0008-0000-1500-0000680143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171450</xdr:colOff>
      <xdr:row>0</xdr:row>
      <xdr:rowOff>0</xdr:rowOff>
    </xdr:from>
    <xdr:to>
      <xdr:col>4</xdr:col>
      <xdr:colOff>542925</xdr:colOff>
      <xdr:row>0</xdr:row>
      <xdr:rowOff>0</xdr:rowOff>
    </xdr:to>
    <xdr:sp macro="" textlink="">
      <xdr:nvSpPr>
        <xdr:cNvPr id="4391115" name="Line 63">
          <a:extLst>
            <a:ext uri="{FF2B5EF4-FFF2-40B4-BE49-F238E27FC236}">
              <a16:creationId xmlns="" xmlns:a16="http://schemas.microsoft.com/office/drawing/2014/main" id="{00000000-0008-0000-1500-0000CB004300}"/>
            </a:ext>
          </a:extLst>
        </xdr:cNvPr>
        <xdr:cNvSpPr>
          <a:spLocks noChangeShapeType="1"/>
        </xdr:cNvSpPr>
      </xdr:nvSpPr>
      <xdr:spPr bwMode="auto">
        <a:xfrm>
          <a:off x="3009900" y="0"/>
          <a:ext cx="300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190500</xdr:colOff>
      <xdr:row>0</xdr:row>
      <xdr:rowOff>0</xdr:rowOff>
    </xdr:from>
    <xdr:to>
      <xdr:col>4</xdr:col>
      <xdr:colOff>571500</xdr:colOff>
      <xdr:row>0</xdr:row>
      <xdr:rowOff>0</xdr:rowOff>
    </xdr:to>
    <xdr:sp macro="" textlink="">
      <xdr:nvSpPr>
        <xdr:cNvPr id="4391116" name="Line 64">
          <a:extLst>
            <a:ext uri="{FF2B5EF4-FFF2-40B4-BE49-F238E27FC236}">
              <a16:creationId xmlns="" xmlns:a16="http://schemas.microsoft.com/office/drawing/2014/main" id="{00000000-0008-0000-1500-0000CC004300}"/>
            </a:ext>
          </a:extLst>
        </xdr:cNvPr>
        <xdr:cNvSpPr>
          <a:spLocks noChangeShapeType="1"/>
        </xdr:cNvSpPr>
      </xdr:nvSpPr>
      <xdr:spPr bwMode="auto">
        <a:xfrm>
          <a:off x="3028950" y="0"/>
          <a:ext cx="3019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91117" name="Line 65">
          <a:extLst>
            <a:ext uri="{FF2B5EF4-FFF2-40B4-BE49-F238E27FC236}">
              <a16:creationId xmlns="" xmlns:a16="http://schemas.microsoft.com/office/drawing/2014/main" id="{00000000-0008-0000-1500-0000CD004300}"/>
            </a:ext>
          </a:extLst>
        </xdr:cNvPr>
        <xdr:cNvSpPr>
          <a:spLocks noChangeShapeType="1"/>
        </xdr:cNvSpPr>
      </xdr:nvSpPr>
      <xdr:spPr bwMode="auto">
        <a:xfrm>
          <a:off x="6010275" y="0"/>
          <a:ext cx="638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4</xdr:col>
      <xdr:colOff>676275</xdr:colOff>
      <xdr:row>0</xdr:row>
      <xdr:rowOff>0</xdr:rowOff>
    </xdr:to>
    <xdr:sp macro="" textlink="">
      <xdr:nvSpPr>
        <xdr:cNvPr id="4391118" name="Line 66">
          <a:extLst>
            <a:ext uri="{FF2B5EF4-FFF2-40B4-BE49-F238E27FC236}">
              <a16:creationId xmlns="" xmlns:a16="http://schemas.microsoft.com/office/drawing/2014/main" id="{00000000-0008-0000-1500-0000CE004300}"/>
            </a:ext>
          </a:extLst>
        </xdr:cNvPr>
        <xdr:cNvSpPr>
          <a:spLocks noChangeShapeType="1"/>
        </xdr:cNvSpPr>
      </xdr:nvSpPr>
      <xdr:spPr bwMode="auto">
        <a:xfrm>
          <a:off x="6010275" y="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219075</xdr:colOff>
      <xdr:row>0</xdr:row>
      <xdr:rowOff>0</xdr:rowOff>
    </xdr:from>
    <xdr:to>
      <xdr:col>2</xdr:col>
      <xdr:colOff>219075</xdr:colOff>
      <xdr:row>0</xdr:row>
      <xdr:rowOff>0</xdr:rowOff>
    </xdr:to>
    <xdr:sp macro="" textlink="">
      <xdr:nvSpPr>
        <xdr:cNvPr id="4391119" name="Line 67">
          <a:extLst>
            <a:ext uri="{FF2B5EF4-FFF2-40B4-BE49-F238E27FC236}">
              <a16:creationId xmlns="" xmlns:a16="http://schemas.microsoft.com/office/drawing/2014/main" id="{00000000-0008-0000-1500-0000CF004300}"/>
            </a:ext>
          </a:extLst>
        </xdr:cNvPr>
        <xdr:cNvSpPr>
          <a:spLocks noChangeShapeType="1"/>
        </xdr:cNvSpPr>
      </xdr:nvSpPr>
      <xdr:spPr bwMode="auto">
        <a:xfrm>
          <a:off x="30575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266700</xdr:colOff>
      <xdr:row>0</xdr:row>
      <xdr:rowOff>0</xdr:rowOff>
    </xdr:from>
    <xdr:to>
      <xdr:col>2</xdr:col>
      <xdr:colOff>266700</xdr:colOff>
      <xdr:row>0</xdr:row>
      <xdr:rowOff>0</xdr:rowOff>
    </xdr:to>
    <xdr:sp macro="" textlink="">
      <xdr:nvSpPr>
        <xdr:cNvPr id="4391120" name="Line 68">
          <a:extLst>
            <a:ext uri="{FF2B5EF4-FFF2-40B4-BE49-F238E27FC236}">
              <a16:creationId xmlns="" xmlns:a16="http://schemas.microsoft.com/office/drawing/2014/main" id="{00000000-0008-0000-1500-0000D0004300}"/>
            </a:ext>
          </a:extLst>
        </xdr:cNvPr>
        <xdr:cNvSpPr>
          <a:spLocks noChangeShapeType="1"/>
        </xdr:cNvSpPr>
      </xdr:nvSpPr>
      <xdr:spPr bwMode="auto">
        <a:xfrm>
          <a:off x="31051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333375</xdr:colOff>
      <xdr:row>0</xdr:row>
      <xdr:rowOff>0</xdr:rowOff>
    </xdr:from>
    <xdr:to>
      <xdr:col>2</xdr:col>
      <xdr:colOff>333375</xdr:colOff>
      <xdr:row>0</xdr:row>
      <xdr:rowOff>0</xdr:rowOff>
    </xdr:to>
    <xdr:sp macro="" textlink="">
      <xdr:nvSpPr>
        <xdr:cNvPr id="4391121" name="Line 69">
          <a:extLst>
            <a:ext uri="{FF2B5EF4-FFF2-40B4-BE49-F238E27FC236}">
              <a16:creationId xmlns="" xmlns:a16="http://schemas.microsoft.com/office/drawing/2014/main" id="{00000000-0008-0000-1500-0000D1004300}"/>
            </a:ext>
          </a:extLst>
        </xdr:cNvPr>
        <xdr:cNvSpPr>
          <a:spLocks noChangeShapeType="1"/>
        </xdr:cNvSpPr>
      </xdr:nvSpPr>
      <xdr:spPr bwMode="auto">
        <a:xfrm>
          <a:off x="31718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0</xdr:row>
      <xdr:rowOff>0</xdr:rowOff>
    </xdr:from>
    <xdr:to>
      <xdr:col>2</xdr:col>
      <xdr:colOff>390525</xdr:colOff>
      <xdr:row>0</xdr:row>
      <xdr:rowOff>0</xdr:rowOff>
    </xdr:to>
    <xdr:sp macro="" textlink="">
      <xdr:nvSpPr>
        <xdr:cNvPr id="4391122" name="Line 70">
          <a:extLst>
            <a:ext uri="{FF2B5EF4-FFF2-40B4-BE49-F238E27FC236}">
              <a16:creationId xmlns="" xmlns:a16="http://schemas.microsoft.com/office/drawing/2014/main" id="{00000000-0008-0000-1500-0000D2004300}"/>
            </a:ext>
          </a:extLst>
        </xdr:cNvPr>
        <xdr:cNvSpPr>
          <a:spLocks noChangeShapeType="1"/>
        </xdr:cNvSpPr>
      </xdr:nvSpPr>
      <xdr:spPr bwMode="auto">
        <a:xfrm>
          <a:off x="32289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447675</xdr:colOff>
      <xdr:row>0</xdr:row>
      <xdr:rowOff>0</xdr:rowOff>
    </xdr:to>
    <xdr:sp macro="" textlink="">
      <xdr:nvSpPr>
        <xdr:cNvPr id="4391123" name="Line 71">
          <a:extLst>
            <a:ext uri="{FF2B5EF4-FFF2-40B4-BE49-F238E27FC236}">
              <a16:creationId xmlns="" xmlns:a16="http://schemas.microsoft.com/office/drawing/2014/main" id="{00000000-0008-0000-1500-0000D3004300}"/>
            </a:ext>
          </a:extLst>
        </xdr:cNvPr>
        <xdr:cNvSpPr>
          <a:spLocks noChangeShapeType="1"/>
        </xdr:cNvSpPr>
      </xdr:nvSpPr>
      <xdr:spPr bwMode="auto">
        <a:xfrm>
          <a:off x="3000375" y="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4391124" name="Line 72">
          <a:extLst>
            <a:ext uri="{FF2B5EF4-FFF2-40B4-BE49-F238E27FC236}">
              <a16:creationId xmlns="" xmlns:a16="http://schemas.microsoft.com/office/drawing/2014/main" id="{00000000-0008-0000-1500-0000D4004300}"/>
            </a:ext>
          </a:extLst>
        </xdr:cNvPr>
        <xdr:cNvSpPr>
          <a:spLocks noChangeShapeType="1"/>
        </xdr:cNvSpPr>
      </xdr:nvSpPr>
      <xdr:spPr bwMode="auto">
        <a:xfrm>
          <a:off x="2990850" y="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314325</xdr:colOff>
      <xdr:row>0</xdr:row>
      <xdr:rowOff>0</xdr:rowOff>
    </xdr:to>
    <xdr:sp macro="" textlink="">
      <xdr:nvSpPr>
        <xdr:cNvPr id="4391125" name="Line 73">
          <a:extLst>
            <a:ext uri="{FF2B5EF4-FFF2-40B4-BE49-F238E27FC236}">
              <a16:creationId xmlns="" xmlns:a16="http://schemas.microsoft.com/office/drawing/2014/main" id="{00000000-0008-0000-1500-0000D5004300}"/>
            </a:ext>
          </a:extLst>
        </xdr:cNvPr>
        <xdr:cNvSpPr>
          <a:spLocks noChangeShapeType="1"/>
        </xdr:cNvSpPr>
      </xdr:nvSpPr>
      <xdr:spPr bwMode="auto">
        <a:xfrm>
          <a:off x="3000375" y="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657225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91126" name="Line 74">
          <a:extLst>
            <a:ext uri="{FF2B5EF4-FFF2-40B4-BE49-F238E27FC236}">
              <a16:creationId xmlns="" xmlns:a16="http://schemas.microsoft.com/office/drawing/2014/main" id="{00000000-0008-0000-1500-0000D6004300}"/>
            </a:ext>
          </a:extLst>
        </xdr:cNvPr>
        <xdr:cNvSpPr>
          <a:spLocks noChangeShapeType="1"/>
        </xdr:cNvSpPr>
      </xdr:nvSpPr>
      <xdr:spPr bwMode="auto">
        <a:xfrm>
          <a:off x="28384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266700</xdr:colOff>
      <xdr:row>0</xdr:row>
      <xdr:rowOff>0</xdr:rowOff>
    </xdr:from>
    <xdr:to>
      <xdr:col>11</xdr:col>
      <xdr:colOff>352425</xdr:colOff>
      <xdr:row>0</xdr:row>
      <xdr:rowOff>0</xdr:rowOff>
    </xdr:to>
    <xdr:sp macro="" textlink="">
      <xdr:nvSpPr>
        <xdr:cNvPr id="4391127" name="Text Box 75">
          <a:extLst>
            <a:ext uri="{FF2B5EF4-FFF2-40B4-BE49-F238E27FC236}">
              <a16:creationId xmlns="" xmlns:a16="http://schemas.microsoft.com/office/drawing/2014/main" id="{00000000-0008-0000-1500-0000D7004300}"/>
            </a:ext>
          </a:extLst>
        </xdr:cNvPr>
        <xdr:cNvSpPr txBox="1">
          <a:spLocks noChangeArrowheads="1"/>
        </xdr:cNvSpPr>
      </xdr:nvSpPr>
      <xdr:spPr bwMode="auto">
        <a:xfrm>
          <a:off x="10515600" y="0"/>
          <a:ext cx="6667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209550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4391128" name="Line 76">
          <a:extLst>
            <a:ext uri="{FF2B5EF4-FFF2-40B4-BE49-F238E27FC236}">
              <a16:creationId xmlns="" xmlns:a16="http://schemas.microsoft.com/office/drawing/2014/main" id="{00000000-0008-0000-1500-0000D8004300}"/>
            </a:ext>
          </a:extLst>
        </xdr:cNvPr>
        <xdr:cNvSpPr>
          <a:spLocks noChangeShapeType="1"/>
        </xdr:cNvSpPr>
      </xdr:nvSpPr>
      <xdr:spPr bwMode="auto">
        <a:xfrm flipV="1">
          <a:off x="6858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819150</xdr:colOff>
      <xdr:row>0</xdr:row>
      <xdr:rowOff>0</xdr:rowOff>
    </xdr:to>
    <xdr:sp macro="" textlink="">
      <xdr:nvSpPr>
        <xdr:cNvPr id="4391129" name="Line 77">
          <a:extLst>
            <a:ext uri="{FF2B5EF4-FFF2-40B4-BE49-F238E27FC236}">
              <a16:creationId xmlns="" xmlns:a16="http://schemas.microsoft.com/office/drawing/2014/main" id="{00000000-0008-0000-1500-0000D9004300}"/>
            </a:ext>
          </a:extLst>
        </xdr:cNvPr>
        <xdr:cNvSpPr>
          <a:spLocks noChangeShapeType="1"/>
        </xdr:cNvSpPr>
      </xdr:nvSpPr>
      <xdr:spPr bwMode="auto">
        <a:xfrm>
          <a:off x="7143750" y="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114300</xdr:colOff>
      <xdr:row>0</xdr:row>
      <xdr:rowOff>0</xdr:rowOff>
    </xdr:from>
    <xdr:to>
      <xdr:col>5</xdr:col>
      <xdr:colOff>323850</xdr:colOff>
      <xdr:row>0</xdr:row>
      <xdr:rowOff>0</xdr:rowOff>
    </xdr:to>
    <xdr:sp macro="" textlink="">
      <xdr:nvSpPr>
        <xdr:cNvPr id="4391130" name="Line 78">
          <a:extLst>
            <a:ext uri="{FF2B5EF4-FFF2-40B4-BE49-F238E27FC236}">
              <a16:creationId xmlns="" xmlns:a16="http://schemas.microsoft.com/office/drawing/2014/main" id="{00000000-0008-0000-1500-0000DA004300}"/>
            </a:ext>
          </a:extLst>
        </xdr:cNvPr>
        <xdr:cNvSpPr>
          <a:spLocks noChangeShapeType="1"/>
        </xdr:cNvSpPr>
      </xdr:nvSpPr>
      <xdr:spPr bwMode="auto">
        <a:xfrm>
          <a:off x="6762750" y="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1131" name="Rectangle 79">
          <a:extLst>
            <a:ext uri="{FF2B5EF4-FFF2-40B4-BE49-F238E27FC236}">
              <a16:creationId xmlns="" xmlns:a16="http://schemas.microsoft.com/office/drawing/2014/main" id="{00000000-0008-0000-1500-0000DB004300}"/>
            </a:ext>
          </a:extLst>
        </xdr:cNvPr>
        <xdr:cNvSpPr>
          <a:spLocks noChangeArrowheads="1"/>
        </xdr:cNvSpPr>
      </xdr:nvSpPr>
      <xdr:spPr bwMode="auto">
        <a:xfrm>
          <a:off x="15821025" y="0"/>
          <a:ext cx="325755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91132" name="Line 80">
          <a:extLst>
            <a:ext uri="{FF2B5EF4-FFF2-40B4-BE49-F238E27FC236}">
              <a16:creationId xmlns="" xmlns:a16="http://schemas.microsoft.com/office/drawing/2014/main" id="{00000000-0008-0000-1500-0000DC004300}"/>
            </a:ext>
          </a:extLst>
        </xdr:cNvPr>
        <xdr:cNvSpPr>
          <a:spLocks noChangeShapeType="1"/>
        </xdr:cNvSpPr>
      </xdr:nvSpPr>
      <xdr:spPr bwMode="auto">
        <a:xfrm flipV="1">
          <a:off x="15973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1133" name="Line 81">
          <a:extLst>
            <a:ext uri="{FF2B5EF4-FFF2-40B4-BE49-F238E27FC236}">
              <a16:creationId xmlns="" xmlns:a16="http://schemas.microsoft.com/office/drawing/2014/main" id="{00000000-0008-0000-1500-0000DD004300}"/>
            </a:ext>
          </a:extLst>
        </xdr:cNvPr>
        <xdr:cNvSpPr>
          <a:spLocks noChangeShapeType="1"/>
        </xdr:cNvSpPr>
      </xdr:nvSpPr>
      <xdr:spPr bwMode="auto">
        <a:xfrm flipV="1">
          <a:off x="19078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91134" name="Line 82">
          <a:extLst>
            <a:ext uri="{FF2B5EF4-FFF2-40B4-BE49-F238E27FC236}">
              <a16:creationId xmlns="" xmlns:a16="http://schemas.microsoft.com/office/drawing/2014/main" id="{00000000-0008-0000-1500-0000DE004300}"/>
            </a:ext>
          </a:extLst>
        </xdr:cNvPr>
        <xdr:cNvSpPr>
          <a:spLocks noChangeShapeType="1"/>
        </xdr:cNvSpPr>
      </xdr:nvSpPr>
      <xdr:spPr bwMode="auto">
        <a:xfrm flipV="1">
          <a:off x="15973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1135" name="Line 83">
          <a:extLst>
            <a:ext uri="{FF2B5EF4-FFF2-40B4-BE49-F238E27FC236}">
              <a16:creationId xmlns="" xmlns:a16="http://schemas.microsoft.com/office/drawing/2014/main" id="{00000000-0008-0000-1500-0000DF004300}"/>
            </a:ext>
          </a:extLst>
        </xdr:cNvPr>
        <xdr:cNvSpPr>
          <a:spLocks noChangeShapeType="1"/>
        </xdr:cNvSpPr>
      </xdr:nvSpPr>
      <xdr:spPr bwMode="auto">
        <a:xfrm flipV="1">
          <a:off x="19078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19050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1136" name="Line 84">
          <a:extLst>
            <a:ext uri="{FF2B5EF4-FFF2-40B4-BE49-F238E27FC236}">
              <a16:creationId xmlns="" xmlns:a16="http://schemas.microsoft.com/office/drawing/2014/main" id="{00000000-0008-0000-1500-0000E0004300}"/>
            </a:ext>
          </a:extLst>
        </xdr:cNvPr>
        <xdr:cNvSpPr>
          <a:spLocks noChangeShapeType="1"/>
        </xdr:cNvSpPr>
      </xdr:nvSpPr>
      <xdr:spPr bwMode="auto">
        <a:xfrm>
          <a:off x="15992475" y="0"/>
          <a:ext cx="3086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609600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1137" name="Line 85">
          <a:extLst>
            <a:ext uri="{FF2B5EF4-FFF2-40B4-BE49-F238E27FC236}">
              <a16:creationId xmlns="" xmlns:a16="http://schemas.microsoft.com/office/drawing/2014/main" id="{00000000-0008-0000-1500-0000E1004300}"/>
            </a:ext>
          </a:extLst>
        </xdr:cNvPr>
        <xdr:cNvSpPr>
          <a:spLocks noChangeShapeType="1"/>
        </xdr:cNvSpPr>
      </xdr:nvSpPr>
      <xdr:spPr bwMode="auto">
        <a:xfrm>
          <a:off x="15840075" y="0"/>
          <a:ext cx="3238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628650</xdr:colOff>
      <xdr:row>0</xdr:row>
      <xdr:rowOff>0</xdr:rowOff>
    </xdr:from>
    <xdr:to>
      <xdr:col>17</xdr:col>
      <xdr:colOff>628650</xdr:colOff>
      <xdr:row>0</xdr:row>
      <xdr:rowOff>0</xdr:rowOff>
    </xdr:to>
    <xdr:sp macro="" textlink="">
      <xdr:nvSpPr>
        <xdr:cNvPr id="4391138" name="Line 86">
          <a:extLst>
            <a:ext uri="{FF2B5EF4-FFF2-40B4-BE49-F238E27FC236}">
              <a16:creationId xmlns="" xmlns:a16="http://schemas.microsoft.com/office/drawing/2014/main" id="{00000000-0008-0000-1500-0000E2004300}"/>
            </a:ext>
          </a:extLst>
        </xdr:cNvPr>
        <xdr:cNvSpPr>
          <a:spLocks noChangeShapeType="1"/>
        </xdr:cNvSpPr>
      </xdr:nvSpPr>
      <xdr:spPr bwMode="auto">
        <a:xfrm flipV="1">
          <a:off x="158591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1139" name="Line 87">
          <a:extLst>
            <a:ext uri="{FF2B5EF4-FFF2-40B4-BE49-F238E27FC236}">
              <a16:creationId xmlns="" xmlns:a16="http://schemas.microsoft.com/office/drawing/2014/main" id="{00000000-0008-0000-1500-0000E3004300}"/>
            </a:ext>
          </a:extLst>
        </xdr:cNvPr>
        <xdr:cNvSpPr>
          <a:spLocks noChangeShapeType="1"/>
        </xdr:cNvSpPr>
      </xdr:nvSpPr>
      <xdr:spPr bwMode="auto">
        <a:xfrm flipV="1">
          <a:off x="19078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38100</xdr:colOff>
      <xdr:row>0</xdr:row>
      <xdr:rowOff>0</xdr:rowOff>
    </xdr:to>
    <xdr:sp macro="" textlink="">
      <xdr:nvSpPr>
        <xdr:cNvPr id="4391140" name="Rectangle 88">
          <a:extLst>
            <a:ext uri="{FF2B5EF4-FFF2-40B4-BE49-F238E27FC236}">
              <a16:creationId xmlns="" xmlns:a16="http://schemas.microsoft.com/office/drawing/2014/main" id="{00000000-0008-0000-1500-0000E4004300}"/>
            </a:ext>
          </a:extLst>
        </xdr:cNvPr>
        <xdr:cNvSpPr>
          <a:spLocks noChangeArrowheads="1"/>
        </xdr:cNvSpPr>
      </xdr:nvSpPr>
      <xdr:spPr bwMode="auto">
        <a:xfrm>
          <a:off x="19078575" y="0"/>
          <a:ext cx="14097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1141" name="Line 89">
          <a:extLst>
            <a:ext uri="{FF2B5EF4-FFF2-40B4-BE49-F238E27FC236}">
              <a16:creationId xmlns="" xmlns:a16="http://schemas.microsoft.com/office/drawing/2014/main" id="{00000000-0008-0000-1500-0000E5004300}"/>
            </a:ext>
          </a:extLst>
        </xdr:cNvPr>
        <xdr:cNvSpPr>
          <a:spLocks noChangeShapeType="1"/>
        </xdr:cNvSpPr>
      </xdr:nvSpPr>
      <xdr:spPr bwMode="auto">
        <a:xfrm flipV="1">
          <a:off x="19078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0</xdr:colOff>
      <xdr:row>0</xdr:row>
      <xdr:rowOff>0</xdr:rowOff>
    </xdr:to>
    <xdr:sp macro="" textlink="">
      <xdr:nvSpPr>
        <xdr:cNvPr id="4391142" name="Line 90">
          <a:extLst>
            <a:ext uri="{FF2B5EF4-FFF2-40B4-BE49-F238E27FC236}">
              <a16:creationId xmlns="" xmlns:a16="http://schemas.microsoft.com/office/drawing/2014/main" id="{00000000-0008-0000-1500-0000E6004300}"/>
            </a:ext>
          </a:extLst>
        </xdr:cNvPr>
        <xdr:cNvSpPr>
          <a:spLocks noChangeShapeType="1"/>
        </xdr:cNvSpPr>
      </xdr:nvSpPr>
      <xdr:spPr bwMode="auto">
        <a:xfrm>
          <a:off x="19078575" y="0"/>
          <a:ext cx="1371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24</xdr:col>
      <xdr:colOff>19050</xdr:colOff>
      <xdr:row>0</xdr:row>
      <xdr:rowOff>0</xdr:rowOff>
    </xdr:from>
    <xdr:to>
      <xdr:col>24</xdr:col>
      <xdr:colOff>19050</xdr:colOff>
      <xdr:row>0</xdr:row>
      <xdr:rowOff>0</xdr:rowOff>
    </xdr:to>
    <xdr:sp macro="" textlink="">
      <xdr:nvSpPr>
        <xdr:cNvPr id="4391143" name="Line 91">
          <a:extLst>
            <a:ext uri="{FF2B5EF4-FFF2-40B4-BE49-F238E27FC236}">
              <a16:creationId xmlns="" xmlns:a16="http://schemas.microsoft.com/office/drawing/2014/main" id="{00000000-0008-0000-1500-0000E7004300}"/>
            </a:ext>
          </a:extLst>
        </xdr:cNvPr>
        <xdr:cNvSpPr>
          <a:spLocks noChangeShapeType="1"/>
        </xdr:cNvSpPr>
      </xdr:nvSpPr>
      <xdr:spPr bwMode="auto">
        <a:xfrm>
          <a:off x="204692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400050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91144" name="Line 92">
          <a:extLst>
            <a:ext uri="{FF2B5EF4-FFF2-40B4-BE49-F238E27FC236}">
              <a16:creationId xmlns="" xmlns:a16="http://schemas.microsoft.com/office/drawing/2014/main" id="{00000000-0008-0000-1500-0000E8004300}"/>
            </a:ext>
          </a:extLst>
        </xdr:cNvPr>
        <xdr:cNvSpPr>
          <a:spLocks noChangeShapeType="1"/>
        </xdr:cNvSpPr>
      </xdr:nvSpPr>
      <xdr:spPr bwMode="auto">
        <a:xfrm flipH="1" flipV="1">
          <a:off x="12973050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14</xdr:col>
      <xdr:colOff>781050</xdr:colOff>
      <xdr:row>0</xdr:row>
      <xdr:rowOff>0</xdr:rowOff>
    </xdr:to>
    <xdr:sp macro="" textlink="">
      <xdr:nvSpPr>
        <xdr:cNvPr id="4391145" name="Line 93">
          <a:extLst>
            <a:ext uri="{FF2B5EF4-FFF2-40B4-BE49-F238E27FC236}">
              <a16:creationId xmlns="" xmlns:a16="http://schemas.microsoft.com/office/drawing/2014/main" id="{00000000-0008-0000-1500-0000E9004300}"/>
            </a:ext>
          </a:extLst>
        </xdr:cNvPr>
        <xdr:cNvSpPr>
          <a:spLocks noChangeShapeType="1"/>
        </xdr:cNvSpPr>
      </xdr:nvSpPr>
      <xdr:spPr bwMode="auto">
        <a:xfrm flipH="1">
          <a:off x="9010650" y="0"/>
          <a:ext cx="434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4</xdr:col>
      <xdr:colOff>704850</xdr:colOff>
      <xdr:row>0</xdr:row>
      <xdr:rowOff>0</xdr:rowOff>
    </xdr:to>
    <xdr:sp macro="" textlink="">
      <xdr:nvSpPr>
        <xdr:cNvPr id="4391146" name="Line 94">
          <a:extLst>
            <a:ext uri="{FF2B5EF4-FFF2-40B4-BE49-F238E27FC236}">
              <a16:creationId xmlns="" xmlns:a16="http://schemas.microsoft.com/office/drawing/2014/main" id="{00000000-0008-0000-1500-0000EA004300}"/>
            </a:ext>
          </a:extLst>
        </xdr:cNvPr>
        <xdr:cNvSpPr>
          <a:spLocks noChangeShapeType="1"/>
        </xdr:cNvSpPr>
      </xdr:nvSpPr>
      <xdr:spPr bwMode="auto">
        <a:xfrm>
          <a:off x="2990850" y="0"/>
          <a:ext cx="3190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91147" name="Line 95">
          <a:extLst>
            <a:ext uri="{FF2B5EF4-FFF2-40B4-BE49-F238E27FC236}">
              <a16:creationId xmlns="" xmlns:a16="http://schemas.microsoft.com/office/drawing/2014/main" id="{00000000-0008-0000-1500-0000EB004300}"/>
            </a:ext>
          </a:extLst>
        </xdr:cNvPr>
        <xdr:cNvSpPr>
          <a:spLocks noChangeShapeType="1"/>
        </xdr:cNvSpPr>
      </xdr:nvSpPr>
      <xdr:spPr bwMode="auto">
        <a:xfrm>
          <a:off x="110013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247650</xdr:colOff>
      <xdr:row>0</xdr:row>
      <xdr:rowOff>0</xdr:rowOff>
    </xdr:from>
    <xdr:to>
      <xdr:col>12</xdr:col>
      <xdr:colOff>200025</xdr:colOff>
      <xdr:row>0</xdr:row>
      <xdr:rowOff>0</xdr:rowOff>
    </xdr:to>
    <xdr:sp macro="" textlink="">
      <xdr:nvSpPr>
        <xdr:cNvPr id="4391148" name="Line 96">
          <a:extLst>
            <a:ext uri="{FF2B5EF4-FFF2-40B4-BE49-F238E27FC236}">
              <a16:creationId xmlns="" xmlns:a16="http://schemas.microsoft.com/office/drawing/2014/main" id="{00000000-0008-0000-1500-0000EC004300}"/>
            </a:ext>
          </a:extLst>
        </xdr:cNvPr>
        <xdr:cNvSpPr>
          <a:spLocks noChangeShapeType="1"/>
        </xdr:cNvSpPr>
      </xdr:nvSpPr>
      <xdr:spPr bwMode="auto">
        <a:xfrm>
          <a:off x="113823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1047750</xdr:colOff>
      <xdr:row>0</xdr:row>
      <xdr:rowOff>0</xdr:rowOff>
    </xdr:from>
    <xdr:to>
      <xdr:col>12</xdr:col>
      <xdr:colOff>200025</xdr:colOff>
      <xdr:row>0</xdr:row>
      <xdr:rowOff>0</xdr:rowOff>
    </xdr:to>
    <xdr:sp macro="" textlink="">
      <xdr:nvSpPr>
        <xdr:cNvPr id="4391149" name="Line 97">
          <a:extLst>
            <a:ext uri="{FF2B5EF4-FFF2-40B4-BE49-F238E27FC236}">
              <a16:creationId xmlns="" xmlns:a16="http://schemas.microsoft.com/office/drawing/2014/main" id="{00000000-0008-0000-1500-0000ED004300}"/>
            </a:ext>
          </a:extLst>
        </xdr:cNvPr>
        <xdr:cNvSpPr>
          <a:spLocks noChangeShapeType="1"/>
        </xdr:cNvSpPr>
      </xdr:nvSpPr>
      <xdr:spPr bwMode="auto">
        <a:xfrm>
          <a:off x="113823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571500</xdr:colOff>
      <xdr:row>0</xdr:row>
      <xdr:rowOff>0</xdr:rowOff>
    </xdr:from>
    <xdr:to>
      <xdr:col>13</xdr:col>
      <xdr:colOff>571500</xdr:colOff>
      <xdr:row>0</xdr:row>
      <xdr:rowOff>0</xdr:rowOff>
    </xdr:to>
    <xdr:sp macro="" textlink="">
      <xdr:nvSpPr>
        <xdr:cNvPr id="4391150" name="Line 98">
          <a:extLst>
            <a:ext uri="{FF2B5EF4-FFF2-40B4-BE49-F238E27FC236}">
              <a16:creationId xmlns="" xmlns:a16="http://schemas.microsoft.com/office/drawing/2014/main" id="{00000000-0008-0000-1500-0000EE004300}"/>
            </a:ext>
          </a:extLst>
        </xdr:cNvPr>
        <xdr:cNvSpPr>
          <a:spLocks noChangeShapeType="1"/>
        </xdr:cNvSpPr>
      </xdr:nvSpPr>
      <xdr:spPr bwMode="auto">
        <a:xfrm>
          <a:off x="11953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14</xdr:col>
      <xdr:colOff>457200</xdr:colOff>
      <xdr:row>0</xdr:row>
      <xdr:rowOff>0</xdr:rowOff>
    </xdr:to>
    <xdr:sp macro="" textlink="">
      <xdr:nvSpPr>
        <xdr:cNvPr id="4391151" name="Line 99">
          <a:extLst>
            <a:ext uri="{FF2B5EF4-FFF2-40B4-BE49-F238E27FC236}">
              <a16:creationId xmlns="" xmlns:a16="http://schemas.microsoft.com/office/drawing/2014/main" id="{00000000-0008-0000-1500-0000EF004300}"/>
            </a:ext>
          </a:extLst>
        </xdr:cNvPr>
        <xdr:cNvSpPr>
          <a:spLocks noChangeShapeType="1"/>
        </xdr:cNvSpPr>
      </xdr:nvSpPr>
      <xdr:spPr bwMode="auto">
        <a:xfrm>
          <a:off x="130302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323850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91152" name="Line 100">
          <a:extLst>
            <a:ext uri="{FF2B5EF4-FFF2-40B4-BE49-F238E27FC236}">
              <a16:creationId xmlns="" xmlns:a16="http://schemas.microsoft.com/office/drawing/2014/main" id="{00000000-0008-0000-1500-0000F0004300}"/>
            </a:ext>
          </a:extLst>
        </xdr:cNvPr>
        <xdr:cNvSpPr>
          <a:spLocks noChangeShapeType="1"/>
        </xdr:cNvSpPr>
      </xdr:nvSpPr>
      <xdr:spPr bwMode="auto">
        <a:xfrm flipH="1">
          <a:off x="8715375" y="0"/>
          <a:ext cx="2286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15</xdr:col>
      <xdr:colOff>161925</xdr:colOff>
      <xdr:row>0</xdr:row>
      <xdr:rowOff>0</xdr:rowOff>
    </xdr:to>
    <xdr:sp macro="" textlink="">
      <xdr:nvSpPr>
        <xdr:cNvPr id="4391153" name="Line 101">
          <a:extLst>
            <a:ext uri="{FF2B5EF4-FFF2-40B4-BE49-F238E27FC236}">
              <a16:creationId xmlns="" xmlns:a16="http://schemas.microsoft.com/office/drawing/2014/main" id="{00000000-0008-0000-1500-0000F1004300}"/>
            </a:ext>
          </a:extLst>
        </xdr:cNvPr>
        <xdr:cNvSpPr>
          <a:spLocks noChangeShapeType="1"/>
        </xdr:cNvSpPr>
      </xdr:nvSpPr>
      <xdr:spPr bwMode="auto">
        <a:xfrm>
          <a:off x="13030200" y="0"/>
          <a:ext cx="628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1154" name="Line 102">
          <a:extLst>
            <a:ext uri="{FF2B5EF4-FFF2-40B4-BE49-F238E27FC236}">
              <a16:creationId xmlns="" xmlns:a16="http://schemas.microsoft.com/office/drawing/2014/main" id="{00000000-0008-0000-1500-0000F2004300}"/>
            </a:ext>
          </a:extLst>
        </xdr:cNvPr>
        <xdr:cNvSpPr>
          <a:spLocks noChangeShapeType="1"/>
        </xdr:cNvSpPr>
      </xdr:nvSpPr>
      <xdr:spPr bwMode="auto">
        <a:xfrm flipV="1">
          <a:off x="11991975" y="0"/>
          <a:ext cx="165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1066800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1155" name="Line 103">
          <a:extLst>
            <a:ext uri="{FF2B5EF4-FFF2-40B4-BE49-F238E27FC236}">
              <a16:creationId xmlns="" xmlns:a16="http://schemas.microsoft.com/office/drawing/2014/main" id="{00000000-0008-0000-1500-0000F3004300}"/>
            </a:ext>
          </a:extLst>
        </xdr:cNvPr>
        <xdr:cNvSpPr>
          <a:spLocks noChangeShapeType="1"/>
        </xdr:cNvSpPr>
      </xdr:nvSpPr>
      <xdr:spPr bwMode="auto">
        <a:xfrm>
          <a:off x="11382375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266700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1156" name="Line 104">
          <a:extLst>
            <a:ext uri="{FF2B5EF4-FFF2-40B4-BE49-F238E27FC236}">
              <a16:creationId xmlns="" xmlns:a16="http://schemas.microsoft.com/office/drawing/2014/main" id="{00000000-0008-0000-1500-0000F4004300}"/>
            </a:ext>
          </a:extLst>
        </xdr:cNvPr>
        <xdr:cNvSpPr>
          <a:spLocks noChangeShapeType="1"/>
        </xdr:cNvSpPr>
      </xdr:nvSpPr>
      <xdr:spPr bwMode="auto">
        <a:xfrm>
          <a:off x="11382375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1157" name="Line 105">
          <a:extLst>
            <a:ext uri="{FF2B5EF4-FFF2-40B4-BE49-F238E27FC236}">
              <a16:creationId xmlns="" xmlns:a16="http://schemas.microsoft.com/office/drawing/2014/main" id="{00000000-0008-0000-1500-0000F5004300}"/>
            </a:ext>
          </a:extLst>
        </xdr:cNvPr>
        <xdr:cNvSpPr>
          <a:spLocks noChangeShapeType="1"/>
        </xdr:cNvSpPr>
      </xdr:nvSpPr>
      <xdr:spPr bwMode="auto">
        <a:xfrm>
          <a:off x="11001375" y="0"/>
          <a:ext cx="2647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495300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1158" name="Line 106">
          <a:extLst>
            <a:ext uri="{FF2B5EF4-FFF2-40B4-BE49-F238E27FC236}">
              <a16:creationId xmlns="" xmlns:a16="http://schemas.microsoft.com/office/drawing/2014/main" id="{00000000-0008-0000-1500-0000F6004300}"/>
            </a:ext>
          </a:extLst>
        </xdr:cNvPr>
        <xdr:cNvSpPr>
          <a:spLocks noChangeShapeType="1"/>
        </xdr:cNvSpPr>
      </xdr:nvSpPr>
      <xdr:spPr bwMode="auto">
        <a:xfrm flipH="1">
          <a:off x="8886825" y="0"/>
          <a:ext cx="2495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1028700</xdr:colOff>
      <xdr:row>0</xdr:row>
      <xdr:rowOff>0</xdr:rowOff>
    </xdr:to>
    <xdr:sp macro="" textlink="">
      <xdr:nvSpPr>
        <xdr:cNvPr id="4391159" name="Line 107">
          <a:extLst>
            <a:ext uri="{FF2B5EF4-FFF2-40B4-BE49-F238E27FC236}">
              <a16:creationId xmlns="" xmlns:a16="http://schemas.microsoft.com/office/drawing/2014/main" id="{00000000-0008-0000-1500-0000F7004300}"/>
            </a:ext>
          </a:extLst>
        </xdr:cNvPr>
        <xdr:cNvSpPr>
          <a:spLocks noChangeShapeType="1"/>
        </xdr:cNvSpPr>
      </xdr:nvSpPr>
      <xdr:spPr bwMode="auto">
        <a:xfrm flipH="1">
          <a:off x="8982075" y="0"/>
          <a:ext cx="2400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171450</xdr:colOff>
      <xdr:row>0</xdr:row>
      <xdr:rowOff>0</xdr:rowOff>
    </xdr:from>
    <xdr:to>
      <xdr:col>13</xdr:col>
      <xdr:colOff>552450</xdr:colOff>
      <xdr:row>0</xdr:row>
      <xdr:rowOff>0</xdr:rowOff>
    </xdr:to>
    <xdr:sp macro="" textlink="">
      <xdr:nvSpPr>
        <xdr:cNvPr id="4391160" name="Line 108">
          <a:extLst>
            <a:ext uri="{FF2B5EF4-FFF2-40B4-BE49-F238E27FC236}">
              <a16:creationId xmlns="" xmlns:a16="http://schemas.microsoft.com/office/drawing/2014/main" id="{00000000-0008-0000-1500-0000F8004300}"/>
            </a:ext>
          </a:extLst>
        </xdr:cNvPr>
        <xdr:cNvSpPr>
          <a:spLocks noChangeShapeType="1"/>
        </xdr:cNvSpPr>
      </xdr:nvSpPr>
      <xdr:spPr bwMode="auto">
        <a:xfrm flipH="1">
          <a:off x="10420350" y="0"/>
          <a:ext cx="1514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457200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91161" name="Line 109">
          <a:extLst>
            <a:ext uri="{FF2B5EF4-FFF2-40B4-BE49-F238E27FC236}">
              <a16:creationId xmlns="" xmlns:a16="http://schemas.microsoft.com/office/drawing/2014/main" id="{00000000-0008-0000-1500-0000F9004300}"/>
            </a:ext>
          </a:extLst>
        </xdr:cNvPr>
        <xdr:cNvSpPr>
          <a:spLocks noChangeShapeType="1"/>
        </xdr:cNvSpPr>
      </xdr:nvSpPr>
      <xdr:spPr bwMode="auto">
        <a:xfrm flipH="1">
          <a:off x="10706100" y="0"/>
          <a:ext cx="2286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1104900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91162" name="Line 110">
          <a:extLst>
            <a:ext uri="{FF2B5EF4-FFF2-40B4-BE49-F238E27FC236}">
              <a16:creationId xmlns="" xmlns:a16="http://schemas.microsoft.com/office/drawing/2014/main" id="{00000000-0008-0000-1500-0000FA004300}"/>
            </a:ext>
          </a:extLst>
        </xdr:cNvPr>
        <xdr:cNvSpPr>
          <a:spLocks noChangeShapeType="1"/>
        </xdr:cNvSpPr>
      </xdr:nvSpPr>
      <xdr:spPr bwMode="auto">
        <a:xfrm>
          <a:off x="10906125" y="0"/>
          <a:ext cx="2390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1085850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91163" name="Line 111">
          <a:extLst>
            <a:ext uri="{FF2B5EF4-FFF2-40B4-BE49-F238E27FC236}">
              <a16:creationId xmlns="" xmlns:a16="http://schemas.microsoft.com/office/drawing/2014/main" id="{00000000-0008-0000-1500-0000FB004300}"/>
            </a:ext>
          </a:extLst>
        </xdr:cNvPr>
        <xdr:cNvSpPr>
          <a:spLocks noChangeShapeType="1"/>
        </xdr:cNvSpPr>
      </xdr:nvSpPr>
      <xdr:spPr bwMode="auto">
        <a:xfrm>
          <a:off x="10906125" y="0"/>
          <a:ext cx="2390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123825</xdr:colOff>
      <xdr:row>0</xdr:row>
      <xdr:rowOff>0</xdr:rowOff>
    </xdr:from>
    <xdr:to>
      <xdr:col>21</xdr:col>
      <xdr:colOff>438150</xdr:colOff>
      <xdr:row>0</xdr:row>
      <xdr:rowOff>0</xdr:rowOff>
    </xdr:to>
    <xdr:sp macro="" textlink="">
      <xdr:nvSpPr>
        <xdr:cNvPr id="113" name="Text Box 112">
          <a:extLst>
            <a:ext uri="{FF2B5EF4-FFF2-40B4-BE49-F238E27FC236}">
              <a16:creationId xmlns="" xmlns:a16="http://schemas.microsoft.com/office/drawing/2014/main" id="{00000000-0008-0000-1500-000071000000}"/>
            </a:ext>
          </a:extLst>
        </xdr:cNvPr>
        <xdr:cNvSpPr txBox="1">
          <a:spLocks noChangeArrowheads="1"/>
        </xdr:cNvSpPr>
      </xdr:nvSpPr>
      <xdr:spPr bwMode="auto">
        <a:xfrm>
          <a:off x="18764250" y="0"/>
          <a:ext cx="3143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1°</a:t>
          </a:r>
        </a:p>
      </xdr:txBody>
    </xdr:sp>
    <xdr:clientData/>
  </xdr:twoCellAnchor>
  <xdr:twoCellAnchor>
    <xdr:from>
      <xdr:col>19</xdr:col>
      <xdr:colOff>1285875</xdr:colOff>
      <xdr:row>0</xdr:row>
      <xdr:rowOff>0</xdr:rowOff>
    </xdr:from>
    <xdr:to>
      <xdr:col>21</xdr:col>
      <xdr:colOff>333375</xdr:colOff>
      <xdr:row>0</xdr:row>
      <xdr:rowOff>0</xdr:rowOff>
    </xdr:to>
    <xdr:sp macro="" textlink="">
      <xdr:nvSpPr>
        <xdr:cNvPr id="114" name="Text Box 113">
          <a:extLst>
            <a:ext uri="{FF2B5EF4-FFF2-40B4-BE49-F238E27FC236}">
              <a16:creationId xmlns="" xmlns:a16="http://schemas.microsoft.com/office/drawing/2014/main" id="{00000000-0008-0000-1500-000072000000}"/>
            </a:ext>
          </a:extLst>
        </xdr:cNvPr>
        <xdr:cNvSpPr txBox="1">
          <a:spLocks noChangeArrowheads="1"/>
        </xdr:cNvSpPr>
      </xdr:nvSpPr>
      <xdr:spPr bwMode="auto">
        <a:xfrm>
          <a:off x="17878425" y="0"/>
          <a:ext cx="10953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3°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5" name="Text Box 114">
          <a:extLst>
            <a:ext uri="{FF2B5EF4-FFF2-40B4-BE49-F238E27FC236}">
              <a16:creationId xmlns="" xmlns:a16="http://schemas.microsoft.com/office/drawing/2014/main" id="{00000000-0008-0000-1500-000073000000}"/>
            </a:ext>
          </a:extLst>
        </xdr:cNvPr>
        <xdr:cNvSpPr txBox="1">
          <a:spLocks noChangeArrowheads="1"/>
        </xdr:cNvSpPr>
      </xdr:nvSpPr>
      <xdr:spPr bwMode="auto">
        <a:xfrm>
          <a:off x="19078575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21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6" name="Text Box 115">
          <a:extLst>
            <a:ext uri="{FF2B5EF4-FFF2-40B4-BE49-F238E27FC236}">
              <a16:creationId xmlns="" xmlns:a16="http://schemas.microsoft.com/office/drawing/2014/main" id="{00000000-0008-0000-1500-000074000000}"/>
            </a:ext>
          </a:extLst>
        </xdr:cNvPr>
        <xdr:cNvSpPr txBox="1">
          <a:spLocks noChangeArrowheads="1"/>
        </xdr:cNvSpPr>
      </xdr:nvSpPr>
      <xdr:spPr bwMode="auto">
        <a:xfrm>
          <a:off x="19078575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19</xdr:col>
      <xdr:colOff>819150</xdr:colOff>
      <xdr:row>0</xdr:row>
      <xdr:rowOff>0</xdr:rowOff>
    </xdr:from>
    <xdr:to>
      <xdr:col>19</xdr:col>
      <xdr:colOff>1000125</xdr:colOff>
      <xdr:row>0</xdr:row>
      <xdr:rowOff>0</xdr:rowOff>
    </xdr:to>
    <xdr:sp macro="" textlink="">
      <xdr:nvSpPr>
        <xdr:cNvPr id="117" name="Text Box 116">
          <a:extLst>
            <a:ext uri="{FF2B5EF4-FFF2-40B4-BE49-F238E27FC236}">
              <a16:creationId xmlns="" xmlns:a16="http://schemas.microsoft.com/office/drawing/2014/main" id="{00000000-0008-0000-1500-000075000000}"/>
            </a:ext>
          </a:extLst>
        </xdr:cNvPr>
        <xdr:cNvSpPr txBox="1">
          <a:spLocks noChangeArrowheads="1"/>
        </xdr:cNvSpPr>
      </xdr:nvSpPr>
      <xdr:spPr bwMode="auto">
        <a:xfrm>
          <a:off x="17430750" y="0"/>
          <a:ext cx="1809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5°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8" name="Text Box 117">
          <a:extLst>
            <a:ext uri="{FF2B5EF4-FFF2-40B4-BE49-F238E27FC236}">
              <a16:creationId xmlns="" xmlns:a16="http://schemas.microsoft.com/office/drawing/2014/main" id="{00000000-0008-0000-1500-000076000000}"/>
            </a:ext>
          </a:extLst>
        </xdr:cNvPr>
        <xdr:cNvSpPr txBox="1">
          <a:spLocks noChangeArrowheads="1"/>
        </xdr:cNvSpPr>
      </xdr:nvSpPr>
      <xdr:spPr bwMode="auto">
        <a:xfrm>
          <a:off x="19078575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6°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1" i="0" strike="noStrike">
              <a:solidFill>
                <a:srgbClr val="000000"/>
              </a:solidFill>
              <a:latin typeface="Times New Roman"/>
              <a:cs typeface="Times New Roman"/>
            </a:rPr>
            <a:t>6</a:t>
          </a:r>
        </a:p>
      </xdr:txBody>
    </xdr:sp>
    <xdr:clientData/>
  </xdr:twoCellAnchor>
  <xdr:twoCellAnchor>
    <xdr:from>
      <xdr:col>14</xdr:col>
      <xdr:colOff>266700</xdr:colOff>
      <xdr:row>15</xdr:row>
      <xdr:rowOff>38100</xdr:rowOff>
    </xdr:from>
    <xdr:to>
      <xdr:col>15</xdr:col>
      <xdr:colOff>352425</xdr:colOff>
      <xdr:row>16</xdr:row>
      <xdr:rowOff>161925</xdr:rowOff>
    </xdr:to>
    <xdr:sp macro="" textlink="">
      <xdr:nvSpPr>
        <xdr:cNvPr id="4391170" name="Text Box 118">
          <a:extLst>
            <a:ext uri="{FF2B5EF4-FFF2-40B4-BE49-F238E27FC236}">
              <a16:creationId xmlns="" xmlns:a16="http://schemas.microsoft.com/office/drawing/2014/main" id="{00000000-0008-0000-1500-000002014300}"/>
            </a:ext>
          </a:extLst>
        </xdr:cNvPr>
        <xdr:cNvSpPr txBox="1">
          <a:spLocks noChangeArrowheads="1"/>
        </xdr:cNvSpPr>
      </xdr:nvSpPr>
      <xdr:spPr bwMode="auto">
        <a:xfrm>
          <a:off x="12839700" y="5638800"/>
          <a:ext cx="1009650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19</xdr:col>
      <xdr:colOff>990600</xdr:colOff>
      <xdr:row>37</xdr:row>
      <xdr:rowOff>0</xdr:rowOff>
    </xdr:from>
    <xdr:to>
      <xdr:col>19</xdr:col>
      <xdr:colOff>990600</xdr:colOff>
      <xdr:row>37</xdr:row>
      <xdr:rowOff>0</xdr:rowOff>
    </xdr:to>
    <xdr:sp macro="" textlink="">
      <xdr:nvSpPr>
        <xdr:cNvPr id="4391171" name="Line 119">
          <a:extLst>
            <a:ext uri="{FF2B5EF4-FFF2-40B4-BE49-F238E27FC236}">
              <a16:creationId xmlns="" xmlns:a16="http://schemas.microsoft.com/office/drawing/2014/main" id="{00000000-0008-0000-1500-000003014300}"/>
            </a:ext>
          </a:extLst>
        </xdr:cNvPr>
        <xdr:cNvSpPr>
          <a:spLocks noChangeShapeType="1"/>
        </xdr:cNvSpPr>
      </xdr:nvSpPr>
      <xdr:spPr bwMode="auto">
        <a:xfrm>
          <a:off x="17602200" y="13363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oneCell">
    <xdr:from>
      <xdr:col>2</xdr:col>
      <xdr:colOff>190500</xdr:colOff>
      <xdr:row>15</xdr:row>
      <xdr:rowOff>142875</xdr:rowOff>
    </xdr:from>
    <xdr:to>
      <xdr:col>4</xdr:col>
      <xdr:colOff>542925</xdr:colOff>
      <xdr:row>19</xdr:row>
      <xdr:rowOff>66675</xdr:rowOff>
    </xdr:to>
    <xdr:grpSp>
      <xdr:nvGrpSpPr>
        <xdr:cNvPr id="4391172" name="Group 120">
          <a:extLst>
            <a:ext uri="{FF2B5EF4-FFF2-40B4-BE49-F238E27FC236}">
              <a16:creationId xmlns="" xmlns:a16="http://schemas.microsoft.com/office/drawing/2014/main" id="{00000000-0008-0000-1500-000004014300}"/>
            </a:ext>
          </a:extLst>
        </xdr:cNvPr>
        <xdr:cNvGrpSpPr>
          <a:grpSpLocks/>
        </xdr:cNvGrpSpPr>
      </xdr:nvGrpSpPr>
      <xdr:grpSpPr bwMode="auto">
        <a:xfrm>
          <a:off x="3028950" y="5857875"/>
          <a:ext cx="3000375" cy="1333500"/>
          <a:chOff x="358" y="540"/>
          <a:chExt cx="293" cy="139"/>
        </a:xfrm>
      </xdr:grpSpPr>
      <xdr:sp macro="" textlink="">
        <xdr:nvSpPr>
          <xdr:cNvPr id="4391212" name="Line 121">
            <a:extLst>
              <a:ext uri="{FF2B5EF4-FFF2-40B4-BE49-F238E27FC236}">
                <a16:creationId xmlns="" xmlns:a16="http://schemas.microsoft.com/office/drawing/2014/main" id="{00000000-0008-0000-1500-00002C0143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91213" name="Group 122">
            <a:extLst>
              <a:ext uri="{FF2B5EF4-FFF2-40B4-BE49-F238E27FC236}">
                <a16:creationId xmlns="" xmlns:a16="http://schemas.microsoft.com/office/drawing/2014/main" id="{00000000-0008-0000-1500-00002D0143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391269" name="Line 123">
              <a:extLst>
                <a:ext uri="{FF2B5EF4-FFF2-40B4-BE49-F238E27FC236}">
                  <a16:creationId xmlns="" xmlns:a16="http://schemas.microsoft.com/office/drawing/2014/main" id="{00000000-0008-0000-1500-0000650143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1270" name="Line 124">
              <a:extLst>
                <a:ext uri="{FF2B5EF4-FFF2-40B4-BE49-F238E27FC236}">
                  <a16:creationId xmlns="" xmlns:a16="http://schemas.microsoft.com/office/drawing/2014/main" id="{00000000-0008-0000-1500-0000660143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91214" name="Line 125">
            <a:extLst>
              <a:ext uri="{FF2B5EF4-FFF2-40B4-BE49-F238E27FC236}">
                <a16:creationId xmlns="" xmlns:a16="http://schemas.microsoft.com/office/drawing/2014/main" id="{00000000-0008-0000-1500-00002E01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1215" name="Line 126">
            <a:extLst>
              <a:ext uri="{FF2B5EF4-FFF2-40B4-BE49-F238E27FC236}">
                <a16:creationId xmlns="" xmlns:a16="http://schemas.microsoft.com/office/drawing/2014/main" id="{00000000-0008-0000-1500-00002F01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1216" name="Line 127">
            <a:extLst>
              <a:ext uri="{FF2B5EF4-FFF2-40B4-BE49-F238E27FC236}">
                <a16:creationId xmlns="" xmlns:a16="http://schemas.microsoft.com/office/drawing/2014/main" id="{00000000-0008-0000-1500-00003001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1217" name="Line 128">
            <a:extLst>
              <a:ext uri="{FF2B5EF4-FFF2-40B4-BE49-F238E27FC236}">
                <a16:creationId xmlns="" xmlns:a16="http://schemas.microsoft.com/office/drawing/2014/main" id="{00000000-0008-0000-1500-0000310143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1218" name="Line 129">
            <a:extLst>
              <a:ext uri="{FF2B5EF4-FFF2-40B4-BE49-F238E27FC236}">
                <a16:creationId xmlns="" xmlns:a16="http://schemas.microsoft.com/office/drawing/2014/main" id="{00000000-0008-0000-1500-0000320143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91219" name="Group 130">
            <a:extLst>
              <a:ext uri="{FF2B5EF4-FFF2-40B4-BE49-F238E27FC236}">
                <a16:creationId xmlns="" xmlns:a16="http://schemas.microsoft.com/office/drawing/2014/main" id="{00000000-0008-0000-1500-0000330143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391263" name="Line 131">
              <a:extLst>
                <a:ext uri="{FF2B5EF4-FFF2-40B4-BE49-F238E27FC236}">
                  <a16:creationId xmlns="" xmlns:a16="http://schemas.microsoft.com/office/drawing/2014/main" id="{00000000-0008-0000-1500-00005F0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1264" name="Group 132">
              <a:extLst>
                <a:ext uri="{FF2B5EF4-FFF2-40B4-BE49-F238E27FC236}">
                  <a16:creationId xmlns="" xmlns:a16="http://schemas.microsoft.com/office/drawing/2014/main" id="{00000000-0008-0000-1500-00006001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1265" name="Line 133">
                <a:extLst>
                  <a:ext uri="{FF2B5EF4-FFF2-40B4-BE49-F238E27FC236}">
                    <a16:creationId xmlns="" xmlns:a16="http://schemas.microsoft.com/office/drawing/2014/main" id="{00000000-0008-0000-1500-00006101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1266" name="Group 134">
                <a:extLst>
                  <a:ext uri="{FF2B5EF4-FFF2-40B4-BE49-F238E27FC236}">
                    <a16:creationId xmlns="" xmlns:a16="http://schemas.microsoft.com/office/drawing/2014/main" id="{00000000-0008-0000-1500-00006201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1267" name="Line 135">
                  <a:extLst>
                    <a:ext uri="{FF2B5EF4-FFF2-40B4-BE49-F238E27FC236}">
                      <a16:creationId xmlns="" xmlns:a16="http://schemas.microsoft.com/office/drawing/2014/main" id="{00000000-0008-0000-1500-0000630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1268" name="Line 136">
                  <a:extLst>
                    <a:ext uri="{FF2B5EF4-FFF2-40B4-BE49-F238E27FC236}">
                      <a16:creationId xmlns="" xmlns:a16="http://schemas.microsoft.com/office/drawing/2014/main" id="{00000000-0008-0000-1500-0000640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1220" name="Group 137">
            <a:extLst>
              <a:ext uri="{FF2B5EF4-FFF2-40B4-BE49-F238E27FC236}">
                <a16:creationId xmlns="" xmlns:a16="http://schemas.microsoft.com/office/drawing/2014/main" id="{00000000-0008-0000-1500-0000340143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391257" name="Line 138">
              <a:extLst>
                <a:ext uri="{FF2B5EF4-FFF2-40B4-BE49-F238E27FC236}">
                  <a16:creationId xmlns="" xmlns:a16="http://schemas.microsoft.com/office/drawing/2014/main" id="{00000000-0008-0000-1500-0000590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1258" name="Group 139">
              <a:extLst>
                <a:ext uri="{FF2B5EF4-FFF2-40B4-BE49-F238E27FC236}">
                  <a16:creationId xmlns="" xmlns:a16="http://schemas.microsoft.com/office/drawing/2014/main" id="{00000000-0008-0000-1500-00005A01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1259" name="Line 140">
                <a:extLst>
                  <a:ext uri="{FF2B5EF4-FFF2-40B4-BE49-F238E27FC236}">
                    <a16:creationId xmlns="" xmlns:a16="http://schemas.microsoft.com/office/drawing/2014/main" id="{00000000-0008-0000-1500-00005B01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1260" name="Group 141">
                <a:extLst>
                  <a:ext uri="{FF2B5EF4-FFF2-40B4-BE49-F238E27FC236}">
                    <a16:creationId xmlns="" xmlns:a16="http://schemas.microsoft.com/office/drawing/2014/main" id="{00000000-0008-0000-1500-00005C01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1261" name="Line 142">
                  <a:extLst>
                    <a:ext uri="{FF2B5EF4-FFF2-40B4-BE49-F238E27FC236}">
                      <a16:creationId xmlns="" xmlns:a16="http://schemas.microsoft.com/office/drawing/2014/main" id="{00000000-0008-0000-1500-00005D0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1262" name="Line 143">
                  <a:extLst>
                    <a:ext uri="{FF2B5EF4-FFF2-40B4-BE49-F238E27FC236}">
                      <a16:creationId xmlns="" xmlns:a16="http://schemas.microsoft.com/office/drawing/2014/main" id="{00000000-0008-0000-1500-00005E0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1221" name="Group 144">
            <a:extLst>
              <a:ext uri="{FF2B5EF4-FFF2-40B4-BE49-F238E27FC236}">
                <a16:creationId xmlns="" xmlns:a16="http://schemas.microsoft.com/office/drawing/2014/main" id="{00000000-0008-0000-1500-0000350143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391251" name="Line 145">
              <a:extLst>
                <a:ext uri="{FF2B5EF4-FFF2-40B4-BE49-F238E27FC236}">
                  <a16:creationId xmlns="" xmlns:a16="http://schemas.microsoft.com/office/drawing/2014/main" id="{00000000-0008-0000-1500-0000530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1252" name="Group 146">
              <a:extLst>
                <a:ext uri="{FF2B5EF4-FFF2-40B4-BE49-F238E27FC236}">
                  <a16:creationId xmlns="" xmlns:a16="http://schemas.microsoft.com/office/drawing/2014/main" id="{00000000-0008-0000-1500-00005401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1253" name="Line 147">
                <a:extLst>
                  <a:ext uri="{FF2B5EF4-FFF2-40B4-BE49-F238E27FC236}">
                    <a16:creationId xmlns="" xmlns:a16="http://schemas.microsoft.com/office/drawing/2014/main" id="{00000000-0008-0000-1500-00005501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1254" name="Group 148">
                <a:extLst>
                  <a:ext uri="{FF2B5EF4-FFF2-40B4-BE49-F238E27FC236}">
                    <a16:creationId xmlns="" xmlns:a16="http://schemas.microsoft.com/office/drawing/2014/main" id="{00000000-0008-0000-1500-00005601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1255" name="Line 149">
                  <a:extLst>
                    <a:ext uri="{FF2B5EF4-FFF2-40B4-BE49-F238E27FC236}">
                      <a16:creationId xmlns="" xmlns:a16="http://schemas.microsoft.com/office/drawing/2014/main" id="{00000000-0008-0000-1500-0000570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1256" name="Line 150">
                  <a:extLst>
                    <a:ext uri="{FF2B5EF4-FFF2-40B4-BE49-F238E27FC236}">
                      <a16:creationId xmlns="" xmlns:a16="http://schemas.microsoft.com/office/drawing/2014/main" id="{00000000-0008-0000-1500-0000580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1222" name="Group 151">
            <a:extLst>
              <a:ext uri="{FF2B5EF4-FFF2-40B4-BE49-F238E27FC236}">
                <a16:creationId xmlns="" xmlns:a16="http://schemas.microsoft.com/office/drawing/2014/main" id="{00000000-0008-0000-1500-0000360143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391245" name="Line 152">
              <a:extLst>
                <a:ext uri="{FF2B5EF4-FFF2-40B4-BE49-F238E27FC236}">
                  <a16:creationId xmlns="" xmlns:a16="http://schemas.microsoft.com/office/drawing/2014/main" id="{00000000-0008-0000-1500-00004D0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1246" name="Group 153">
              <a:extLst>
                <a:ext uri="{FF2B5EF4-FFF2-40B4-BE49-F238E27FC236}">
                  <a16:creationId xmlns="" xmlns:a16="http://schemas.microsoft.com/office/drawing/2014/main" id="{00000000-0008-0000-1500-00004E01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1247" name="Line 154">
                <a:extLst>
                  <a:ext uri="{FF2B5EF4-FFF2-40B4-BE49-F238E27FC236}">
                    <a16:creationId xmlns="" xmlns:a16="http://schemas.microsoft.com/office/drawing/2014/main" id="{00000000-0008-0000-1500-00004F01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1248" name="Group 155">
                <a:extLst>
                  <a:ext uri="{FF2B5EF4-FFF2-40B4-BE49-F238E27FC236}">
                    <a16:creationId xmlns="" xmlns:a16="http://schemas.microsoft.com/office/drawing/2014/main" id="{00000000-0008-0000-1500-00005001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1249" name="Line 156">
                  <a:extLst>
                    <a:ext uri="{FF2B5EF4-FFF2-40B4-BE49-F238E27FC236}">
                      <a16:creationId xmlns="" xmlns:a16="http://schemas.microsoft.com/office/drawing/2014/main" id="{00000000-0008-0000-1500-0000510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1250" name="Line 157">
                  <a:extLst>
                    <a:ext uri="{FF2B5EF4-FFF2-40B4-BE49-F238E27FC236}">
                      <a16:creationId xmlns="" xmlns:a16="http://schemas.microsoft.com/office/drawing/2014/main" id="{00000000-0008-0000-1500-0000520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1223" name="Group 158">
            <a:extLst>
              <a:ext uri="{FF2B5EF4-FFF2-40B4-BE49-F238E27FC236}">
                <a16:creationId xmlns="" xmlns:a16="http://schemas.microsoft.com/office/drawing/2014/main" id="{00000000-0008-0000-1500-0000370143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391239" name="Line 159">
              <a:extLst>
                <a:ext uri="{FF2B5EF4-FFF2-40B4-BE49-F238E27FC236}">
                  <a16:creationId xmlns="" xmlns:a16="http://schemas.microsoft.com/office/drawing/2014/main" id="{00000000-0008-0000-1500-0000470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1240" name="Group 160">
              <a:extLst>
                <a:ext uri="{FF2B5EF4-FFF2-40B4-BE49-F238E27FC236}">
                  <a16:creationId xmlns="" xmlns:a16="http://schemas.microsoft.com/office/drawing/2014/main" id="{00000000-0008-0000-1500-00004801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1241" name="Line 161">
                <a:extLst>
                  <a:ext uri="{FF2B5EF4-FFF2-40B4-BE49-F238E27FC236}">
                    <a16:creationId xmlns="" xmlns:a16="http://schemas.microsoft.com/office/drawing/2014/main" id="{00000000-0008-0000-1500-00004901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1242" name="Group 162">
                <a:extLst>
                  <a:ext uri="{FF2B5EF4-FFF2-40B4-BE49-F238E27FC236}">
                    <a16:creationId xmlns="" xmlns:a16="http://schemas.microsoft.com/office/drawing/2014/main" id="{00000000-0008-0000-1500-00004A01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1243" name="Line 163">
                  <a:extLst>
                    <a:ext uri="{FF2B5EF4-FFF2-40B4-BE49-F238E27FC236}">
                      <a16:creationId xmlns="" xmlns:a16="http://schemas.microsoft.com/office/drawing/2014/main" id="{00000000-0008-0000-1500-00004B0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1244" name="Line 164">
                  <a:extLst>
                    <a:ext uri="{FF2B5EF4-FFF2-40B4-BE49-F238E27FC236}">
                      <a16:creationId xmlns="" xmlns:a16="http://schemas.microsoft.com/office/drawing/2014/main" id="{00000000-0008-0000-1500-00004C0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1224" name="Group 165">
            <a:extLst>
              <a:ext uri="{FF2B5EF4-FFF2-40B4-BE49-F238E27FC236}">
                <a16:creationId xmlns="" xmlns:a16="http://schemas.microsoft.com/office/drawing/2014/main" id="{00000000-0008-0000-1500-0000380143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391233" name="Line 166">
              <a:extLst>
                <a:ext uri="{FF2B5EF4-FFF2-40B4-BE49-F238E27FC236}">
                  <a16:creationId xmlns="" xmlns:a16="http://schemas.microsoft.com/office/drawing/2014/main" id="{00000000-0008-0000-1500-0000410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1234" name="Group 167">
              <a:extLst>
                <a:ext uri="{FF2B5EF4-FFF2-40B4-BE49-F238E27FC236}">
                  <a16:creationId xmlns="" xmlns:a16="http://schemas.microsoft.com/office/drawing/2014/main" id="{00000000-0008-0000-1500-00004201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1235" name="Line 168">
                <a:extLst>
                  <a:ext uri="{FF2B5EF4-FFF2-40B4-BE49-F238E27FC236}">
                    <a16:creationId xmlns="" xmlns:a16="http://schemas.microsoft.com/office/drawing/2014/main" id="{00000000-0008-0000-1500-00004301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1236" name="Group 169">
                <a:extLst>
                  <a:ext uri="{FF2B5EF4-FFF2-40B4-BE49-F238E27FC236}">
                    <a16:creationId xmlns="" xmlns:a16="http://schemas.microsoft.com/office/drawing/2014/main" id="{00000000-0008-0000-1500-00004401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1237" name="Line 170">
                  <a:extLst>
                    <a:ext uri="{FF2B5EF4-FFF2-40B4-BE49-F238E27FC236}">
                      <a16:creationId xmlns="" xmlns:a16="http://schemas.microsoft.com/office/drawing/2014/main" id="{00000000-0008-0000-1500-0000450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1238" name="Line 171">
                  <a:extLst>
                    <a:ext uri="{FF2B5EF4-FFF2-40B4-BE49-F238E27FC236}">
                      <a16:creationId xmlns="" xmlns:a16="http://schemas.microsoft.com/office/drawing/2014/main" id="{00000000-0008-0000-1500-0000460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1225" name="Group 172">
            <a:extLst>
              <a:ext uri="{FF2B5EF4-FFF2-40B4-BE49-F238E27FC236}">
                <a16:creationId xmlns="" xmlns:a16="http://schemas.microsoft.com/office/drawing/2014/main" id="{00000000-0008-0000-1500-0000390143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391227" name="Line 173">
              <a:extLst>
                <a:ext uri="{FF2B5EF4-FFF2-40B4-BE49-F238E27FC236}">
                  <a16:creationId xmlns="" xmlns:a16="http://schemas.microsoft.com/office/drawing/2014/main" id="{00000000-0008-0000-1500-00003B0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1228" name="Group 174">
              <a:extLst>
                <a:ext uri="{FF2B5EF4-FFF2-40B4-BE49-F238E27FC236}">
                  <a16:creationId xmlns="" xmlns:a16="http://schemas.microsoft.com/office/drawing/2014/main" id="{00000000-0008-0000-1500-00003C01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1229" name="Line 175">
                <a:extLst>
                  <a:ext uri="{FF2B5EF4-FFF2-40B4-BE49-F238E27FC236}">
                    <a16:creationId xmlns="" xmlns:a16="http://schemas.microsoft.com/office/drawing/2014/main" id="{00000000-0008-0000-1500-00003D01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1230" name="Group 176">
                <a:extLst>
                  <a:ext uri="{FF2B5EF4-FFF2-40B4-BE49-F238E27FC236}">
                    <a16:creationId xmlns="" xmlns:a16="http://schemas.microsoft.com/office/drawing/2014/main" id="{00000000-0008-0000-1500-00003E01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1231" name="Line 177">
                  <a:extLst>
                    <a:ext uri="{FF2B5EF4-FFF2-40B4-BE49-F238E27FC236}">
                      <a16:creationId xmlns="" xmlns:a16="http://schemas.microsoft.com/office/drawing/2014/main" id="{00000000-0008-0000-1500-00003F0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1232" name="Line 178">
                  <a:extLst>
                    <a:ext uri="{FF2B5EF4-FFF2-40B4-BE49-F238E27FC236}">
                      <a16:creationId xmlns="" xmlns:a16="http://schemas.microsoft.com/office/drawing/2014/main" id="{00000000-0008-0000-1500-0000400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91226" name="Line 179">
            <a:extLst>
              <a:ext uri="{FF2B5EF4-FFF2-40B4-BE49-F238E27FC236}">
                <a16:creationId xmlns="" xmlns:a16="http://schemas.microsoft.com/office/drawing/2014/main" id="{00000000-0008-0000-1500-00003A0143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-2781300</xdr:colOff>
      <xdr:row>23</xdr:row>
      <xdr:rowOff>57150</xdr:rowOff>
    </xdr:from>
    <xdr:to>
      <xdr:col>0</xdr:col>
      <xdr:colOff>-2686050</xdr:colOff>
      <xdr:row>30</xdr:row>
      <xdr:rowOff>66675</xdr:rowOff>
    </xdr:to>
    <xdr:grpSp>
      <xdr:nvGrpSpPr>
        <xdr:cNvPr id="4391173" name="Group 193">
          <a:extLst>
            <a:ext uri="{FF2B5EF4-FFF2-40B4-BE49-F238E27FC236}">
              <a16:creationId xmlns="" xmlns:a16="http://schemas.microsoft.com/office/drawing/2014/main" id="{00000000-0008-0000-1500-000005014300}"/>
            </a:ext>
          </a:extLst>
        </xdr:cNvPr>
        <xdr:cNvGrpSpPr>
          <a:grpSpLocks/>
        </xdr:cNvGrpSpPr>
      </xdr:nvGrpSpPr>
      <xdr:grpSpPr bwMode="auto">
        <a:xfrm>
          <a:off x="-2781300" y="8153400"/>
          <a:ext cx="95250" cy="2352675"/>
          <a:chOff x="842" y="438"/>
          <a:chExt cx="10" cy="147"/>
        </a:xfrm>
      </xdr:grpSpPr>
      <xdr:sp macro="" textlink="">
        <xdr:nvSpPr>
          <xdr:cNvPr id="4391210" name="Line 194">
            <a:extLst>
              <a:ext uri="{FF2B5EF4-FFF2-40B4-BE49-F238E27FC236}">
                <a16:creationId xmlns="" xmlns:a16="http://schemas.microsoft.com/office/drawing/2014/main" id="{00000000-0008-0000-1500-00002A0143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1211" name="Line 195">
            <a:extLst>
              <a:ext uri="{FF2B5EF4-FFF2-40B4-BE49-F238E27FC236}">
                <a16:creationId xmlns="" xmlns:a16="http://schemas.microsoft.com/office/drawing/2014/main" id="{00000000-0008-0000-1500-00002B0143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0</xdr:row>
      <xdr:rowOff>133350</xdr:rowOff>
    </xdr:from>
    <xdr:to>
      <xdr:col>21</xdr:col>
      <xdr:colOff>1314450</xdr:colOff>
      <xdr:row>2</xdr:row>
      <xdr:rowOff>28575</xdr:rowOff>
    </xdr:to>
    <xdr:sp macro="" textlink="">
      <xdr:nvSpPr>
        <xdr:cNvPr id="4327990" name="Rectangle 250">
          <a:extLst>
            <a:ext uri="{FF2B5EF4-FFF2-40B4-BE49-F238E27FC236}">
              <a16:creationId xmlns="" xmlns:a16="http://schemas.microsoft.com/office/drawing/2014/main" id="{00000000-0008-0000-1500-0000360A4200}"/>
            </a:ext>
          </a:extLst>
        </xdr:cNvPr>
        <xdr:cNvSpPr>
          <a:spLocks noChangeArrowheads="1"/>
        </xdr:cNvSpPr>
      </xdr:nvSpPr>
      <xdr:spPr bwMode="auto">
        <a:xfrm>
          <a:off x="2533650" y="133350"/>
          <a:ext cx="16544925" cy="5524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  <xdr:txBody>
        <a:bodyPr/>
        <a:lstStyle/>
        <a:p>
          <a:endParaRPr lang="it-IT"/>
        </a:p>
      </xdr:txBody>
    </xdr:sp>
    <xdr:clientData/>
  </xdr:twoCellAnchor>
  <xdr:twoCellAnchor>
    <xdr:from>
      <xdr:col>19</xdr:col>
      <xdr:colOff>990600</xdr:colOff>
      <xdr:row>36</xdr:row>
      <xdr:rowOff>0</xdr:rowOff>
    </xdr:from>
    <xdr:to>
      <xdr:col>19</xdr:col>
      <xdr:colOff>990600</xdr:colOff>
      <xdr:row>36</xdr:row>
      <xdr:rowOff>0</xdr:rowOff>
    </xdr:to>
    <xdr:sp macro="" textlink="">
      <xdr:nvSpPr>
        <xdr:cNvPr id="4391175" name="Line 251">
          <a:extLst>
            <a:ext uri="{FF2B5EF4-FFF2-40B4-BE49-F238E27FC236}">
              <a16:creationId xmlns="" xmlns:a16="http://schemas.microsoft.com/office/drawing/2014/main" id="{00000000-0008-0000-1500-000007014300}"/>
            </a:ext>
          </a:extLst>
        </xdr:cNvPr>
        <xdr:cNvSpPr>
          <a:spLocks noChangeShapeType="1"/>
        </xdr:cNvSpPr>
      </xdr:nvSpPr>
      <xdr:spPr bwMode="auto">
        <a:xfrm>
          <a:off x="17602200" y="129063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285750</xdr:colOff>
      <xdr:row>23</xdr:row>
      <xdr:rowOff>0</xdr:rowOff>
    </xdr:from>
    <xdr:to>
      <xdr:col>11</xdr:col>
      <xdr:colOff>47625</xdr:colOff>
      <xdr:row>34</xdr:row>
      <xdr:rowOff>0</xdr:rowOff>
    </xdr:to>
    <xdr:grpSp>
      <xdr:nvGrpSpPr>
        <xdr:cNvPr id="4391176" name="Gruppo 258">
          <a:extLst>
            <a:ext uri="{FF2B5EF4-FFF2-40B4-BE49-F238E27FC236}">
              <a16:creationId xmlns="" xmlns:a16="http://schemas.microsoft.com/office/drawing/2014/main" id="{00000000-0008-0000-1500-000008014300}"/>
            </a:ext>
          </a:extLst>
        </xdr:cNvPr>
        <xdr:cNvGrpSpPr>
          <a:grpSpLocks/>
        </xdr:cNvGrpSpPr>
      </xdr:nvGrpSpPr>
      <xdr:grpSpPr bwMode="auto">
        <a:xfrm>
          <a:off x="2819400" y="8096250"/>
          <a:ext cx="8201025" cy="4171950"/>
          <a:chOff x="2818279" y="7956176"/>
          <a:chExt cx="8132670" cy="4179795"/>
        </a:xfrm>
      </xdr:grpSpPr>
      <xdr:sp macro="" textlink="">
        <xdr:nvSpPr>
          <xdr:cNvPr id="4391178" name="Line 181">
            <a:extLst>
              <a:ext uri="{FF2B5EF4-FFF2-40B4-BE49-F238E27FC236}">
                <a16:creationId xmlns="" xmlns:a16="http://schemas.microsoft.com/office/drawing/2014/main" id="{00000000-0008-0000-1500-00000A01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827638" y="9078186"/>
            <a:ext cx="439857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1179" name="Line 182">
            <a:extLst>
              <a:ext uri="{FF2B5EF4-FFF2-40B4-BE49-F238E27FC236}">
                <a16:creationId xmlns="" xmlns:a16="http://schemas.microsoft.com/office/drawing/2014/main" id="{00000000-0008-0000-1500-00000B014300}"/>
              </a:ext>
            </a:extLst>
          </xdr:cNvPr>
          <xdr:cNvSpPr>
            <a:spLocks noChangeShapeType="1"/>
          </xdr:cNvSpPr>
        </xdr:nvSpPr>
        <xdr:spPr bwMode="auto">
          <a:xfrm>
            <a:off x="2827638" y="8375388"/>
            <a:ext cx="0" cy="3760583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1180" name="Line 183">
            <a:extLst>
              <a:ext uri="{FF2B5EF4-FFF2-40B4-BE49-F238E27FC236}">
                <a16:creationId xmlns="" xmlns:a16="http://schemas.microsoft.com/office/drawing/2014/main" id="{00000000-0008-0000-1500-00000C014300}"/>
              </a:ext>
            </a:extLst>
          </xdr:cNvPr>
          <xdr:cNvSpPr>
            <a:spLocks noChangeShapeType="1"/>
          </xdr:cNvSpPr>
        </xdr:nvSpPr>
        <xdr:spPr bwMode="auto">
          <a:xfrm>
            <a:off x="2836996" y="9485069"/>
            <a:ext cx="1750068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1181" name="Line 184">
            <a:extLst>
              <a:ext uri="{FF2B5EF4-FFF2-40B4-BE49-F238E27FC236}">
                <a16:creationId xmlns="" xmlns:a16="http://schemas.microsoft.com/office/drawing/2014/main" id="{00000000-0008-0000-1500-00000D014300}"/>
              </a:ext>
            </a:extLst>
          </xdr:cNvPr>
          <xdr:cNvSpPr>
            <a:spLocks noChangeShapeType="1"/>
          </xdr:cNvSpPr>
        </xdr:nvSpPr>
        <xdr:spPr bwMode="auto">
          <a:xfrm>
            <a:off x="2827638" y="9953600"/>
            <a:ext cx="2873107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1182" name="Line 185">
            <a:extLst>
              <a:ext uri="{FF2B5EF4-FFF2-40B4-BE49-F238E27FC236}">
                <a16:creationId xmlns="" xmlns:a16="http://schemas.microsoft.com/office/drawing/2014/main" id="{00000000-0008-0000-1500-00000E01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36996" y="10360483"/>
            <a:ext cx="393999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1183" name="Line 186">
            <a:extLst>
              <a:ext uri="{FF2B5EF4-FFF2-40B4-BE49-F238E27FC236}">
                <a16:creationId xmlns="" xmlns:a16="http://schemas.microsoft.com/office/drawing/2014/main" id="{00000000-0008-0000-1500-00000F014300}"/>
              </a:ext>
            </a:extLst>
          </xdr:cNvPr>
          <xdr:cNvSpPr>
            <a:spLocks noChangeShapeType="1"/>
          </xdr:cNvSpPr>
        </xdr:nvSpPr>
        <xdr:spPr bwMode="auto">
          <a:xfrm>
            <a:off x="3276853" y="8005495"/>
            <a:ext cx="0" cy="1183659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1184" name="Line 187">
            <a:extLst>
              <a:ext uri="{FF2B5EF4-FFF2-40B4-BE49-F238E27FC236}">
                <a16:creationId xmlns="" xmlns:a16="http://schemas.microsoft.com/office/drawing/2014/main" id="{00000000-0008-0000-1500-000010014300}"/>
              </a:ext>
            </a:extLst>
          </xdr:cNvPr>
          <xdr:cNvSpPr>
            <a:spLocks noChangeShapeType="1"/>
          </xdr:cNvSpPr>
        </xdr:nvSpPr>
        <xdr:spPr bwMode="auto">
          <a:xfrm>
            <a:off x="2865072" y="8067144"/>
            <a:ext cx="53344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1185" name="Line 188">
            <a:extLst>
              <a:ext uri="{FF2B5EF4-FFF2-40B4-BE49-F238E27FC236}">
                <a16:creationId xmlns="" xmlns:a16="http://schemas.microsoft.com/office/drawing/2014/main" id="{00000000-0008-0000-1500-000011014300}"/>
              </a:ext>
            </a:extLst>
          </xdr:cNvPr>
          <xdr:cNvSpPr>
            <a:spLocks noChangeShapeType="1"/>
          </xdr:cNvSpPr>
        </xdr:nvSpPr>
        <xdr:spPr bwMode="auto">
          <a:xfrm>
            <a:off x="4587065" y="7993165"/>
            <a:ext cx="0" cy="1541222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1186" name="Line 189">
            <a:extLst>
              <a:ext uri="{FF2B5EF4-FFF2-40B4-BE49-F238E27FC236}">
                <a16:creationId xmlns="" xmlns:a16="http://schemas.microsoft.com/office/drawing/2014/main" id="{00000000-0008-0000-1500-000012014300}"/>
              </a:ext>
            </a:extLst>
          </xdr:cNvPr>
          <xdr:cNvSpPr>
            <a:spLocks noChangeShapeType="1"/>
          </xdr:cNvSpPr>
        </xdr:nvSpPr>
        <xdr:spPr bwMode="auto">
          <a:xfrm>
            <a:off x="3857090" y="8079474"/>
            <a:ext cx="1141756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grpSp>
        <xdr:nvGrpSpPr>
          <xdr:cNvPr id="4391187" name="Group 190">
            <a:extLst>
              <a:ext uri="{FF2B5EF4-FFF2-40B4-BE49-F238E27FC236}">
                <a16:creationId xmlns="" xmlns:a16="http://schemas.microsoft.com/office/drawing/2014/main" id="{00000000-0008-0000-1500-000013014300}"/>
              </a:ext>
            </a:extLst>
          </xdr:cNvPr>
          <xdr:cNvGrpSpPr>
            <a:grpSpLocks/>
          </xdr:cNvGrpSpPr>
        </xdr:nvGrpSpPr>
        <xdr:grpSpPr bwMode="auto">
          <a:xfrm>
            <a:off x="5661370" y="8005495"/>
            <a:ext cx="93587" cy="1935775"/>
            <a:chOff x="759" y="438"/>
            <a:chExt cx="10" cy="121"/>
          </a:xfrm>
        </xdr:grpSpPr>
        <xdr:sp macro="" textlink="">
          <xdr:nvSpPr>
            <xdr:cNvPr id="4391208" name="Line 191">
              <a:extLst>
                <a:ext uri="{FF2B5EF4-FFF2-40B4-BE49-F238E27FC236}">
                  <a16:creationId xmlns="" xmlns:a16="http://schemas.microsoft.com/office/drawing/2014/main" id="{00000000-0008-0000-1500-0000280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64" y="438"/>
              <a:ext cx="0" cy="121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91209" name="Line 192">
              <a:extLst>
                <a:ext uri="{FF2B5EF4-FFF2-40B4-BE49-F238E27FC236}">
                  <a16:creationId xmlns="" xmlns:a16="http://schemas.microsoft.com/office/drawing/2014/main" id="{00000000-0008-0000-1500-0000290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59" y="443"/>
              <a:ext cx="10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sp macro="" textlink="">
        <xdr:nvSpPr>
          <xdr:cNvPr id="4391188" name="Rectangle 196">
            <a:extLst>
              <a:ext uri="{FF2B5EF4-FFF2-40B4-BE49-F238E27FC236}">
                <a16:creationId xmlns="" xmlns:a16="http://schemas.microsoft.com/office/drawing/2014/main" id="{00000000-0008-0000-1500-000014014300}"/>
              </a:ext>
            </a:extLst>
          </xdr:cNvPr>
          <xdr:cNvSpPr>
            <a:spLocks noChangeArrowheads="1"/>
          </xdr:cNvSpPr>
        </xdr:nvSpPr>
        <xdr:spPr bwMode="auto">
          <a:xfrm>
            <a:off x="2827638" y="7956176"/>
            <a:ext cx="8123311" cy="369893"/>
          </a:xfrm>
          <a:prstGeom prst="rect">
            <a:avLst/>
          </a:prstGeom>
          <a:noFill/>
          <a:ln w="158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91189" name="Line 197">
            <a:extLst>
              <a:ext uri="{FF2B5EF4-FFF2-40B4-BE49-F238E27FC236}">
                <a16:creationId xmlns="" xmlns:a16="http://schemas.microsoft.com/office/drawing/2014/main" id="{00000000-0008-0000-1500-000015014300}"/>
              </a:ext>
            </a:extLst>
          </xdr:cNvPr>
          <xdr:cNvSpPr>
            <a:spLocks noChangeShapeType="1"/>
          </xdr:cNvSpPr>
        </xdr:nvSpPr>
        <xdr:spPr bwMode="auto">
          <a:xfrm>
            <a:off x="10548527" y="7993165"/>
            <a:ext cx="0" cy="4093487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1190" name="Line 198">
            <a:extLst>
              <a:ext uri="{FF2B5EF4-FFF2-40B4-BE49-F238E27FC236}">
                <a16:creationId xmlns="" xmlns:a16="http://schemas.microsoft.com/office/drawing/2014/main" id="{00000000-0008-0000-1500-000016014300}"/>
              </a:ext>
            </a:extLst>
          </xdr:cNvPr>
          <xdr:cNvSpPr>
            <a:spLocks noChangeShapeType="1"/>
          </xdr:cNvSpPr>
        </xdr:nvSpPr>
        <xdr:spPr bwMode="auto">
          <a:xfrm>
            <a:off x="8311809" y="8079474"/>
            <a:ext cx="224608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1191" name="Line 199">
            <a:extLst>
              <a:ext uri="{FF2B5EF4-FFF2-40B4-BE49-F238E27FC236}">
                <a16:creationId xmlns="" xmlns:a16="http://schemas.microsoft.com/office/drawing/2014/main" id="{00000000-0008-0000-1500-00001701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818279" y="12086652"/>
            <a:ext cx="772088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grpSp>
        <xdr:nvGrpSpPr>
          <xdr:cNvPr id="4391192" name="Group 200">
            <a:extLst>
              <a:ext uri="{FF2B5EF4-FFF2-40B4-BE49-F238E27FC236}">
                <a16:creationId xmlns="" xmlns:a16="http://schemas.microsoft.com/office/drawing/2014/main" id="{00000000-0008-0000-1500-000018014300}"/>
              </a:ext>
            </a:extLst>
          </xdr:cNvPr>
          <xdr:cNvGrpSpPr>
            <a:grpSpLocks/>
          </xdr:cNvGrpSpPr>
        </xdr:nvGrpSpPr>
        <xdr:grpSpPr bwMode="auto">
          <a:xfrm>
            <a:off x="7760128" y="8005495"/>
            <a:ext cx="102945" cy="2922158"/>
            <a:chOff x="912" y="438"/>
            <a:chExt cx="11" cy="175"/>
          </a:xfrm>
        </xdr:grpSpPr>
        <xdr:sp macro="" textlink="">
          <xdr:nvSpPr>
            <xdr:cNvPr id="4391206" name="Line 201">
              <a:extLst>
                <a:ext uri="{FF2B5EF4-FFF2-40B4-BE49-F238E27FC236}">
                  <a16:creationId xmlns="" xmlns:a16="http://schemas.microsoft.com/office/drawing/2014/main" id="{00000000-0008-0000-1500-0000260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91207" name="Line 202">
              <a:extLst>
                <a:ext uri="{FF2B5EF4-FFF2-40B4-BE49-F238E27FC236}">
                  <a16:creationId xmlns="" xmlns:a16="http://schemas.microsoft.com/office/drawing/2014/main" id="{00000000-0008-0000-1500-0000270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sp macro="" textlink="">
        <xdr:nvSpPr>
          <xdr:cNvPr id="4391193" name="Line 203">
            <a:extLst>
              <a:ext uri="{FF2B5EF4-FFF2-40B4-BE49-F238E27FC236}">
                <a16:creationId xmlns="" xmlns:a16="http://schemas.microsoft.com/office/drawing/2014/main" id="{00000000-0008-0000-1500-00001901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18279" y="10804355"/>
            <a:ext cx="500688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1194" name="Line 204">
            <a:extLst>
              <a:ext uri="{FF2B5EF4-FFF2-40B4-BE49-F238E27FC236}">
                <a16:creationId xmlns="" xmlns:a16="http://schemas.microsoft.com/office/drawing/2014/main" id="{00000000-0008-0000-1500-00001A01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18279" y="11272886"/>
            <a:ext cx="604569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1195" name="Line 205">
            <a:extLst>
              <a:ext uri="{FF2B5EF4-FFF2-40B4-BE49-F238E27FC236}">
                <a16:creationId xmlns="" xmlns:a16="http://schemas.microsoft.com/office/drawing/2014/main" id="{00000000-0008-0000-1500-00001B01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18279" y="11667439"/>
            <a:ext cx="695348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grpSp>
        <xdr:nvGrpSpPr>
          <xdr:cNvPr id="4391196" name="Group 206">
            <a:extLst>
              <a:ext uri="{FF2B5EF4-FFF2-40B4-BE49-F238E27FC236}">
                <a16:creationId xmlns="" xmlns:a16="http://schemas.microsoft.com/office/drawing/2014/main" id="{00000000-0008-0000-1500-00001C014300}"/>
              </a:ext>
            </a:extLst>
          </xdr:cNvPr>
          <xdr:cNvGrpSpPr>
            <a:grpSpLocks/>
          </xdr:cNvGrpSpPr>
        </xdr:nvGrpSpPr>
        <xdr:grpSpPr bwMode="auto">
          <a:xfrm>
            <a:off x="8791493" y="7994289"/>
            <a:ext cx="102945" cy="3255062"/>
            <a:chOff x="912" y="438"/>
            <a:chExt cx="11" cy="175"/>
          </a:xfrm>
        </xdr:grpSpPr>
        <xdr:sp macro="" textlink="">
          <xdr:nvSpPr>
            <xdr:cNvPr id="4391204" name="Line 207">
              <a:extLst>
                <a:ext uri="{FF2B5EF4-FFF2-40B4-BE49-F238E27FC236}">
                  <a16:creationId xmlns="" xmlns:a16="http://schemas.microsoft.com/office/drawing/2014/main" id="{00000000-0008-0000-1500-0000240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91205" name="Line 208">
              <a:extLst>
                <a:ext uri="{FF2B5EF4-FFF2-40B4-BE49-F238E27FC236}">
                  <a16:creationId xmlns="" xmlns:a16="http://schemas.microsoft.com/office/drawing/2014/main" id="{00000000-0008-0000-1500-0000250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grpSp>
        <xdr:nvGrpSpPr>
          <xdr:cNvPr id="4391197" name="Group 209">
            <a:extLst>
              <a:ext uri="{FF2B5EF4-FFF2-40B4-BE49-F238E27FC236}">
                <a16:creationId xmlns="" xmlns:a16="http://schemas.microsoft.com/office/drawing/2014/main" id="{00000000-0008-0000-1500-00001D014300}"/>
              </a:ext>
            </a:extLst>
          </xdr:cNvPr>
          <xdr:cNvGrpSpPr>
            <a:grpSpLocks/>
          </xdr:cNvGrpSpPr>
        </xdr:nvGrpSpPr>
        <xdr:grpSpPr bwMode="auto">
          <a:xfrm>
            <a:off x="9744361" y="7971877"/>
            <a:ext cx="102945" cy="3723593"/>
            <a:chOff x="912" y="438"/>
            <a:chExt cx="11" cy="175"/>
          </a:xfrm>
        </xdr:grpSpPr>
        <xdr:sp macro="" textlink="">
          <xdr:nvSpPr>
            <xdr:cNvPr id="4391202" name="Line 210">
              <a:extLst>
                <a:ext uri="{FF2B5EF4-FFF2-40B4-BE49-F238E27FC236}">
                  <a16:creationId xmlns="" xmlns:a16="http://schemas.microsoft.com/office/drawing/2014/main" id="{00000000-0008-0000-1500-0000220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91203" name="Line 211">
              <a:extLst>
                <a:ext uri="{FF2B5EF4-FFF2-40B4-BE49-F238E27FC236}">
                  <a16:creationId xmlns="" xmlns:a16="http://schemas.microsoft.com/office/drawing/2014/main" id="{00000000-0008-0000-1500-0000230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sp macro="" textlink="">
        <xdr:nvSpPr>
          <xdr:cNvPr id="4391198" name="Line 212">
            <a:extLst>
              <a:ext uri="{FF2B5EF4-FFF2-40B4-BE49-F238E27FC236}">
                <a16:creationId xmlns="" xmlns:a16="http://schemas.microsoft.com/office/drawing/2014/main" id="{00000000-0008-0000-1500-00001E014300}"/>
              </a:ext>
            </a:extLst>
          </xdr:cNvPr>
          <xdr:cNvSpPr>
            <a:spLocks noChangeShapeType="1"/>
          </xdr:cNvSpPr>
        </xdr:nvSpPr>
        <xdr:spPr bwMode="auto">
          <a:xfrm>
            <a:off x="10426864" y="8079474"/>
            <a:ext cx="224608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grpSp>
        <xdr:nvGrpSpPr>
          <xdr:cNvPr id="4391199" name="Group 200">
            <a:extLst>
              <a:ext uri="{FF2B5EF4-FFF2-40B4-BE49-F238E27FC236}">
                <a16:creationId xmlns="" xmlns:a16="http://schemas.microsoft.com/office/drawing/2014/main" id="{00000000-0008-0000-1500-00001F014300}"/>
              </a:ext>
            </a:extLst>
          </xdr:cNvPr>
          <xdr:cNvGrpSpPr>
            <a:grpSpLocks/>
          </xdr:cNvGrpSpPr>
        </xdr:nvGrpSpPr>
        <xdr:grpSpPr bwMode="auto">
          <a:xfrm>
            <a:off x="6734735" y="8012218"/>
            <a:ext cx="104121" cy="2442870"/>
            <a:chOff x="912" y="438"/>
            <a:chExt cx="11" cy="175"/>
          </a:xfrm>
        </xdr:grpSpPr>
        <xdr:sp macro="" textlink="">
          <xdr:nvSpPr>
            <xdr:cNvPr id="4391200" name="Line 201">
              <a:extLst>
                <a:ext uri="{FF2B5EF4-FFF2-40B4-BE49-F238E27FC236}">
                  <a16:creationId xmlns="" xmlns:a16="http://schemas.microsoft.com/office/drawing/2014/main" id="{00000000-0008-0000-1500-0000200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91201" name="Line 202">
              <a:extLst>
                <a:ext uri="{FF2B5EF4-FFF2-40B4-BE49-F238E27FC236}">
                  <a16:creationId xmlns="" xmlns:a16="http://schemas.microsoft.com/office/drawing/2014/main" id="{00000000-0008-0000-1500-0000210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</xdr:grpSp>
    <xdr:clientData/>
  </xdr:twoCellAnchor>
  <xdr:twoCellAnchor editAs="oneCell">
    <xdr:from>
      <xdr:col>11</xdr:col>
      <xdr:colOff>228600</xdr:colOff>
      <xdr:row>20</xdr:row>
      <xdr:rowOff>9525</xdr:rowOff>
    </xdr:from>
    <xdr:to>
      <xdr:col>21</xdr:col>
      <xdr:colOff>390525</xdr:colOff>
      <xdr:row>30</xdr:row>
      <xdr:rowOff>361950</xdr:rowOff>
    </xdr:to>
    <xdr:pic>
      <xdr:nvPicPr>
        <xdr:cNvPr id="4391177" name="Picture 70">
          <a:extLst>
            <a:ext uri="{FF2B5EF4-FFF2-40B4-BE49-F238E27FC236}">
              <a16:creationId xmlns="" xmlns:a16="http://schemas.microsoft.com/office/drawing/2014/main" id="{00000000-0008-0000-1500-000009014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1134725" y="7200900"/>
          <a:ext cx="7896225" cy="3457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79920" name="Line 1">
          <a:extLst>
            <a:ext uri="{FF2B5EF4-FFF2-40B4-BE49-F238E27FC236}">
              <a16:creationId xmlns="" xmlns:a16="http://schemas.microsoft.com/office/drawing/2014/main" id="{00000000-0008-0000-1600-000010D54200}"/>
            </a:ext>
          </a:extLst>
        </xdr:cNvPr>
        <xdr:cNvSpPr>
          <a:spLocks noChangeShapeType="1"/>
        </xdr:cNvSpPr>
      </xdr:nvSpPr>
      <xdr:spPr bwMode="auto">
        <a:xfrm flipV="1"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79921" name="Line 2">
          <a:extLst>
            <a:ext uri="{FF2B5EF4-FFF2-40B4-BE49-F238E27FC236}">
              <a16:creationId xmlns="" xmlns:a16="http://schemas.microsoft.com/office/drawing/2014/main" id="{00000000-0008-0000-1600-000011D54200}"/>
            </a:ext>
          </a:extLst>
        </xdr:cNvPr>
        <xdr:cNvSpPr>
          <a:spLocks noChangeShapeType="1"/>
        </xdr:cNvSpPr>
      </xdr:nvSpPr>
      <xdr:spPr bwMode="auto">
        <a:xfrm flipV="1">
          <a:off x="70580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676275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79922" name="Line 3">
          <a:extLst>
            <a:ext uri="{FF2B5EF4-FFF2-40B4-BE49-F238E27FC236}">
              <a16:creationId xmlns="" xmlns:a16="http://schemas.microsoft.com/office/drawing/2014/main" id="{00000000-0008-0000-1600-000012D542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442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95250</xdr:colOff>
      <xdr:row>0</xdr:row>
      <xdr:rowOff>0</xdr:rowOff>
    </xdr:from>
    <xdr:to>
      <xdr:col>6</xdr:col>
      <xdr:colOff>200025</xdr:colOff>
      <xdr:row>0</xdr:row>
      <xdr:rowOff>0</xdr:rowOff>
    </xdr:to>
    <xdr:sp macro="" textlink="">
      <xdr:nvSpPr>
        <xdr:cNvPr id="4379923" name="Line 4">
          <a:extLst>
            <a:ext uri="{FF2B5EF4-FFF2-40B4-BE49-F238E27FC236}">
              <a16:creationId xmlns="" xmlns:a16="http://schemas.microsoft.com/office/drawing/2014/main" id="{00000000-0008-0000-1600-000013D54200}"/>
            </a:ext>
          </a:extLst>
        </xdr:cNvPr>
        <xdr:cNvSpPr>
          <a:spLocks noChangeShapeType="1"/>
        </xdr:cNvSpPr>
      </xdr:nvSpPr>
      <xdr:spPr bwMode="auto">
        <a:xfrm>
          <a:off x="7153275" y="0"/>
          <a:ext cx="1104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104775</xdr:colOff>
      <xdr:row>0</xdr:row>
      <xdr:rowOff>0</xdr:rowOff>
    </xdr:from>
    <xdr:to>
      <xdr:col>6</xdr:col>
      <xdr:colOff>104775</xdr:colOff>
      <xdr:row>0</xdr:row>
      <xdr:rowOff>0</xdr:rowOff>
    </xdr:to>
    <xdr:sp macro="" textlink="">
      <xdr:nvSpPr>
        <xdr:cNvPr id="4379924" name="Line 5">
          <a:extLst>
            <a:ext uri="{FF2B5EF4-FFF2-40B4-BE49-F238E27FC236}">
              <a16:creationId xmlns="" xmlns:a16="http://schemas.microsoft.com/office/drawing/2014/main" id="{00000000-0008-0000-1600-000014D54200}"/>
            </a:ext>
          </a:extLst>
        </xdr:cNvPr>
        <xdr:cNvSpPr>
          <a:spLocks noChangeShapeType="1"/>
        </xdr:cNvSpPr>
      </xdr:nvSpPr>
      <xdr:spPr bwMode="auto">
        <a:xfrm>
          <a:off x="81629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0</xdr:row>
      <xdr:rowOff>0</xdr:rowOff>
    </xdr:from>
    <xdr:to>
      <xdr:col>6</xdr:col>
      <xdr:colOff>114300</xdr:colOff>
      <xdr:row>0</xdr:row>
      <xdr:rowOff>0</xdr:rowOff>
    </xdr:to>
    <xdr:sp macro="" textlink="">
      <xdr:nvSpPr>
        <xdr:cNvPr id="4379925" name="Line 6">
          <a:extLst>
            <a:ext uri="{FF2B5EF4-FFF2-40B4-BE49-F238E27FC236}">
              <a16:creationId xmlns="" xmlns:a16="http://schemas.microsoft.com/office/drawing/2014/main" id="{00000000-0008-0000-1600-000015D54200}"/>
            </a:ext>
          </a:extLst>
        </xdr:cNvPr>
        <xdr:cNvSpPr>
          <a:spLocks noChangeShapeType="1"/>
        </xdr:cNvSpPr>
      </xdr:nvSpPr>
      <xdr:spPr bwMode="auto">
        <a:xfrm>
          <a:off x="81724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85725</xdr:colOff>
      <xdr:row>0</xdr:row>
      <xdr:rowOff>0</xdr:rowOff>
    </xdr:from>
    <xdr:to>
      <xdr:col>6</xdr:col>
      <xdr:colOff>228600</xdr:colOff>
      <xdr:row>0</xdr:row>
      <xdr:rowOff>0</xdr:rowOff>
    </xdr:to>
    <xdr:sp macro="" textlink="">
      <xdr:nvSpPr>
        <xdr:cNvPr id="4379926" name="Line 7">
          <a:extLst>
            <a:ext uri="{FF2B5EF4-FFF2-40B4-BE49-F238E27FC236}">
              <a16:creationId xmlns="" xmlns:a16="http://schemas.microsoft.com/office/drawing/2014/main" id="{00000000-0008-0000-1600-000016D54200}"/>
            </a:ext>
          </a:extLst>
        </xdr:cNvPr>
        <xdr:cNvSpPr>
          <a:spLocks noChangeShapeType="1"/>
        </xdr:cNvSpPr>
      </xdr:nvSpPr>
      <xdr:spPr bwMode="auto">
        <a:xfrm>
          <a:off x="7143750" y="0"/>
          <a:ext cx="1143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533400</xdr:colOff>
      <xdr:row>0</xdr:row>
      <xdr:rowOff>0</xdr:rowOff>
    </xdr:from>
    <xdr:to>
      <xdr:col>12</xdr:col>
      <xdr:colOff>123825</xdr:colOff>
      <xdr:row>0</xdr:row>
      <xdr:rowOff>0</xdr:rowOff>
    </xdr:to>
    <xdr:sp macro="" textlink="">
      <xdr:nvSpPr>
        <xdr:cNvPr id="4379927" name="Line 8">
          <a:extLst>
            <a:ext uri="{FF2B5EF4-FFF2-40B4-BE49-F238E27FC236}">
              <a16:creationId xmlns="" xmlns:a16="http://schemas.microsoft.com/office/drawing/2014/main" id="{00000000-0008-0000-1600-000017D54200}"/>
            </a:ext>
          </a:extLst>
        </xdr:cNvPr>
        <xdr:cNvSpPr>
          <a:spLocks noChangeShapeType="1"/>
        </xdr:cNvSpPr>
      </xdr:nvSpPr>
      <xdr:spPr bwMode="auto">
        <a:xfrm>
          <a:off x="11887200" y="0"/>
          <a:ext cx="12382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12</xdr:col>
      <xdr:colOff>238125</xdr:colOff>
      <xdr:row>0</xdr:row>
      <xdr:rowOff>0</xdr:rowOff>
    </xdr:to>
    <xdr:sp macro="" textlink="">
      <xdr:nvSpPr>
        <xdr:cNvPr id="4379928" name="Line 9">
          <a:extLst>
            <a:ext uri="{FF2B5EF4-FFF2-40B4-BE49-F238E27FC236}">
              <a16:creationId xmlns="" xmlns:a16="http://schemas.microsoft.com/office/drawing/2014/main" id="{00000000-0008-0000-1600-000018D54200}"/>
            </a:ext>
          </a:extLst>
        </xdr:cNvPr>
        <xdr:cNvSpPr>
          <a:spLocks noChangeShapeType="1"/>
        </xdr:cNvSpPr>
      </xdr:nvSpPr>
      <xdr:spPr bwMode="auto">
        <a:xfrm flipV="1">
          <a:off x="120110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238125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79929" name="Line 10">
          <a:extLst>
            <a:ext uri="{FF2B5EF4-FFF2-40B4-BE49-F238E27FC236}">
              <a16:creationId xmlns="" xmlns:a16="http://schemas.microsoft.com/office/drawing/2014/main" id="{00000000-0008-0000-1600-000019D54200}"/>
            </a:ext>
          </a:extLst>
        </xdr:cNvPr>
        <xdr:cNvSpPr>
          <a:spLocks noChangeShapeType="1"/>
        </xdr:cNvSpPr>
      </xdr:nvSpPr>
      <xdr:spPr bwMode="auto">
        <a:xfrm>
          <a:off x="12125325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361950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79930" name="Line 11">
          <a:extLst>
            <a:ext uri="{FF2B5EF4-FFF2-40B4-BE49-F238E27FC236}">
              <a16:creationId xmlns="" xmlns:a16="http://schemas.microsoft.com/office/drawing/2014/main" id="{00000000-0008-0000-1600-00001AD54200}"/>
            </a:ext>
          </a:extLst>
        </xdr:cNvPr>
        <xdr:cNvSpPr>
          <a:spLocks noChangeShapeType="1"/>
        </xdr:cNvSpPr>
      </xdr:nvSpPr>
      <xdr:spPr bwMode="auto">
        <a:xfrm flipV="1"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466725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79931" name="Line 12">
          <a:extLst>
            <a:ext uri="{FF2B5EF4-FFF2-40B4-BE49-F238E27FC236}">
              <a16:creationId xmlns="" xmlns:a16="http://schemas.microsoft.com/office/drawing/2014/main" id="{00000000-0008-0000-1600-00001BD5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581025</xdr:colOff>
      <xdr:row>0</xdr:row>
      <xdr:rowOff>0</xdr:rowOff>
    </xdr:from>
    <xdr:to>
      <xdr:col>13</xdr:col>
      <xdr:colOff>0</xdr:colOff>
      <xdr:row>0</xdr:row>
      <xdr:rowOff>0</xdr:rowOff>
    </xdr:to>
    <xdr:sp macro="" textlink="">
      <xdr:nvSpPr>
        <xdr:cNvPr id="4379932" name="Line 13">
          <a:extLst>
            <a:ext uri="{FF2B5EF4-FFF2-40B4-BE49-F238E27FC236}">
              <a16:creationId xmlns="" xmlns:a16="http://schemas.microsoft.com/office/drawing/2014/main" id="{00000000-0008-0000-1600-00001CD54200}"/>
            </a:ext>
          </a:extLst>
        </xdr:cNvPr>
        <xdr:cNvSpPr>
          <a:spLocks noChangeShapeType="1"/>
        </xdr:cNvSpPr>
      </xdr:nvSpPr>
      <xdr:spPr bwMode="auto">
        <a:xfrm flipV="1"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0</xdr:row>
      <xdr:rowOff>0</xdr:rowOff>
    </xdr:from>
    <xdr:to>
      <xdr:col>13</xdr:col>
      <xdr:colOff>123825</xdr:colOff>
      <xdr:row>0</xdr:row>
      <xdr:rowOff>0</xdr:rowOff>
    </xdr:to>
    <xdr:sp macro="" textlink="">
      <xdr:nvSpPr>
        <xdr:cNvPr id="4379933" name="Line 14">
          <a:extLst>
            <a:ext uri="{FF2B5EF4-FFF2-40B4-BE49-F238E27FC236}">
              <a16:creationId xmlns="" xmlns:a16="http://schemas.microsoft.com/office/drawing/2014/main" id="{00000000-0008-0000-1600-00001DD5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123825</xdr:colOff>
      <xdr:row>0</xdr:row>
      <xdr:rowOff>0</xdr:rowOff>
    </xdr:from>
    <xdr:to>
      <xdr:col>13</xdr:col>
      <xdr:colOff>238125</xdr:colOff>
      <xdr:row>0</xdr:row>
      <xdr:rowOff>0</xdr:rowOff>
    </xdr:to>
    <xdr:sp macro="" textlink="">
      <xdr:nvSpPr>
        <xdr:cNvPr id="4379934" name="Line 15">
          <a:extLst>
            <a:ext uri="{FF2B5EF4-FFF2-40B4-BE49-F238E27FC236}">
              <a16:creationId xmlns="" xmlns:a16="http://schemas.microsoft.com/office/drawing/2014/main" id="{00000000-0008-0000-1600-00001ED54200}"/>
            </a:ext>
          </a:extLst>
        </xdr:cNvPr>
        <xdr:cNvSpPr>
          <a:spLocks noChangeShapeType="1"/>
        </xdr:cNvSpPr>
      </xdr:nvSpPr>
      <xdr:spPr bwMode="auto">
        <a:xfrm flipV="1">
          <a:off x="122586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238125</xdr:colOff>
      <xdr:row>0</xdr:row>
      <xdr:rowOff>0</xdr:rowOff>
    </xdr:from>
    <xdr:to>
      <xdr:col>13</xdr:col>
      <xdr:colOff>361950</xdr:colOff>
      <xdr:row>0</xdr:row>
      <xdr:rowOff>0</xdr:rowOff>
    </xdr:to>
    <xdr:sp macro="" textlink="">
      <xdr:nvSpPr>
        <xdr:cNvPr id="4379935" name="Line 16">
          <a:extLst>
            <a:ext uri="{FF2B5EF4-FFF2-40B4-BE49-F238E27FC236}">
              <a16:creationId xmlns="" xmlns:a16="http://schemas.microsoft.com/office/drawing/2014/main" id="{00000000-0008-0000-1600-00001FD54200}"/>
            </a:ext>
          </a:extLst>
        </xdr:cNvPr>
        <xdr:cNvSpPr>
          <a:spLocks noChangeShapeType="1"/>
        </xdr:cNvSpPr>
      </xdr:nvSpPr>
      <xdr:spPr bwMode="auto">
        <a:xfrm>
          <a:off x="123729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361950</xdr:colOff>
      <xdr:row>0</xdr:row>
      <xdr:rowOff>0</xdr:rowOff>
    </xdr:from>
    <xdr:to>
      <xdr:col>13</xdr:col>
      <xdr:colOff>476250</xdr:colOff>
      <xdr:row>0</xdr:row>
      <xdr:rowOff>0</xdr:rowOff>
    </xdr:to>
    <xdr:sp macro="" textlink="">
      <xdr:nvSpPr>
        <xdr:cNvPr id="4379936" name="Line 17">
          <a:extLst>
            <a:ext uri="{FF2B5EF4-FFF2-40B4-BE49-F238E27FC236}">
              <a16:creationId xmlns="" xmlns:a16="http://schemas.microsoft.com/office/drawing/2014/main" id="{00000000-0008-0000-1600-000020D54200}"/>
            </a:ext>
          </a:extLst>
        </xdr:cNvPr>
        <xdr:cNvSpPr>
          <a:spLocks noChangeShapeType="1"/>
        </xdr:cNvSpPr>
      </xdr:nvSpPr>
      <xdr:spPr bwMode="auto">
        <a:xfrm flipV="1">
          <a:off x="1249680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476250</xdr:colOff>
      <xdr:row>0</xdr:row>
      <xdr:rowOff>0</xdr:rowOff>
    </xdr:from>
    <xdr:to>
      <xdr:col>13</xdr:col>
      <xdr:colOff>609600</xdr:colOff>
      <xdr:row>0</xdr:row>
      <xdr:rowOff>0</xdr:rowOff>
    </xdr:to>
    <xdr:sp macro="" textlink="">
      <xdr:nvSpPr>
        <xdr:cNvPr id="4379937" name="Line 18">
          <a:extLst>
            <a:ext uri="{FF2B5EF4-FFF2-40B4-BE49-F238E27FC236}">
              <a16:creationId xmlns="" xmlns:a16="http://schemas.microsoft.com/office/drawing/2014/main" id="{00000000-0008-0000-1600-000021D54200}"/>
            </a:ext>
          </a:extLst>
        </xdr:cNvPr>
        <xdr:cNvSpPr>
          <a:spLocks noChangeShapeType="1"/>
        </xdr:cNvSpPr>
      </xdr:nvSpPr>
      <xdr:spPr bwMode="auto">
        <a:xfrm>
          <a:off x="12611100" y="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14</xdr:col>
      <xdr:colOff>28575</xdr:colOff>
      <xdr:row>0</xdr:row>
      <xdr:rowOff>0</xdr:rowOff>
    </xdr:to>
    <xdr:sp macro="" textlink="">
      <xdr:nvSpPr>
        <xdr:cNvPr id="4379938" name="Line 19">
          <a:extLst>
            <a:ext uri="{FF2B5EF4-FFF2-40B4-BE49-F238E27FC236}">
              <a16:creationId xmlns="" xmlns:a16="http://schemas.microsoft.com/office/drawing/2014/main" id="{00000000-0008-0000-1600-000022D54200}"/>
            </a:ext>
          </a:extLst>
        </xdr:cNvPr>
        <xdr:cNvSpPr>
          <a:spLocks noChangeShapeType="1"/>
        </xdr:cNvSpPr>
      </xdr:nvSpPr>
      <xdr:spPr bwMode="auto">
        <a:xfrm flipV="1">
          <a:off x="12744450" y="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28575</xdr:colOff>
      <xdr:row>0</xdr:row>
      <xdr:rowOff>0</xdr:rowOff>
    </xdr:from>
    <xdr:to>
      <xdr:col>14</xdr:col>
      <xdr:colOff>152400</xdr:colOff>
      <xdr:row>0</xdr:row>
      <xdr:rowOff>0</xdr:rowOff>
    </xdr:to>
    <xdr:sp macro="" textlink="">
      <xdr:nvSpPr>
        <xdr:cNvPr id="4379939" name="Line 20">
          <a:extLst>
            <a:ext uri="{FF2B5EF4-FFF2-40B4-BE49-F238E27FC236}">
              <a16:creationId xmlns="" xmlns:a16="http://schemas.microsoft.com/office/drawing/2014/main" id="{00000000-0008-0000-1600-000023D54200}"/>
            </a:ext>
          </a:extLst>
        </xdr:cNvPr>
        <xdr:cNvSpPr>
          <a:spLocks noChangeShapeType="1"/>
        </xdr:cNvSpPr>
      </xdr:nvSpPr>
      <xdr:spPr bwMode="auto">
        <a:xfrm>
          <a:off x="133540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152400</xdr:colOff>
      <xdr:row>0</xdr:row>
      <xdr:rowOff>0</xdr:rowOff>
    </xdr:from>
    <xdr:to>
      <xdr:col>14</xdr:col>
      <xdr:colOff>266700</xdr:colOff>
      <xdr:row>0</xdr:row>
      <xdr:rowOff>0</xdr:rowOff>
    </xdr:to>
    <xdr:sp macro="" textlink="">
      <xdr:nvSpPr>
        <xdr:cNvPr id="4379940" name="Line 21">
          <a:extLst>
            <a:ext uri="{FF2B5EF4-FFF2-40B4-BE49-F238E27FC236}">
              <a16:creationId xmlns="" xmlns:a16="http://schemas.microsoft.com/office/drawing/2014/main" id="{00000000-0008-0000-1600-000024D54200}"/>
            </a:ext>
          </a:extLst>
        </xdr:cNvPr>
        <xdr:cNvSpPr>
          <a:spLocks noChangeShapeType="1"/>
        </xdr:cNvSpPr>
      </xdr:nvSpPr>
      <xdr:spPr bwMode="auto">
        <a:xfrm flipV="1">
          <a:off x="134778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266700</xdr:colOff>
      <xdr:row>0</xdr:row>
      <xdr:rowOff>0</xdr:rowOff>
    </xdr:from>
    <xdr:to>
      <xdr:col>14</xdr:col>
      <xdr:colOff>381000</xdr:colOff>
      <xdr:row>0</xdr:row>
      <xdr:rowOff>0</xdr:rowOff>
    </xdr:to>
    <xdr:sp macro="" textlink="">
      <xdr:nvSpPr>
        <xdr:cNvPr id="4379941" name="Line 22">
          <a:extLst>
            <a:ext uri="{FF2B5EF4-FFF2-40B4-BE49-F238E27FC236}">
              <a16:creationId xmlns="" xmlns:a16="http://schemas.microsoft.com/office/drawing/2014/main" id="{00000000-0008-0000-1600-000025D54200}"/>
            </a:ext>
          </a:extLst>
        </xdr:cNvPr>
        <xdr:cNvSpPr>
          <a:spLocks noChangeShapeType="1"/>
        </xdr:cNvSpPr>
      </xdr:nvSpPr>
      <xdr:spPr bwMode="auto">
        <a:xfrm>
          <a:off x="135921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381000</xdr:colOff>
      <xdr:row>0</xdr:row>
      <xdr:rowOff>0</xdr:rowOff>
    </xdr:from>
    <xdr:to>
      <xdr:col>14</xdr:col>
      <xdr:colOff>495300</xdr:colOff>
      <xdr:row>0</xdr:row>
      <xdr:rowOff>0</xdr:rowOff>
    </xdr:to>
    <xdr:sp macro="" textlink="">
      <xdr:nvSpPr>
        <xdr:cNvPr id="4379942" name="Line 23">
          <a:extLst>
            <a:ext uri="{FF2B5EF4-FFF2-40B4-BE49-F238E27FC236}">
              <a16:creationId xmlns="" xmlns:a16="http://schemas.microsoft.com/office/drawing/2014/main" id="{00000000-0008-0000-1600-000026D54200}"/>
            </a:ext>
          </a:extLst>
        </xdr:cNvPr>
        <xdr:cNvSpPr>
          <a:spLocks noChangeShapeType="1"/>
        </xdr:cNvSpPr>
      </xdr:nvSpPr>
      <xdr:spPr bwMode="auto">
        <a:xfrm flipV="1">
          <a:off x="137064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495300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79943" name="Line 24">
          <a:extLst>
            <a:ext uri="{FF2B5EF4-FFF2-40B4-BE49-F238E27FC236}">
              <a16:creationId xmlns="" xmlns:a16="http://schemas.microsoft.com/office/drawing/2014/main" id="{00000000-0008-0000-1600-000027D54200}"/>
            </a:ext>
          </a:extLst>
        </xdr:cNvPr>
        <xdr:cNvSpPr>
          <a:spLocks noChangeShapeType="1"/>
        </xdr:cNvSpPr>
      </xdr:nvSpPr>
      <xdr:spPr bwMode="auto">
        <a:xfrm>
          <a:off x="138207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79944" name="Line 25">
          <a:extLst>
            <a:ext uri="{FF2B5EF4-FFF2-40B4-BE49-F238E27FC236}">
              <a16:creationId xmlns="" xmlns:a16="http://schemas.microsoft.com/office/drawing/2014/main" id="{00000000-0008-0000-1600-000028D542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66675</xdr:colOff>
      <xdr:row>0</xdr:row>
      <xdr:rowOff>0</xdr:rowOff>
    </xdr:to>
    <xdr:sp macro="" textlink="">
      <xdr:nvSpPr>
        <xdr:cNvPr id="4379945" name="Line 26">
          <a:extLst>
            <a:ext uri="{FF2B5EF4-FFF2-40B4-BE49-F238E27FC236}">
              <a16:creationId xmlns="" xmlns:a16="http://schemas.microsoft.com/office/drawing/2014/main" id="{00000000-0008-0000-1600-000029D54200}"/>
            </a:ext>
          </a:extLst>
        </xdr:cNvPr>
        <xdr:cNvSpPr>
          <a:spLocks noChangeShapeType="1"/>
        </xdr:cNvSpPr>
      </xdr:nvSpPr>
      <xdr:spPr bwMode="auto">
        <a:xfrm flipV="1">
          <a:off x="11953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79946" name="Line 27">
          <a:extLst>
            <a:ext uri="{FF2B5EF4-FFF2-40B4-BE49-F238E27FC236}">
              <a16:creationId xmlns="" xmlns:a16="http://schemas.microsoft.com/office/drawing/2014/main" id="{00000000-0008-0000-1600-00002AD542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79947" name="Line 28">
          <a:extLst>
            <a:ext uri="{FF2B5EF4-FFF2-40B4-BE49-F238E27FC236}">
              <a16:creationId xmlns="" xmlns:a16="http://schemas.microsoft.com/office/drawing/2014/main" id="{00000000-0008-0000-1600-00002BD54200}"/>
            </a:ext>
          </a:extLst>
        </xdr:cNvPr>
        <xdr:cNvSpPr>
          <a:spLocks noChangeShapeType="1"/>
        </xdr:cNvSpPr>
      </xdr:nvSpPr>
      <xdr:spPr bwMode="auto">
        <a:xfrm>
          <a:off x="12011025" y="0"/>
          <a:ext cx="1933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352425</xdr:colOff>
      <xdr:row>0</xdr:row>
      <xdr:rowOff>0</xdr:rowOff>
    </xdr:from>
    <xdr:to>
      <xdr:col>2</xdr:col>
      <xdr:colOff>352425</xdr:colOff>
      <xdr:row>0</xdr:row>
      <xdr:rowOff>0</xdr:rowOff>
    </xdr:to>
    <xdr:sp macro="" textlink="">
      <xdr:nvSpPr>
        <xdr:cNvPr id="4379948" name="Line 29">
          <a:extLst>
            <a:ext uri="{FF2B5EF4-FFF2-40B4-BE49-F238E27FC236}">
              <a16:creationId xmlns="" xmlns:a16="http://schemas.microsoft.com/office/drawing/2014/main" id="{00000000-0008-0000-1600-00002CD54200}"/>
            </a:ext>
          </a:extLst>
        </xdr:cNvPr>
        <xdr:cNvSpPr>
          <a:spLocks noChangeShapeType="1"/>
        </xdr:cNvSpPr>
      </xdr:nvSpPr>
      <xdr:spPr bwMode="auto">
        <a:xfrm>
          <a:off x="2981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152400</xdr:colOff>
      <xdr:row>0</xdr:row>
      <xdr:rowOff>0</xdr:rowOff>
    </xdr:to>
    <xdr:sp macro="" textlink="">
      <xdr:nvSpPr>
        <xdr:cNvPr id="4379949" name="Line 30">
          <a:extLst>
            <a:ext uri="{FF2B5EF4-FFF2-40B4-BE49-F238E27FC236}">
              <a16:creationId xmlns="" xmlns:a16="http://schemas.microsoft.com/office/drawing/2014/main" id="{00000000-0008-0000-1600-00002DD5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723900</xdr:colOff>
      <xdr:row>0</xdr:row>
      <xdr:rowOff>0</xdr:rowOff>
    </xdr:from>
    <xdr:to>
      <xdr:col>4</xdr:col>
      <xdr:colOff>723900</xdr:colOff>
      <xdr:row>0</xdr:row>
      <xdr:rowOff>0</xdr:rowOff>
    </xdr:to>
    <xdr:sp macro="" textlink="">
      <xdr:nvSpPr>
        <xdr:cNvPr id="4379950" name="Line 31">
          <a:extLst>
            <a:ext uri="{FF2B5EF4-FFF2-40B4-BE49-F238E27FC236}">
              <a16:creationId xmlns="" xmlns:a16="http://schemas.microsoft.com/office/drawing/2014/main" id="{00000000-0008-0000-1600-00002ED54200}"/>
            </a:ext>
          </a:extLst>
        </xdr:cNvPr>
        <xdr:cNvSpPr>
          <a:spLocks noChangeShapeType="1"/>
        </xdr:cNvSpPr>
      </xdr:nvSpPr>
      <xdr:spPr bwMode="auto">
        <a:xfrm>
          <a:off x="63722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285750</xdr:colOff>
      <xdr:row>0</xdr:row>
      <xdr:rowOff>0</xdr:rowOff>
    </xdr:from>
    <xdr:to>
      <xdr:col>2</xdr:col>
      <xdr:colOff>285750</xdr:colOff>
      <xdr:row>0</xdr:row>
      <xdr:rowOff>0</xdr:rowOff>
    </xdr:to>
    <xdr:sp macro="" textlink="">
      <xdr:nvSpPr>
        <xdr:cNvPr id="4379951" name="Line 32">
          <a:extLst>
            <a:ext uri="{FF2B5EF4-FFF2-40B4-BE49-F238E27FC236}">
              <a16:creationId xmlns="" xmlns:a16="http://schemas.microsoft.com/office/drawing/2014/main" id="{00000000-0008-0000-1600-00002FD54200}"/>
            </a:ext>
          </a:extLst>
        </xdr:cNvPr>
        <xdr:cNvSpPr>
          <a:spLocks noChangeShapeType="1"/>
        </xdr:cNvSpPr>
      </xdr:nvSpPr>
      <xdr:spPr bwMode="auto">
        <a:xfrm>
          <a:off x="29146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590550</xdr:colOff>
      <xdr:row>0</xdr:row>
      <xdr:rowOff>0</xdr:rowOff>
    </xdr:from>
    <xdr:to>
      <xdr:col>4</xdr:col>
      <xdr:colOff>590550</xdr:colOff>
      <xdr:row>0</xdr:row>
      <xdr:rowOff>0</xdr:rowOff>
    </xdr:to>
    <xdr:sp macro="" textlink="">
      <xdr:nvSpPr>
        <xdr:cNvPr id="4379952" name="Line 33">
          <a:extLst>
            <a:ext uri="{FF2B5EF4-FFF2-40B4-BE49-F238E27FC236}">
              <a16:creationId xmlns="" xmlns:a16="http://schemas.microsoft.com/office/drawing/2014/main" id="{00000000-0008-0000-1600-000030D54200}"/>
            </a:ext>
          </a:extLst>
        </xdr:cNvPr>
        <xdr:cNvSpPr>
          <a:spLocks noChangeShapeType="1"/>
        </xdr:cNvSpPr>
      </xdr:nvSpPr>
      <xdr:spPr bwMode="auto">
        <a:xfrm flipH="1">
          <a:off x="6238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79953" name="Line 34">
          <a:extLst>
            <a:ext uri="{FF2B5EF4-FFF2-40B4-BE49-F238E27FC236}">
              <a16:creationId xmlns="" xmlns:a16="http://schemas.microsoft.com/office/drawing/2014/main" id="{00000000-0008-0000-1600-000031D542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95250</xdr:colOff>
      <xdr:row>0</xdr:row>
      <xdr:rowOff>0</xdr:rowOff>
    </xdr:to>
    <xdr:grpSp>
      <xdr:nvGrpSpPr>
        <xdr:cNvPr id="4379954" name="Group 35">
          <a:extLst>
            <a:ext uri="{FF2B5EF4-FFF2-40B4-BE49-F238E27FC236}">
              <a16:creationId xmlns="" xmlns:a16="http://schemas.microsoft.com/office/drawing/2014/main" id="{00000000-0008-0000-1600-000032D54200}"/>
            </a:ext>
          </a:extLst>
        </xdr:cNvPr>
        <xdr:cNvGrpSpPr>
          <a:grpSpLocks/>
        </xdr:cNvGrpSpPr>
      </xdr:nvGrpSpPr>
      <xdr:grpSpPr bwMode="auto">
        <a:xfrm>
          <a:off x="9867900" y="0"/>
          <a:ext cx="5657850" cy="0"/>
          <a:chOff x="630" y="359"/>
          <a:chExt cx="361" cy="60"/>
        </a:xfrm>
      </xdr:grpSpPr>
      <xdr:sp macro="" textlink="">
        <xdr:nvSpPr>
          <xdr:cNvPr id="4380134" name="Line 36">
            <a:extLst>
              <a:ext uri="{FF2B5EF4-FFF2-40B4-BE49-F238E27FC236}">
                <a16:creationId xmlns="" xmlns:a16="http://schemas.microsoft.com/office/drawing/2014/main" id="{00000000-0008-0000-1600-0000E6D5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0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0135" name="Line 37">
            <a:extLst>
              <a:ext uri="{FF2B5EF4-FFF2-40B4-BE49-F238E27FC236}">
                <a16:creationId xmlns="" xmlns:a16="http://schemas.microsoft.com/office/drawing/2014/main" id="{00000000-0008-0000-1600-0000E7D5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91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0136" name="Line 38">
            <a:extLst>
              <a:ext uri="{FF2B5EF4-FFF2-40B4-BE49-F238E27FC236}">
                <a16:creationId xmlns="" xmlns:a16="http://schemas.microsoft.com/office/drawing/2014/main" id="{00000000-0008-0000-1600-0000E8D54200}"/>
              </a:ext>
            </a:extLst>
          </xdr:cNvPr>
          <xdr:cNvSpPr>
            <a:spLocks noChangeShapeType="1"/>
          </xdr:cNvSpPr>
        </xdr:nvSpPr>
        <xdr:spPr bwMode="auto">
          <a:xfrm>
            <a:off x="630" y="381"/>
            <a:ext cx="3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7</xdr:col>
      <xdr:colOff>590550</xdr:colOff>
      <xdr:row>0</xdr:row>
      <xdr:rowOff>0</xdr:rowOff>
    </xdr:to>
    <xdr:sp macro="" textlink="">
      <xdr:nvSpPr>
        <xdr:cNvPr id="4379955" name="Line 39">
          <a:extLst>
            <a:ext uri="{FF2B5EF4-FFF2-40B4-BE49-F238E27FC236}">
              <a16:creationId xmlns="" xmlns:a16="http://schemas.microsoft.com/office/drawing/2014/main" id="{00000000-0008-0000-1600-000033D542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10</xdr:col>
      <xdr:colOff>47625</xdr:colOff>
      <xdr:row>0</xdr:row>
      <xdr:rowOff>0</xdr:rowOff>
    </xdr:to>
    <xdr:sp macro="" textlink="">
      <xdr:nvSpPr>
        <xdr:cNvPr id="4379956" name="Line 40">
          <a:extLst>
            <a:ext uri="{FF2B5EF4-FFF2-40B4-BE49-F238E27FC236}">
              <a16:creationId xmlns="" xmlns:a16="http://schemas.microsoft.com/office/drawing/2014/main" id="{00000000-0008-0000-1600-000034D54200}"/>
            </a:ext>
          </a:extLst>
        </xdr:cNvPr>
        <xdr:cNvSpPr>
          <a:spLocks noChangeShapeType="1"/>
        </xdr:cNvSpPr>
      </xdr:nvSpPr>
      <xdr:spPr bwMode="auto">
        <a:xfrm flipV="1">
          <a:off x="9382125" y="0"/>
          <a:ext cx="1581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10</xdr:col>
      <xdr:colOff>914400</xdr:colOff>
      <xdr:row>0</xdr:row>
      <xdr:rowOff>0</xdr:rowOff>
    </xdr:to>
    <xdr:sp macro="" textlink="">
      <xdr:nvSpPr>
        <xdr:cNvPr id="4379957" name="Line 41">
          <a:extLst>
            <a:ext uri="{FF2B5EF4-FFF2-40B4-BE49-F238E27FC236}">
              <a16:creationId xmlns="" xmlns:a16="http://schemas.microsoft.com/office/drawing/2014/main" id="{00000000-0008-0000-1600-000035D542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1733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28575</xdr:colOff>
      <xdr:row>0</xdr:row>
      <xdr:rowOff>0</xdr:rowOff>
    </xdr:to>
    <xdr:sp macro="" textlink="">
      <xdr:nvSpPr>
        <xdr:cNvPr id="4379958" name="Line 42">
          <a:extLst>
            <a:ext uri="{FF2B5EF4-FFF2-40B4-BE49-F238E27FC236}">
              <a16:creationId xmlns="" xmlns:a16="http://schemas.microsoft.com/office/drawing/2014/main" id="{00000000-0008-0000-1600-000036D542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2076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552450</xdr:colOff>
      <xdr:row>0</xdr:row>
      <xdr:rowOff>0</xdr:rowOff>
    </xdr:from>
    <xdr:to>
      <xdr:col>13</xdr:col>
      <xdr:colOff>400050</xdr:colOff>
      <xdr:row>0</xdr:row>
      <xdr:rowOff>0</xdr:rowOff>
    </xdr:to>
    <xdr:sp macro="" textlink="">
      <xdr:nvSpPr>
        <xdr:cNvPr id="4379959" name="Line 43">
          <a:extLst>
            <a:ext uri="{FF2B5EF4-FFF2-40B4-BE49-F238E27FC236}">
              <a16:creationId xmlns="" xmlns:a16="http://schemas.microsoft.com/office/drawing/2014/main" id="{00000000-0008-0000-1600-000037D54200}"/>
            </a:ext>
          </a:extLst>
        </xdr:cNvPr>
        <xdr:cNvSpPr>
          <a:spLocks noChangeShapeType="1"/>
        </xdr:cNvSpPr>
      </xdr:nvSpPr>
      <xdr:spPr bwMode="auto">
        <a:xfrm flipH="1">
          <a:off x="980122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10</xdr:col>
      <xdr:colOff>57150</xdr:colOff>
      <xdr:row>0</xdr:row>
      <xdr:rowOff>0</xdr:rowOff>
    </xdr:to>
    <xdr:grpSp>
      <xdr:nvGrpSpPr>
        <xdr:cNvPr id="4379960" name="Group 44">
          <a:extLst>
            <a:ext uri="{FF2B5EF4-FFF2-40B4-BE49-F238E27FC236}">
              <a16:creationId xmlns="" xmlns:a16="http://schemas.microsoft.com/office/drawing/2014/main" id="{00000000-0008-0000-1600-000038D54200}"/>
            </a:ext>
          </a:extLst>
        </xdr:cNvPr>
        <xdr:cNvGrpSpPr>
          <a:grpSpLocks/>
        </xdr:cNvGrpSpPr>
      </xdr:nvGrpSpPr>
      <xdr:grpSpPr bwMode="auto">
        <a:xfrm>
          <a:off x="9906000" y="0"/>
          <a:ext cx="1123950" cy="0"/>
          <a:chOff x="554" y="439"/>
          <a:chExt cx="10" cy="76"/>
        </a:xfrm>
      </xdr:grpSpPr>
      <xdr:sp macro="" textlink="">
        <xdr:nvSpPr>
          <xdr:cNvPr id="4380132" name="Line 45">
            <a:extLst>
              <a:ext uri="{FF2B5EF4-FFF2-40B4-BE49-F238E27FC236}">
                <a16:creationId xmlns="" xmlns:a16="http://schemas.microsoft.com/office/drawing/2014/main" id="{00000000-0008-0000-1600-0000E4D54200}"/>
              </a:ext>
            </a:extLst>
          </xdr:cNvPr>
          <xdr:cNvSpPr>
            <a:spLocks noChangeShapeType="1"/>
          </xdr:cNvSpPr>
        </xdr:nvSpPr>
        <xdr:spPr bwMode="auto">
          <a:xfrm>
            <a:off x="558" y="439"/>
            <a:ext cx="0" cy="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0133" name="Line 46">
            <a:extLst>
              <a:ext uri="{FF2B5EF4-FFF2-40B4-BE49-F238E27FC236}">
                <a16:creationId xmlns="" xmlns:a16="http://schemas.microsoft.com/office/drawing/2014/main" id="{00000000-0008-0000-1600-0000E5D54200}"/>
              </a:ext>
            </a:extLst>
          </xdr:cNvPr>
          <xdr:cNvSpPr>
            <a:spLocks noChangeShapeType="1"/>
          </xdr:cNvSpPr>
        </xdr:nvSpPr>
        <xdr:spPr bwMode="auto">
          <a:xfrm>
            <a:off x="554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10</xdr:col>
      <xdr:colOff>628650</xdr:colOff>
      <xdr:row>0</xdr:row>
      <xdr:rowOff>0</xdr:rowOff>
    </xdr:from>
    <xdr:to>
      <xdr:col>11</xdr:col>
      <xdr:colOff>38100</xdr:colOff>
      <xdr:row>0</xdr:row>
      <xdr:rowOff>0</xdr:rowOff>
    </xdr:to>
    <xdr:grpSp>
      <xdr:nvGrpSpPr>
        <xdr:cNvPr id="4379961" name="Group 47">
          <a:extLst>
            <a:ext uri="{FF2B5EF4-FFF2-40B4-BE49-F238E27FC236}">
              <a16:creationId xmlns="" xmlns:a16="http://schemas.microsoft.com/office/drawing/2014/main" id="{00000000-0008-0000-1600-000039D54200}"/>
            </a:ext>
          </a:extLst>
        </xdr:cNvPr>
        <xdr:cNvGrpSpPr>
          <a:grpSpLocks/>
        </xdr:cNvGrpSpPr>
      </xdr:nvGrpSpPr>
      <xdr:grpSpPr bwMode="auto">
        <a:xfrm>
          <a:off x="11601450" y="0"/>
          <a:ext cx="76200" cy="0"/>
          <a:chOff x="680" y="439"/>
          <a:chExt cx="10" cy="98"/>
        </a:xfrm>
      </xdr:grpSpPr>
      <xdr:sp macro="" textlink="">
        <xdr:nvSpPr>
          <xdr:cNvPr id="4380130" name="Line 48">
            <a:extLst>
              <a:ext uri="{FF2B5EF4-FFF2-40B4-BE49-F238E27FC236}">
                <a16:creationId xmlns="" xmlns:a16="http://schemas.microsoft.com/office/drawing/2014/main" id="{00000000-0008-0000-1600-0000E2D54200}"/>
              </a:ext>
            </a:extLst>
          </xdr:cNvPr>
          <xdr:cNvSpPr>
            <a:spLocks noChangeShapeType="1"/>
          </xdr:cNvSpPr>
        </xdr:nvSpPr>
        <xdr:spPr bwMode="auto">
          <a:xfrm>
            <a:off x="685" y="439"/>
            <a:ext cx="0" cy="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0131" name="Line 49">
            <a:extLst>
              <a:ext uri="{FF2B5EF4-FFF2-40B4-BE49-F238E27FC236}">
                <a16:creationId xmlns="" xmlns:a16="http://schemas.microsoft.com/office/drawing/2014/main" id="{00000000-0008-0000-1600-0000E3D54200}"/>
              </a:ext>
            </a:extLst>
          </xdr:cNvPr>
          <xdr:cNvSpPr>
            <a:spLocks noChangeShapeType="1"/>
          </xdr:cNvSpPr>
        </xdr:nvSpPr>
        <xdr:spPr bwMode="auto">
          <a:xfrm>
            <a:off x="680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4379962" name="Group 50">
          <a:extLst>
            <a:ext uri="{FF2B5EF4-FFF2-40B4-BE49-F238E27FC236}">
              <a16:creationId xmlns="" xmlns:a16="http://schemas.microsoft.com/office/drawing/2014/main" id="{00000000-0008-0000-1600-00003AD54200}"/>
            </a:ext>
          </a:extLst>
        </xdr:cNvPr>
        <xdr:cNvGrpSpPr>
          <a:grpSpLocks/>
        </xdr:cNvGrpSpPr>
      </xdr:nvGrpSpPr>
      <xdr:grpSpPr bwMode="auto">
        <a:xfrm>
          <a:off x="11963400" y="0"/>
          <a:ext cx="142875" cy="0"/>
          <a:chOff x="759" y="438"/>
          <a:chExt cx="10" cy="121"/>
        </a:xfrm>
      </xdr:grpSpPr>
      <xdr:sp macro="" textlink="">
        <xdr:nvSpPr>
          <xdr:cNvPr id="4380128" name="Line 51">
            <a:extLst>
              <a:ext uri="{FF2B5EF4-FFF2-40B4-BE49-F238E27FC236}">
                <a16:creationId xmlns="" xmlns:a16="http://schemas.microsoft.com/office/drawing/2014/main" id="{00000000-0008-0000-1600-0000E0D542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0129" name="Line 52">
            <a:extLst>
              <a:ext uri="{FF2B5EF4-FFF2-40B4-BE49-F238E27FC236}">
                <a16:creationId xmlns="" xmlns:a16="http://schemas.microsoft.com/office/drawing/2014/main" id="{00000000-0008-0000-1600-0000E1D542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13</xdr:col>
      <xdr:colOff>76200</xdr:colOff>
      <xdr:row>0</xdr:row>
      <xdr:rowOff>0</xdr:rowOff>
    </xdr:from>
    <xdr:to>
      <xdr:col>13</xdr:col>
      <xdr:colOff>676275</xdr:colOff>
      <xdr:row>0</xdr:row>
      <xdr:rowOff>0</xdr:rowOff>
    </xdr:to>
    <xdr:grpSp>
      <xdr:nvGrpSpPr>
        <xdr:cNvPr id="4379963" name="Group 53">
          <a:extLst>
            <a:ext uri="{FF2B5EF4-FFF2-40B4-BE49-F238E27FC236}">
              <a16:creationId xmlns="" xmlns:a16="http://schemas.microsoft.com/office/drawing/2014/main" id="{00000000-0008-0000-1600-00003BD54200}"/>
            </a:ext>
          </a:extLst>
        </xdr:cNvPr>
        <xdr:cNvGrpSpPr>
          <a:grpSpLocks/>
        </xdr:cNvGrpSpPr>
      </xdr:nvGrpSpPr>
      <xdr:grpSpPr bwMode="auto">
        <a:xfrm>
          <a:off x="12287250" y="0"/>
          <a:ext cx="600075" cy="0"/>
          <a:chOff x="842" y="438"/>
          <a:chExt cx="10" cy="147"/>
        </a:xfrm>
      </xdr:grpSpPr>
      <xdr:sp macro="" textlink="">
        <xdr:nvSpPr>
          <xdr:cNvPr id="4380126" name="Line 54">
            <a:extLst>
              <a:ext uri="{FF2B5EF4-FFF2-40B4-BE49-F238E27FC236}">
                <a16:creationId xmlns="" xmlns:a16="http://schemas.microsoft.com/office/drawing/2014/main" id="{00000000-0008-0000-1600-0000DED542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0127" name="Line 55">
            <a:extLst>
              <a:ext uri="{FF2B5EF4-FFF2-40B4-BE49-F238E27FC236}">
                <a16:creationId xmlns="" xmlns:a16="http://schemas.microsoft.com/office/drawing/2014/main" id="{00000000-0008-0000-1600-0000DFD542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76200</xdr:colOff>
      <xdr:row>0</xdr:row>
      <xdr:rowOff>0</xdr:rowOff>
    </xdr:to>
    <xdr:sp macro="" textlink="">
      <xdr:nvSpPr>
        <xdr:cNvPr id="4379964" name="Rectangle 56">
          <a:extLst>
            <a:ext uri="{FF2B5EF4-FFF2-40B4-BE49-F238E27FC236}">
              <a16:creationId xmlns="" xmlns:a16="http://schemas.microsoft.com/office/drawing/2014/main" id="{00000000-0008-0000-1600-00003CD54200}"/>
            </a:ext>
          </a:extLst>
        </xdr:cNvPr>
        <xdr:cNvSpPr>
          <a:spLocks noChangeArrowheads="1"/>
        </xdr:cNvSpPr>
      </xdr:nvSpPr>
      <xdr:spPr bwMode="auto">
        <a:xfrm>
          <a:off x="9839325" y="0"/>
          <a:ext cx="55721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4379965" name="Line 57">
          <a:extLst>
            <a:ext uri="{FF2B5EF4-FFF2-40B4-BE49-F238E27FC236}">
              <a16:creationId xmlns="" xmlns:a16="http://schemas.microsoft.com/office/drawing/2014/main" id="{00000000-0008-0000-1600-00003DD54200}"/>
            </a:ext>
          </a:extLst>
        </xdr:cNvPr>
        <xdr:cNvSpPr>
          <a:spLocks noChangeShapeType="1"/>
        </xdr:cNvSpPr>
      </xdr:nvSpPr>
      <xdr:spPr bwMode="auto">
        <a:xfrm>
          <a:off x="153352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638175</xdr:colOff>
      <xdr:row>0</xdr:row>
      <xdr:rowOff>0</xdr:rowOff>
    </xdr:from>
    <xdr:to>
      <xdr:col>16</xdr:col>
      <xdr:colOff>47625</xdr:colOff>
      <xdr:row>0</xdr:row>
      <xdr:rowOff>0</xdr:rowOff>
    </xdr:to>
    <xdr:sp macro="" textlink="">
      <xdr:nvSpPr>
        <xdr:cNvPr id="4379966" name="Line 58">
          <a:extLst>
            <a:ext uri="{FF2B5EF4-FFF2-40B4-BE49-F238E27FC236}">
              <a16:creationId xmlns="" xmlns:a16="http://schemas.microsoft.com/office/drawing/2014/main" id="{00000000-0008-0000-1600-00003ED54200}"/>
            </a:ext>
          </a:extLst>
        </xdr:cNvPr>
        <xdr:cNvSpPr>
          <a:spLocks noChangeShapeType="1"/>
        </xdr:cNvSpPr>
      </xdr:nvSpPr>
      <xdr:spPr bwMode="auto">
        <a:xfrm>
          <a:off x="14887575" y="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15</xdr:col>
      <xdr:colOff>1181100</xdr:colOff>
      <xdr:row>0</xdr:row>
      <xdr:rowOff>0</xdr:rowOff>
    </xdr:to>
    <xdr:sp macro="" textlink="">
      <xdr:nvSpPr>
        <xdr:cNvPr id="4379967" name="Line 59">
          <a:extLst>
            <a:ext uri="{FF2B5EF4-FFF2-40B4-BE49-F238E27FC236}">
              <a16:creationId xmlns="" xmlns:a16="http://schemas.microsoft.com/office/drawing/2014/main" id="{00000000-0008-0000-1600-00003FD54200}"/>
            </a:ext>
          </a:extLst>
        </xdr:cNvPr>
        <xdr:cNvSpPr>
          <a:spLocks noChangeShapeType="1"/>
        </xdr:cNvSpPr>
      </xdr:nvSpPr>
      <xdr:spPr bwMode="auto">
        <a:xfrm flipV="1">
          <a:off x="9867900" y="0"/>
          <a:ext cx="546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666750</xdr:colOff>
      <xdr:row>0</xdr:row>
      <xdr:rowOff>0</xdr:rowOff>
    </xdr:from>
    <xdr:to>
      <xdr:col>14</xdr:col>
      <xdr:colOff>838200</xdr:colOff>
      <xdr:row>0</xdr:row>
      <xdr:rowOff>0</xdr:rowOff>
    </xdr:to>
    <xdr:grpSp>
      <xdr:nvGrpSpPr>
        <xdr:cNvPr id="4379968" name="Group 60">
          <a:extLst>
            <a:ext uri="{FF2B5EF4-FFF2-40B4-BE49-F238E27FC236}">
              <a16:creationId xmlns="" xmlns:a16="http://schemas.microsoft.com/office/drawing/2014/main" id="{00000000-0008-0000-1600-000040D54200}"/>
            </a:ext>
          </a:extLst>
        </xdr:cNvPr>
        <xdr:cNvGrpSpPr>
          <a:grpSpLocks/>
        </xdr:cNvGrpSpPr>
      </xdr:nvGrpSpPr>
      <xdr:grpSpPr bwMode="auto">
        <a:xfrm>
          <a:off x="14077950" y="0"/>
          <a:ext cx="171450" cy="0"/>
          <a:chOff x="912" y="438"/>
          <a:chExt cx="11" cy="175"/>
        </a:xfrm>
      </xdr:grpSpPr>
      <xdr:sp macro="" textlink="">
        <xdr:nvSpPr>
          <xdr:cNvPr id="4380124" name="Line 61">
            <a:extLst>
              <a:ext uri="{FF2B5EF4-FFF2-40B4-BE49-F238E27FC236}">
                <a16:creationId xmlns="" xmlns:a16="http://schemas.microsoft.com/office/drawing/2014/main" id="{00000000-0008-0000-1600-0000DCD542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0125" name="Line 62">
            <a:extLst>
              <a:ext uri="{FF2B5EF4-FFF2-40B4-BE49-F238E27FC236}">
                <a16:creationId xmlns="" xmlns:a16="http://schemas.microsoft.com/office/drawing/2014/main" id="{00000000-0008-0000-1600-0000DDD542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171450</xdr:colOff>
      <xdr:row>0</xdr:row>
      <xdr:rowOff>0</xdr:rowOff>
    </xdr:from>
    <xdr:to>
      <xdr:col>4</xdr:col>
      <xdr:colOff>542925</xdr:colOff>
      <xdr:row>0</xdr:row>
      <xdr:rowOff>0</xdr:rowOff>
    </xdr:to>
    <xdr:sp macro="" textlink="">
      <xdr:nvSpPr>
        <xdr:cNvPr id="4379969" name="Line 63">
          <a:extLst>
            <a:ext uri="{FF2B5EF4-FFF2-40B4-BE49-F238E27FC236}">
              <a16:creationId xmlns="" xmlns:a16="http://schemas.microsoft.com/office/drawing/2014/main" id="{00000000-0008-0000-1600-000041D54200}"/>
            </a:ext>
          </a:extLst>
        </xdr:cNvPr>
        <xdr:cNvSpPr>
          <a:spLocks noChangeShapeType="1"/>
        </xdr:cNvSpPr>
      </xdr:nvSpPr>
      <xdr:spPr bwMode="auto">
        <a:xfrm>
          <a:off x="2800350" y="0"/>
          <a:ext cx="3390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190500</xdr:colOff>
      <xdr:row>0</xdr:row>
      <xdr:rowOff>0</xdr:rowOff>
    </xdr:from>
    <xdr:to>
      <xdr:col>4</xdr:col>
      <xdr:colOff>571500</xdr:colOff>
      <xdr:row>0</xdr:row>
      <xdr:rowOff>0</xdr:rowOff>
    </xdr:to>
    <xdr:sp macro="" textlink="">
      <xdr:nvSpPr>
        <xdr:cNvPr id="4379970" name="Line 64">
          <a:extLst>
            <a:ext uri="{FF2B5EF4-FFF2-40B4-BE49-F238E27FC236}">
              <a16:creationId xmlns="" xmlns:a16="http://schemas.microsoft.com/office/drawing/2014/main" id="{00000000-0008-0000-1600-000042D54200}"/>
            </a:ext>
          </a:extLst>
        </xdr:cNvPr>
        <xdr:cNvSpPr>
          <a:spLocks noChangeShapeType="1"/>
        </xdr:cNvSpPr>
      </xdr:nvSpPr>
      <xdr:spPr bwMode="auto">
        <a:xfrm>
          <a:off x="2819400" y="0"/>
          <a:ext cx="3400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79971" name="Line 65">
          <a:extLst>
            <a:ext uri="{FF2B5EF4-FFF2-40B4-BE49-F238E27FC236}">
              <a16:creationId xmlns="" xmlns:a16="http://schemas.microsoft.com/office/drawing/2014/main" id="{00000000-0008-0000-1600-000043D542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876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4</xdr:col>
      <xdr:colOff>676275</xdr:colOff>
      <xdr:row>0</xdr:row>
      <xdr:rowOff>0</xdr:rowOff>
    </xdr:to>
    <xdr:sp macro="" textlink="">
      <xdr:nvSpPr>
        <xdr:cNvPr id="4379972" name="Line 66">
          <a:extLst>
            <a:ext uri="{FF2B5EF4-FFF2-40B4-BE49-F238E27FC236}">
              <a16:creationId xmlns="" xmlns:a16="http://schemas.microsoft.com/office/drawing/2014/main" id="{00000000-0008-0000-1600-000044D542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219075</xdr:colOff>
      <xdr:row>0</xdr:row>
      <xdr:rowOff>0</xdr:rowOff>
    </xdr:from>
    <xdr:to>
      <xdr:col>2</xdr:col>
      <xdr:colOff>219075</xdr:colOff>
      <xdr:row>0</xdr:row>
      <xdr:rowOff>0</xdr:rowOff>
    </xdr:to>
    <xdr:sp macro="" textlink="">
      <xdr:nvSpPr>
        <xdr:cNvPr id="4379973" name="Line 67">
          <a:extLst>
            <a:ext uri="{FF2B5EF4-FFF2-40B4-BE49-F238E27FC236}">
              <a16:creationId xmlns="" xmlns:a16="http://schemas.microsoft.com/office/drawing/2014/main" id="{00000000-0008-0000-1600-000045D54200}"/>
            </a:ext>
          </a:extLst>
        </xdr:cNvPr>
        <xdr:cNvSpPr>
          <a:spLocks noChangeShapeType="1"/>
        </xdr:cNvSpPr>
      </xdr:nvSpPr>
      <xdr:spPr bwMode="auto">
        <a:xfrm>
          <a:off x="28479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266700</xdr:colOff>
      <xdr:row>0</xdr:row>
      <xdr:rowOff>0</xdr:rowOff>
    </xdr:from>
    <xdr:to>
      <xdr:col>2</xdr:col>
      <xdr:colOff>266700</xdr:colOff>
      <xdr:row>0</xdr:row>
      <xdr:rowOff>0</xdr:rowOff>
    </xdr:to>
    <xdr:sp macro="" textlink="">
      <xdr:nvSpPr>
        <xdr:cNvPr id="4379974" name="Line 68">
          <a:extLst>
            <a:ext uri="{FF2B5EF4-FFF2-40B4-BE49-F238E27FC236}">
              <a16:creationId xmlns="" xmlns:a16="http://schemas.microsoft.com/office/drawing/2014/main" id="{00000000-0008-0000-1600-000046D54200}"/>
            </a:ext>
          </a:extLst>
        </xdr:cNvPr>
        <xdr:cNvSpPr>
          <a:spLocks noChangeShapeType="1"/>
        </xdr:cNvSpPr>
      </xdr:nvSpPr>
      <xdr:spPr bwMode="auto">
        <a:xfrm>
          <a:off x="2895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333375</xdr:colOff>
      <xdr:row>0</xdr:row>
      <xdr:rowOff>0</xdr:rowOff>
    </xdr:from>
    <xdr:to>
      <xdr:col>2</xdr:col>
      <xdr:colOff>333375</xdr:colOff>
      <xdr:row>0</xdr:row>
      <xdr:rowOff>0</xdr:rowOff>
    </xdr:to>
    <xdr:sp macro="" textlink="">
      <xdr:nvSpPr>
        <xdr:cNvPr id="4379975" name="Line 69">
          <a:extLst>
            <a:ext uri="{FF2B5EF4-FFF2-40B4-BE49-F238E27FC236}">
              <a16:creationId xmlns="" xmlns:a16="http://schemas.microsoft.com/office/drawing/2014/main" id="{00000000-0008-0000-1600-000047D54200}"/>
            </a:ext>
          </a:extLst>
        </xdr:cNvPr>
        <xdr:cNvSpPr>
          <a:spLocks noChangeShapeType="1"/>
        </xdr:cNvSpPr>
      </xdr:nvSpPr>
      <xdr:spPr bwMode="auto">
        <a:xfrm>
          <a:off x="29622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0</xdr:row>
      <xdr:rowOff>0</xdr:rowOff>
    </xdr:from>
    <xdr:to>
      <xdr:col>2</xdr:col>
      <xdr:colOff>390525</xdr:colOff>
      <xdr:row>0</xdr:row>
      <xdr:rowOff>0</xdr:rowOff>
    </xdr:to>
    <xdr:sp macro="" textlink="">
      <xdr:nvSpPr>
        <xdr:cNvPr id="4379976" name="Line 70">
          <a:extLst>
            <a:ext uri="{FF2B5EF4-FFF2-40B4-BE49-F238E27FC236}">
              <a16:creationId xmlns="" xmlns:a16="http://schemas.microsoft.com/office/drawing/2014/main" id="{00000000-0008-0000-1600-000048D54200}"/>
            </a:ext>
          </a:extLst>
        </xdr:cNvPr>
        <xdr:cNvSpPr>
          <a:spLocks noChangeShapeType="1"/>
        </xdr:cNvSpPr>
      </xdr:nvSpPr>
      <xdr:spPr bwMode="auto">
        <a:xfrm>
          <a:off x="3019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447675</xdr:colOff>
      <xdr:row>0</xdr:row>
      <xdr:rowOff>0</xdr:rowOff>
    </xdr:to>
    <xdr:sp macro="" textlink="">
      <xdr:nvSpPr>
        <xdr:cNvPr id="4379977" name="Line 71">
          <a:extLst>
            <a:ext uri="{FF2B5EF4-FFF2-40B4-BE49-F238E27FC236}">
              <a16:creationId xmlns="" xmlns:a16="http://schemas.microsoft.com/office/drawing/2014/main" id="{00000000-0008-0000-1600-000049D542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4379978" name="Line 72">
          <a:extLst>
            <a:ext uri="{FF2B5EF4-FFF2-40B4-BE49-F238E27FC236}">
              <a16:creationId xmlns="" xmlns:a16="http://schemas.microsoft.com/office/drawing/2014/main" id="{00000000-0008-0000-1600-00004AD5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314325</xdr:colOff>
      <xdr:row>0</xdr:row>
      <xdr:rowOff>0</xdr:rowOff>
    </xdr:to>
    <xdr:sp macro="" textlink="">
      <xdr:nvSpPr>
        <xdr:cNvPr id="4379979" name="Line 73">
          <a:extLst>
            <a:ext uri="{FF2B5EF4-FFF2-40B4-BE49-F238E27FC236}">
              <a16:creationId xmlns="" xmlns:a16="http://schemas.microsoft.com/office/drawing/2014/main" id="{00000000-0008-0000-1600-00004BD542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657225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79980" name="Line 74">
          <a:extLst>
            <a:ext uri="{FF2B5EF4-FFF2-40B4-BE49-F238E27FC236}">
              <a16:creationId xmlns="" xmlns:a16="http://schemas.microsoft.com/office/drawing/2014/main" id="{00000000-0008-0000-1600-00004CD542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266700</xdr:colOff>
      <xdr:row>0</xdr:row>
      <xdr:rowOff>0</xdr:rowOff>
    </xdr:from>
    <xdr:to>
      <xdr:col>11</xdr:col>
      <xdr:colOff>352425</xdr:colOff>
      <xdr:row>0</xdr:row>
      <xdr:rowOff>0</xdr:rowOff>
    </xdr:to>
    <xdr:sp macro="" textlink="">
      <xdr:nvSpPr>
        <xdr:cNvPr id="4379981" name="Text Box 75">
          <a:extLst>
            <a:ext uri="{FF2B5EF4-FFF2-40B4-BE49-F238E27FC236}">
              <a16:creationId xmlns="" xmlns:a16="http://schemas.microsoft.com/office/drawing/2014/main" id="{00000000-0008-0000-1600-00004DD54200}"/>
            </a:ext>
          </a:extLst>
        </xdr:cNvPr>
        <xdr:cNvSpPr txBox="1">
          <a:spLocks noChangeArrowheads="1"/>
        </xdr:cNvSpPr>
      </xdr:nvSpPr>
      <xdr:spPr bwMode="auto">
        <a:xfrm>
          <a:off x="11182350" y="0"/>
          <a:ext cx="7048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209550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4379982" name="Line 76">
          <a:extLst>
            <a:ext uri="{FF2B5EF4-FFF2-40B4-BE49-F238E27FC236}">
              <a16:creationId xmlns="" xmlns:a16="http://schemas.microsoft.com/office/drawing/2014/main" id="{00000000-0008-0000-1600-00004ED54200}"/>
            </a:ext>
          </a:extLst>
        </xdr:cNvPr>
        <xdr:cNvSpPr>
          <a:spLocks noChangeShapeType="1"/>
        </xdr:cNvSpPr>
      </xdr:nvSpPr>
      <xdr:spPr bwMode="auto">
        <a:xfrm flipV="1">
          <a:off x="7267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819150</xdr:colOff>
      <xdr:row>0</xdr:row>
      <xdr:rowOff>0</xdr:rowOff>
    </xdr:to>
    <xdr:sp macro="" textlink="">
      <xdr:nvSpPr>
        <xdr:cNvPr id="4379983" name="Line 77">
          <a:extLst>
            <a:ext uri="{FF2B5EF4-FFF2-40B4-BE49-F238E27FC236}">
              <a16:creationId xmlns="" xmlns:a16="http://schemas.microsoft.com/office/drawing/2014/main" id="{00000000-0008-0000-1600-00004FD54200}"/>
            </a:ext>
          </a:extLst>
        </xdr:cNvPr>
        <xdr:cNvSpPr>
          <a:spLocks noChangeShapeType="1"/>
        </xdr:cNvSpPr>
      </xdr:nvSpPr>
      <xdr:spPr bwMode="auto">
        <a:xfrm>
          <a:off x="7553325" y="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114300</xdr:colOff>
      <xdr:row>0</xdr:row>
      <xdr:rowOff>0</xdr:rowOff>
    </xdr:from>
    <xdr:to>
      <xdr:col>5</xdr:col>
      <xdr:colOff>323850</xdr:colOff>
      <xdr:row>0</xdr:row>
      <xdr:rowOff>0</xdr:rowOff>
    </xdr:to>
    <xdr:sp macro="" textlink="">
      <xdr:nvSpPr>
        <xdr:cNvPr id="4379984" name="Line 78">
          <a:extLst>
            <a:ext uri="{FF2B5EF4-FFF2-40B4-BE49-F238E27FC236}">
              <a16:creationId xmlns="" xmlns:a16="http://schemas.microsoft.com/office/drawing/2014/main" id="{00000000-0008-0000-1600-000050D54200}"/>
            </a:ext>
          </a:extLst>
        </xdr:cNvPr>
        <xdr:cNvSpPr>
          <a:spLocks noChangeShapeType="1"/>
        </xdr:cNvSpPr>
      </xdr:nvSpPr>
      <xdr:spPr bwMode="auto">
        <a:xfrm>
          <a:off x="7172325" y="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9985" name="Rectangle 79">
          <a:extLst>
            <a:ext uri="{FF2B5EF4-FFF2-40B4-BE49-F238E27FC236}">
              <a16:creationId xmlns="" xmlns:a16="http://schemas.microsoft.com/office/drawing/2014/main" id="{00000000-0008-0000-1600-000051D54200}"/>
            </a:ext>
          </a:extLst>
        </xdr:cNvPr>
        <xdr:cNvSpPr>
          <a:spLocks noChangeArrowheads="1"/>
        </xdr:cNvSpPr>
      </xdr:nvSpPr>
      <xdr:spPr bwMode="auto">
        <a:xfrm>
          <a:off x="16573500" y="0"/>
          <a:ext cx="325755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79986" name="Line 80">
          <a:extLst>
            <a:ext uri="{FF2B5EF4-FFF2-40B4-BE49-F238E27FC236}">
              <a16:creationId xmlns="" xmlns:a16="http://schemas.microsoft.com/office/drawing/2014/main" id="{00000000-0008-0000-1600-000052D54200}"/>
            </a:ext>
          </a:extLst>
        </xdr:cNvPr>
        <xdr:cNvSpPr>
          <a:spLocks noChangeShapeType="1"/>
        </xdr:cNvSpPr>
      </xdr:nvSpPr>
      <xdr:spPr bwMode="auto">
        <a:xfrm flipV="1">
          <a:off x="16725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9987" name="Line 81">
          <a:extLst>
            <a:ext uri="{FF2B5EF4-FFF2-40B4-BE49-F238E27FC236}">
              <a16:creationId xmlns="" xmlns:a16="http://schemas.microsoft.com/office/drawing/2014/main" id="{00000000-0008-0000-1600-000053D5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79988" name="Line 82">
          <a:extLst>
            <a:ext uri="{FF2B5EF4-FFF2-40B4-BE49-F238E27FC236}">
              <a16:creationId xmlns="" xmlns:a16="http://schemas.microsoft.com/office/drawing/2014/main" id="{00000000-0008-0000-1600-000054D54200}"/>
            </a:ext>
          </a:extLst>
        </xdr:cNvPr>
        <xdr:cNvSpPr>
          <a:spLocks noChangeShapeType="1"/>
        </xdr:cNvSpPr>
      </xdr:nvSpPr>
      <xdr:spPr bwMode="auto">
        <a:xfrm flipV="1">
          <a:off x="16725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9989" name="Line 83">
          <a:extLst>
            <a:ext uri="{FF2B5EF4-FFF2-40B4-BE49-F238E27FC236}">
              <a16:creationId xmlns="" xmlns:a16="http://schemas.microsoft.com/office/drawing/2014/main" id="{00000000-0008-0000-1600-000055D5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19050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9990" name="Line 84">
          <a:extLst>
            <a:ext uri="{FF2B5EF4-FFF2-40B4-BE49-F238E27FC236}">
              <a16:creationId xmlns="" xmlns:a16="http://schemas.microsoft.com/office/drawing/2014/main" id="{00000000-0008-0000-1600-000056D54200}"/>
            </a:ext>
          </a:extLst>
        </xdr:cNvPr>
        <xdr:cNvSpPr>
          <a:spLocks noChangeShapeType="1"/>
        </xdr:cNvSpPr>
      </xdr:nvSpPr>
      <xdr:spPr bwMode="auto">
        <a:xfrm>
          <a:off x="16744950" y="0"/>
          <a:ext cx="3086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609600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9991" name="Line 85">
          <a:extLst>
            <a:ext uri="{FF2B5EF4-FFF2-40B4-BE49-F238E27FC236}">
              <a16:creationId xmlns="" xmlns:a16="http://schemas.microsoft.com/office/drawing/2014/main" id="{00000000-0008-0000-1600-000057D54200}"/>
            </a:ext>
          </a:extLst>
        </xdr:cNvPr>
        <xdr:cNvSpPr>
          <a:spLocks noChangeShapeType="1"/>
        </xdr:cNvSpPr>
      </xdr:nvSpPr>
      <xdr:spPr bwMode="auto">
        <a:xfrm>
          <a:off x="16592550" y="0"/>
          <a:ext cx="3238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628650</xdr:colOff>
      <xdr:row>0</xdr:row>
      <xdr:rowOff>0</xdr:rowOff>
    </xdr:from>
    <xdr:to>
      <xdr:col>17</xdr:col>
      <xdr:colOff>628650</xdr:colOff>
      <xdr:row>0</xdr:row>
      <xdr:rowOff>0</xdr:rowOff>
    </xdr:to>
    <xdr:sp macro="" textlink="">
      <xdr:nvSpPr>
        <xdr:cNvPr id="4379992" name="Line 86">
          <a:extLst>
            <a:ext uri="{FF2B5EF4-FFF2-40B4-BE49-F238E27FC236}">
              <a16:creationId xmlns="" xmlns:a16="http://schemas.microsoft.com/office/drawing/2014/main" id="{00000000-0008-0000-1600-000058D54200}"/>
            </a:ext>
          </a:extLst>
        </xdr:cNvPr>
        <xdr:cNvSpPr>
          <a:spLocks noChangeShapeType="1"/>
        </xdr:cNvSpPr>
      </xdr:nvSpPr>
      <xdr:spPr bwMode="auto">
        <a:xfrm flipV="1">
          <a:off x="16611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9993" name="Line 87">
          <a:extLst>
            <a:ext uri="{FF2B5EF4-FFF2-40B4-BE49-F238E27FC236}">
              <a16:creationId xmlns="" xmlns:a16="http://schemas.microsoft.com/office/drawing/2014/main" id="{00000000-0008-0000-1600-000059D5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38100</xdr:colOff>
      <xdr:row>0</xdr:row>
      <xdr:rowOff>0</xdr:rowOff>
    </xdr:to>
    <xdr:sp macro="" textlink="">
      <xdr:nvSpPr>
        <xdr:cNvPr id="4379994" name="Rectangle 88">
          <a:extLst>
            <a:ext uri="{FF2B5EF4-FFF2-40B4-BE49-F238E27FC236}">
              <a16:creationId xmlns="" xmlns:a16="http://schemas.microsoft.com/office/drawing/2014/main" id="{00000000-0008-0000-1600-00005AD54200}"/>
            </a:ext>
          </a:extLst>
        </xdr:cNvPr>
        <xdr:cNvSpPr>
          <a:spLocks noChangeArrowheads="1"/>
        </xdr:cNvSpPr>
      </xdr:nvSpPr>
      <xdr:spPr bwMode="auto">
        <a:xfrm>
          <a:off x="19831050" y="0"/>
          <a:ext cx="14097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9995" name="Line 89">
          <a:extLst>
            <a:ext uri="{FF2B5EF4-FFF2-40B4-BE49-F238E27FC236}">
              <a16:creationId xmlns="" xmlns:a16="http://schemas.microsoft.com/office/drawing/2014/main" id="{00000000-0008-0000-1600-00005BD5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0</xdr:colOff>
      <xdr:row>0</xdr:row>
      <xdr:rowOff>0</xdr:rowOff>
    </xdr:to>
    <xdr:sp macro="" textlink="">
      <xdr:nvSpPr>
        <xdr:cNvPr id="4379996" name="Line 90">
          <a:extLst>
            <a:ext uri="{FF2B5EF4-FFF2-40B4-BE49-F238E27FC236}">
              <a16:creationId xmlns="" xmlns:a16="http://schemas.microsoft.com/office/drawing/2014/main" id="{00000000-0008-0000-1600-00005CD54200}"/>
            </a:ext>
          </a:extLst>
        </xdr:cNvPr>
        <xdr:cNvSpPr>
          <a:spLocks noChangeShapeType="1"/>
        </xdr:cNvSpPr>
      </xdr:nvSpPr>
      <xdr:spPr bwMode="auto">
        <a:xfrm>
          <a:off x="19831050" y="0"/>
          <a:ext cx="1371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24</xdr:col>
      <xdr:colOff>19050</xdr:colOff>
      <xdr:row>0</xdr:row>
      <xdr:rowOff>0</xdr:rowOff>
    </xdr:from>
    <xdr:to>
      <xdr:col>24</xdr:col>
      <xdr:colOff>19050</xdr:colOff>
      <xdr:row>0</xdr:row>
      <xdr:rowOff>0</xdr:rowOff>
    </xdr:to>
    <xdr:sp macro="" textlink="">
      <xdr:nvSpPr>
        <xdr:cNvPr id="4379997" name="Line 91">
          <a:extLst>
            <a:ext uri="{FF2B5EF4-FFF2-40B4-BE49-F238E27FC236}">
              <a16:creationId xmlns="" xmlns:a16="http://schemas.microsoft.com/office/drawing/2014/main" id="{00000000-0008-0000-1600-00005DD54200}"/>
            </a:ext>
          </a:extLst>
        </xdr:cNvPr>
        <xdr:cNvSpPr>
          <a:spLocks noChangeShapeType="1"/>
        </xdr:cNvSpPr>
      </xdr:nvSpPr>
      <xdr:spPr bwMode="auto">
        <a:xfrm>
          <a:off x="21221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400050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79998" name="Line 92">
          <a:extLst>
            <a:ext uri="{FF2B5EF4-FFF2-40B4-BE49-F238E27FC236}">
              <a16:creationId xmlns="" xmlns:a16="http://schemas.microsoft.com/office/drawing/2014/main" id="{00000000-0008-0000-1600-00005ED54200}"/>
            </a:ext>
          </a:extLst>
        </xdr:cNvPr>
        <xdr:cNvSpPr>
          <a:spLocks noChangeShapeType="1"/>
        </xdr:cNvSpPr>
      </xdr:nvSpPr>
      <xdr:spPr bwMode="auto">
        <a:xfrm flipH="1" flipV="1">
          <a:off x="13725525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14</xdr:col>
      <xdr:colOff>781050</xdr:colOff>
      <xdr:row>0</xdr:row>
      <xdr:rowOff>0</xdr:rowOff>
    </xdr:to>
    <xdr:sp macro="" textlink="">
      <xdr:nvSpPr>
        <xdr:cNvPr id="4379999" name="Line 93">
          <a:extLst>
            <a:ext uri="{FF2B5EF4-FFF2-40B4-BE49-F238E27FC236}">
              <a16:creationId xmlns="" xmlns:a16="http://schemas.microsoft.com/office/drawing/2014/main" id="{00000000-0008-0000-1600-00005FD54200}"/>
            </a:ext>
          </a:extLst>
        </xdr:cNvPr>
        <xdr:cNvSpPr>
          <a:spLocks noChangeShapeType="1"/>
        </xdr:cNvSpPr>
      </xdr:nvSpPr>
      <xdr:spPr bwMode="auto">
        <a:xfrm flipH="1">
          <a:off x="9867900" y="0"/>
          <a:ext cx="4238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4</xdr:col>
      <xdr:colOff>704850</xdr:colOff>
      <xdr:row>0</xdr:row>
      <xdr:rowOff>0</xdr:rowOff>
    </xdr:to>
    <xdr:sp macro="" textlink="">
      <xdr:nvSpPr>
        <xdr:cNvPr id="4380000" name="Line 94">
          <a:extLst>
            <a:ext uri="{FF2B5EF4-FFF2-40B4-BE49-F238E27FC236}">
              <a16:creationId xmlns="" xmlns:a16="http://schemas.microsoft.com/office/drawing/2014/main" id="{00000000-0008-0000-1600-000060D5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3571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80001" name="Line 95">
          <a:extLst>
            <a:ext uri="{FF2B5EF4-FFF2-40B4-BE49-F238E27FC236}">
              <a16:creationId xmlns="" xmlns:a16="http://schemas.microsoft.com/office/drawing/2014/main" id="{00000000-0008-0000-1600-000061D54200}"/>
            </a:ext>
          </a:extLst>
        </xdr:cNvPr>
        <xdr:cNvSpPr>
          <a:spLocks noChangeShapeType="1"/>
        </xdr:cNvSpPr>
      </xdr:nvSpPr>
      <xdr:spPr bwMode="auto">
        <a:xfrm>
          <a:off x="116681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247650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0002" name="Line 96">
          <a:extLst>
            <a:ext uri="{FF2B5EF4-FFF2-40B4-BE49-F238E27FC236}">
              <a16:creationId xmlns="" xmlns:a16="http://schemas.microsoft.com/office/drawing/2014/main" id="{00000000-0008-0000-1600-000062D5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1047750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0003" name="Line 97">
          <a:extLst>
            <a:ext uri="{FF2B5EF4-FFF2-40B4-BE49-F238E27FC236}">
              <a16:creationId xmlns="" xmlns:a16="http://schemas.microsoft.com/office/drawing/2014/main" id="{00000000-0008-0000-1600-000063D5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571500</xdr:colOff>
      <xdr:row>0</xdr:row>
      <xdr:rowOff>0</xdr:rowOff>
    </xdr:from>
    <xdr:to>
      <xdr:col>13</xdr:col>
      <xdr:colOff>571500</xdr:colOff>
      <xdr:row>0</xdr:row>
      <xdr:rowOff>0</xdr:rowOff>
    </xdr:to>
    <xdr:sp macro="" textlink="">
      <xdr:nvSpPr>
        <xdr:cNvPr id="4380004" name="Line 98">
          <a:extLst>
            <a:ext uri="{FF2B5EF4-FFF2-40B4-BE49-F238E27FC236}">
              <a16:creationId xmlns="" xmlns:a16="http://schemas.microsoft.com/office/drawing/2014/main" id="{00000000-0008-0000-1600-000064D54200}"/>
            </a:ext>
          </a:extLst>
        </xdr:cNvPr>
        <xdr:cNvSpPr>
          <a:spLocks noChangeShapeType="1"/>
        </xdr:cNvSpPr>
      </xdr:nvSpPr>
      <xdr:spPr bwMode="auto">
        <a:xfrm>
          <a:off x="12706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14</xdr:col>
      <xdr:colOff>457200</xdr:colOff>
      <xdr:row>0</xdr:row>
      <xdr:rowOff>0</xdr:rowOff>
    </xdr:to>
    <xdr:sp macro="" textlink="">
      <xdr:nvSpPr>
        <xdr:cNvPr id="4380005" name="Line 99">
          <a:extLst>
            <a:ext uri="{FF2B5EF4-FFF2-40B4-BE49-F238E27FC236}">
              <a16:creationId xmlns="" xmlns:a16="http://schemas.microsoft.com/office/drawing/2014/main" id="{00000000-0008-0000-1600-000065D54200}"/>
            </a:ext>
          </a:extLst>
        </xdr:cNvPr>
        <xdr:cNvSpPr>
          <a:spLocks noChangeShapeType="1"/>
        </xdr:cNvSpPr>
      </xdr:nvSpPr>
      <xdr:spPr bwMode="auto">
        <a:xfrm>
          <a:off x="137826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323850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80006" name="Line 100">
          <a:extLst>
            <a:ext uri="{FF2B5EF4-FFF2-40B4-BE49-F238E27FC236}">
              <a16:creationId xmlns="" xmlns:a16="http://schemas.microsoft.com/office/drawing/2014/main" id="{00000000-0008-0000-1600-000066D54200}"/>
            </a:ext>
          </a:extLst>
        </xdr:cNvPr>
        <xdr:cNvSpPr>
          <a:spLocks noChangeShapeType="1"/>
        </xdr:cNvSpPr>
      </xdr:nvSpPr>
      <xdr:spPr bwMode="auto">
        <a:xfrm flipH="1">
          <a:off x="9572625" y="0"/>
          <a:ext cx="2095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15</xdr:col>
      <xdr:colOff>161925</xdr:colOff>
      <xdr:row>0</xdr:row>
      <xdr:rowOff>0</xdr:rowOff>
    </xdr:to>
    <xdr:sp macro="" textlink="">
      <xdr:nvSpPr>
        <xdr:cNvPr id="4380007" name="Line 101">
          <a:extLst>
            <a:ext uri="{FF2B5EF4-FFF2-40B4-BE49-F238E27FC236}">
              <a16:creationId xmlns="" xmlns:a16="http://schemas.microsoft.com/office/drawing/2014/main" id="{00000000-0008-0000-1600-000067D54200}"/>
            </a:ext>
          </a:extLst>
        </xdr:cNvPr>
        <xdr:cNvSpPr>
          <a:spLocks noChangeShapeType="1"/>
        </xdr:cNvSpPr>
      </xdr:nvSpPr>
      <xdr:spPr bwMode="auto">
        <a:xfrm>
          <a:off x="13782675" y="0"/>
          <a:ext cx="628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80008" name="Line 102">
          <a:extLst>
            <a:ext uri="{FF2B5EF4-FFF2-40B4-BE49-F238E27FC236}">
              <a16:creationId xmlns="" xmlns:a16="http://schemas.microsoft.com/office/drawing/2014/main" id="{00000000-0008-0000-1600-000068D54200}"/>
            </a:ext>
          </a:extLst>
        </xdr:cNvPr>
        <xdr:cNvSpPr>
          <a:spLocks noChangeShapeType="1"/>
        </xdr:cNvSpPr>
      </xdr:nvSpPr>
      <xdr:spPr bwMode="auto">
        <a:xfrm flipV="1">
          <a:off x="12744450" y="0"/>
          <a:ext cx="165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1066800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80009" name="Line 103">
          <a:extLst>
            <a:ext uri="{FF2B5EF4-FFF2-40B4-BE49-F238E27FC236}">
              <a16:creationId xmlns="" xmlns:a16="http://schemas.microsoft.com/office/drawing/2014/main" id="{00000000-0008-0000-1600-000069D5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266700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80010" name="Line 104">
          <a:extLst>
            <a:ext uri="{FF2B5EF4-FFF2-40B4-BE49-F238E27FC236}">
              <a16:creationId xmlns="" xmlns:a16="http://schemas.microsoft.com/office/drawing/2014/main" id="{00000000-0008-0000-1600-00006AD5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80011" name="Line 105">
          <a:extLst>
            <a:ext uri="{FF2B5EF4-FFF2-40B4-BE49-F238E27FC236}">
              <a16:creationId xmlns="" xmlns:a16="http://schemas.microsoft.com/office/drawing/2014/main" id="{00000000-0008-0000-1600-00006BD54200}"/>
            </a:ext>
          </a:extLst>
        </xdr:cNvPr>
        <xdr:cNvSpPr>
          <a:spLocks noChangeShapeType="1"/>
        </xdr:cNvSpPr>
      </xdr:nvSpPr>
      <xdr:spPr bwMode="auto">
        <a:xfrm>
          <a:off x="1166812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495300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0012" name="Line 106">
          <a:extLst>
            <a:ext uri="{FF2B5EF4-FFF2-40B4-BE49-F238E27FC236}">
              <a16:creationId xmlns="" xmlns:a16="http://schemas.microsoft.com/office/drawing/2014/main" id="{00000000-0008-0000-1600-00006CD54200}"/>
            </a:ext>
          </a:extLst>
        </xdr:cNvPr>
        <xdr:cNvSpPr>
          <a:spLocks noChangeShapeType="1"/>
        </xdr:cNvSpPr>
      </xdr:nvSpPr>
      <xdr:spPr bwMode="auto">
        <a:xfrm flipH="1">
          <a:off x="9744075" y="0"/>
          <a:ext cx="2390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1028700</xdr:colOff>
      <xdr:row>0</xdr:row>
      <xdr:rowOff>0</xdr:rowOff>
    </xdr:to>
    <xdr:sp macro="" textlink="">
      <xdr:nvSpPr>
        <xdr:cNvPr id="4380013" name="Line 107">
          <a:extLst>
            <a:ext uri="{FF2B5EF4-FFF2-40B4-BE49-F238E27FC236}">
              <a16:creationId xmlns="" xmlns:a16="http://schemas.microsoft.com/office/drawing/2014/main" id="{00000000-0008-0000-1600-00006DD54200}"/>
            </a:ext>
          </a:extLst>
        </xdr:cNvPr>
        <xdr:cNvSpPr>
          <a:spLocks noChangeShapeType="1"/>
        </xdr:cNvSpPr>
      </xdr:nvSpPr>
      <xdr:spPr bwMode="auto">
        <a:xfrm flipH="1">
          <a:off x="9839325" y="0"/>
          <a:ext cx="2295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171450</xdr:colOff>
      <xdr:row>0</xdr:row>
      <xdr:rowOff>0</xdr:rowOff>
    </xdr:from>
    <xdr:to>
      <xdr:col>13</xdr:col>
      <xdr:colOff>552450</xdr:colOff>
      <xdr:row>0</xdr:row>
      <xdr:rowOff>0</xdr:rowOff>
    </xdr:to>
    <xdr:sp macro="" textlink="">
      <xdr:nvSpPr>
        <xdr:cNvPr id="4380014" name="Line 108">
          <a:extLst>
            <a:ext uri="{FF2B5EF4-FFF2-40B4-BE49-F238E27FC236}">
              <a16:creationId xmlns="" xmlns:a16="http://schemas.microsoft.com/office/drawing/2014/main" id="{00000000-0008-0000-1600-00006ED54200}"/>
            </a:ext>
          </a:extLst>
        </xdr:cNvPr>
        <xdr:cNvSpPr>
          <a:spLocks noChangeShapeType="1"/>
        </xdr:cNvSpPr>
      </xdr:nvSpPr>
      <xdr:spPr bwMode="auto">
        <a:xfrm flipH="1">
          <a:off x="11087100" y="0"/>
          <a:ext cx="1600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457200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80015" name="Line 109">
          <a:extLst>
            <a:ext uri="{FF2B5EF4-FFF2-40B4-BE49-F238E27FC236}">
              <a16:creationId xmlns="" xmlns:a16="http://schemas.microsoft.com/office/drawing/2014/main" id="{00000000-0008-0000-1600-00006FD54200}"/>
            </a:ext>
          </a:extLst>
        </xdr:cNvPr>
        <xdr:cNvSpPr>
          <a:spLocks noChangeShapeType="1"/>
        </xdr:cNvSpPr>
      </xdr:nvSpPr>
      <xdr:spPr bwMode="auto">
        <a:xfrm flipH="1">
          <a:off x="11372850" y="0"/>
          <a:ext cx="2371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1104900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80016" name="Line 110">
          <a:extLst>
            <a:ext uri="{FF2B5EF4-FFF2-40B4-BE49-F238E27FC236}">
              <a16:creationId xmlns="" xmlns:a16="http://schemas.microsoft.com/office/drawing/2014/main" id="{00000000-0008-0000-1600-000070D54200}"/>
            </a:ext>
          </a:extLst>
        </xdr:cNvPr>
        <xdr:cNvSpPr>
          <a:spLocks noChangeShapeType="1"/>
        </xdr:cNvSpPr>
      </xdr:nvSpPr>
      <xdr:spPr bwMode="auto">
        <a:xfrm>
          <a:off x="1157287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1085850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80017" name="Line 111">
          <a:extLst>
            <a:ext uri="{FF2B5EF4-FFF2-40B4-BE49-F238E27FC236}">
              <a16:creationId xmlns="" xmlns:a16="http://schemas.microsoft.com/office/drawing/2014/main" id="{00000000-0008-0000-1600-000071D54200}"/>
            </a:ext>
          </a:extLst>
        </xdr:cNvPr>
        <xdr:cNvSpPr>
          <a:spLocks noChangeShapeType="1"/>
        </xdr:cNvSpPr>
      </xdr:nvSpPr>
      <xdr:spPr bwMode="auto">
        <a:xfrm>
          <a:off x="1157287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123825</xdr:colOff>
      <xdr:row>0</xdr:row>
      <xdr:rowOff>0</xdr:rowOff>
    </xdr:from>
    <xdr:to>
      <xdr:col>21</xdr:col>
      <xdr:colOff>438150</xdr:colOff>
      <xdr:row>0</xdr:row>
      <xdr:rowOff>0</xdr:rowOff>
    </xdr:to>
    <xdr:sp macro="" textlink="">
      <xdr:nvSpPr>
        <xdr:cNvPr id="113" name="Text Box 112">
          <a:extLst>
            <a:ext uri="{FF2B5EF4-FFF2-40B4-BE49-F238E27FC236}">
              <a16:creationId xmlns="" xmlns:a16="http://schemas.microsoft.com/office/drawing/2014/main" id="{00000000-0008-0000-1600-000071000000}"/>
            </a:ext>
          </a:extLst>
        </xdr:cNvPr>
        <xdr:cNvSpPr txBox="1">
          <a:spLocks noChangeArrowheads="1"/>
        </xdr:cNvSpPr>
      </xdr:nvSpPr>
      <xdr:spPr bwMode="auto">
        <a:xfrm>
          <a:off x="19516725" y="0"/>
          <a:ext cx="3143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1°</a:t>
          </a:r>
        </a:p>
      </xdr:txBody>
    </xdr:sp>
    <xdr:clientData/>
  </xdr:twoCellAnchor>
  <xdr:twoCellAnchor>
    <xdr:from>
      <xdr:col>19</xdr:col>
      <xdr:colOff>1285875</xdr:colOff>
      <xdr:row>0</xdr:row>
      <xdr:rowOff>0</xdr:rowOff>
    </xdr:from>
    <xdr:to>
      <xdr:col>21</xdr:col>
      <xdr:colOff>333375</xdr:colOff>
      <xdr:row>0</xdr:row>
      <xdr:rowOff>0</xdr:rowOff>
    </xdr:to>
    <xdr:sp macro="" textlink="">
      <xdr:nvSpPr>
        <xdr:cNvPr id="114" name="Text Box 113">
          <a:extLst>
            <a:ext uri="{FF2B5EF4-FFF2-40B4-BE49-F238E27FC236}">
              <a16:creationId xmlns="" xmlns:a16="http://schemas.microsoft.com/office/drawing/2014/main" id="{00000000-0008-0000-1600-000072000000}"/>
            </a:ext>
          </a:extLst>
        </xdr:cNvPr>
        <xdr:cNvSpPr txBox="1">
          <a:spLocks noChangeArrowheads="1"/>
        </xdr:cNvSpPr>
      </xdr:nvSpPr>
      <xdr:spPr bwMode="auto">
        <a:xfrm>
          <a:off x="18630900" y="0"/>
          <a:ext cx="10953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3°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5" name="Text Box 114">
          <a:extLst>
            <a:ext uri="{FF2B5EF4-FFF2-40B4-BE49-F238E27FC236}">
              <a16:creationId xmlns="" xmlns:a16="http://schemas.microsoft.com/office/drawing/2014/main" id="{00000000-0008-0000-1600-000073000000}"/>
            </a:ext>
          </a:extLst>
        </xdr:cNvPr>
        <xdr:cNvSpPr txBox="1">
          <a:spLocks noChangeArrowheads="1"/>
        </xdr:cNvSpPr>
      </xdr:nvSpPr>
      <xdr:spPr bwMode="auto">
        <a:xfrm>
          <a:off x="19945350" y="0"/>
          <a:ext cx="5715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21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6" name="Text Box 115">
          <a:extLst>
            <a:ext uri="{FF2B5EF4-FFF2-40B4-BE49-F238E27FC236}">
              <a16:creationId xmlns="" xmlns:a16="http://schemas.microsoft.com/office/drawing/2014/main" id="{00000000-0008-0000-1600-000074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257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19</xdr:col>
      <xdr:colOff>819150</xdr:colOff>
      <xdr:row>0</xdr:row>
      <xdr:rowOff>0</xdr:rowOff>
    </xdr:from>
    <xdr:to>
      <xdr:col>19</xdr:col>
      <xdr:colOff>1000125</xdr:colOff>
      <xdr:row>0</xdr:row>
      <xdr:rowOff>0</xdr:rowOff>
    </xdr:to>
    <xdr:sp macro="" textlink="">
      <xdr:nvSpPr>
        <xdr:cNvPr id="117" name="Text Box 116">
          <a:extLst>
            <a:ext uri="{FF2B5EF4-FFF2-40B4-BE49-F238E27FC236}">
              <a16:creationId xmlns="" xmlns:a16="http://schemas.microsoft.com/office/drawing/2014/main" id="{00000000-0008-0000-1600-000075000000}"/>
            </a:ext>
          </a:extLst>
        </xdr:cNvPr>
        <xdr:cNvSpPr txBox="1">
          <a:spLocks noChangeArrowheads="1"/>
        </xdr:cNvSpPr>
      </xdr:nvSpPr>
      <xdr:spPr bwMode="auto">
        <a:xfrm>
          <a:off x="18183225" y="0"/>
          <a:ext cx="1809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5°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8" name="Text Box 117">
          <a:extLst>
            <a:ext uri="{FF2B5EF4-FFF2-40B4-BE49-F238E27FC236}">
              <a16:creationId xmlns="" xmlns:a16="http://schemas.microsoft.com/office/drawing/2014/main" id="{00000000-0008-0000-1600-000076000000}"/>
            </a:ext>
          </a:extLst>
        </xdr:cNvPr>
        <xdr:cNvSpPr txBox="1">
          <a:spLocks noChangeArrowheads="1"/>
        </xdr:cNvSpPr>
      </xdr:nvSpPr>
      <xdr:spPr bwMode="auto">
        <a:xfrm>
          <a:off x="20440650" y="0"/>
          <a:ext cx="5334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6°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1" i="0" strike="noStrike">
              <a:solidFill>
                <a:srgbClr val="000000"/>
              </a:solidFill>
              <a:latin typeface="Times New Roman"/>
              <a:cs typeface="Times New Roman"/>
            </a:rPr>
            <a:t>6</a:t>
          </a:r>
        </a:p>
      </xdr:txBody>
    </xdr:sp>
    <xdr:clientData/>
  </xdr:twoCellAnchor>
  <xdr:twoCellAnchor>
    <xdr:from>
      <xdr:col>14</xdr:col>
      <xdr:colOff>266700</xdr:colOff>
      <xdr:row>15</xdr:row>
      <xdr:rowOff>38100</xdr:rowOff>
    </xdr:from>
    <xdr:to>
      <xdr:col>15</xdr:col>
      <xdr:colOff>352425</xdr:colOff>
      <xdr:row>16</xdr:row>
      <xdr:rowOff>161925</xdr:rowOff>
    </xdr:to>
    <xdr:sp macro="" textlink="">
      <xdr:nvSpPr>
        <xdr:cNvPr id="4380024" name="Text Box 118">
          <a:extLst>
            <a:ext uri="{FF2B5EF4-FFF2-40B4-BE49-F238E27FC236}">
              <a16:creationId xmlns="" xmlns:a16="http://schemas.microsoft.com/office/drawing/2014/main" id="{00000000-0008-0000-1600-000078D54200}"/>
            </a:ext>
          </a:extLst>
        </xdr:cNvPr>
        <xdr:cNvSpPr txBox="1">
          <a:spLocks noChangeArrowheads="1"/>
        </xdr:cNvSpPr>
      </xdr:nvSpPr>
      <xdr:spPr bwMode="auto">
        <a:xfrm>
          <a:off x="13592175" y="5638800"/>
          <a:ext cx="1009650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19</xdr:col>
      <xdr:colOff>990600</xdr:colOff>
      <xdr:row>37</xdr:row>
      <xdr:rowOff>0</xdr:rowOff>
    </xdr:from>
    <xdr:to>
      <xdr:col>19</xdr:col>
      <xdr:colOff>990600</xdr:colOff>
      <xdr:row>37</xdr:row>
      <xdr:rowOff>0</xdr:rowOff>
    </xdr:to>
    <xdr:sp macro="" textlink="">
      <xdr:nvSpPr>
        <xdr:cNvPr id="4380025" name="Line 119">
          <a:extLst>
            <a:ext uri="{FF2B5EF4-FFF2-40B4-BE49-F238E27FC236}">
              <a16:creationId xmlns="" xmlns:a16="http://schemas.microsoft.com/office/drawing/2014/main" id="{00000000-0008-0000-1600-000079D54200}"/>
            </a:ext>
          </a:extLst>
        </xdr:cNvPr>
        <xdr:cNvSpPr>
          <a:spLocks noChangeShapeType="1"/>
        </xdr:cNvSpPr>
      </xdr:nvSpPr>
      <xdr:spPr bwMode="auto">
        <a:xfrm>
          <a:off x="18354675" y="13363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oneCell">
    <xdr:from>
      <xdr:col>2</xdr:col>
      <xdr:colOff>190500</xdr:colOff>
      <xdr:row>15</xdr:row>
      <xdr:rowOff>142875</xdr:rowOff>
    </xdr:from>
    <xdr:to>
      <xdr:col>4</xdr:col>
      <xdr:colOff>161925</xdr:colOff>
      <xdr:row>19</xdr:row>
      <xdr:rowOff>66675</xdr:rowOff>
    </xdr:to>
    <xdr:grpSp>
      <xdr:nvGrpSpPr>
        <xdr:cNvPr id="4380026" name="Group 120">
          <a:extLst>
            <a:ext uri="{FF2B5EF4-FFF2-40B4-BE49-F238E27FC236}">
              <a16:creationId xmlns="" xmlns:a16="http://schemas.microsoft.com/office/drawing/2014/main" id="{00000000-0008-0000-1600-00007AD54200}"/>
            </a:ext>
          </a:extLst>
        </xdr:cNvPr>
        <xdr:cNvGrpSpPr>
          <a:grpSpLocks/>
        </xdr:cNvGrpSpPr>
      </xdr:nvGrpSpPr>
      <xdr:grpSpPr bwMode="auto">
        <a:xfrm>
          <a:off x="2819400" y="5857875"/>
          <a:ext cx="3000375" cy="1333500"/>
          <a:chOff x="358" y="540"/>
          <a:chExt cx="293" cy="139"/>
        </a:xfrm>
      </xdr:grpSpPr>
      <xdr:sp macro="" textlink="">
        <xdr:nvSpPr>
          <xdr:cNvPr id="4380065" name="Line 121">
            <a:extLst>
              <a:ext uri="{FF2B5EF4-FFF2-40B4-BE49-F238E27FC236}">
                <a16:creationId xmlns="" xmlns:a16="http://schemas.microsoft.com/office/drawing/2014/main" id="{00000000-0008-0000-1600-0000A1D542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80066" name="Group 122">
            <a:extLst>
              <a:ext uri="{FF2B5EF4-FFF2-40B4-BE49-F238E27FC236}">
                <a16:creationId xmlns="" xmlns:a16="http://schemas.microsoft.com/office/drawing/2014/main" id="{00000000-0008-0000-1600-0000A2D542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380122" name="Line 123">
              <a:extLst>
                <a:ext uri="{FF2B5EF4-FFF2-40B4-BE49-F238E27FC236}">
                  <a16:creationId xmlns="" xmlns:a16="http://schemas.microsoft.com/office/drawing/2014/main" id="{00000000-0008-0000-1600-0000DAD5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80123" name="Line 124">
              <a:extLst>
                <a:ext uri="{FF2B5EF4-FFF2-40B4-BE49-F238E27FC236}">
                  <a16:creationId xmlns="" xmlns:a16="http://schemas.microsoft.com/office/drawing/2014/main" id="{00000000-0008-0000-1600-0000DBD5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80067" name="Line 125">
            <a:extLst>
              <a:ext uri="{FF2B5EF4-FFF2-40B4-BE49-F238E27FC236}">
                <a16:creationId xmlns="" xmlns:a16="http://schemas.microsoft.com/office/drawing/2014/main" id="{00000000-0008-0000-1600-0000A3D5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0068" name="Line 126">
            <a:extLst>
              <a:ext uri="{FF2B5EF4-FFF2-40B4-BE49-F238E27FC236}">
                <a16:creationId xmlns="" xmlns:a16="http://schemas.microsoft.com/office/drawing/2014/main" id="{00000000-0008-0000-1600-0000A4D5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0069" name="Line 127">
            <a:extLst>
              <a:ext uri="{FF2B5EF4-FFF2-40B4-BE49-F238E27FC236}">
                <a16:creationId xmlns="" xmlns:a16="http://schemas.microsoft.com/office/drawing/2014/main" id="{00000000-0008-0000-1600-0000A5D5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0070" name="Line 128">
            <a:extLst>
              <a:ext uri="{FF2B5EF4-FFF2-40B4-BE49-F238E27FC236}">
                <a16:creationId xmlns="" xmlns:a16="http://schemas.microsoft.com/office/drawing/2014/main" id="{00000000-0008-0000-1600-0000A6D542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0071" name="Line 129">
            <a:extLst>
              <a:ext uri="{FF2B5EF4-FFF2-40B4-BE49-F238E27FC236}">
                <a16:creationId xmlns="" xmlns:a16="http://schemas.microsoft.com/office/drawing/2014/main" id="{00000000-0008-0000-1600-0000A7D542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80072" name="Group 130">
            <a:extLst>
              <a:ext uri="{FF2B5EF4-FFF2-40B4-BE49-F238E27FC236}">
                <a16:creationId xmlns="" xmlns:a16="http://schemas.microsoft.com/office/drawing/2014/main" id="{00000000-0008-0000-1600-0000A8D542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380116" name="Line 131">
              <a:extLst>
                <a:ext uri="{FF2B5EF4-FFF2-40B4-BE49-F238E27FC236}">
                  <a16:creationId xmlns="" xmlns:a16="http://schemas.microsoft.com/office/drawing/2014/main" id="{00000000-0008-0000-1600-0000D4D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0117" name="Group 132">
              <a:extLst>
                <a:ext uri="{FF2B5EF4-FFF2-40B4-BE49-F238E27FC236}">
                  <a16:creationId xmlns="" xmlns:a16="http://schemas.microsoft.com/office/drawing/2014/main" id="{00000000-0008-0000-1600-0000D5D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0118" name="Line 133">
                <a:extLst>
                  <a:ext uri="{FF2B5EF4-FFF2-40B4-BE49-F238E27FC236}">
                    <a16:creationId xmlns="" xmlns:a16="http://schemas.microsoft.com/office/drawing/2014/main" id="{00000000-0008-0000-1600-0000D6D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0119" name="Group 134">
                <a:extLst>
                  <a:ext uri="{FF2B5EF4-FFF2-40B4-BE49-F238E27FC236}">
                    <a16:creationId xmlns="" xmlns:a16="http://schemas.microsoft.com/office/drawing/2014/main" id="{00000000-0008-0000-1600-0000D7D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0120" name="Line 135">
                  <a:extLst>
                    <a:ext uri="{FF2B5EF4-FFF2-40B4-BE49-F238E27FC236}">
                      <a16:creationId xmlns="" xmlns:a16="http://schemas.microsoft.com/office/drawing/2014/main" id="{00000000-0008-0000-1600-0000D8D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0121" name="Line 136">
                  <a:extLst>
                    <a:ext uri="{FF2B5EF4-FFF2-40B4-BE49-F238E27FC236}">
                      <a16:creationId xmlns="" xmlns:a16="http://schemas.microsoft.com/office/drawing/2014/main" id="{00000000-0008-0000-1600-0000D9D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0073" name="Group 137">
            <a:extLst>
              <a:ext uri="{FF2B5EF4-FFF2-40B4-BE49-F238E27FC236}">
                <a16:creationId xmlns="" xmlns:a16="http://schemas.microsoft.com/office/drawing/2014/main" id="{00000000-0008-0000-1600-0000A9D542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380110" name="Line 138">
              <a:extLst>
                <a:ext uri="{FF2B5EF4-FFF2-40B4-BE49-F238E27FC236}">
                  <a16:creationId xmlns="" xmlns:a16="http://schemas.microsoft.com/office/drawing/2014/main" id="{00000000-0008-0000-1600-0000CED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0111" name="Group 139">
              <a:extLst>
                <a:ext uri="{FF2B5EF4-FFF2-40B4-BE49-F238E27FC236}">
                  <a16:creationId xmlns="" xmlns:a16="http://schemas.microsoft.com/office/drawing/2014/main" id="{00000000-0008-0000-1600-0000CFD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0112" name="Line 140">
                <a:extLst>
                  <a:ext uri="{FF2B5EF4-FFF2-40B4-BE49-F238E27FC236}">
                    <a16:creationId xmlns="" xmlns:a16="http://schemas.microsoft.com/office/drawing/2014/main" id="{00000000-0008-0000-1600-0000D0D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0113" name="Group 141">
                <a:extLst>
                  <a:ext uri="{FF2B5EF4-FFF2-40B4-BE49-F238E27FC236}">
                    <a16:creationId xmlns="" xmlns:a16="http://schemas.microsoft.com/office/drawing/2014/main" id="{00000000-0008-0000-1600-0000D1D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0114" name="Line 142">
                  <a:extLst>
                    <a:ext uri="{FF2B5EF4-FFF2-40B4-BE49-F238E27FC236}">
                      <a16:creationId xmlns="" xmlns:a16="http://schemas.microsoft.com/office/drawing/2014/main" id="{00000000-0008-0000-1600-0000D2D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0115" name="Line 143">
                  <a:extLst>
                    <a:ext uri="{FF2B5EF4-FFF2-40B4-BE49-F238E27FC236}">
                      <a16:creationId xmlns="" xmlns:a16="http://schemas.microsoft.com/office/drawing/2014/main" id="{00000000-0008-0000-1600-0000D3D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0074" name="Group 144">
            <a:extLst>
              <a:ext uri="{FF2B5EF4-FFF2-40B4-BE49-F238E27FC236}">
                <a16:creationId xmlns="" xmlns:a16="http://schemas.microsoft.com/office/drawing/2014/main" id="{00000000-0008-0000-1600-0000AAD542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380104" name="Line 145">
              <a:extLst>
                <a:ext uri="{FF2B5EF4-FFF2-40B4-BE49-F238E27FC236}">
                  <a16:creationId xmlns="" xmlns:a16="http://schemas.microsoft.com/office/drawing/2014/main" id="{00000000-0008-0000-1600-0000C8D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0105" name="Group 146">
              <a:extLst>
                <a:ext uri="{FF2B5EF4-FFF2-40B4-BE49-F238E27FC236}">
                  <a16:creationId xmlns="" xmlns:a16="http://schemas.microsoft.com/office/drawing/2014/main" id="{00000000-0008-0000-1600-0000C9D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0106" name="Line 147">
                <a:extLst>
                  <a:ext uri="{FF2B5EF4-FFF2-40B4-BE49-F238E27FC236}">
                    <a16:creationId xmlns="" xmlns:a16="http://schemas.microsoft.com/office/drawing/2014/main" id="{00000000-0008-0000-1600-0000CAD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0107" name="Group 148">
                <a:extLst>
                  <a:ext uri="{FF2B5EF4-FFF2-40B4-BE49-F238E27FC236}">
                    <a16:creationId xmlns="" xmlns:a16="http://schemas.microsoft.com/office/drawing/2014/main" id="{00000000-0008-0000-1600-0000CBD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0108" name="Line 149">
                  <a:extLst>
                    <a:ext uri="{FF2B5EF4-FFF2-40B4-BE49-F238E27FC236}">
                      <a16:creationId xmlns="" xmlns:a16="http://schemas.microsoft.com/office/drawing/2014/main" id="{00000000-0008-0000-1600-0000CCD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0109" name="Line 150">
                  <a:extLst>
                    <a:ext uri="{FF2B5EF4-FFF2-40B4-BE49-F238E27FC236}">
                      <a16:creationId xmlns="" xmlns:a16="http://schemas.microsoft.com/office/drawing/2014/main" id="{00000000-0008-0000-1600-0000CDD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0075" name="Group 151">
            <a:extLst>
              <a:ext uri="{FF2B5EF4-FFF2-40B4-BE49-F238E27FC236}">
                <a16:creationId xmlns="" xmlns:a16="http://schemas.microsoft.com/office/drawing/2014/main" id="{00000000-0008-0000-1600-0000ABD542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380098" name="Line 152">
              <a:extLst>
                <a:ext uri="{FF2B5EF4-FFF2-40B4-BE49-F238E27FC236}">
                  <a16:creationId xmlns="" xmlns:a16="http://schemas.microsoft.com/office/drawing/2014/main" id="{00000000-0008-0000-1600-0000C2D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0099" name="Group 153">
              <a:extLst>
                <a:ext uri="{FF2B5EF4-FFF2-40B4-BE49-F238E27FC236}">
                  <a16:creationId xmlns="" xmlns:a16="http://schemas.microsoft.com/office/drawing/2014/main" id="{00000000-0008-0000-1600-0000C3D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0100" name="Line 154">
                <a:extLst>
                  <a:ext uri="{FF2B5EF4-FFF2-40B4-BE49-F238E27FC236}">
                    <a16:creationId xmlns="" xmlns:a16="http://schemas.microsoft.com/office/drawing/2014/main" id="{00000000-0008-0000-1600-0000C4D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0101" name="Group 155">
                <a:extLst>
                  <a:ext uri="{FF2B5EF4-FFF2-40B4-BE49-F238E27FC236}">
                    <a16:creationId xmlns="" xmlns:a16="http://schemas.microsoft.com/office/drawing/2014/main" id="{00000000-0008-0000-1600-0000C5D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0102" name="Line 156">
                  <a:extLst>
                    <a:ext uri="{FF2B5EF4-FFF2-40B4-BE49-F238E27FC236}">
                      <a16:creationId xmlns="" xmlns:a16="http://schemas.microsoft.com/office/drawing/2014/main" id="{00000000-0008-0000-1600-0000C6D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0103" name="Line 157">
                  <a:extLst>
                    <a:ext uri="{FF2B5EF4-FFF2-40B4-BE49-F238E27FC236}">
                      <a16:creationId xmlns="" xmlns:a16="http://schemas.microsoft.com/office/drawing/2014/main" id="{00000000-0008-0000-1600-0000C7D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0076" name="Group 158">
            <a:extLst>
              <a:ext uri="{FF2B5EF4-FFF2-40B4-BE49-F238E27FC236}">
                <a16:creationId xmlns="" xmlns:a16="http://schemas.microsoft.com/office/drawing/2014/main" id="{00000000-0008-0000-1600-0000ACD542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380092" name="Line 159">
              <a:extLst>
                <a:ext uri="{FF2B5EF4-FFF2-40B4-BE49-F238E27FC236}">
                  <a16:creationId xmlns="" xmlns:a16="http://schemas.microsoft.com/office/drawing/2014/main" id="{00000000-0008-0000-1600-0000BCD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0093" name="Group 160">
              <a:extLst>
                <a:ext uri="{FF2B5EF4-FFF2-40B4-BE49-F238E27FC236}">
                  <a16:creationId xmlns="" xmlns:a16="http://schemas.microsoft.com/office/drawing/2014/main" id="{00000000-0008-0000-1600-0000BDD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0094" name="Line 161">
                <a:extLst>
                  <a:ext uri="{FF2B5EF4-FFF2-40B4-BE49-F238E27FC236}">
                    <a16:creationId xmlns="" xmlns:a16="http://schemas.microsoft.com/office/drawing/2014/main" id="{00000000-0008-0000-1600-0000BED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0095" name="Group 162">
                <a:extLst>
                  <a:ext uri="{FF2B5EF4-FFF2-40B4-BE49-F238E27FC236}">
                    <a16:creationId xmlns="" xmlns:a16="http://schemas.microsoft.com/office/drawing/2014/main" id="{00000000-0008-0000-1600-0000BFD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0096" name="Line 163">
                  <a:extLst>
                    <a:ext uri="{FF2B5EF4-FFF2-40B4-BE49-F238E27FC236}">
                      <a16:creationId xmlns="" xmlns:a16="http://schemas.microsoft.com/office/drawing/2014/main" id="{00000000-0008-0000-1600-0000C0D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0097" name="Line 164">
                  <a:extLst>
                    <a:ext uri="{FF2B5EF4-FFF2-40B4-BE49-F238E27FC236}">
                      <a16:creationId xmlns="" xmlns:a16="http://schemas.microsoft.com/office/drawing/2014/main" id="{00000000-0008-0000-1600-0000C1D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0077" name="Group 165">
            <a:extLst>
              <a:ext uri="{FF2B5EF4-FFF2-40B4-BE49-F238E27FC236}">
                <a16:creationId xmlns="" xmlns:a16="http://schemas.microsoft.com/office/drawing/2014/main" id="{00000000-0008-0000-1600-0000ADD542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380086" name="Line 166">
              <a:extLst>
                <a:ext uri="{FF2B5EF4-FFF2-40B4-BE49-F238E27FC236}">
                  <a16:creationId xmlns="" xmlns:a16="http://schemas.microsoft.com/office/drawing/2014/main" id="{00000000-0008-0000-1600-0000B6D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0087" name="Group 167">
              <a:extLst>
                <a:ext uri="{FF2B5EF4-FFF2-40B4-BE49-F238E27FC236}">
                  <a16:creationId xmlns="" xmlns:a16="http://schemas.microsoft.com/office/drawing/2014/main" id="{00000000-0008-0000-1600-0000B7D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0088" name="Line 168">
                <a:extLst>
                  <a:ext uri="{FF2B5EF4-FFF2-40B4-BE49-F238E27FC236}">
                    <a16:creationId xmlns="" xmlns:a16="http://schemas.microsoft.com/office/drawing/2014/main" id="{00000000-0008-0000-1600-0000B8D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0089" name="Group 169">
                <a:extLst>
                  <a:ext uri="{FF2B5EF4-FFF2-40B4-BE49-F238E27FC236}">
                    <a16:creationId xmlns="" xmlns:a16="http://schemas.microsoft.com/office/drawing/2014/main" id="{00000000-0008-0000-1600-0000B9D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0090" name="Line 170">
                  <a:extLst>
                    <a:ext uri="{FF2B5EF4-FFF2-40B4-BE49-F238E27FC236}">
                      <a16:creationId xmlns="" xmlns:a16="http://schemas.microsoft.com/office/drawing/2014/main" id="{00000000-0008-0000-1600-0000BAD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0091" name="Line 171">
                  <a:extLst>
                    <a:ext uri="{FF2B5EF4-FFF2-40B4-BE49-F238E27FC236}">
                      <a16:creationId xmlns="" xmlns:a16="http://schemas.microsoft.com/office/drawing/2014/main" id="{00000000-0008-0000-1600-0000BBD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0078" name="Group 172">
            <a:extLst>
              <a:ext uri="{FF2B5EF4-FFF2-40B4-BE49-F238E27FC236}">
                <a16:creationId xmlns="" xmlns:a16="http://schemas.microsoft.com/office/drawing/2014/main" id="{00000000-0008-0000-1600-0000AED542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380080" name="Line 173">
              <a:extLst>
                <a:ext uri="{FF2B5EF4-FFF2-40B4-BE49-F238E27FC236}">
                  <a16:creationId xmlns="" xmlns:a16="http://schemas.microsoft.com/office/drawing/2014/main" id="{00000000-0008-0000-1600-0000B0D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0081" name="Group 174">
              <a:extLst>
                <a:ext uri="{FF2B5EF4-FFF2-40B4-BE49-F238E27FC236}">
                  <a16:creationId xmlns="" xmlns:a16="http://schemas.microsoft.com/office/drawing/2014/main" id="{00000000-0008-0000-1600-0000B1D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0082" name="Line 175">
                <a:extLst>
                  <a:ext uri="{FF2B5EF4-FFF2-40B4-BE49-F238E27FC236}">
                    <a16:creationId xmlns="" xmlns:a16="http://schemas.microsoft.com/office/drawing/2014/main" id="{00000000-0008-0000-1600-0000B2D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0083" name="Group 176">
                <a:extLst>
                  <a:ext uri="{FF2B5EF4-FFF2-40B4-BE49-F238E27FC236}">
                    <a16:creationId xmlns="" xmlns:a16="http://schemas.microsoft.com/office/drawing/2014/main" id="{00000000-0008-0000-1600-0000B3D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0084" name="Line 177">
                  <a:extLst>
                    <a:ext uri="{FF2B5EF4-FFF2-40B4-BE49-F238E27FC236}">
                      <a16:creationId xmlns="" xmlns:a16="http://schemas.microsoft.com/office/drawing/2014/main" id="{00000000-0008-0000-1600-0000B4D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0085" name="Line 178">
                  <a:extLst>
                    <a:ext uri="{FF2B5EF4-FFF2-40B4-BE49-F238E27FC236}">
                      <a16:creationId xmlns="" xmlns:a16="http://schemas.microsoft.com/office/drawing/2014/main" id="{00000000-0008-0000-1600-0000B5D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80079" name="Line 179">
            <a:extLst>
              <a:ext uri="{FF2B5EF4-FFF2-40B4-BE49-F238E27FC236}">
                <a16:creationId xmlns="" xmlns:a16="http://schemas.microsoft.com/office/drawing/2014/main" id="{00000000-0008-0000-1600-0000AFD542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-3562350</xdr:colOff>
      <xdr:row>23</xdr:row>
      <xdr:rowOff>57150</xdr:rowOff>
    </xdr:from>
    <xdr:to>
      <xdr:col>0</xdr:col>
      <xdr:colOff>-3467100</xdr:colOff>
      <xdr:row>30</xdr:row>
      <xdr:rowOff>57150</xdr:rowOff>
    </xdr:to>
    <xdr:grpSp>
      <xdr:nvGrpSpPr>
        <xdr:cNvPr id="4380027" name="Group 193">
          <a:extLst>
            <a:ext uri="{FF2B5EF4-FFF2-40B4-BE49-F238E27FC236}">
              <a16:creationId xmlns="" xmlns:a16="http://schemas.microsoft.com/office/drawing/2014/main" id="{00000000-0008-0000-1600-00007BD54200}"/>
            </a:ext>
          </a:extLst>
        </xdr:cNvPr>
        <xdr:cNvGrpSpPr>
          <a:grpSpLocks/>
        </xdr:cNvGrpSpPr>
      </xdr:nvGrpSpPr>
      <xdr:grpSpPr bwMode="auto">
        <a:xfrm>
          <a:off x="-3562350" y="8153400"/>
          <a:ext cx="95250" cy="2343150"/>
          <a:chOff x="842" y="438"/>
          <a:chExt cx="10" cy="147"/>
        </a:xfrm>
      </xdr:grpSpPr>
      <xdr:sp macro="" textlink="">
        <xdr:nvSpPr>
          <xdr:cNvPr id="4380063" name="Line 194">
            <a:extLst>
              <a:ext uri="{FF2B5EF4-FFF2-40B4-BE49-F238E27FC236}">
                <a16:creationId xmlns="" xmlns:a16="http://schemas.microsoft.com/office/drawing/2014/main" id="{00000000-0008-0000-1600-00009FD542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0064" name="Line 195">
            <a:extLst>
              <a:ext uri="{FF2B5EF4-FFF2-40B4-BE49-F238E27FC236}">
                <a16:creationId xmlns="" xmlns:a16="http://schemas.microsoft.com/office/drawing/2014/main" id="{00000000-0008-0000-1600-0000A0D542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0</xdr:row>
      <xdr:rowOff>133350</xdr:rowOff>
    </xdr:from>
    <xdr:to>
      <xdr:col>21</xdr:col>
      <xdr:colOff>1314450</xdr:colOff>
      <xdr:row>2</xdr:row>
      <xdr:rowOff>28575</xdr:rowOff>
    </xdr:to>
    <xdr:sp macro="" textlink="">
      <xdr:nvSpPr>
        <xdr:cNvPr id="4329140" name="Rectangle 250">
          <a:extLst>
            <a:ext uri="{FF2B5EF4-FFF2-40B4-BE49-F238E27FC236}">
              <a16:creationId xmlns="" xmlns:a16="http://schemas.microsoft.com/office/drawing/2014/main" id="{00000000-0008-0000-1600-0000B40E4200}"/>
            </a:ext>
          </a:extLst>
        </xdr:cNvPr>
        <xdr:cNvSpPr>
          <a:spLocks noChangeArrowheads="1"/>
        </xdr:cNvSpPr>
      </xdr:nvSpPr>
      <xdr:spPr bwMode="auto">
        <a:xfrm>
          <a:off x="2324100" y="133350"/>
          <a:ext cx="17506950" cy="5524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  <xdr:txBody>
        <a:bodyPr/>
        <a:lstStyle/>
        <a:p>
          <a:endParaRPr lang="it-IT"/>
        </a:p>
      </xdr:txBody>
    </xdr:sp>
    <xdr:clientData/>
  </xdr:twoCellAnchor>
  <xdr:twoCellAnchor>
    <xdr:from>
      <xdr:col>19</xdr:col>
      <xdr:colOff>990600</xdr:colOff>
      <xdr:row>36</xdr:row>
      <xdr:rowOff>0</xdr:rowOff>
    </xdr:from>
    <xdr:to>
      <xdr:col>19</xdr:col>
      <xdr:colOff>990600</xdr:colOff>
      <xdr:row>36</xdr:row>
      <xdr:rowOff>0</xdr:rowOff>
    </xdr:to>
    <xdr:sp macro="" textlink="">
      <xdr:nvSpPr>
        <xdr:cNvPr id="4380029" name="Line 251">
          <a:extLst>
            <a:ext uri="{FF2B5EF4-FFF2-40B4-BE49-F238E27FC236}">
              <a16:creationId xmlns="" xmlns:a16="http://schemas.microsoft.com/office/drawing/2014/main" id="{00000000-0008-0000-1600-00007DD54200}"/>
            </a:ext>
          </a:extLst>
        </xdr:cNvPr>
        <xdr:cNvSpPr>
          <a:spLocks noChangeShapeType="1"/>
        </xdr:cNvSpPr>
      </xdr:nvSpPr>
      <xdr:spPr bwMode="auto">
        <a:xfrm>
          <a:off x="18354675" y="129063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285750</xdr:colOff>
      <xdr:row>23</xdr:row>
      <xdr:rowOff>0</xdr:rowOff>
    </xdr:from>
    <xdr:to>
      <xdr:col>11</xdr:col>
      <xdr:colOff>47625</xdr:colOff>
      <xdr:row>34</xdr:row>
      <xdr:rowOff>0</xdr:rowOff>
    </xdr:to>
    <xdr:grpSp>
      <xdr:nvGrpSpPr>
        <xdr:cNvPr id="4380030" name="Gruppo 255">
          <a:extLst>
            <a:ext uri="{FF2B5EF4-FFF2-40B4-BE49-F238E27FC236}">
              <a16:creationId xmlns="" xmlns:a16="http://schemas.microsoft.com/office/drawing/2014/main" id="{00000000-0008-0000-1600-00007ED54200}"/>
            </a:ext>
          </a:extLst>
        </xdr:cNvPr>
        <xdr:cNvGrpSpPr>
          <a:grpSpLocks/>
        </xdr:cNvGrpSpPr>
      </xdr:nvGrpSpPr>
      <xdr:grpSpPr bwMode="auto">
        <a:xfrm>
          <a:off x="2609850" y="8096250"/>
          <a:ext cx="9077325" cy="4171950"/>
          <a:chOff x="2612571" y="8191500"/>
          <a:chExt cx="9041947" cy="4204607"/>
        </a:xfrm>
      </xdr:grpSpPr>
      <xdr:sp macro="" textlink="">
        <xdr:nvSpPr>
          <xdr:cNvPr id="4380032" name="Line 181">
            <a:extLst>
              <a:ext uri="{FF2B5EF4-FFF2-40B4-BE49-F238E27FC236}">
                <a16:creationId xmlns="" xmlns:a16="http://schemas.microsoft.com/office/drawing/2014/main" id="{00000000-0008-0000-1600-000080D5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622129" y="9317219"/>
            <a:ext cx="688182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0033" name="Line 182">
            <a:extLst>
              <a:ext uri="{FF2B5EF4-FFF2-40B4-BE49-F238E27FC236}">
                <a16:creationId xmlns="" xmlns:a16="http://schemas.microsoft.com/office/drawing/2014/main" id="{00000000-0008-0000-1600-000081D54200}"/>
              </a:ext>
            </a:extLst>
          </xdr:cNvPr>
          <xdr:cNvSpPr>
            <a:spLocks noChangeShapeType="1"/>
          </xdr:cNvSpPr>
        </xdr:nvSpPr>
        <xdr:spPr bwMode="auto">
          <a:xfrm>
            <a:off x="2622129" y="8614847"/>
            <a:ext cx="0" cy="378126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0034" name="Line 183">
            <a:extLst>
              <a:ext uri="{FF2B5EF4-FFF2-40B4-BE49-F238E27FC236}">
                <a16:creationId xmlns="" xmlns:a16="http://schemas.microsoft.com/office/drawing/2014/main" id="{00000000-0008-0000-1600-000082D54200}"/>
              </a:ext>
            </a:extLst>
          </xdr:cNvPr>
          <xdr:cNvSpPr>
            <a:spLocks noChangeShapeType="1"/>
          </xdr:cNvSpPr>
        </xdr:nvSpPr>
        <xdr:spPr bwMode="auto">
          <a:xfrm>
            <a:off x="2631687" y="9730944"/>
            <a:ext cx="194984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0035" name="Line 184">
            <a:extLst>
              <a:ext uri="{FF2B5EF4-FFF2-40B4-BE49-F238E27FC236}">
                <a16:creationId xmlns="" xmlns:a16="http://schemas.microsoft.com/office/drawing/2014/main" id="{00000000-0008-0000-1600-000083D54200}"/>
              </a:ext>
            </a:extLst>
          </xdr:cNvPr>
          <xdr:cNvSpPr>
            <a:spLocks noChangeShapeType="1"/>
          </xdr:cNvSpPr>
        </xdr:nvSpPr>
        <xdr:spPr bwMode="auto">
          <a:xfrm>
            <a:off x="2622129" y="10202399"/>
            <a:ext cx="319240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0036" name="Line 185">
            <a:extLst>
              <a:ext uri="{FF2B5EF4-FFF2-40B4-BE49-F238E27FC236}">
                <a16:creationId xmlns="" xmlns:a16="http://schemas.microsoft.com/office/drawing/2014/main" id="{00000000-0008-0000-1600-000084D5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31687" y="10606503"/>
            <a:ext cx="4377602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0037" name="Line 186">
            <a:extLst>
              <a:ext uri="{FF2B5EF4-FFF2-40B4-BE49-F238E27FC236}">
                <a16:creationId xmlns="" xmlns:a16="http://schemas.microsoft.com/office/drawing/2014/main" id="{00000000-0008-0000-1600-000085D54200}"/>
              </a:ext>
            </a:extLst>
          </xdr:cNvPr>
          <xdr:cNvSpPr>
            <a:spLocks noChangeShapeType="1"/>
          </xdr:cNvSpPr>
        </xdr:nvSpPr>
        <xdr:spPr bwMode="auto">
          <a:xfrm>
            <a:off x="3310311" y="8239608"/>
            <a:ext cx="0" cy="1193069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0038" name="Line 187">
            <a:extLst>
              <a:ext uri="{FF2B5EF4-FFF2-40B4-BE49-F238E27FC236}">
                <a16:creationId xmlns="" xmlns:a16="http://schemas.microsoft.com/office/drawing/2014/main" id="{00000000-0008-0000-1600-000086D54200}"/>
              </a:ext>
            </a:extLst>
          </xdr:cNvPr>
          <xdr:cNvSpPr>
            <a:spLocks noChangeShapeType="1"/>
          </xdr:cNvSpPr>
        </xdr:nvSpPr>
        <xdr:spPr bwMode="auto">
          <a:xfrm>
            <a:off x="2660361" y="8306958"/>
            <a:ext cx="59260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0039" name="Line 188">
            <a:extLst>
              <a:ext uri="{FF2B5EF4-FFF2-40B4-BE49-F238E27FC236}">
                <a16:creationId xmlns="" xmlns:a16="http://schemas.microsoft.com/office/drawing/2014/main" id="{00000000-0008-0000-1600-000087D54200}"/>
              </a:ext>
            </a:extLst>
          </xdr:cNvPr>
          <xdr:cNvSpPr>
            <a:spLocks noChangeShapeType="1"/>
          </xdr:cNvSpPr>
        </xdr:nvSpPr>
        <xdr:spPr bwMode="auto">
          <a:xfrm>
            <a:off x="4581536" y="8229986"/>
            <a:ext cx="0" cy="1549066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0040" name="Line 189">
            <a:extLst>
              <a:ext uri="{FF2B5EF4-FFF2-40B4-BE49-F238E27FC236}">
                <a16:creationId xmlns="" xmlns:a16="http://schemas.microsoft.com/office/drawing/2014/main" id="{00000000-0008-0000-1600-000088D54200}"/>
              </a:ext>
            </a:extLst>
          </xdr:cNvPr>
          <xdr:cNvSpPr>
            <a:spLocks noChangeShapeType="1"/>
          </xdr:cNvSpPr>
        </xdr:nvSpPr>
        <xdr:spPr bwMode="auto">
          <a:xfrm>
            <a:off x="3769099" y="8316580"/>
            <a:ext cx="1271225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grpSp>
        <xdr:nvGrpSpPr>
          <xdr:cNvPr id="4380041" name="Group 190">
            <a:extLst>
              <a:ext uri="{FF2B5EF4-FFF2-40B4-BE49-F238E27FC236}">
                <a16:creationId xmlns="" xmlns:a16="http://schemas.microsoft.com/office/drawing/2014/main" id="{00000000-0008-0000-1600-000089D54200}"/>
              </a:ext>
            </a:extLst>
          </xdr:cNvPr>
          <xdr:cNvGrpSpPr>
            <a:grpSpLocks/>
          </xdr:cNvGrpSpPr>
        </xdr:nvGrpSpPr>
        <xdr:grpSpPr bwMode="auto">
          <a:xfrm>
            <a:off x="5687786" y="8239608"/>
            <a:ext cx="229114" cy="2169856"/>
            <a:chOff x="759" y="438"/>
            <a:chExt cx="10" cy="121"/>
          </a:xfrm>
        </xdr:grpSpPr>
        <xdr:sp macro="" textlink="">
          <xdr:nvSpPr>
            <xdr:cNvPr id="4380061" name="Line 191">
              <a:extLst>
                <a:ext uri="{FF2B5EF4-FFF2-40B4-BE49-F238E27FC236}">
                  <a16:creationId xmlns="" xmlns:a16="http://schemas.microsoft.com/office/drawing/2014/main" id="{00000000-0008-0000-1600-00009DD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64" y="438"/>
              <a:ext cx="0" cy="121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80062" name="Line 192">
              <a:extLst>
                <a:ext uri="{FF2B5EF4-FFF2-40B4-BE49-F238E27FC236}">
                  <a16:creationId xmlns="" xmlns:a16="http://schemas.microsoft.com/office/drawing/2014/main" id="{00000000-0008-0000-1600-00009ED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59" y="443"/>
              <a:ext cx="10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sp macro="" textlink="">
        <xdr:nvSpPr>
          <xdr:cNvPr id="4380042" name="Rectangle 196">
            <a:extLst>
              <a:ext uri="{FF2B5EF4-FFF2-40B4-BE49-F238E27FC236}">
                <a16:creationId xmlns="" xmlns:a16="http://schemas.microsoft.com/office/drawing/2014/main" id="{00000000-0008-0000-1600-00008AD54200}"/>
              </a:ext>
            </a:extLst>
          </xdr:cNvPr>
          <xdr:cNvSpPr>
            <a:spLocks noChangeArrowheads="1"/>
          </xdr:cNvSpPr>
        </xdr:nvSpPr>
        <xdr:spPr bwMode="auto">
          <a:xfrm>
            <a:off x="2622129" y="8191500"/>
            <a:ext cx="9032389" cy="375240"/>
          </a:xfrm>
          <a:prstGeom prst="rect">
            <a:avLst/>
          </a:prstGeom>
          <a:noFill/>
          <a:ln w="158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80043" name="Line 197">
            <a:extLst>
              <a:ext uri="{FF2B5EF4-FFF2-40B4-BE49-F238E27FC236}">
                <a16:creationId xmlns="" xmlns:a16="http://schemas.microsoft.com/office/drawing/2014/main" id="{00000000-0008-0000-1600-00008BD54200}"/>
              </a:ext>
            </a:extLst>
          </xdr:cNvPr>
          <xdr:cNvSpPr>
            <a:spLocks noChangeShapeType="1"/>
          </xdr:cNvSpPr>
        </xdr:nvSpPr>
        <xdr:spPr bwMode="auto">
          <a:xfrm>
            <a:off x="11205288" y="8229986"/>
            <a:ext cx="0" cy="4118013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0044" name="Line 199">
            <a:extLst>
              <a:ext uri="{FF2B5EF4-FFF2-40B4-BE49-F238E27FC236}">
                <a16:creationId xmlns="" xmlns:a16="http://schemas.microsoft.com/office/drawing/2014/main" id="{00000000-0008-0000-1600-00008CD5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612571" y="12347999"/>
            <a:ext cx="858315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grpSp>
        <xdr:nvGrpSpPr>
          <xdr:cNvPr id="4380045" name="Group 200">
            <a:extLst>
              <a:ext uri="{FF2B5EF4-FFF2-40B4-BE49-F238E27FC236}">
                <a16:creationId xmlns="" xmlns:a16="http://schemas.microsoft.com/office/drawing/2014/main" id="{00000000-0008-0000-1600-00008DD54200}"/>
              </a:ext>
            </a:extLst>
          </xdr:cNvPr>
          <xdr:cNvGrpSpPr>
            <a:grpSpLocks/>
          </xdr:cNvGrpSpPr>
        </xdr:nvGrpSpPr>
        <xdr:grpSpPr bwMode="auto">
          <a:xfrm flipH="1">
            <a:off x="6967682" y="8239608"/>
            <a:ext cx="45719" cy="2441999"/>
            <a:chOff x="912" y="438"/>
            <a:chExt cx="11" cy="175"/>
          </a:xfrm>
        </xdr:grpSpPr>
        <xdr:sp macro="" textlink="">
          <xdr:nvSpPr>
            <xdr:cNvPr id="4380059" name="Line 201">
              <a:extLst>
                <a:ext uri="{FF2B5EF4-FFF2-40B4-BE49-F238E27FC236}">
                  <a16:creationId xmlns="" xmlns:a16="http://schemas.microsoft.com/office/drawing/2014/main" id="{00000000-0008-0000-1600-00009BD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80060" name="Line 202">
              <a:extLst>
                <a:ext uri="{FF2B5EF4-FFF2-40B4-BE49-F238E27FC236}">
                  <a16:creationId xmlns="" xmlns:a16="http://schemas.microsoft.com/office/drawing/2014/main" id="{00000000-0008-0000-1600-00009CD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sp macro="" textlink="">
        <xdr:nvSpPr>
          <xdr:cNvPr id="4380046" name="Line 203">
            <a:extLst>
              <a:ext uri="{FF2B5EF4-FFF2-40B4-BE49-F238E27FC236}">
                <a16:creationId xmlns="" xmlns:a16="http://schemas.microsoft.com/office/drawing/2014/main" id="{00000000-0008-0000-1600-00008ED5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12571" y="11058715"/>
            <a:ext cx="5562805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0047" name="Line 204">
            <a:extLst>
              <a:ext uri="{FF2B5EF4-FFF2-40B4-BE49-F238E27FC236}">
                <a16:creationId xmlns="" xmlns:a16="http://schemas.microsoft.com/office/drawing/2014/main" id="{00000000-0008-0000-1600-00008FD5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12571" y="11530170"/>
            <a:ext cx="67193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0048" name="Line 205">
            <a:extLst>
              <a:ext uri="{FF2B5EF4-FFF2-40B4-BE49-F238E27FC236}">
                <a16:creationId xmlns="" xmlns:a16="http://schemas.microsoft.com/office/drawing/2014/main" id="{00000000-0008-0000-1600-000090D5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12571" y="11924652"/>
            <a:ext cx="773249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grpSp>
        <xdr:nvGrpSpPr>
          <xdr:cNvPr id="4380049" name="Group 206">
            <a:extLst>
              <a:ext uri="{FF2B5EF4-FFF2-40B4-BE49-F238E27FC236}">
                <a16:creationId xmlns="" xmlns:a16="http://schemas.microsoft.com/office/drawing/2014/main" id="{00000000-0008-0000-1600-000091D54200}"/>
              </a:ext>
            </a:extLst>
          </xdr:cNvPr>
          <xdr:cNvGrpSpPr>
            <a:grpSpLocks/>
          </xdr:cNvGrpSpPr>
        </xdr:nvGrpSpPr>
        <xdr:grpSpPr bwMode="auto">
          <a:xfrm>
            <a:off x="8096381" y="8239608"/>
            <a:ext cx="149548" cy="3013499"/>
            <a:chOff x="912" y="438"/>
            <a:chExt cx="11" cy="175"/>
          </a:xfrm>
        </xdr:grpSpPr>
        <xdr:sp macro="" textlink="">
          <xdr:nvSpPr>
            <xdr:cNvPr id="4380057" name="Line 207">
              <a:extLst>
                <a:ext uri="{FF2B5EF4-FFF2-40B4-BE49-F238E27FC236}">
                  <a16:creationId xmlns="" xmlns:a16="http://schemas.microsoft.com/office/drawing/2014/main" id="{00000000-0008-0000-1600-000099D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80058" name="Line 208">
              <a:extLst>
                <a:ext uri="{FF2B5EF4-FFF2-40B4-BE49-F238E27FC236}">
                  <a16:creationId xmlns="" xmlns:a16="http://schemas.microsoft.com/office/drawing/2014/main" id="{00000000-0008-0000-1600-00009AD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grpSp>
        <xdr:nvGrpSpPr>
          <xdr:cNvPr id="4380050" name="Group 209">
            <a:extLst>
              <a:ext uri="{FF2B5EF4-FFF2-40B4-BE49-F238E27FC236}">
                <a16:creationId xmlns="" xmlns:a16="http://schemas.microsoft.com/office/drawing/2014/main" id="{00000000-0008-0000-1600-000092D54200}"/>
              </a:ext>
            </a:extLst>
          </xdr:cNvPr>
          <xdr:cNvGrpSpPr>
            <a:grpSpLocks/>
          </xdr:cNvGrpSpPr>
        </xdr:nvGrpSpPr>
        <xdr:grpSpPr bwMode="auto">
          <a:xfrm>
            <a:off x="10273048" y="8239608"/>
            <a:ext cx="105139" cy="3742774"/>
            <a:chOff x="912" y="438"/>
            <a:chExt cx="11" cy="175"/>
          </a:xfrm>
        </xdr:grpSpPr>
        <xdr:sp macro="" textlink="">
          <xdr:nvSpPr>
            <xdr:cNvPr id="4380055" name="Line 210">
              <a:extLst>
                <a:ext uri="{FF2B5EF4-FFF2-40B4-BE49-F238E27FC236}">
                  <a16:creationId xmlns="" xmlns:a16="http://schemas.microsoft.com/office/drawing/2014/main" id="{00000000-0008-0000-1600-000097D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80056" name="Line 211">
              <a:extLst>
                <a:ext uri="{FF2B5EF4-FFF2-40B4-BE49-F238E27FC236}">
                  <a16:creationId xmlns="" xmlns:a16="http://schemas.microsoft.com/office/drawing/2014/main" id="{00000000-0008-0000-1600-000098D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sp macro="" textlink="">
        <xdr:nvSpPr>
          <xdr:cNvPr id="4380051" name="Line 212">
            <a:extLst>
              <a:ext uri="{FF2B5EF4-FFF2-40B4-BE49-F238E27FC236}">
                <a16:creationId xmlns="" xmlns:a16="http://schemas.microsoft.com/office/drawing/2014/main" id="{00000000-0008-0000-1600-000093D54200}"/>
              </a:ext>
            </a:extLst>
          </xdr:cNvPr>
          <xdr:cNvSpPr>
            <a:spLocks noChangeShapeType="1"/>
          </xdr:cNvSpPr>
        </xdr:nvSpPr>
        <xdr:spPr bwMode="auto">
          <a:xfrm>
            <a:off x="11071475" y="8316580"/>
            <a:ext cx="24851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grpSp>
        <xdr:nvGrpSpPr>
          <xdr:cNvPr id="4380052" name="Group 209">
            <a:extLst>
              <a:ext uri="{FF2B5EF4-FFF2-40B4-BE49-F238E27FC236}">
                <a16:creationId xmlns="" xmlns:a16="http://schemas.microsoft.com/office/drawing/2014/main" id="{00000000-0008-0000-1600-000094D54200}"/>
              </a:ext>
            </a:extLst>
          </xdr:cNvPr>
          <xdr:cNvGrpSpPr>
            <a:grpSpLocks/>
          </xdr:cNvGrpSpPr>
        </xdr:nvGrpSpPr>
        <xdr:grpSpPr bwMode="auto">
          <a:xfrm>
            <a:off x="9241632" y="8228723"/>
            <a:ext cx="160904" cy="3459813"/>
            <a:chOff x="912" y="438"/>
            <a:chExt cx="11" cy="175"/>
          </a:xfrm>
        </xdr:grpSpPr>
        <xdr:sp macro="" textlink="">
          <xdr:nvSpPr>
            <xdr:cNvPr id="4380053" name="Line 210">
              <a:extLst>
                <a:ext uri="{FF2B5EF4-FFF2-40B4-BE49-F238E27FC236}">
                  <a16:creationId xmlns="" xmlns:a16="http://schemas.microsoft.com/office/drawing/2014/main" id="{00000000-0008-0000-1600-000095D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80054" name="Line 211">
              <a:extLst>
                <a:ext uri="{FF2B5EF4-FFF2-40B4-BE49-F238E27FC236}">
                  <a16:creationId xmlns="" xmlns:a16="http://schemas.microsoft.com/office/drawing/2014/main" id="{00000000-0008-0000-1600-000096D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</xdr:grpSp>
    <xdr:clientData/>
  </xdr:twoCellAnchor>
  <xdr:twoCellAnchor editAs="oneCell">
    <xdr:from>
      <xdr:col>12</xdr:col>
      <xdr:colOff>95250</xdr:colOff>
      <xdr:row>17</xdr:row>
      <xdr:rowOff>323850</xdr:rowOff>
    </xdr:from>
    <xdr:to>
      <xdr:col>21</xdr:col>
      <xdr:colOff>323850</xdr:colOff>
      <xdr:row>29</xdr:row>
      <xdr:rowOff>438150</xdr:rowOff>
    </xdr:to>
    <xdr:pic>
      <xdr:nvPicPr>
        <xdr:cNvPr id="4380031" name="Picture 1">
          <a:extLst>
            <a:ext uri="{FF2B5EF4-FFF2-40B4-BE49-F238E27FC236}">
              <a16:creationId xmlns="" xmlns:a16="http://schemas.microsoft.com/office/drawing/2014/main" id="{00000000-0008-0000-1600-00007FD54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1982450" y="6505575"/>
          <a:ext cx="7734300" cy="3771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80976" name="Line 1">
          <a:extLst>
            <a:ext uri="{FF2B5EF4-FFF2-40B4-BE49-F238E27FC236}">
              <a16:creationId xmlns="" xmlns:a16="http://schemas.microsoft.com/office/drawing/2014/main" id="{00000000-0008-0000-1700-000030D94200}"/>
            </a:ext>
          </a:extLst>
        </xdr:cNvPr>
        <xdr:cNvSpPr>
          <a:spLocks noChangeShapeType="1"/>
        </xdr:cNvSpPr>
      </xdr:nvSpPr>
      <xdr:spPr bwMode="auto">
        <a:xfrm flipV="1">
          <a:off x="2695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80977" name="Line 2">
          <a:extLst>
            <a:ext uri="{FF2B5EF4-FFF2-40B4-BE49-F238E27FC236}">
              <a16:creationId xmlns="" xmlns:a16="http://schemas.microsoft.com/office/drawing/2014/main" id="{00000000-0008-0000-1700-000031D94200}"/>
            </a:ext>
          </a:extLst>
        </xdr:cNvPr>
        <xdr:cNvSpPr>
          <a:spLocks noChangeShapeType="1"/>
        </xdr:cNvSpPr>
      </xdr:nvSpPr>
      <xdr:spPr bwMode="auto">
        <a:xfrm flipV="1">
          <a:off x="61055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676275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80978" name="Line 3">
          <a:extLst>
            <a:ext uri="{FF2B5EF4-FFF2-40B4-BE49-F238E27FC236}">
              <a16:creationId xmlns="" xmlns:a16="http://schemas.microsoft.com/office/drawing/2014/main" id="{00000000-0008-0000-1700-000032D94200}"/>
            </a:ext>
          </a:extLst>
        </xdr:cNvPr>
        <xdr:cNvSpPr>
          <a:spLocks noChangeShapeType="1"/>
        </xdr:cNvSpPr>
      </xdr:nvSpPr>
      <xdr:spPr bwMode="auto">
        <a:xfrm>
          <a:off x="2695575" y="0"/>
          <a:ext cx="3409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95250</xdr:colOff>
      <xdr:row>0</xdr:row>
      <xdr:rowOff>0</xdr:rowOff>
    </xdr:from>
    <xdr:to>
      <xdr:col>6</xdr:col>
      <xdr:colOff>200025</xdr:colOff>
      <xdr:row>0</xdr:row>
      <xdr:rowOff>0</xdr:rowOff>
    </xdr:to>
    <xdr:sp macro="" textlink="">
      <xdr:nvSpPr>
        <xdr:cNvPr id="4380979" name="Line 4">
          <a:extLst>
            <a:ext uri="{FF2B5EF4-FFF2-40B4-BE49-F238E27FC236}">
              <a16:creationId xmlns="" xmlns:a16="http://schemas.microsoft.com/office/drawing/2014/main" id="{00000000-0008-0000-1700-000033D94200}"/>
            </a:ext>
          </a:extLst>
        </xdr:cNvPr>
        <xdr:cNvSpPr>
          <a:spLocks noChangeShapeType="1"/>
        </xdr:cNvSpPr>
      </xdr:nvSpPr>
      <xdr:spPr bwMode="auto">
        <a:xfrm>
          <a:off x="6200775" y="0"/>
          <a:ext cx="1057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104775</xdr:colOff>
      <xdr:row>0</xdr:row>
      <xdr:rowOff>0</xdr:rowOff>
    </xdr:from>
    <xdr:to>
      <xdr:col>6</xdr:col>
      <xdr:colOff>104775</xdr:colOff>
      <xdr:row>0</xdr:row>
      <xdr:rowOff>0</xdr:rowOff>
    </xdr:to>
    <xdr:sp macro="" textlink="">
      <xdr:nvSpPr>
        <xdr:cNvPr id="4380980" name="Line 5">
          <a:extLst>
            <a:ext uri="{FF2B5EF4-FFF2-40B4-BE49-F238E27FC236}">
              <a16:creationId xmlns="" xmlns:a16="http://schemas.microsoft.com/office/drawing/2014/main" id="{00000000-0008-0000-1700-000034D94200}"/>
            </a:ext>
          </a:extLst>
        </xdr:cNvPr>
        <xdr:cNvSpPr>
          <a:spLocks noChangeShapeType="1"/>
        </xdr:cNvSpPr>
      </xdr:nvSpPr>
      <xdr:spPr bwMode="auto">
        <a:xfrm>
          <a:off x="71628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0</xdr:row>
      <xdr:rowOff>0</xdr:rowOff>
    </xdr:from>
    <xdr:to>
      <xdr:col>6</xdr:col>
      <xdr:colOff>114300</xdr:colOff>
      <xdr:row>0</xdr:row>
      <xdr:rowOff>0</xdr:rowOff>
    </xdr:to>
    <xdr:sp macro="" textlink="">
      <xdr:nvSpPr>
        <xdr:cNvPr id="4380981" name="Line 6">
          <a:extLst>
            <a:ext uri="{FF2B5EF4-FFF2-40B4-BE49-F238E27FC236}">
              <a16:creationId xmlns="" xmlns:a16="http://schemas.microsoft.com/office/drawing/2014/main" id="{00000000-0008-0000-1700-000035D94200}"/>
            </a:ext>
          </a:extLst>
        </xdr:cNvPr>
        <xdr:cNvSpPr>
          <a:spLocks noChangeShapeType="1"/>
        </xdr:cNvSpPr>
      </xdr:nvSpPr>
      <xdr:spPr bwMode="auto">
        <a:xfrm>
          <a:off x="7172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85725</xdr:colOff>
      <xdr:row>0</xdr:row>
      <xdr:rowOff>0</xdr:rowOff>
    </xdr:from>
    <xdr:to>
      <xdr:col>6</xdr:col>
      <xdr:colOff>228600</xdr:colOff>
      <xdr:row>0</xdr:row>
      <xdr:rowOff>0</xdr:rowOff>
    </xdr:to>
    <xdr:sp macro="" textlink="">
      <xdr:nvSpPr>
        <xdr:cNvPr id="4380982" name="Line 7">
          <a:extLst>
            <a:ext uri="{FF2B5EF4-FFF2-40B4-BE49-F238E27FC236}">
              <a16:creationId xmlns="" xmlns:a16="http://schemas.microsoft.com/office/drawing/2014/main" id="{00000000-0008-0000-1700-000036D94200}"/>
            </a:ext>
          </a:extLst>
        </xdr:cNvPr>
        <xdr:cNvSpPr>
          <a:spLocks noChangeShapeType="1"/>
        </xdr:cNvSpPr>
      </xdr:nvSpPr>
      <xdr:spPr bwMode="auto">
        <a:xfrm>
          <a:off x="6191250" y="0"/>
          <a:ext cx="1095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533400</xdr:colOff>
      <xdr:row>0</xdr:row>
      <xdr:rowOff>0</xdr:rowOff>
    </xdr:from>
    <xdr:to>
      <xdr:col>12</xdr:col>
      <xdr:colOff>123825</xdr:colOff>
      <xdr:row>0</xdr:row>
      <xdr:rowOff>0</xdr:rowOff>
    </xdr:to>
    <xdr:sp macro="" textlink="">
      <xdr:nvSpPr>
        <xdr:cNvPr id="4380983" name="Line 8">
          <a:extLst>
            <a:ext uri="{FF2B5EF4-FFF2-40B4-BE49-F238E27FC236}">
              <a16:creationId xmlns="" xmlns:a16="http://schemas.microsoft.com/office/drawing/2014/main" id="{00000000-0008-0000-1700-000037D94200}"/>
            </a:ext>
          </a:extLst>
        </xdr:cNvPr>
        <xdr:cNvSpPr>
          <a:spLocks noChangeShapeType="1"/>
        </xdr:cNvSpPr>
      </xdr:nvSpPr>
      <xdr:spPr bwMode="auto">
        <a:xfrm>
          <a:off x="10458450" y="0"/>
          <a:ext cx="12382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12</xdr:col>
      <xdr:colOff>238125</xdr:colOff>
      <xdr:row>0</xdr:row>
      <xdr:rowOff>0</xdr:rowOff>
    </xdr:to>
    <xdr:sp macro="" textlink="">
      <xdr:nvSpPr>
        <xdr:cNvPr id="4380984" name="Line 9">
          <a:extLst>
            <a:ext uri="{FF2B5EF4-FFF2-40B4-BE49-F238E27FC236}">
              <a16:creationId xmlns="" xmlns:a16="http://schemas.microsoft.com/office/drawing/2014/main" id="{00000000-0008-0000-1700-000038D94200}"/>
            </a:ext>
          </a:extLst>
        </xdr:cNvPr>
        <xdr:cNvSpPr>
          <a:spLocks noChangeShapeType="1"/>
        </xdr:cNvSpPr>
      </xdr:nvSpPr>
      <xdr:spPr bwMode="auto">
        <a:xfrm flipV="1">
          <a:off x="105822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238125</xdr:colOff>
      <xdr:row>0</xdr:row>
      <xdr:rowOff>0</xdr:rowOff>
    </xdr:from>
    <xdr:to>
      <xdr:col>12</xdr:col>
      <xdr:colOff>342900</xdr:colOff>
      <xdr:row>0</xdr:row>
      <xdr:rowOff>0</xdr:rowOff>
    </xdr:to>
    <xdr:sp macro="" textlink="">
      <xdr:nvSpPr>
        <xdr:cNvPr id="4380985" name="Line 10">
          <a:extLst>
            <a:ext uri="{FF2B5EF4-FFF2-40B4-BE49-F238E27FC236}">
              <a16:creationId xmlns="" xmlns:a16="http://schemas.microsoft.com/office/drawing/2014/main" id="{00000000-0008-0000-1700-000039D94200}"/>
            </a:ext>
          </a:extLst>
        </xdr:cNvPr>
        <xdr:cNvSpPr>
          <a:spLocks noChangeShapeType="1"/>
        </xdr:cNvSpPr>
      </xdr:nvSpPr>
      <xdr:spPr bwMode="auto">
        <a:xfrm>
          <a:off x="10696575" y="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361950</xdr:colOff>
      <xdr:row>0</xdr:row>
      <xdr:rowOff>0</xdr:rowOff>
    </xdr:from>
    <xdr:to>
      <xdr:col>12</xdr:col>
      <xdr:colOff>342900</xdr:colOff>
      <xdr:row>0</xdr:row>
      <xdr:rowOff>0</xdr:rowOff>
    </xdr:to>
    <xdr:sp macro="" textlink="">
      <xdr:nvSpPr>
        <xdr:cNvPr id="4380986" name="Line 11">
          <a:extLst>
            <a:ext uri="{FF2B5EF4-FFF2-40B4-BE49-F238E27FC236}">
              <a16:creationId xmlns="" xmlns:a16="http://schemas.microsoft.com/office/drawing/2014/main" id="{00000000-0008-0000-1700-00003AD94200}"/>
            </a:ext>
          </a:extLst>
        </xdr:cNvPr>
        <xdr:cNvSpPr>
          <a:spLocks noChangeShapeType="1"/>
        </xdr:cNvSpPr>
      </xdr:nvSpPr>
      <xdr:spPr bwMode="auto">
        <a:xfrm flipV="1">
          <a:off x="10801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466725</xdr:colOff>
      <xdr:row>0</xdr:row>
      <xdr:rowOff>0</xdr:rowOff>
    </xdr:from>
    <xdr:to>
      <xdr:col>12</xdr:col>
      <xdr:colOff>342900</xdr:colOff>
      <xdr:row>0</xdr:row>
      <xdr:rowOff>0</xdr:rowOff>
    </xdr:to>
    <xdr:sp macro="" textlink="">
      <xdr:nvSpPr>
        <xdr:cNvPr id="4380987" name="Line 12">
          <a:extLst>
            <a:ext uri="{FF2B5EF4-FFF2-40B4-BE49-F238E27FC236}">
              <a16:creationId xmlns="" xmlns:a16="http://schemas.microsoft.com/office/drawing/2014/main" id="{00000000-0008-0000-1700-00003BD94200}"/>
            </a:ext>
          </a:extLst>
        </xdr:cNvPr>
        <xdr:cNvSpPr>
          <a:spLocks noChangeShapeType="1"/>
        </xdr:cNvSpPr>
      </xdr:nvSpPr>
      <xdr:spPr bwMode="auto">
        <a:xfrm>
          <a:off x="10801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581025</xdr:colOff>
      <xdr:row>0</xdr:row>
      <xdr:rowOff>0</xdr:rowOff>
    </xdr:from>
    <xdr:to>
      <xdr:col>13</xdr:col>
      <xdr:colOff>0</xdr:colOff>
      <xdr:row>0</xdr:row>
      <xdr:rowOff>0</xdr:rowOff>
    </xdr:to>
    <xdr:sp macro="" textlink="">
      <xdr:nvSpPr>
        <xdr:cNvPr id="4380988" name="Line 13">
          <a:extLst>
            <a:ext uri="{FF2B5EF4-FFF2-40B4-BE49-F238E27FC236}">
              <a16:creationId xmlns="" xmlns:a16="http://schemas.microsoft.com/office/drawing/2014/main" id="{00000000-0008-0000-1700-00003CD94200}"/>
            </a:ext>
          </a:extLst>
        </xdr:cNvPr>
        <xdr:cNvSpPr>
          <a:spLocks noChangeShapeType="1"/>
        </xdr:cNvSpPr>
      </xdr:nvSpPr>
      <xdr:spPr bwMode="auto">
        <a:xfrm flipV="1">
          <a:off x="10801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0</xdr:colOff>
      <xdr:row>0</xdr:row>
      <xdr:rowOff>0</xdr:rowOff>
    </xdr:from>
    <xdr:to>
      <xdr:col>14</xdr:col>
      <xdr:colOff>123825</xdr:colOff>
      <xdr:row>0</xdr:row>
      <xdr:rowOff>0</xdr:rowOff>
    </xdr:to>
    <xdr:sp macro="" textlink="">
      <xdr:nvSpPr>
        <xdr:cNvPr id="4380989" name="Line 14">
          <a:extLst>
            <a:ext uri="{FF2B5EF4-FFF2-40B4-BE49-F238E27FC236}">
              <a16:creationId xmlns="" xmlns:a16="http://schemas.microsoft.com/office/drawing/2014/main" id="{00000000-0008-0000-1700-00003DD94200}"/>
            </a:ext>
          </a:extLst>
        </xdr:cNvPr>
        <xdr:cNvSpPr>
          <a:spLocks noChangeShapeType="1"/>
        </xdr:cNvSpPr>
      </xdr:nvSpPr>
      <xdr:spPr bwMode="auto">
        <a:xfrm>
          <a:off x="1104900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0</xdr:row>
      <xdr:rowOff>0</xdr:rowOff>
    </xdr:from>
    <xdr:to>
      <xdr:col>14</xdr:col>
      <xdr:colOff>238125</xdr:colOff>
      <xdr:row>0</xdr:row>
      <xdr:rowOff>0</xdr:rowOff>
    </xdr:to>
    <xdr:sp macro="" textlink="">
      <xdr:nvSpPr>
        <xdr:cNvPr id="4380990" name="Line 15">
          <a:extLst>
            <a:ext uri="{FF2B5EF4-FFF2-40B4-BE49-F238E27FC236}">
              <a16:creationId xmlns="" xmlns:a16="http://schemas.microsoft.com/office/drawing/2014/main" id="{00000000-0008-0000-1700-00003ED94200}"/>
            </a:ext>
          </a:extLst>
        </xdr:cNvPr>
        <xdr:cNvSpPr>
          <a:spLocks noChangeShapeType="1"/>
        </xdr:cNvSpPr>
      </xdr:nvSpPr>
      <xdr:spPr bwMode="auto">
        <a:xfrm flipV="1">
          <a:off x="111728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238125</xdr:colOff>
      <xdr:row>0</xdr:row>
      <xdr:rowOff>0</xdr:rowOff>
    </xdr:from>
    <xdr:to>
      <xdr:col>14</xdr:col>
      <xdr:colOff>361950</xdr:colOff>
      <xdr:row>0</xdr:row>
      <xdr:rowOff>0</xdr:rowOff>
    </xdr:to>
    <xdr:sp macro="" textlink="">
      <xdr:nvSpPr>
        <xdr:cNvPr id="4380991" name="Line 16">
          <a:extLst>
            <a:ext uri="{FF2B5EF4-FFF2-40B4-BE49-F238E27FC236}">
              <a16:creationId xmlns="" xmlns:a16="http://schemas.microsoft.com/office/drawing/2014/main" id="{00000000-0008-0000-1700-00003FD94200}"/>
            </a:ext>
          </a:extLst>
        </xdr:cNvPr>
        <xdr:cNvSpPr>
          <a:spLocks noChangeShapeType="1"/>
        </xdr:cNvSpPr>
      </xdr:nvSpPr>
      <xdr:spPr bwMode="auto">
        <a:xfrm>
          <a:off x="1128712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361950</xdr:colOff>
      <xdr:row>0</xdr:row>
      <xdr:rowOff>0</xdr:rowOff>
    </xdr:from>
    <xdr:to>
      <xdr:col>14</xdr:col>
      <xdr:colOff>476250</xdr:colOff>
      <xdr:row>0</xdr:row>
      <xdr:rowOff>0</xdr:rowOff>
    </xdr:to>
    <xdr:sp macro="" textlink="">
      <xdr:nvSpPr>
        <xdr:cNvPr id="4380992" name="Line 17">
          <a:extLst>
            <a:ext uri="{FF2B5EF4-FFF2-40B4-BE49-F238E27FC236}">
              <a16:creationId xmlns="" xmlns:a16="http://schemas.microsoft.com/office/drawing/2014/main" id="{00000000-0008-0000-1700-000040D94200}"/>
            </a:ext>
          </a:extLst>
        </xdr:cNvPr>
        <xdr:cNvSpPr>
          <a:spLocks noChangeShapeType="1"/>
        </xdr:cNvSpPr>
      </xdr:nvSpPr>
      <xdr:spPr bwMode="auto">
        <a:xfrm flipV="1">
          <a:off x="1141095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476250</xdr:colOff>
      <xdr:row>0</xdr:row>
      <xdr:rowOff>0</xdr:rowOff>
    </xdr:from>
    <xdr:to>
      <xdr:col>14</xdr:col>
      <xdr:colOff>609600</xdr:colOff>
      <xdr:row>0</xdr:row>
      <xdr:rowOff>0</xdr:rowOff>
    </xdr:to>
    <xdr:sp macro="" textlink="">
      <xdr:nvSpPr>
        <xdr:cNvPr id="4380993" name="Line 18">
          <a:extLst>
            <a:ext uri="{FF2B5EF4-FFF2-40B4-BE49-F238E27FC236}">
              <a16:creationId xmlns="" xmlns:a16="http://schemas.microsoft.com/office/drawing/2014/main" id="{00000000-0008-0000-1700-000041D94200}"/>
            </a:ext>
          </a:extLst>
        </xdr:cNvPr>
        <xdr:cNvSpPr>
          <a:spLocks noChangeShapeType="1"/>
        </xdr:cNvSpPr>
      </xdr:nvSpPr>
      <xdr:spPr bwMode="auto">
        <a:xfrm>
          <a:off x="11525250" y="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609600</xdr:colOff>
      <xdr:row>0</xdr:row>
      <xdr:rowOff>0</xdr:rowOff>
    </xdr:from>
    <xdr:to>
      <xdr:col>15</xdr:col>
      <xdr:colOff>28575</xdr:colOff>
      <xdr:row>0</xdr:row>
      <xdr:rowOff>0</xdr:rowOff>
    </xdr:to>
    <xdr:sp macro="" textlink="">
      <xdr:nvSpPr>
        <xdr:cNvPr id="4380994" name="Line 19">
          <a:extLst>
            <a:ext uri="{FF2B5EF4-FFF2-40B4-BE49-F238E27FC236}">
              <a16:creationId xmlns="" xmlns:a16="http://schemas.microsoft.com/office/drawing/2014/main" id="{00000000-0008-0000-1700-000042D94200}"/>
            </a:ext>
          </a:extLst>
        </xdr:cNvPr>
        <xdr:cNvSpPr>
          <a:spLocks noChangeShapeType="1"/>
        </xdr:cNvSpPr>
      </xdr:nvSpPr>
      <xdr:spPr bwMode="auto">
        <a:xfrm flipV="1">
          <a:off x="11658600" y="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28575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80995" name="Line 20">
          <a:extLst>
            <a:ext uri="{FF2B5EF4-FFF2-40B4-BE49-F238E27FC236}">
              <a16:creationId xmlns="" xmlns:a16="http://schemas.microsoft.com/office/drawing/2014/main" id="{00000000-0008-0000-1700-000043D94200}"/>
            </a:ext>
          </a:extLst>
        </xdr:cNvPr>
        <xdr:cNvSpPr>
          <a:spLocks noChangeShapeType="1"/>
        </xdr:cNvSpPr>
      </xdr:nvSpPr>
      <xdr:spPr bwMode="auto">
        <a:xfrm>
          <a:off x="1226820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152400</xdr:colOff>
      <xdr:row>0</xdr:row>
      <xdr:rowOff>0</xdr:rowOff>
    </xdr:from>
    <xdr:to>
      <xdr:col>15</xdr:col>
      <xdr:colOff>266700</xdr:colOff>
      <xdr:row>0</xdr:row>
      <xdr:rowOff>0</xdr:rowOff>
    </xdr:to>
    <xdr:sp macro="" textlink="">
      <xdr:nvSpPr>
        <xdr:cNvPr id="4380996" name="Line 21">
          <a:extLst>
            <a:ext uri="{FF2B5EF4-FFF2-40B4-BE49-F238E27FC236}">
              <a16:creationId xmlns="" xmlns:a16="http://schemas.microsoft.com/office/drawing/2014/main" id="{00000000-0008-0000-1700-000044D94200}"/>
            </a:ext>
          </a:extLst>
        </xdr:cNvPr>
        <xdr:cNvSpPr>
          <a:spLocks noChangeShapeType="1"/>
        </xdr:cNvSpPr>
      </xdr:nvSpPr>
      <xdr:spPr bwMode="auto">
        <a:xfrm flipV="1">
          <a:off x="123920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266700</xdr:colOff>
      <xdr:row>0</xdr:row>
      <xdr:rowOff>0</xdr:rowOff>
    </xdr:from>
    <xdr:to>
      <xdr:col>15</xdr:col>
      <xdr:colOff>381000</xdr:colOff>
      <xdr:row>0</xdr:row>
      <xdr:rowOff>0</xdr:rowOff>
    </xdr:to>
    <xdr:sp macro="" textlink="">
      <xdr:nvSpPr>
        <xdr:cNvPr id="4380997" name="Line 22">
          <a:extLst>
            <a:ext uri="{FF2B5EF4-FFF2-40B4-BE49-F238E27FC236}">
              <a16:creationId xmlns="" xmlns:a16="http://schemas.microsoft.com/office/drawing/2014/main" id="{00000000-0008-0000-1700-000045D94200}"/>
            </a:ext>
          </a:extLst>
        </xdr:cNvPr>
        <xdr:cNvSpPr>
          <a:spLocks noChangeShapeType="1"/>
        </xdr:cNvSpPr>
      </xdr:nvSpPr>
      <xdr:spPr bwMode="auto">
        <a:xfrm>
          <a:off x="125063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381000</xdr:colOff>
      <xdr:row>0</xdr:row>
      <xdr:rowOff>0</xdr:rowOff>
    </xdr:from>
    <xdr:to>
      <xdr:col>15</xdr:col>
      <xdr:colOff>495300</xdr:colOff>
      <xdr:row>0</xdr:row>
      <xdr:rowOff>0</xdr:rowOff>
    </xdr:to>
    <xdr:sp macro="" textlink="">
      <xdr:nvSpPr>
        <xdr:cNvPr id="4380998" name="Line 23">
          <a:extLst>
            <a:ext uri="{FF2B5EF4-FFF2-40B4-BE49-F238E27FC236}">
              <a16:creationId xmlns="" xmlns:a16="http://schemas.microsoft.com/office/drawing/2014/main" id="{00000000-0008-0000-1700-000046D94200}"/>
            </a:ext>
          </a:extLst>
        </xdr:cNvPr>
        <xdr:cNvSpPr>
          <a:spLocks noChangeShapeType="1"/>
        </xdr:cNvSpPr>
      </xdr:nvSpPr>
      <xdr:spPr bwMode="auto">
        <a:xfrm flipV="1">
          <a:off x="126206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495300</xdr:colOff>
      <xdr:row>0</xdr:row>
      <xdr:rowOff>0</xdr:rowOff>
    </xdr:from>
    <xdr:to>
      <xdr:col>15</xdr:col>
      <xdr:colOff>619125</xdr:colOff>
      <xdr:row>0</xdr:row>
      <xdr:rowOff>0</xdr:rowOff>
    </xdr:to>
    <xdr:sp macro="" textlink="">
      <xdr:nvSpPr>
        <xdr:cNvPr id="4380999" name="Line 24">
          <a:extLst>
            <a:ext uri="{FF2B5EF4-FFF2-40B4-BE49-F238E27FC236}">
              <a16:creationId xmlns="" xmlns:a16="http://schemas.microsoft.com/office/drawing/2014/main" id="{00000000-0008-0000-1700-000047D94200}"/>
            </a:ext>
          </a:extLst>
        </xdr:cNvPr>
        <xdr:cNvSpPr>
          <a:spLocks noChangeShapeType="1"/>
        </xdr:cNvSpPr>
      </xdr:nvSpPr>
      <xdr:spPr bwMode="auto">
        <a:xfrm>
          <a:off x="1273492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619125</xdr:colOff>
      <xdr:row>0</xdr:row>
      <xdr:rowOff>0</xdr:rowOff>
    </xdr:from>
    <xdr:to>
      <xdr:col>16</xdr:col>
      <xdr:colOff>47625</xdr:colOff>
      <xdr:row>0</xdr:row>
      <xdr:rowOff>0</xdr:rowOff>
    </xdr:to>
    <xdr:sp macro="" textlink="">
      <xdr:nvSpPr>
        <xdr:cNvPr id="4381000" name="Line 25">
          <a:extLst>
            <a:ext uri="{FF2B5EF4-FFF2-40B4-BE49-F238E27FC236}">
              <a16:creationId xmlns="" xmlns:a16="http://schemas.microsoft.com/office/drawing/2014/main" id="{00000000-0008-0000-1700-000048D94200}"/>
            </a:ext>
          </a:extLst>
        </xdr:cNvPr>
        <xdr:cNvSpPr>
          <a:spLocks noChangeShapeType="1"/>
        </xdr:cNvSpPr>
      </xdr:nvSpPr>
      <xdr:spPr bwMode="auto">
        <a:xfrm flipV="1">
          <a:off x="1285875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66675</xdr:colOff>
      <xdr:row>0</xdr:row>
      <xdr:rowOff>0</xdr:rowOff>
    </xdr:to>
    <xdr:sp macro="" textlink="">
      <xdr:nvSpPr>
        <xdr:cNvPr id="4381001" name="Line 26">
          <a:extLst>
            <a:ext uri="{FF2B5EF4-FFF2-40B4-BE49-F238E27FC236}">
              <a16:creationId xmlns="" xmlns:a16="http://schemas.microsoft.com/office/drawing/2014/main" id="{00000000-0008-0000-1700-000049D94200}"/>
            </a:ext>
          </a:extLst>
        </xdr:cNvPr>
        <xdr:cNvSpPr>
          <a:spLocks noChangeShapeType="1"/>
        </xdr:cNvSpPr>
      </xdr:nvSpPr>
      <xdr:spPr bwMode="auto">
        <a:xfrm flipV="1">
          <a:off x="105251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619125</xdr:colOff>
      <xdr:row>0</xdr:row>
      <xdr:rowOff>0</xdr:rowOff>
    </xdr:from>
    <xdr:to>
      <xdr:col>15</xdr:col>
      <xdr:colOff>619125</xdr:colOff>
      <xdr:row>0</xdr:row>
      <xdr:rowOff>0</xdr:rowOff>
    </xdr:to>
    <xdr:sp macro="" textlink="">
      <xdr:nvSpPr>
        <xdr:cNvPr id="4381002" name="Line 27">
          <a:extLst>
            <a:ext uri="{FF2B5EF4-FFF2-40B4-BE49-F238E27FC236}">
              <a16:creationId xmlns="" xmlns:a16="http://schemas.microsoft.com/office/drawing/2014/main" id="{00000000-0008-0000-1700-00004AD94200}"/>
            </a:ext>
          </a:extLst>
        </xdr:cNvPr>
        <xdr:cNvSpPr>
          <a:spLocks noChangeShapeType="1"/>
        </xdr:cNvSpPr>
      </xdr:nvSpPr>
      <xdr:spPr bwMode="auto">
        <a:xfrm flipV="1">
          <a:off x="128587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15</xdr:col>
      <xdr:colOff>619125</xdr:colOff>
      <xdr:row>0</xdr:row>
      <xdr:rowOff>0</xdr:rowOff>
    </xdr:to>
    <xdr:sp macro="" textlink="">
      <xdr:nvSpPr>
        <xdr:cNvPr id="4381003" name="Line 28">
          <a:extLst>
            <a:ext uri="{FF2B5EF4-FFF2-40B4-BE49-F238E27FC236}">
              <a16:creationId xmlns="" xmlns:a16="http://schemas.microsoft.com/office/drawing/2014/main" id="{00000000-0008-0000-1700-00004BD94200}"/>
            </a:ext>
          </a:extLst>
        </xdr:cNvPr>
        <xdr:cNvSpPr>
          <a:spLocks noChangeShapeType="1"/>
        </xdr:cNvSpPr>
      </xdr:nvSpPr>
      <xdr:spPr bwMode="auto">
        <a:xfrm>
          <a:off x="10582275" y="0"/>
          <a:ext cx="2276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352425</xdr:colOff>
      <xdr:row>0</xdr:row>
      <xdr:rowOff>0</xdr:rowOff>
    </xdr:from>
    <xdr:to>
      <xdr:col>2</xdr:col>
      <xdr:colOff>352425</xdr:colOff>
      <xdr:row>0</xdr:row>
      <xdr:rowOff>0</xdr:rowOff>
    </xdr:to>
    <xdr:sp macro="" textlink="">
      <xdr:nvSpPr>
        <xdr:cNvPr id="4381004" name="Line 29">
          <a:extLst>
            <a:ext uri="{FF2B5EF4-FFF2-40B4-BE49-F238E27FC236}">
              <a16:creationId xmlns="" xmlns:a16="http://schemas.microsoft.com/office/drawing/2014/main" id="{00000000-0008-0000-1700-00004CD94200}"/>
            </a:ext>
          </a:extLst>
        </xdr:cNvPr>
        <xdr:cNvSpPr>
          <a:spLocks noChangeShapeType="1"/>
        </xdr:cNvSpPr>
      </xdr:nvSpPr>
      <xdr:spPr bwMode="auto">
        <a:xfrm>
          <a:off x="3048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152400</xdr:colOff>
      <xdr:row>0</xdr:row>
      <xdr:rowOff>0</xdr:rowOff>
    </xdr:to>
    <xdr:sp macro="" textlink="">
      <xdr:nvSpPr>
        <xdr:cNvPr id="4381005" name="Line 30">
          <a:extLst>
            <a:ext uri="{FF2B5EF4-FFF2-40B4-BE49-F238E27FC236}">
              <a16:creationId xmlns="" xmlns:a16="http://schemas.microsoft.com/office/drawing/2014/main" id="{00000000-0008-0000-1700-00004DD94200}"/>
            </a:ext>
          </a:extLst>
        </xdr:cNvPr>
        <xdr:cNvSpPr>
          <a:spLocks noChangeShapeType="1"/>
        </xdr:cNvSpPr>
      </xdr:nvSpPr>
      <xdr:spPr bwMode="auto">
        <a:xfrm>
          <a:off x="28479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723900</xdr:colOff>
      <xdr:row>0</xdr:row>
      <xdr:rowOff>0</xdr:rowOff>
    </xdr:from>
    <xdr:to>
      <xdr:col>4</xdr:col>
      <xdr:colOff>723900</xdr:colOff>
      <xdr:row>0</xdr:row>
      <xdr:rowOff>0</xdr:rowOff>
    </xdr:to>
    <xdr:sp macro="" textlink="">
      <xdr:nvSpPr>
        <xdr:cNvPr id="4381006" name="Line 31">
          <a:extLst>
            <a:ext uri="{FF2B5EF4-FFF2-40B4-BE49-F238E27FC236}">
              <a16:creationId xmlns="" xmlns:a16="http://schemas.microsoft.com/office/drawing/2014/main" id="{00000000-0008-0000-1700-00004ED94200}"/>
            </a:ext>
          </a:extLst>
        </xdr:cNvPr>
        <xdr:cNvSpPr>
          <a:spLocks noChangeShapeType="1"/>
        </xdr:cNvSpPr>
      </xdr:nvSpPr>
      <xdr:spPr bwMode="auto">
        <a:xfrm>
          <a:off x="5676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285750</xdr:colOff>
      <xdr:row>0</xdr:row>
      <xdr:rowOff>0</xdr:rowOff>
    </xdr:from>
    <xdr:to>
      <xdr:col>2</xdr:col>
      <xdr:colOff>285750</xdr:colOff>
      <xdr:row>0</xdr:row>
      <xdr:rowOff>0</xdr:rowOff>
    </xdr:to>
    <xdr:sp macro="" textlink="">
      <xdr:nvSpPr>
        <xdr:cNvPr id="4381007" name="Line 32">
          <a:extLst>
            <a:ext uri="{FF2B5EF4-FFF2-40B4-BE49-F238E27FC236}">
              <a16:creationId xmlns="" xmlns:a16="http://schemas.microsoft.com/office/drawing/2014/main" id="{00000000-0008-0000-1700-00004FD94200}"/>
            </a:ext>
          </a:extLst>
        </xdr:cNvPr>
        <xdr:cNvSpPr>
          <a:spLocks noChangeShapeType="1"/>
        </xdr:cNvSpPr>
      </xdr:nvSpPr>
      <xdr:spPr bwMode="auto">
        <a:xfrm>
          <a:off x="2981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590550</xdr:colOff>
      <xdr:row>0</xdr:row>
      <xdr:rowOff>0</xdr:rowOff>
    </xdr:from>
    <xdr:to>
      <xdr:col>4</xdr:col>
      <xdr:colOff>590550</xdr:colOff>
      <xdr:row>0</xdr:row>
      <xdr:rowOff>0</xdr:rowOff>
    </xdr:to>
    <xdr:sp macro="" textlink="">
      <xdr:nvSpPr>
        <xdr:cNvPr id="4381008" name="Line 33">
          <a:extLst>
            <a:ext uri="{FF2B5EF4-FFF2-40B4-BE49-F238E27FC236}">
              <a16:creationId xmlns="" xmlns:a16="http://schemas.microsoft.com/office/drawing/2014/main" id="{00000000-0008-0000-1700-000050D94200}"/>
            </a:ext>
          </a:extLst>
        </xdr:cNvPr>
        <xdr:cNvSpPr>
          <a:spLocks noChangeShapeType="1"/>
        </xdr:cNvSpPr>
      </xdr:nvSpPr>
      <xdr:spPr bwMode="auto">
        <a:xfrm flipH="1">
          <a:off x="55435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619125</xdr:colOff>
      <xdr:row>0</xdr:row>
      <xdr:rowOff>0</xdr:rowOff>
    </xdr:from>
    <xdr:to>
      <xdr:col>16</xdr:col>
      <xdr:colOff>47625</xdr:colOff>
      <xdr:row>0</xdr:row>
      <xdr:rowOff>0</xdr:rowOff>
    </xdr:to>
    <xdr:sp macro="" textlink="">
      <xdr:nvSpPr>
        <xdr:cNvPr id="4381009" name="Line 34">
          <a:extLst>
            <a:ext uri="{FF2B5EF4-FFF2-40B4-BE49-F238E27FC236}">
              <a16:creationId xmlns="" xmlns:a16="http://schemas.microsoft.com/office/drawing/2014/main" id="{00000000-0008-0000-1700-000051D94200}"/>
            </a:ext>
          </a:extLst>
        </xdr:cNvPr>
        <xdr:cNvSpPr>
          <a:spLocks noChangeShapeType="1"/>
        </xdr:cNvSpPr>
      </xdr:nvSpPr>
      <xdr:spPr bwMode="auto">
        <a:xfrm flipV="1">
          <a:off x="1285875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17</xdr:col>
      <xdr:colOff>95250</xdr:colOff>
      <xdr:row>0</xdr:row>
      <xdr:rowOff>0</xdr:rowOff>
    </xdr:to>
    <xdr:grpSp>
      <xdr:nvGrpSpPr>
        <xdr:cNvPr id="4381010" name="Group 35">
          <a:extLst>
            <a:ext uri="{FF2B5EF4-FFF2-40B4-BE49-F238E27FC236}">
              <a16:creationId xmlns="" xmlns:a16="http://schemas.microsoft.com/office/drawing/2014/main" id="{00000000-0008-0000-1700-000052D94200}"/>
            </a:ext>
          </a:extLst>
        </xdr:cNvPr>
        <xdr:cNvGrpSpPr>
          <a:grpSpLocks/>
        </xdr:cNvGrpSpPr>
      </xdr:nvGrpSpPr>
      <xdr:grpSpPr bwMode="auto">
        <a:xfrm>
          <a:off x="8567738" y="0"/>
          <a:ext cx="5767387" cy="0"/>
          <a:chOff x="630" y="359"/>
          <a:chExt cx="361" cy="60"/>
        </a:xfrm>
      </xdr:grpSpPr>
      <xdr:sp macro="" textlink="">
        <xdr:nvSpPr>
          <xdr:cNvPr id="4381225" name="Line 36">
            <a:extLst>
              <a:ext uri="{FF2B5EF4-FFF2-40B4-BE49-F238E27FC236}">
                <a16:creationId xmlns="" xmlns:a16="http://schemas.microsoft.com/office/drawing/2014/main" id="{00000000-0008-0000-1700-000029DA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0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1226" name="Line 37">
            <a:extLst>
              <a:ext uri="{FF2B5EF4-FFF2-40B4-BE49-F238E27FC236}">
                <a16:creationId xmlns="" xmlns:a16="http://schemas.microsoft.com/office/drawing/2014/main" id="{00000000-0008-0000-1700-00002ADA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91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1227" name="Line 38">
            <a:extLst>
              <a:ext uri="{FF2B5EF4-FFF2-40B4-BE49-F238E27FC236}">
                <a16:creationId xmlns="" xmlns:a16="http://schemas.microsoft.com/office/drawing/2014/main" id="{00000000-0008-0000-1700-00002BDA4200}"/>
              </a:ext>
            </a:extLst>
          </xdr:cNvPr>
          <xdr:cNvSpPr>
            <a:spLocks noChangeShapeType="1"/>
          </xdr:cNvSpPr>
        </xdr:nvSpPr>
        <xdr:spPr bwMode="auto">
          <a:xfrm>
            <a:off x="630" y="381"/>
            <a:ext cx="3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7</xdr:col>
      <xdr:colOff>590550</xdr:colOff>
      <xdr:row>0</xdr:row>
      <xdr:rowOff>0</xdr:rowOff>
    </xdr:to>
    <xdr:sp macro="" textlink="">
      <xdr:nvSpPr>
        <xdr:cNvPr id="4381011" name="Line 39">
          <a:extLst>
            <a:ext uri="{FF2B5EF4-FFF2-40B4-BE49-F238E27FC236}">
              <a16:creationId xmlns="" xmlns:a16="http://schemas.microsoft.com/office/drawing/2014/main" id="{00000000-0008-0000-1700-000053D94200}"/>
            </a:ext>
          </a:extLst>
        </xdr:cNvPr>
        <xdr:cNvSpPr>
          <a:spLocks noChangeShapeType="1"/>
        </xdr:cNvSpPr>
      </xdr:nvSpPr>
      <xdr:spPr bwMode="auto">
        <a:xfrm>
          <a:off x="8572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10</xdr:col>
      <xdr:colOff>47625</xdr:colOff>
      <xdr:row>0</xdr:row>
      <xdr:rowOff>0</xdr:rowOff>
    </xdr:to>
    <xdr:sp macro="" textlink="">
      <xdr:nvSpPr>
        <xdr:cNvPr id="4381012" name="Line 40">
          <a:extLst>
            <a:ext uri="{FF2B5EF4-FFF2-40B4-BE49-F238E27FC236}">
              <a16:creationId xmlns="" xmlns:a16="http://schemas.microsoft.com/office/drawing/2014/main" id="{00000000-0008-0000-1700-000054D94200}"/>
            </a:ext>
          </a:extLst>
        </xdr:cNvPr>
        <xdr:cNvSpPr>
          <a:spLocks noChangeShapeType="1"/>
        </xdr:cNvSpPr>
      </xdr:nvSpPr>
      <xdr:spPr bwMode="auto">
        <a:xfrm flipV="1">
          <a:off x="8115300" y="0"/>
          <a:ext cx="1695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10</xdr:col>
      <xdr:colOff>914400</xdr:colOff>
      <xdr:row>0</xdr:row>
      <xdr:rowOff>0</xdr:rowOff>
    </xdr:to>
    <xdr:sp macro="" textlink="">
      <xdr:nvSpPr>
        <xdr:cNvPr id="4381013" name="Line 41">
          <a:extLst>
            <a:ext uri="{FF2B5EF4-FFF2-40B4-BE49-F238E27FC236}">
              <a16:creationId xmlns="" xmlns:a16="http://schemas.microsoft.com/office/drawing/2014/main" id="{00000000-0008-0000-1700-000055D94200}"/>
            </a:ext>
          </a:extLst>
        </xdr:cNvPr>
        <xdr:cNvSpPr>
          <a:spLocks noChangeShapeType="1"/>
        </xdr:cNvSpPr>
      </xdr:nvSpPr>
      <xdr:spPr bwMode="auto">
        <a:xfrm>
          <a:off x="8572500" y="0"/>
          <a:ext cx="1543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28575</xdr:colOff>
      <xdr:row>0</xdr:row>
      <xdr:rowOff>0</xdr:rowOff>
    </xdr:to>
    <xdr:sp macro="" textlink="">
      <xdr:nvSpPr>
        <xdr:cNvPr id="4381014" name="Line 42">
          <a:extLst>
            <a:ext uri="{FF2B5EF4-FFF2-40B4-BE49-F238E27FC236}">
              <a16:creationId xmlns="" xmlns:a16="http://schemas.microsoft.com/office/drawing/2014/main" id="{00000000-0008-0000-1700-000056D94200}"/>
            </a:ext>
          </a:extLst>
        </xdr:cNvPr>
        <xdr:cNvSpPr>
          <a:spLocks noChangeShapeType="1"/>
        </xdr:cNvSpPr>
      </xdr:nvSpPr>
      <xdr:spPr bwMode="auto">
        <a:xfrm>
          <a:off x="8572500" y="0"/>
          <a:ext cx="1914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552450</xdr:colOff>
      <xdr:row>0</xdr:row>
      <xdr:rowOff>0</xdr:rowOff>
    </xdr:from>
    <xdr:to>
      <xdr:col>14</xdr:col>
      <xdr:colOff>400050</xdr:colOff>
      <xdr:row>0</xdr:row>
      <xdr:rowOff>0</xdr:rowOff>
    </xdr:to>
    <xdr:sp macro="" textlink="">
      <xdr:nvSpPr>
        <xdr:cNvPr id="4381015" name="Line 43">
          <a:extLst>
            <a:ext uri="{FF2B5EF4-FFF2-40B4-BE49-F238E27FC236}">
              <a16:creationId xmlns="" xmlns:a16="http://schemas.microsoft.com/office/drawing/2014/main" id="{00000000-0008-0000-1700-000057D94200}"/>
            </a:ext>
          </a:extLst>
        </xdr:cNvPr>
        <xdr:cNvSpPr>
          <a:spLocks noChangeShapeType="1"/>
        </xdr:cNvSpPr>
      </xdr:nvSpPr>
      <xdr:spPr bwMode="auto">
        <a:xfrm flipH="1">
          <a:off x="8534400" y="0"/>
          <a:ext cx="2914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10</xdr:col>
      <xdr:colOff>57150</xdr:colOff>
      <xdr:row>0</xdr:row>
      <xdr:rowOff>0</xdr:rowOff>
    </xdr:to>
    <xdr:grpSp>
      <xdr:nvGrpSpPr>
        <xdr:cNvPr id="4381016" name="Group 44">
          <a:extLst>
            <a:ext uri="{FF2B5EF4-FFF2-40B4-BE49-F238E27FC236}">
              <a16:creationId xmlns="" xmlns:a16="http://schemas.microsoft.com/office/drawing/2014/main" id="{00000000-0008-0000-1700-000058D94200}"/>
            </a:ext>
          </a:extLst>
        </xdr:cNvPr>
        <xdr:cNvGrpSpPr>
          <a:grpSpLocks/>
        </xdr:cNvGrpSpPr>
      </xdr:nvGrpSpPr>
      <xdr:grpSpPr bwMode="auto">
        <a:xfrm>
          <a:off x="8596313" y="0"/>
          <a:ext cx="1223962" cy="0"/>
          <a:chOff x="554" y="439"/>
          <a:chExt cx="10" cy="76"/>
        </a:xfrm>
      </xdr:grpSpPr>
      <xdr:sp macro="" textlink="">
        <xdr:nvSpPr>
          <xdr:cNvPr id="4381223" name="Line 45">
            <a:extLst>
              <a:ext uri="{FF2B5EF4-FFF2-40B4-BE49-F238E27FC236}">
                <a16:creationId xmlns="" xmlns:a16="http://schemas.microsoft.com/office/drawing/2014/main" id="{00000000-0008-0000-1700-000027DA4200}"/>
              </a:ext>
            </a:extLst>
          </xdr:cNvPr>
          <xdr:cNvSpPr>
            <a:spLocks noChangeShapeType="1"/>
          </xdr:cNvSpPr>
        </xdr:nvSpPr>
        <xdr:spPr bwMode="auto">
          <a:xfrm>
            <a:off x="558" y="439"/>
            <a:ext cx="0" cy="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1224" name="Line 46">
            <a:extLst>
              <a:ext uri="{FF2B5EF4-FFF2-40B4-BE49-F238E27FC236}">
                <a16:creationId xmlns="" xmlns:a16="http://schemas.microsoft.com/office/drawing/2014/main" id="{00000000-0008-0000-1700-000028DA4200}"/>
              </a:ext>
            </a:extLst>
          </xdr:cNvPr>
          <xdr:cNvSpPr>
            <a:spLocks noChangeShapeType="1"/>
          </xdr:cNvSpPr>
        </xdr:nvSpPr>
        <xdr:spPr bwMode="auto">
          <a:xfrm>
            <a:off x="554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11</xdr:col>
      <xdr:colOff>0</xdr:colOff>
      <xdr:row>0</xdr:row>
      <xdr:rowOff>0</xdr:rowOff>
    </xdr:from>
    <xdr:to>
      <xdr:col>11</xdr:col>
      <xdr:colOff>38100</xdr:colOff>
      <xdr:row>0</xdr:row>
      <xdr:rowOff>0</xdr:rowOff>
    </xdr:to>
    <xdr:grpSp>
      <xdr:nvGrpSpPr>
        <xdr:cNvPr id="4381017" name="Group 47">
          <a:extLst>
            <a:ext uri="{FF2B5EF4-FFF2-40B4-BE49-F238E27FC236}">
              <a16:creationId xmlns="" xmlns:a16="http://schemas.microsoft.com/office/drawing/2014/main" id="{00000000-0008-0000-1700-000059D94200}"/>
            </a:ext>
          </a:extLst>
        </xdr:cNvPr>
        <xdr:cNvGrpSpPr>
          <a:grpSpLocks/>
        </xdr:cNvGrpSpPr>
      </xdr:nvGrpSpPr>
      <xdr:grpSpPr bwMode="auto">
        <a:xfrm>
          <a:off x="10120313" y="0"/>
          <a:ext cx="38100" cy="0"/>
          <a:chOff x="680" y="439"/>
          <a:chExt cx="10" cy="98"/>
        </a:xfrm>
      </xdr:grpSpPr>
      <xdr:sp macro="" textlink="">
        <xdr:nvSpPr>
          <xdr:cNvPr id="4381221" name="Line 48">
            <a:extLst>
              <a:ext uri="{FF2B5EF4-FFF2-40B4-BE49-F238E27FC236}">
                <a16:creationId xmlns="" xmlns:a16="http://schemas.microsoft.com/office/drawing/2014/main" id="{00000000-0008-0000-1700-000025DA4200}"/>
              </a:ext>
            </a:extLst>
          </xdr:cNvPr>
          <xdr:cNvSpPr>
            <a:spLocks noChangeShapeType="1"/>
          </xdr:cNvSpPr>
        </xdr:nvSpPr>
        <xdr:spPr bwMode="auto">
          <a:xfrm>
            <a:off x="685" y="439"/>
            <a:ext cx="0" cy="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1222" name="Line 49">
            <a:extLst>
              <a:ext uri="{FF2B5EF4-FFF2-40B4-BE49-F238E27FC236}">
                <a16:creationId xmlns="" xmlns:a16="http://schemas.microsoft.com/office/drawing/2014/main" id="{00000000-0008-0000-1700-000026DA4200}"/>
              </a:ext>
            </a:extLst>
          </xdr:cNvPr>
          <xdr:cNvSpPr>
            <a:spLocks noChangeShapeType="1"/>
          </xdr:cNvSpPr>
        </xdr:nvSpPr>
        <xdr:spPr bwMode="auto">
          <a:xfrm>
            <a:off x="680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4381018" name="Group 50">
          <a:extLst>
            <a:ext uri="{FF2B5EF4-FFF2-40B4-BE49-F238E27FC236}">
              <a16:creationId xmlns="" xmlns:a16="http://schemas.microsoft.com/office/drawing/2014/main" id="{00000000-0008-0000-1700-00005AD94200}"/>
            </a:ext>
          </a:extLst>
        </xdr:cNvPr>
        <xdr:cNvGrpSpPr>
          <a:grpSpLocks/>
        </xdr:cNvGrpSpPr>
      </xdr:nvGrpSpPr>
      <xdr:grpSpPr bwMode="auto">
        <a:xfrm>
          <a:off x="10453688" y="0"/>
          <a:ext cx="142875" cy="0"/>
          <a:chOff x="759" y="438"/>
          <a:chExt cx="10" cy="121"/>
        </a:xfrm>
      </xdr:grpSpPr>
      <xdr:sp macro="" textlink="">
        <xdr:nvSpPr>
          <xdr:cNvPr id="4381219" name="Line 51">
            <a:extLst>
              <a:ext uri="{FF2B5EF4-FFF2-40B4-BE49-F238E27FC236}">
                <a16:creationId xmlns="" xmlns:a16="http://schemas.microsoft.com/office/drawing/2014/main" id="{00000000-0008-0000-1700-000023DA42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1220" name="Line 52">
            <a:extLst>
              <a:ext uri="{FF2B5EF4-FFF2-40B4-BE49-F238E27FC236}">
                <a16:creationId xmlns="" xmlns:a16="http://schemas.microsoft.com/office/drawing/2014/main" id="{00000000-0008-0000-1700-000024DA42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14</xdr:col>
      <xdr:colOff>76200</xdr:colOff>
      <xdr:row>0</xdr:row>
      <xdr:rowOff>0</xdr:rowOff>
    </xdr:from>
    <xdr:to>
      <xdr:col>14</xdr:col>
      <xdr:colOff>676275</xdr:colOff>
      <xdr:row>0</xdr:row>
      <xdr:rowOff>0</xdr:rowOff>
    </xdr:to>
    <xdr:grpSp>
      <xdr:nvGrpSpPr>
        <xdr:cNvPr id="4381019" name="Group 53">
          <a:extLst>
            <a:ext uri="{FF2B5EF4-FFF2-40B4-BE49-F238E27FC236}">
              <a16:creationId xmlns="" xmlns:a16="http://schemas.microsoft.com/office/drawing/2014/main" id="{00000000-0008-0000-1700-00005BD94200}"/>
            </a:ext>
          </a:extLst>
        </xdr:cNvPr>
        <xdr:cNvGrpSpPr>
          <a:grpSpLocks/>
        </xdr:cNvGrpSpPr>
      </xdr:nvGrpSpPr>
      <xdr:grpSpPr bwMode="auto">
        <a:xfrm>
          <a:off x="11101388" y="0"/>
          <a:ext cx="600075" cy="0"/>
          <a:chOff x="842" y="438"/>
          <a:chExt cx="10" cy="147"/>
        </a:xfrm>
      </xdr:grpSpPr>
      <xdr:sp macro="" textlink="">
        <xdr:nvSpPr>
          <xdr:cNvPr id="4381217" name="Line 54">
            <a:extLst>
              <a:ext uri="{FF2B5EF4-FFF2-40B4-BE49-F238E27FC236}">
                <a16:creationId xmlns="" xmlns:a16="http://schemas.microsoft.com/office/drawing/2014/main" id="{00000000-0008-0000-1700-000021DA42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1218" name="Line 55">
            <a:extLst>
              <a:ext uri="{FF2B5EF4-FFF2-40B4-BE49-F238E27FC236}">
                <a16:creationId xmlns="" xmlns:a16="http://schemas.microsoft.com/office/drawing/2014/main" id="{00000000-0008-0000-1700-000022DA42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17</xdr:col>
      <xdr:colOff>76200</xdr:colOff>
      <xdr:row>0</xdr:row>
      <xdr:rowOff>0</xdr:rowOff>
    </xdr:to>
    <xdr:sp macro="" textlink="">
      <xdr:nvSpPr>
        <xdr:cNvPr id="4381020" name="Rectangle 56">
          <a:extLst>
            <a:ext uri="{FF2B5EF4-FFF2-40B4-BE49-F238E27FC236}">
              <a16:creationId xmlns="" xmlns:a16="http://schemas.microsoft.com/office/drawing/2014/main" id="{00000000-0008-0000-1700-00005CD94200}"/>
            </a:ext>
          </a:extLst>
        </xdr:cNvPr>
        <xdr:cNvSpPr>
          <a:spLocks noChangeArrowheads="1"/>
        </xdr:cNvSpPr>
      </xdr:nvSpPr>
      <xdr:spPr bwMode="auto">
        <a:xfrm>
          <a:off x="8572500" y="0"/>
          <a:ext cx="575310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0</xdr:row>
      <xdr:rowOff>0</xdr:rowOff>
    </xdr:from>
    <xdr:to>
      <xdr:col>17</xdr:col>
      <xdr:colOff>0</xdr:colOff>
      <xdr:row>0</xdr:row>
      <xdr:rowOff>0</xdr:rowOff>
    </xdr:to>
    <xdr:sp macro="" textlink="">
      <xdr:nvSpPr>
        <xdr:cNvPr id="4381021" name="Line 57">
          <a:extLst>
            <a:ext uri="{FF2B5EF4-FFF2-40B4-BE49-F238E27FC236}">
              <a16:creationId xmlns="" xmlns:a16="http://schemas.microsoft.com/office/drawing/2014/main" id="{00000000-0008-0000-1700-00005DD94200}"/>
            </a:ext>
          </a:extLst>
        </xdr:cNvPr>
        <xdr:cNvSpPr>
          <a:spLocks noChangeShapeType="1"/>
        </xdr:cNvSpPr>
      </xdr:nvSpPr>
      <xdr:spPr bwMode="auto">
        <a:xfrm>
          <a:off x="142494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638175</xdr:colOff>
      <xdr:row>0</xdr:row>
      <xdr:rowOff>0</xdr:rowOff>
    </xdr:from>
    <xdr:to>
      <xdr:col>17</xdr:col>
      <xdr:colOff>47625</xdr:colOff>
      <xdr:row>0</xdr:row>
      <xdr:rowOff>0</xdr:rowOff>
    </xdr:to>
    <xdr:sp macro="" textlink="">
      <xdr:nvSpPr>
        <xdr:cNvPr id="4381022" name="Line 58">
          <a:extLst>
            <a:ext uri="{FF2B5EF4-FFF2-40B4-BE49-F238E27FC236}">
              <a16:creationId xmlns="" xmlns:a16="http://schemas.microsoft.com/office/drawing/2014/main" id="{00000000-0008-0000-1700-00005ED94200}"/>
            </a:ext>
          </a:extLst>
        </xdr:cNvPr>
        <xdr:cNvSpPr>
          <a:spLocks noChangeShapeType="1"/>
        </xdr:cNvSpPr>
      </xdr:nvSpPr>
      <xdr:spPr bwMode="auto">
        <a:xfrm>
          <a:off x="13801725" y="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16</xdr:col>
      <xdr:colOff>1181100</xdr:colOff>
      <xdr:row>0</xdr:row>
      <xdr:rowOff>0</xdr:rowOff>
    </xdr:to>
    <xdr:sp macro="" textlink="">
      <xdr:nvSpPr>
        <xdr:cNvPr id="4381023" name="Line 59">
          <a:extLst>
            <a:ext uri="{FF2B5EF4-FFF2-40B4-BE49-F238E27FC236}">
              <a16:creationId xmlns="" xmlns:a16="http://schemas.microsoft.com/office/drawing/2014/main" id="{00000000-0008-0000-1700-00005FD94200}"/>
            </a:ext>
          </a:extLst>
        </xdr:cNvPr>
        <xdr:cNvSpPr>
          <a:spLocks noChangeShapeType="1"/>
        </xdr:cNvSpPr>
      </xdr:nvSpPr>
      <xdr:spPr bwMode="auto">
        <a:xfrm flipV="1">
          <a:off x="8601075" y="0"/>
          <a:ext cx="5648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666750</xdr:colOff>
      <xdr:row>0</xdr:row>
      <xdr:rowOff>0</xdr:rowOff>
    </xdr:from>
    <xdr:to>
      <xdr:col>15</xdr:col>
      <xdr:colOff>838200</xdr:colOff>
      <xdr:row>0</xdr:row>
      <xdr:rowOff>0</xdr:rowOff>
    </xdr:to>
    <xdr:grpSp>
      <xdr:nvGrpSpPr>
        <xdr:cNvPr id="4381024" name="Group 60">
          <a:extLst>
            <a:ext uri="{FF2B5EF4-FFF2-40B4-BE49-F238E27FC236}">
              <a16:creationId xmlns="" xmlns:a16="http://schemas.microsoft.com/office/drawing/2014/main" id="{00000000-0008-0000-1700-000060D94200}"/>
            </a:ext>
          </a:extLst>
        </xdr:cNvPr>
        <xdr:cNvGrpSpPr>
          <a:grpSpLocks/>
        </xdr:cNvGrpSpPr>
      </xdr:nvGrpSpPr>
      <xdr:grpSpPr bwMode="auto">
        <a:xfrm>
          <a:off x="12882563" y="0"/>
          <a:ext cx="171450" cy="0"/>
          <a:chOff x="912" y="438"/>
          <a:chExt cx="11" cy="175"/>
        </a:xfrm>
      </xdr:grpSpPr>
      <xdr:sp macro="" textlink="">
        <xdr:nvSpPr>
          <xdr:cNvPr id="4381215" name="Line 61">
            <a:extLst>
              <a:ext uri="{FF2B5EF4-FFF2-40B4-BE49-F238E27FC236}">
                <a16:creationId xmlns="" xmlns:a16="http://schemas.microsoft.com/office/drawing/2014/main" id="{00000000-0008-0000-1700-00001FDA42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1216" name="Line 62">
            <a:extLst>
              <a:ext uri="{FF2B5EF4-FFF2-40B4-BE49-F238E27FC236}">
                <a16:creationId xmlns="" xmlns:a16="http://schemas.microsoft.com/office/drawing/2014/main" id="{00000000-0008-0000-1700-000020DA42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171450</xdr:colOff>
      <xdr:row>0</xdr:row>
      <xdr:rowOff>0</xdr:rowOff>
    </xdr:from>
    <xdr:to>
      <xdr:col>4</xdr:col>
      <xdr:colOff>542925</xdr:colOff>
      <xdr:row>0</xdr:row>
      <xdr:rowOff>0</xdr:rowOff>
    </xdr:to>
    <xdr:sp macro="" textlink="">
      <xdr:nvSpPr>
        <xdr:cNvPr id="4381025" name="Line 63">
          <a:extLst>
            <a:ext uri="{FF2B5EF4-FFF2-40B4-BE49-F238E27FC236}">
              <a16:creationId xmlns="" xmlns:a16="http://schemas.microsoft.com/office/drawing/2014/main" id="{00000000-0008-0000-1700-000061D94200}"/>
            </a:ext>
          </a:extLst>
        </xdr:cNvPr>
        <xdr:cNvSpPr>
          <a:spLocks noChangeShapeType="1"/>
        </xdr:cNvSpPr>
      </xdr:nvSpPr>
      <xdr:spPr bwMode="auto">
        <a:xfrm>
          <a:off x="2867025" y="0"/>
          <a:ext cx="2628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190500</xdr:colOff>
      <xdr:row>0</xdr:row>
      <xdr:rowOff>0</xdr:rowOff>
    </xdr:from>
    <xdr:to>
      <xdr:col>4</xdr:col>
      <xdr:colOff>571500</xdr:colOff>
      <xdr:row>0</xdr:row>
      <xdr:rowOff>0</xdr:rowOff>
    </xdr:to>
    <xdr:sp macro="" textlink="">
      <xdr:nvSpPr>
        <xdr:cNvPr id="4381026" name="Line 64">
          <a:extLst>
            <a:ext uri="{FF2B5EF4-FFF2-40B4-BE49-F238E27FC236}">
              <a16:creationId xmlns="" xmlns:a16="http://schemas.microsoft.com/office/drawing/2014/main" id="{00000000-0008-0000-1700-000062D94200}"/>
            </a:ext>
          </a:extLst>
        </xdr:cNvPr>
        <xdr:cNvSpPr>
          <a:spLocks noChangeShapeType="1"/>
        </xdr:cNvSpPr>
      </xdr:nvSpPr>
      <xdr:spPr bwMode="auto">
        <a:xfrm>
          <a:off x="2886075" y="0"/>
          <a:ext cx="2638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81027" name="Line 65">
          <a:extLst>
            <a:ext uri="{FF2B5EF4-FFF2-40B4-BE49-F238E27FC236}">
              <a16:creationId xmlns="" xmlns:a16="http://schemas.microsoft.com/office/drawing/2014/main" id="{00000000-0008-0000-1700-000063D94200}"/>
            </a:ext>
          </a:extLst>
        </xdr:cNvPr>
        <xdr:cNvSpPr>
          <a:spLocks noChangeShapeType="1"/>
        </xdr:cNvSpPr>
      </xdr:nvSpPr>
      <xdr:spPr bwMode="auto">
        <a:xfrm>
          <a:off x="5486400" y="0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4</xdr:col>
      <xdr:colOff>676275</xdr:colOff>
      <xdr:row>0</xdr:row>
      <xdr:rowOff>0</xdr:rowOff>
    </xdr:to>
    <xdr:sp macro="" textlink="">
      <xdr:nvSpPr>
        <xdr:cNvPr id="4381028" name="Line 66">
          <a:extLst>
            <a:ext uri="{FF2B5EF4-FFF2-40B4-BE49-F238E27FC236}">
              <a16:creationId xmlns="" xmlns:a16="http://schemas.microsoft.com/office/drawing/2014/main" id="{00000000-0008-0000-1700-000064D94200}"/>
            </a:ext>
          </a:extLst>
        </xdr:cNvPr>
        <xdr:cNvSpPr>
          <a:spLocks noChangeShapeType="1"/>
        </xdr:cNvSpPr>
      </xdr:nvSpPr>
      <xdr:spPr bwMode="auto">
        <a:xfrm>
          <a:off x="5486400" y="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219075</xdr:colOff>
      <xdr:row>0</xdr:row>
      <xdr:rowOff>0</xdr:rowOff>
    </xdr:from>
    <xdr:to>
      <xdr:col>2</xdr:col>
      <xdr:colOff>219075</xdr:colOff>
      <xdr:row>0</xdr:row>
      <xdr:rowOff>0</xdr:rowOff>
    </xdr:to>
    <xdr:sp macro="" textlink="">
      <xdr:nvSpPr>
        <xdr:cNvPr id="4381029" name="Line 67">
          <a:extLst>
            <a:ext uri="{FF2B5EF4-FFF2-40B4-BE49-F238E27FC236}">
              <a16:creationId xmlns="" xmlns:a16="http://schemas.microsoft.com/office/drawing/2014/main" id="{00000000-0008-0000-1700-000065D94200}"/>
            </a:ext>
          </a:extLst>
        </xdr:cNvPr>
        <xdr:cNvSpPr>
          <a:spLocks noChangeShapeType="1"/>
        </xdr:cNvSpPr>
      </xdr:nvSpPr>
      <xdr:spPr bwMode="auto">
        <a:xfrm>
          <a:off x="29146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266700</xdr:colOff>
      <xdr:row>0</xdr:row>
      <xdr:rowOff>0</xdr:rowOff>
    </xdr:from>
    <xdr:to>
      <xdr:col>2</xdr:col>
      <xdr:colOff>266700</xdr:colOff>
      <xdr:row>0</xdr:row>
      <xdr:rowOff>0</xdr:rowOff>
    </xdr:to>
    <xdr:sp macro="" textlink="">
      <xdr:nvSpPr>
        <xdr:cNvPr id="4381030" name="Line 68">
          <a:extLst>
            <a:ext uri="{FF2B5EF4-FFF2-40B4-BE49-F238E27FC236}">
              <a16:creationId xmlns="" xmlns:a16="http://schemas.microsoft.com/office/drawing/2014/main" id="{00000000-0008-0000-1700-000066D94200}"/>
            </a:ext>
          </a:extLst>
        </xdr:cNvPr>
        <xdr:cNvSpPr>
          <a:spLocks noChangeShapeType="1"/>
        </xdr:cNvSpPr>
      </xdr:nvSpPr>
      <xdr:spPr bwMode="auto">
        <a:xfrm>
          <a:off x="29622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333375</xdr:colOff>
      <xdr:row>0</xdr:row>
      <xdr:rowOff>0</xdr:rowOff>
    </xdr:from>
    <xdr:to>
      <xdr:col>2</xdr:col>
      <xdr:colOff>333375</xdr:colOff>
      <xdr:row>0</xdr:row>
      <xdr:rowOff>0</xdr:rowOff>
    </xdr:to>
    <xdr:sp macro="" textlink="">
      <xdr:nvSpPr>
        <xdr:cNvPr id="4381031" name="Line 69">
          <a:extLst>
            <a:ext uri="{FF2B5EF4-FFF2-40B4-BE49-F238E27FC236}">
              <a16:creationId xmlns="" xmlns:a16="http://schemas.microsoft.com/office/drawing/2014/main" id="{00000000-0008-0000-1700-000067D94200}"/>
            </a:ext>
          </a:extLst>
        </xdr:cNvPr>
        <xdr:cNvSpPr>
          <a:spLocks noChangeShapeType="1"/>
        </xdr:cNvSpPr>
      </xdr:nvSpPr>
      <xdr:spPr bwMode="auto">
        <a:xfrm>
          <a:off x="30289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0</xdr:row>
      <xdr:rowOff>0</xdr:rowOff>
    </xdr:from>
    <xdr:to>
      <xdr:col>2</xdr:col>
      <xdr:colOff>390525</xdr:colOff>
      <xdr:row>0</xdr:row>
      <xdr:rowOff>0</xdr:rowOff>
    </xdr:to>
    <xdr:sp macro="" textlink="">
      <xdr:nvSpPr>
        <xdr:cNvPr id="4381032" name="Line 70">
          <a:extLst>
            <a:ext uri="{FF2B5EF4-FFF2-40B4-BE49-F238E27FC236}">
              <a16:creationId xmlns="" xmlns:a16="http://schemas.microsoft.com/office/drawing/2014/main" id="{00000000-0008-0000-1700-000068D94200}"/>
            </a:ext>
          </a:extLst>
        </xdr:cNvPr>
        <xdr:cNvSpPr>
          <a:spLocks noChangeShapeType="1"/>
        </xdr:cNvSpPr>
      </xdr:nvSpPr>
      <xdr:spPr bwMode="auto">
        <a:xfrm>
          <a:off x="30861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447675</xdr:colOff>
      <xdr:row>0</xdr:row>
      <xdr:rowOff>0</xdr:rowOff>
    </xdr:to>
    <xdr:sp macro="" textlink="">
      <xdr:nvSpPr>
        <xdr:cNvPr id="4381033" name="Line 71">
          <a:extLst>
            <a:ext uri="{FF2B5EF4-FFF2-40B4-BE49-F238E27FC236}">
              <a16:creationId xmlns="" xmlns:a16="http://schemas.microsoft.com/office/drawing/2014/main" id="{00000000-0008-0000-1700-000069D94200}"/>
            </a:ext>
          </a:extLst>
        </xdr:cNvPr>
        <xdr:cNvSpPr>
          <a:spLocks noChangeShapeType="1"/>
        </xdr:cNvSpPr>
      </xdr:nvSpPr>
      <xdr:spPr bwMode="auto">
        <a:xfrm>
          <a:off x="2857500" y="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4381034" name="Line 72">
          <a:extLst>
            <a:ext uri="{FF2B5EF4-FFF2-40B4-BE49-F238E27FC236}">
              <a16:creationId xmlns="" xmlns:a16="http://schemas.microsoft.com/office/drawing/2014/main" id="{00000000-0008-0000-1700-00006AD94200}"/>
            </a:ext>
          </a:extLst>
        </xdr:cNvPr>
        <xdr:cNvSpPr>
          <a:spLocks noChangeShapeType="1"/>
        </xdr:cNvSpPr>
      </xdr:nvSpPr>
      <xdr:spPr bwMode="auto">
        <a:xfrm>
          <a:off x="2847975" y="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314325</xdr:colOff>
      <xdr:row>0</xdr:row>
      <xdr:rowOff>0</xdr:rowOff>
    </xdr:to>
    <xdr:sp macro="" textlink="">
      <xdr:nvSpPr>
        <xdr:cNvPr id="4381035" name="Line 73">
          <a:extLst>
            <a:ext uri="{FF2B5EF4-FFF2-40B4-BE49-F238E27FC236}">
              <a16:creationId xmlns="" xmlns:a16="http://schemas.microsoft.com/office/drawing/2014/main" id="{00000000-0008-0000-1700-00006BD94200}"/>
            </a:ext>
          </a:extLst>
        </xdr:cNvPr>
        <xdr:cNvSpPr>
          <a:spLocks noChangeShapeType="1"/>
        </xdr:cNvSpPr>
      </xdr:nvSpPr>
      <xdr:spPr bwMode="auto">
        <a:xfrm>
          <a:off x="2857500" y="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657225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81036" name="Line 74">
          <a:extLst>
            <a:ext uri="{FF2B5EF4-FFF2-40B4-BE49-F238E27FC236}">
              <a16:creationId xmlns="" xmlns:a16="http://schemas.microsoft.com/office/drawing/2014/main" id="{00000000-0008-0000-1700-00006CD94200}"/>
            </a:ext>
          </a:extLst>
        </xdr:cNvPr>
        <xdr:cNvSpPr>
          <a:spLocks noChangeShapeType="1"/>
        </xdr:cNvSpPr>
      </xdr:nvSpPr>
      <xdr:spPr bwMode="auto">
        <a:xfrm>
          <a:off x="2695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266700</xdr:colOff>
      <xdr:row>0</xdr:row>
      <xdr:rowOff>0</xdr:rowOff>
    </xdr:from>
    <xdr:to>
      <xdr:col>11</xdr:col>
      <xdr:colOff>352425</xdr:colOff>
      <xdr:row>0</xdr:row>
      <xdr:rowOff>0</xdr:rowOff>
    </xdr:to>
    <xdr:sp macro="" textlink="">
      <xdr:nvSpPr>
        <xdr:cNvPr id="4381037" name="Text Box 75">
          <a:extLst>
            <a:ext uri="{FF2B5EF4-FFF2-40B4-BE49-F238E27FC236}">
              <a16:creationId xmlns="" xmlns:a16="http://schemas.microsoft.com/office/drawing/2014/main" id="{00000000-0008-0000-1700-00006DD94200}"/>
            </a:ext>
          </a:extLst>
        </xdr:cNvPr>
        <xdr:cNvSpPr txBox="1">
          <a:spLocks noChangeArrowheads="1"/>
        </xdr:cNvSpPr>
      </xdr:nvSpPr>
      <xdr:spPr bwMode="auto">
        <a:xfrm>
          <a:off x="10029825" y="0"/>
          <a:ext cx="4286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209550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4381038" name="Line 76">
          <a:extLst>
            <a:ext uri="{FF2B5EF4-FFF2-40B4-BE49-F238E27FC236}">
              <a16:creationId xmlns="" xmlns:a16="http://schemas.microsoft.com/office/drawing/2014/main" id="{00000000-0008-0000-1700-00006ED94200}"/>
            </a:ext>
          </a:extLst>
        </xdr:cNvPr>
        <xdr:cNvSpPr>
          <a:spLocks noChangeShapeType="1"/>
        </xdr:cNvSpPr>
      </xdr:nvSpPr>
      <xdr:spPr bwMode="auto">
        <a:xfrm flipV="1">
          <a:off x="63150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819150</xdr:colOff>
      <xdr:row>0</xdr:row>
      <xdr:rowOff>0</xdr:rowOff>
    </xdr:to>
    <xdr:sp macro="" textlink="">
      <xdr:nvSpPr>
        <xdr:cNvPr id="4381039" name="Line 77">
          <a:extLst>
            <a:ext uri="{FF2B5EF4-FFF2-40B4-BE49-F238E27FC236}">
              <a16:creationId xmlns="" xmlns:a16="http://schemas.microsoft.com/office/drawing/2014/main" id="{00000000-0008-0000-1700-00006FD94200}"/>
            </a:ext>
          </a:extLst>
        </xdr:cNvPr>
        <xdr:cNvSpPr>
          <a:spLocks noChangeShapeType="1"/>
        </xdr:cNvSpPr>
      </xdr:nvSpPr>
      <xdr:spPr bwMode="auto">
        <a:xfrm>
          <a:off x="6600825" y="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114300</xdr:colOff>
      <xdr:row>0</xdr:row>
      <xdr:rowOff>0</xdr:rowOff>
    </xdr:from>
    <xdr:to>
      <xdr:col>5</xdr:col>
      <xdr:colOff>323850</xdr:colOff>
      <xdr:row>0</xdr:row>
      <xdr:rowOff>0</xdr:rowOff>
    </xdr:to>
    <xdr:sp macro="" textlink="">
      <xdr:nvSpPr>
        <xdr:cNvPr id="4381040" name="Line 78">
          <a:extLst>
            <a:ext uri="{FF2B5EF4-FFF2-40B4-BE49-F238E27FC236}">
              <a16:creationId xmlns="" xmlns:a16="http://schemas.microsoft.com/office/drawing/2014/main" id="{00000000-0008-0000-1700-000070D94200}"/>
            </a:ext>
          </a:extLst>
        </xdr:cNvPr>
        <xdr:cNvSpPr>
          <a:spLocks noChangeShapeType="1"/>
        </xdr:cNvSpPr>
      </xdr:nvSpPr>
      <xdr:spPr bwMode="auto">
        <a:xfrm>
          <a:off x="6219825" y="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1041" name="Rectangle 79">
          <a:extLst>
            <a:ext uri="{FF2B5EF4-FFF2-40B4-BE49-F238E27FC236}">
              <a16:creationId xmlns="" xmlns:a16="http://schemas.microsoft.com/office/drawing/2014/main" id="{00000000-0008-0000-1700-000071D94200}"/>
            </a:ext>
          </a:extLst>
        </xdr:cNvPr>
        <xdr:cNvSpPr>
          <a:spLocks noChangeArrowheads="1"/>
        </xdr:cNvSpPr>
      </xdr:nvSpPr>
      <xdr:spPr bwMode="auto">
        <a:xfrm>
          <a:off x="15487650" y="0"/>
          <a:ext cx="376237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4381042" name="Line 80">
          <a:extLst>
            <a:ext uri="{FF2B5EF4-FFF2-40B4-BE49-F238E27FC236}">
              <a16:creationId xmlns="" xmlns:a16="http://schemas.microsoft.com/office/drawing/2014/main" id="{00000000-0008-0000-1700-000072D94200}"/>
            </a:ext>
          </a:extLst>
        </xdr:cNvPr>
        <xdr:cNvSpPr>
          <a:spLocks noChangeShapeType="1"/>
        </xdr:cNvSpPr>
      </xdr:nvSpPr>
      <xdr:spPr bwMode="auto">
        <a:xfrm flipV="1">
          <a:off x="15640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1043" name="Line 81">
          <a:extLst>
            <a:ext uri="{FF2B5EF4-FFF2-40B4-BE49-F238E27FC236}">
              <a16:creationId xmlns="" xmlns:a16="http://schemas.microsoft.com/office/drawing/2014/main" id="{00000000-0008-0000-1700-000073D94200}"/>
            </a:ext>
          </a:extLst>
        </xdr:cNvPr>
        <xdr:cNvSpPr>
          <a:spLocks noChangeShapeType="1"/>
        </xdr:cNvSpPr>
      </xdr:nvSpPr>
      <xdr:spPr bwMode="auto">
        <a:xfrm flipV="1">
          <a:off x="192500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4381044" name="Line 82">
          <a:extLst>
            <a:ext uri="{FF2B5EF4-FFF2-40B4-BE49-F238E27FC236}">
              <a16:creationId xmlns="" xmlns:a16="http://schemas.microsoft.com/office/drawing/2014/main" id="{00000000-0008-0000-1700-000074D94200}"/>
            </a:ext>
          </a:extLst>
        </xdr:cNvPr>
        <xdr:cNvSpPr>
          <a:spLocks noChangeShapeType="1"/>
        </xdr:cNvSpPr>
      </xdr:nvSpPr>
      <xdr:spPr bwMode="auto">
        <a:xfrm flipV="1">
          <a:off x="15640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1045" name="Line 83">
          <a:extLst>
            <a:ext uri="{FF2B5EF4-FFF2-40B4-BE49-F238E27FC236}">
              <a16:creationId xmlns="" xmlns:a16="http://schemas.microsoft.com/office/drawing/2014/main" id="{00000000-0008-0000-1700-000075D94200}"/>
            </a:ext>
          </a:extLst>
        </xdr:cNvPr>
        <xdr:cNvSpPr>
          <a:spLocks noChangeShapeType="1"/>
        </xdr:cNvSpPr>
      </xdr:nvSpPr>
      <xdr:spPr bwMode="auto">
        <a:xfrm flipV="1">
          <a:off x="192500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19050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1046" name="Line 84">
          <a:extLst>
            <a:ext uri="{FF2B5EF4-FFF2-40B4-BE49-F238E27FC236}">
              <a16:creationId xmlns="" xmlns:a16="http://schemas.microsoft.com/office/drawing/2014/main" id="{00000000-0008-0000-1700-000076D94200}"/>
            </a:ext>
          </a:extLst>
        </xdr:cNvPr>
        <xdr:cNvSpPr>
          <a:spLocks noChangeShapeType="1"/>
        </xdr:cNvSpPr>
      </xdr:nvSpPr>
      <xdr:spPr bwMode="auto">
        <a:xfrm>
          <a:off x="15659100" y="0"/>
          <a:ext cx="3590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18</xdr:col>
      <xdr:colOff>609600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1047" name="Line 85">
          <a:extLst>
            <a:ext uri="{FF2B5EF4-FFF2-40B4-BE49-F238E27FC236}">
              <a16:creationId xmlns="" xmlns:a16="http://schemas.microsoft.com/office/drawing/2014/main" id="{00000000-0008-0000-1700-000077D94200}"/>
            </a:ext>
          </a:extLst>
        </xdr:cNvPr>
        <xdr:cNvSpPr>
          <a:spLocks noChangeShapeType="1"/>
        </xdr:cNvSpPr>
      </xdr:nvSpPr>
      <xdr:spPr bwMode="auto">
        <a:xfrm>
          <a:off x="15506700" y="0"/>
          <a:ext cx="3743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18</xdr:col>
      <xdr:colOff>628650</xdr:colOff>
      <xdr:row>0</xdr:row>
      <xdr:rowOff>0</xdr:rowOff>
    </xdr:from>
    <xdr:to>
      <xdr:col>18</xdr:col>
      <xdr:colOff>628650</xdr:colOff>
      <xdr:row>0</xdr:row>
      <xdr:rowOff>0</xdr:rowOff>
    </xdr:to>
    <xdr:sp macro="" textlink="">
      <xdr:nvSpPr>
        <xdr:cNvPr id="4381048" name="Line 86">
          <a:extLst>
            <a:ext uri="{FF2B5EF4-FFF2-40B4-BE49-F238E27FC236}">
              <a16:creationId xmlns="" xmlns:a16="http://schemas.microsoft.com/office/drawing/2014/main" id="{00000000-0008-0000-1700-000078D94200}"/>
            </a:ext>
          </a:extLst>
        </xdr:cNvPr>
        <xdr:cNvSpPr>
          <a:spLocks noChangeShapeType="1"/>
        </xdr:cNvSpPr>
      </xdr:nvSpPr>
      <xdr:spPr bwMode="auto">
        <a:xfrm flipV="1">
          <a:off x="155257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1049" name="Line 87">
          <a:extLst>
            <a:ext uri="{FF2B5EF4-FFF2-40B4-BE49-F238E27FC236}">
              <a16:creationId xmlns="" xmlns:a16="http://schemas.microsoft.com/office/drawing/2014/main" id="{00000000-0008-0000-1700-000079D94200}"/>
            </a:ext>
          </a:extLst>
        </xdr:cNvPr>
        <xdr:cNvSpPr>
          <a:spLocks noChangeShapeType="1"/>
        </xdr:cNvSpPr>
      </xdr:nvSpPr>
      <xdr:spPr bwMode="auto">
        <a:xfrm flipV="1">
          <a:off x="192500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38100</xdr:colOff>
      <xdr:row>0</xdr:row>
      <xdr:rowOff>0</xdr:rowOff>
    </xdr:to>
    <xdr:sp macro="" textlink="">
      <xdr:nvSpPr>
        <xdr:cNvPr id="4381050" name="Rectangle 88">
          <a:extLst>
            <a:ext uri="{FF2B5EF4-FFF2-40B4-BE49-F238E27FC236}">
              <a16:creationId xmlns="" xmlns:a16="http://schemas.microsoft.com/office/drawing/2014/main" id="{00000000-0008-0000-1700-00007AD94200}"/>
            </a:ext>
          </a:extLst>
        </xdr:cNvPr>
        <xdr:cNvSpPr>
          <a:spLocks noChangeArrowheads="1"/>
        </xdr:cNvSpPr>
      </xdr:nvSpPr>
      <xdr:spPr bwMode="auto">
        <a:xfrm>
          <a:off x="19250025" y="0"/>
          <a:ext cx="14097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1051" name="Line 89">
          <a:extLst>
            <a:ext uri="{FF2B5EF4-FFF2-40B4-BE49-F238E27FC236}">
              <a16:creationId xmlns="" xmlns:a16="http://schemas.microsoft.com/office/drawing/2014/main" id="{00000000-0008-0000-1700-00007BD94200}"/>
            </a:ext>
          </a:extLst>
        </xdr:cNvPr>
        <xdr:cNvSpPr>
          <a:spLocks noChangeShapeType="1"/>
        </xdr:cNvSpPr>
      </xdr:nvSpPr>
      <xdr:spPr bwMode="auto">
        <a:xfrm flipV="1">
          <a:off x="192500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0</xdr:colOff>
      <xdr:row>0</xdr:row>
      <xdr:rowOff>0</xdr:rowOff>
    </xdr:to>
    <xdr:sp macro="" textlink="">
      <xdr:nvSpPr>
        <xdr:cNvPr id="4381052" name="Line 90">
          <a:extLst>
            <a:ext uri="{FF2B5EF4-FFF2-40B4-BE49-F238E27FC236}">
              <a16:creationId xmlns="" xmlns:a16="http://schemas.microsoft.com/office/drawing/2014/main" id="{00000000-0008-0000-1700-00007CD94200}"/>
            </a:ext>
          </a:extLst>
        </xdr:cNvPr>
        <xdr:cNvSpPr>
          <a:spLocks noChangeShapeType="1"/>
        </xdr:cNvSpPr>
      </xdr:nvSpPr>
      <xdr:spPr bwMode="auto">
        <a:xfrm>
          <a:off x="19250025" y="0"/>
          <a:ext cx="1371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24</xdr:col>
      <xdr:colOff>19050</xdr:colOff>
      <xdr:row>0</xdr:row>
      <xdr:rowOff>0</xdr:rowOff>
    </xdr:from>
    <xdr:to>
      <xdr:col>24</xdr:col>
      <xdr:colOff>19050</xdr:colOff>
      <xdr:row>0</xdr:row>
      <xdr:rowOff>0</xdr:rowOff>
    </xdr:to>
    <xdr:sp macro="" textlink="">
      <xdr:nvSpPr>
        <xdr:cNvPr id="4381053" name="Line 91">
          <a:extLst>
            <a:ext uri="{FF2B5EF4-FFF2-40B4-BE49-F238E27FC236}">
              <a16:creationId xmlns="" xmlns:a16="http://schemas.microsoft.com/office/drawing/2014/main" id="{00000000-0008-0000-1700-00007DD94200}"/>
            </a:ext>
          </a:extLst>
        </xdr:cNvPr>
        <xdr:cNvSpPr>
          <a:spLocks noChangeShapeType="1"/>
        </xdr:cNvSpPr>
      </xdr:nvSpPr>
      <xdr:spPr bwMode="auto">
        <a:xfrm>
          <a:off x="206406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400050</xdr:colOff>
      <xdr:row>0</xdr:row>
      <xdr:rowOff>0</xdr:rowOff>
    </xdr:from>
    <xdr:to>
      <xdr:col>15</xdr:col>
      <xdr:colOff>419100</xdr:colOff>
      <xdr:row>0</xdr:row>
      <xdr:rowOff>0</xdr:rowOff>
    </xdr:to>
    <xdr:sp macro="" textlink="">
      <xdr:nvSpPr>
        <xdr:cNvPr id="4381054" name="Line 92">
          <a:extLst>
            <a:ext uri="{FF2B5EF4-FFF2-40B4-BE49-F238E27FC236}">
              <a16:creationId xmlns="" xmlns:a16="http://schemas.microsoft.com/office/drawing/2014/main" id="{00000000-0008-0000-1700-00007ED94200}"/>
            </a:ext>
          </a:extLst>
        </xdr:cNvPr>
        <xdr:cNvSpPr>
          <a:spLocks noChangeShapeType="1"/>
        </xdr:cNvSpPr>
      </xdr:nvSpPr>
      <xdr:spPr bwMode="auto">
        <a:xfrm flipH="1" flipV="1">
          <a:off x="12639675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15</xdr:col>
      <xdr:colOff>781050</xdr:colOff>
      <xdr:row>0</xdr:row>
      <xdr:rowOff>0</xdr:rowOff>
    </xdr:to>
    <xdr:sp macro="" textlink="">
      <xdr:nvSpPr>
        <xdr:cNvPr id="4381055" name="Line 93">
          <a:extLst>
            <a:ext uri="{FF2B5EF4-FFF2-40B4-BE49-F238E27FC236}">
              <a16:creationId xmlns="" xmlns:a16="http://schemas.microsoft.com/office/drawing/2014/main" id="{00000000-0008-0000-1700-00007FD94200}"/>
            </a:ext>
          </a:extLst>
        </xdr:cNvPr>
        <xdr:cNvSpPr>
          <a:spLocks noChangeShapeType="1"/>
        </xdr:cNvSpPr>
      </xdr:nvSpPr>
      <xdr:spPr bwMode="auto">
        <a:xfrm flipH="1">
          <a:off x="8601075" y="0"/>
          <a:ext cx="441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4</xdr:col>
      <xdr:colOff>704850</xdr:colOff>
      <xdr:row>0</xdr:row>
      <xdr:rowOff>0</xdr:rowOff>
    </xdr:to>
    <xdr:sp macro="" textlink="">
      <xdr:nvSpPr>
        <xdr:cNvPr id="4381056" name="Line 94">
          <a:extLst>
            <a:ext uri="{FF2B5EF4-FFF2-40B4-BE49-F238E27FC236}">
              <a16:creationId xmlns="" xmlns:a16="http://schemas.microsoft.com/office/drawing/2014/main" id="{00000000-0008-0000-1700-000080D94200}"/>
            </a:ext>
          </a:extLst>
        </xdr:cNvPr>
        <xdr:cNvSpPr>
          <a:spLocks noChangeShapeType="1"/>
        </xdr:cNvSpPr>
      </xdr:nvSpPr>
      <xdr:spPr bwMode="auto">
        <a:xfrm>
          <a:off x="2847975" y="0"/>
          <a:ext cx="2809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81057" name="Line 95">
          <a:extLst>
            <a:ext uri="{FF2B5EF4-FFF2-40B4-BE49-F238E27FC236}">
              <a16:creationId xmlns="" xmlns:a16="http://schemas.microsoft.com/office/drawing/2014/main" id="{00000000-0008-0000-1700-000081D94200}"/>
            </a:ext>
          </a:extLst>
        </xdr:cNvPr>
        <xdr:cNvSpPr>
          <a:spLocks noChangeShapeType="1"/>
        </xdr:cNvSpPr>
      </xdr:nvSpPr>
      <xdr:spPr bwMode="auto">
        <a:xfrm>
          <a:off x="102108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247650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1058" name="Line 96">
          <a:extLst>
            <a:ext uri="{FF2B5EF4-FFF2-40B4-BE49-F238E27FC236}">
              <a16:creationId xmlns="" xmlns:a16="http://schemas.microsoft.com/office/drawing/2014/main" id="{00000000-0008-0000-1700-000082D94200}"/>
            </a:ext>
          </a:extLst>
        </xdr:cNvPr>
        <xdr:cNvSpPr>
          <a:spLocks noChangeShapeType="1"/>
        </xdr:cNvSpPr>
      </xdr:nvSpPr>
      <xdr:spPr bwMode="auto">
        <a:xfrm>
          <a:off x="107061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1047750</xdr:colOff>
      <xdr:row>0</xdr:row>
      <xdr:rowOff>0</xdr:rowOff>
    </xdr:from>
    <xdr:to>
      <xdr:col>12</xdr:col>
      <xdr:colOff>342900</xdr:colOff>
      <xdr:row>0</xdr:row>
      <xdr:rowOff>0</xdr:rowOff>
    </xdr:to>
    <xdr:sp macro="" textlink="">
      <xdr:nvSpPr>
        <xdr:cNvPr id="4381059" name="Line 97">
          <a:extLst>
            <a:ext uri="{FF2B5EF4-FFF2-40B4-BE49-F238E27FC236}">
              <a16:creationId xmlns="" xmlns:a16="http://schemas.microsoft.com/office/drawing/2014/main" id="{00000000-0008-0000-1700-000083D94200}"/>
            </a:ext>
          </a:extLst>
        </xdr:cNvPr>
        <xdr:cNvSpPr>
          <a:spLocks noChangeShapeType="1"/>
        </xdr:cNvSpPr>
      </xdr:nvSpPr>
      <xdr:spPr bwMode="auto">
        <a:xfrm>
          <a:off x="10801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571500</xdr:colOff>
      <xdr:row>0</xdr:row>
      <xdr:rowOff>0</xdr:rowOff>
    </xdr:from>
    <xdr:to>
      <xdr:col>14</xdr:col>
      <xdr:colOff>571500</xdr:colOff>
      <xdr:row>0</xdr:row>
      <xdr:rowOff>0</xdr:rowOff>
    </xdr:to>
    <xdr:sp macro="" textlink="">
      <xdr:nvSpPr>
        <xdr:cNvPr id="4381060" name="Line 98">
          <a:extLst>
            <a:ext uri="{FF2B5EF4-FFF2-40B4-BE49-F238E27FC236}">
              <a16:creationId xmlns="" xmlns:a16="http://schemas.microsoft.com/office/drawing/2014/main" id="{00000000-0008-0000-1700-000084D94200}"/>
            </a:ext>
          </a:extLst>
        </xdr:cNvPr>
        <xdr:cNvSpPr>
          <a:spLocks noChangeShapeType="1"/>
        </xdr:cNvSpPr>
      </xdr:nvSpPr>
      <xdr:spPr bwMode="auto">
        <a:xfrm>
          <a:off x="11620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457200</xdr:colOff>
      <xdr:row>0</xdr:row>
      <xdr:rowOff>0</xdr:rowOff>
    </xdr:from>
    <xdr:to>
      <xdr:col>15</xdr:col>
      <xdr:colOff>457200</xdr:colOff>
      <xdr:row>0</xdr:row>
      <xdr:rowOff>0</xdr:rowOff>
    </xdr:to>
    <xdr:sp macro="" textlink="">
      <xdr:nvSpPr>
        <xdr:cNvPr id="4381061" name="Line 99">
          <a:extLst>
            <a:ext uri="{FF2B5EF4-FFF2-40B4-BE49-F238E27FC236}">
              <a16:creationId xmlns="" xmlns:a16="http://schemas.microsoft.com/office/drawing/2014/main" id="{00000000-0008-0000-1700-000085D94200}"/>
            </a:ext>
          </a:extLst>
        </xdr:cNvPr>
        <xdr:cNvSpPr>
          <a:spLocks noChangeShapeType="1"/>
        </xdr:cNvSpPr>
      </xdr:nvSpPr>
      <xdr:spPr bwMode="auto">
        <a:xfrm>
          <a:off x="126968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323850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81062" name="Line 100">
          <a:extLst>
            <a:ext uri="{FF2B5EF4-FFF2-40B4-BE49-F238E27FC236}">
              <a16:creationId xmlns="" xmlns:a16="http://schemas.microsoft.com/office/drawing/2014/main" id="{00000000-0008-0000-1700-000086D94200}"/>
            </a:ext>
          </a:extLst>
        </xdr:cNvPr>
        <xdr:cNvSpPr>
          <a:spLocks noChangeShapeType="1"/>
        </xdr:cNvSpPr>
      </xdr:nvSpPr>
      <xdr:spPr bwMode="auto">
        <a:xfrm flipH="1">
          <a:off x="8305800" y="0"/>
          <a:ext cx="1905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457200</xdr:colOff>
      <xdr:row>0</xdr:row>
      <xdr:rowOff>0</xdr:rowOff>
    </xdr:from>
    <xdr:to>
      <xdr:col>16</xdr:col>
      <xdr:colOff>161925</xdr:colOff>
      <xdr:row>0</xdr:row>
      <xdr:rowOff>0</xdr:rowOff>
    </xdr:to>
    <xdr:sp macro="" textlink="">
      <xdr:nvSpPr>
        <xdr:cNvPr id="4381063" name="Line 101">
          <a:extLst>
            <a:ext uri="{FF2B5EF4-FFF2-40B4-BE49-F238E27FC236}">
              <a16:creationId xmlns="" xmlns:a16="http://schemas.microsoft.com/office/drawing/2014/main" id="{00000000-0008-0000-1700-000087D94200}"/>
            </a:ext>
          </a:extLst>
        </xdr:cNvPr>
        <xdr:cNvSpPr>
          <a:spLocks noChangeShapeType="1"/>
        </xdr:cNvSpPr>
      </xdr:nvSpPr>
      <xdr:spPr bwMode="auto">
        <a:xfrm>
          <a:off x="12696825" y="0"/>
          <a:ext cx="628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609600</xdr:colOff>
      <xdr:row>0</xdr:row>
      <xdr:rowOff>0</xdr:rowOff>
    </xdr:from>
    <xdr:to>
      <xdr:col>16</xdr:col>
      <xdr:colOff>152400</xdr:colOff>
      <xdr:row>0</xdr:row>
      <xdr:rowOff>0</xdr:rowOff>
    </xdr:to>
    <xdr:sp macro="" textlink="">
      <xdr:nvSpPr>
        <xdr:cNvPr id="4381064" name="Line 102">
          <a:extLst>
            <a:ext uri="{FF2B5EF4-FFF2-40B4-BE49-F238E27FC236}">
              <a16:creationId xmlns="" xmlns:a16="http://schemas.microsoft.com/office/drawing/2014/main" id="{00000000-0008-0000-1700-000088D94200}"/>
            </a:ext>
          </a:extLst>
        </xdr:cNvPr>
        <xdr:cNvSpPr>
          <a:spLocks noChangeShapeType="1"/>
        </xdr:cNvSpPr>
      </xdr:nvSpPr>
      <xdr:spPr bwMode="auto">
        <a:xfrm flipV="1">
          <a:off x="11658600" y="0"/>
          <a:ext cx="165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1066800</xdr:colOff>
      <xdr:row>0</xdr:row>
      <xdr:rowOff>0</xdr:rowOff>
    </xdr:from>
    <xdr:to>
      <xdr:col>16</xdr:col>
      <xdr:colOff>152400</xdr:colOff>
      <xdr:row>0</xdr:row>
      <xdr:rowOff>0</xdr:rowOff>
    </xdr:to>
    <xdr:sp macro="" textlink="">
      <xdr:nvSpPr>
        <xdr:cNvPr id="4381065" name="Line 103">
          <a:extLst>
            <a:ext uri="{FF2B5EF4-FFF2-40B4-BE49-F238E27FC236}">
              <a16:creationId xmlns="" xmlns:a16="http://schemas.microsoft.com/office/drawing/2014/main" id="{00000000-0008-0000-1700-000089D94200}"/>
            </a:ext>
          </a:extLst>
        </xdr:cNvPr>
        <xdr:cNvSpPr>
          <a:spLocks noChangeShapeType="1"/>
        </xdr:cNvSpPr>
      </xdr:nvSpPr>
      <xdr:spPr bwMode="auto">
        <a:xfrm>
          <a:off x="10801350" y="0"/>
          <a:ext cx="2514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266700</xdr:colOff>
      <xdr:row>0</xdr:row>
      <xdr:rowOff>0</xdr:rowOff>
    </xdr:from>
    <xdr:to>
      <xdr:col>16</xdr:col>
      <xdr:colOff>152400</xdr:colOff>
      <xdr:row>0</xdr:row>
      <xdr:rowOff>0</xdr:rowOff>
    </xdr:to>
    <xdr:sp macro="" textlink="">
      <xdr:nvSpPr>
        <xdr:cNvPr id="4381066" name="Line 104">
          <a:extLst>
            <a:ext uri="{FF2B5EF4-FFF2-40B4-BE49-F238E27FC236}">
              <a16:creationId xmlns="" xmlns:a16="http://schemas.microsoft.com/office/drawing/2014/main" id="{00000000-0008-0000-1700-00008AD94200}"/>
            </a:ext>
          </a:extLst>
        </xdr:cNvPr>
        <xdr:cNvSpPr>
          <a:spLocks noChangeShapeType="1"/>
        </xdr:cNvSpPr>
      </xdr:nvSpPr>
      <xdr:spPr bwMode="auto">
        <a:xfrm>
          <a:off x="10725150" y="0"/>
          <a:ext cx="2590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16</xdr:col>
      <xdr:colOff>152400</xdr:colOff>
      <xdr:row>0</xdr:row>
      <xdr:rowOff>0</xdr:rowOff>
    </xdr:to>
    <xdr:sp macro="" textlink="">
      <xdr:nvSpPr>
        <xdr:cNvPr id="4381067" name="Line 105">
          <a:extLst>
            <a:ext uri="{FF2B5EF4-FFF2-40B4-BE49-F238E27FC236}">
              <a16:creationId xmlns="" xmlns:a16="http://schemas.microsoft.com/office/drawing/2014/main" id="{00000000-0008-0000-1700-00008BD94200}"/>
            </a:ext>
          </a:extLst>
        </xdr:cNvPr>
        <xdr:cNvSpPr>
          <a:spLocks noChangeShapeType="1"/>
        </xdr:cNvSpPr>
      </xdr:nvSpPr>
      <xdr:spPr bwMode="auto">
        <a:xfrm>
          <a:off x="10210800" y="0"/>
          <a:ext cx="3105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495300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1068" name="Line 106">
          <a:extLst>
            <a:ext uri="{FF2B5EF4-FFF2-40B4-BE49-F238E27FC236}">
              <a16:creationId xmlns="" xmlns:a16="http://schemas.microsoft.com/office/drawing/2014/main" id="{00000000-0008-0000-1700-00008CD94200}"/>
            </a:ext>
          </a:extLst>
        </xdr:cNvPr>
        <xdr:cNvSpPr>
          <a:spLocks noChangeShapeType="1"/>
        </xdr:cNvSpPr>
      </xdr:nvSpPr>
      <xdr:spPr bwMode="auto">
        <a:xfrm flipH="1">
          <a:off x="8477250" y="0"/>
          <a:ext cx="2228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1028700</xdr:colOff>
      <xdr:row>0</xdr:row>
      <xdr:rowOff>0</xdr:rowOff>
    </xdr:to>
    <xdr:sp macro="" textlink="">
      <xdr:nvSpPr>
        <xdr:cNvPr id="4381069" name="Line 107">
          <a:extLst>
            <a:ext uri="{FF2B5EF4-FFF2-40B4-BE49-F238E27FC236}">
              <a16:creationId xmlns="" xmlns:a16="http://schemas.microsoft.com/office/drawing/2014/main" id="{00000000-0008-0000-1700-00008DD94200}"/>
            </a:ext>
          </a:extLst>
        </xdr:cNvPr>
        <xdr:cNvSpPr>
          <a:spLocks noChangeShapeType="1"/>
        </xdr:cNvSpPr>
      </xdr:nvSpPr>
      <xdr:spPr bwMode="auto">
        <a:xfrm flipH="1">
          <a:off x="8572500" y="0"/>
          <a:ext cx="2228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171450</xdr:colOff>
      <xdr:row>0</xdr:row>
      <xdr:rowOff>0</xdr:rowOff>
    </xdr:from>
    <xdr:to>
      <xdr:col>14</xdr:col>
      <xdr:colOff>552450</xdr:colOff>
      <xdr:row>0</xdr:row>
      <xdr:rowOff>0</xdr:rowOff>
    </xdr:to>
    <xdr:sp macro="" textlink="">
      <xdr:nvSpPr>
        <xdr:cNvPr id="4381070" name="Line 108">
          <a:extLst>
            <a:ext uri="{FF2B5EF4-FFF2-40B4-BE49-F238E27FC236}">
              <a16:creationId xmlns="" xmlns:a16="http://schemas.microsoft.com/office/drawing/2014/main" id="{00000000-0008-0000-1700-00008ED94200}"/>
            </a:ext>
          </a:extLst>
        </xdr:cNvPr>
        <xdr:cNvSpPr>
          <a:spLocks noChangeShapeType="1"/>
        </xdr:cNvSpPr>
      </xdr:nvSpPr>
      <xdr:spPr bwMode="auto">
        <a:xfrm flipH="1">
          <a:off x="9934575" y="0"/>
          <a:ext cx="1666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457200</xdr:colOff>
      <xdr:row>0</xdr:row>
      <xdr:rowOff>0</xdr:rowOff>
    </xdr:from>
    <xdr:to>
      <xdr:col>15</xdr:col>
      <xdr:colOff>419100</xdr:colOff>
      <xdr:row>0</xdr:row>
      <xdr:rowOff>0</xdr:rowOff>
    </xdr:to>
    <xdr:sp macro="" textlink="">
      <xdr:nvSpPr>
        <xdr:cNvPr id="4381071" name="Line 109">
          <a:extLst>
            <a:ext uri="{FF2B5EF4-FFF2-40B4-BE49-F238E27FC236}">
              <a16:creationId xmlns="" xmlns:a16="http://schemas.microsoft.com/office/drawing/2014/main" id="{00000000-0008-0000-1700-00008FD94200}"/>
            </a:ext>
          </a:extLst>
        </xdr:cNvPr>
        <xdr:cNvSpPr>
          <a:spLocks noChangeShapeType="1"/>
        </xdr:cNvSpPr>
      </xdr:nvSpPr>
      <xdr:spPr bwMode="auto">
        <a:xfrm flipH="1">
          <a:off x="10115550" y="0"/>
          <a:ext cx="2543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1104900</xdr:colOff>
      <xdr:row>0</xdr:row>
      <xdr:rowOff>0</xdr:rowOff>
    </xdr:from>
    <xdr:to>
      <xdr:col>15</xdr:col>
      <xdr:colOff>723900</xdr:colOff>
      <xdr:row>0</xdr:row>
      <xdr:rowOff>0</xdr:rowOff>
    </xdr:to>
    <xdr:sp macro="" textlink="">
      <xdr:nvSpPr>
        <xdr:cNvPr id="4381072" name="Line 110">
          <a:extLst>
            <a:ext uri="{FF2B5EF4-FFF2-40B4-BE49-F238E27FC236}">
              <a16:creationId xmlns="" xmlns:a16="http://schemas.microsoft.com/office/drawing/2014/main" id="{00000000-0008-0000-1700-000090D94200}"/>
            </a:ext>
          </a:extLst>
        </xdr:cNvPr>
        <xdr:cNvSpPr>
          <a:spLocks noChangeShapeType="1"/>
        </xdr:cNvSpPr>
      </xdr:nvSpPr>
      <xdr:spPr bwMode="auto">
        <a:xfrm>
          <a:off x="10115550" y="0"/>
          <a:ext cx="2847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1085850</xdr:colOff>
      <xdr:row>0</xdr:row>
      <xdr:rowOff>0</xdr:rowOff>
    </xdr:from>
    <xdr:to>
      <xdr:col>15</xdr:col>
      <xdr:colOff>723900</xdr:colOff>
      <xdr:row>0</xdr:row>
      <xdr:rowOff>0</xdr:rowOff>
    </xdr:to>
    <xdr:sp macro="" textlink="">
      <xdr:nvSpPr>
        <xdr:cNvPr id="4381073" name="Line 111">
          <a:extLst>
            <a:ext uri="{FF2B5EF4-FFF2-40B4-BE49-F238E27FC236}">
              <a16:creationId xmlns="" xmlns:a16="http://schemas.microsoft.com/office/drawing/2014/main" id="{00000000-0008-0000-1700-000091D94200}"/>
            </a:ext>
          </a:extLst>
        </xdr:cNvPr>
        <xdr:cNvSpPr>
          <a:spLocks noChangeShapeType="1"/>
        </xdr:cNvSpPr>
      </xdr:nvSpPr>
      <xdr:spPr bwMode="auto">
        <a:xfrm>
          <a:off x="10115550" y="0"/>
          <a:ext cx="2847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123825</xdr:colOff>
      <xdr:row>0</xdr:row>
      <xdr:rowOff>0</xdr:rowOff>
    </xdr:from>
    <xdr:to>
      <xdr:col>21</xdr:col>
      <xdr:colOff>714375</xdr:colOff>
      <xdr:row>0</xdr:row>
      <xdr:rowOff>0</xdr:rowOff>
    </xdr:to>
    <xdr:sp macro="" textlink="">
      <xdr:nvSpPr>
        <xdr:cNvPr id="113" name="Text Box 112">
          <a:extLst>
            <a:ext uri="{FF2B5EF4-FFF2-40B4-BE49-F238E27FC236}">
              <a16:creationId xmlns="" xmlns:a16="http://schemas.microsoft.com/office/drawing/2014/main" id="{00000000-0008-0000-1700-000071000000}"/>
            </a:ext>
          </a:extLst>
        </xdr:cNvPr>
        <xdr:cNvSpPr txBox="1">
          <a:spLocks noChangeArrowheads="1"/>
        </xdr:cNvSpPr>
      </xdr:nvSpPr>
      <xdr:spPr bwMode="auto">
        <a:xfrm>
          <a:off x="17764125" y="0"/>
          <a:ext cx="5905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1°</a:t>
          </a:r>
        </a:p>
      </xdr:txBody>
    </xdr:sp>
    <xdr:clientData/>
  </xdr:twoCellAnchor>
  <xdr:twoCellAnchor>
    <xdr:from>
      <xdr:col>20</xdr:col>
      <xdr:colOff>1285875</xdr:colOff>
      <xdr:row>0</xdr:row>
      <xdr:rowOff>0</xdr:rowOff>
    </xdr:from>
    <xdr:to>
      <xdr:col>21</xdr:col>
      <xdr:colOff>333375</xdr:colOff>
      <xdr:row>0</xdr:row>
      <xdr:rowOff>0</xdr:rowOff>
    </xdr:to>
    <xdr:sp macro="" textlink="">
      <xdr:nvSpPr>
        <xdr:cNvPr id="114" name="Text Box 113">
          <a:extLst>
            <a:ext uri="{FF2B5EF4-FFF2-40B4-BE49-F238E27FC236}">
              <a16:creationId xmlns="" xmlns:a16="http://schemas.microsoft.com/office/drawing/2014/main" id="{00000000-0008-0000-1700-000072000000}"/>
            </a:ext>
          </a:extLst>
        </xdr:cNvPr>
        <xdr:cNvSpPr txBox="1">
          <a:spLocks noChangeArrowheads="1"/>
        </xdr:cNvSpPr>
      </xdr:nvSpPr>
      <xdr:spPr bwMode="auto">
        <a:xfrm>
          <a:off x="17564100" y="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3°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5" name="Text Box 114">
          <a:extLst>
            <a:ext uri="{FF2B5EF4-FFF2-40B4-BE49-F238E27FC236}">
              <a16:creationId xmlns="" xmlns:a16="http://schemas.microsoft.com/office/drawing/2014/main" id="{00000000-0008-0000-1700-000073000000}"/>
            </a:ext>
          </a:extLst>
        </xdr:cNvPr>
        <xdr:cNvSpPr txBox="1">
          <a:spLocks noChangeArrowheads="1"/>
        </xdr:cNvSpPr>
      </xdr:nvSpPr>
      <xdr:spPr bwMode="auto">
        <a:xfrm>
          <a:off x="19250025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21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6" name="Text Box 115">
          <a:extLst>
            <a:ext uri="{FF2B5EF4-FFF2-40B4-BE49-F238E27FC236}">
              <a16:creationId xmlns="" xmlns:a16="http://schemas.microsoft.com/office/drawing/2014/main" id="{00000000-0008-0000-1700-000074000000}"/>
            </a:ext>
          </a:extLst>
        </xdr:cNvPr>
        <xdr:cNvSpPr txBox="1">
          <a:spLocks noChangeArrowheads="1"/>
        </xdr:cNvSpPr>
      </xdr:nvSpPr>
      <xdr:spPr bwMode="auto">
        <a:xfrm>
          <a:off x="18230850" y="0"/>
          <a:ext cx="10191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20</xdr:col>
      <xdr:colOff>819150</xdr:colOff>
      <xdr:row>0</xdr:row>
      <xdr:rowOff>0</xdr:rowOff>
    </xdr:from>
    <xdr:to>
      <xdr:col>20</xdr:col>
      <xdr:colOff>1000125</xdr:colOff>
      <xdr:row>0</xdr:row>
      <xdr:rowOff>0</xdr:rowOff>
    </xdr:to>
    <xdr:sp macro="" textlink="">
      <xdr:nvSpPr>
        <xdr:cNvPr id="117" name="Text Box 116">
          <a:extLst>
            <a:ext uri="{FF2B5EF4-FFF2-40B4-BE49-F238E27FC236}">
              <a16:creationId xmlns="" xmlns:a16="http://schemas.microsoft.com/office/drawing/2014/main" id="{00000000-0008-0000-1700-000075000000}"/>
            </a:ext>
          </a:extLst>
        </xdr:cNvPr>
        <xdr:cNvSpPr txBox="1">
          <a:spLocks noChangeArrowheads="1"/>
        </xdr:cNvSpPr>
      </xdr:nvSpPr>
      <xdr:spPr bwMode="auto">
        <a:xfrm>
          <a:off x="17097375" y="0"/>
          <a:ext cx="1809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5°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8" name="Text Box 117">
          <a:extLst>
            <a:ext uri="{FF2B5EF4-FFF2-40B4-BE49-F238E27FC236}">
              <a16:creationId xmlns="" xmlns:a16="http://schemas.microsoft.com/office/drawing/2014/main" id="{00000000-0008-0000-1700-000076000000}"/>
            </a:ext>
          </a:extLst>
        </xdr:cNvPr>
        <xdr:cNvSpPr txBox="1">
          <a:spLocks noChangeArrowheads="1"/>
        </xdr:cNvSpPr>
      </xdr:nvSpPr>
      <xdr:spPr bwMode="auto">
        <a:xfrm>
          <a:off x="19250025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6°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1" i="0" strike="noStrike">
              <a:solidFill>
                <a:srgbClr val="000000"/>
              </a:solidFill>
              <a:latin typeface="Times New Roman"/>
              <a:cs typeface="Times New Roman"/>
            </a:rPr>
            <a:t>6</a:t>
          </a:r>
        </a:p>
      </xdr:txBody>
    </xdr:sp>
    <xdr:clientData/>
  </xdr:twoCellAnchor>
  <xdr:twoCellAnchor>
    <xdr:from>
      <xdr:col>15</xdr:col>
      <xdr:colOff>266700</xdr:colOff>
      <xdr:row>15</xdr:row>
      <xdr:rowOff>38100</xdr:rowOff>
    </xdr:from>
    <xdr:to>
      <xdr:col>16</xdr:col>
      <xdr:colOff>352425</xdr:colOff>
      <xdr:row>16</xdr:row>
      <xdr:rowOff>161925</xdr:rowOff>
    </xdr:to>
    <xdr:sp macro="" textlink="">
      <xdr:nvSpPr>
        <xdr:cNvPr id="4381080" name="Text Box 161">
          <a:extLst>
            <a:ext uri="{FF2B5EF4-FFF2-40B4-BE49-F238E27FC236}">
              <a16:creationId xmlns="" xmlns:a16="http://schemas.microsoft.com/office/drawing/2014/main" id="{00000000-0008-0000-1700-000098D94200}"/>
            </a:ext>
          </a:extLst>
        </xdr:cNvPr>
        <xdr:cNvSpPr txBox="1">
          <a:spLocks noChangeArrowheads="1"/>
        </xdr:cNvSpPr>
      </xdr:nvSpPr>
      <xdr:spPr bwMode="auto">
        <a:xfrm>
          <a:off x="12506325" y="5600700"/>
          <a:ext cx="1009650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20</xdr:col>
      <xdr:colOff>990600</xdr:colOff>
      <xdr:row>36</xdr:row>
      <xdr:rowOff>0</xdr:rowOff>
    </xdr:from>
    <xdr:to>
      <xdr:col>20</xdr:col>
      <xdr:colOff>990600</xdr:colOff>
      <xdr:row>36</xdr:row>
      <xdr:rowOff>0</xdr:rowOff>
    </xdr:to>
    <xdr:sp macro="" textlink="">
      <xdr:nvSpPr>
        <xdr:cNvPr id="4381081" name="Line 201">
          <a:extLst>
            <a:ext uri="{FF2B5EF4-FFF2-40B4-BE49-F238E27FC236}">
              <a16:creationId xmlns="" xmlns:a16="http://schemas.microsoft.com/office/drawing/2014/main" id="{00000000-0008-0000-1700-000099D94200}"/>
            </a:ext>
          </a:extLst>
        </xdr:cNvPr>
        <xdr:cNvSpPr>
          <a:spLocks noChangeShapeType="1"/>
        </xdr:cNvSpPr>
      </xdr:nvSpPr>
      <xdr:spPr bwMode="auto">
        <a:xfrm>
          <a:off x="17268825" y="129063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oneCell">
    <xdr:from>
      <xdr:col>2</xdr:col>
      <xdr:colOff>304800</xdr:colOff>
      <xdr:row>15</xdr:row>
      <xdr:rowOff>190500</xdr:rowOff>
    </xdr:from>
    <xdr:to>
      <xdr:col>4</xdr:col>
      <xdr:colOff>904875</xdr:colOff>
      <xdr:row>19</xdr:row>
      <xdr:rowOff>114300</xdr:rowOff>
    </xdr:to>
    <xdr:grpSp>
      <xdr:nvGrpSpPr>
        <xdr:cNvPr id="4381082" name="Group 237">
          <a:extLst>
            <a:ext uri="{FF2B5EF4-FFF2-40B4-BE49-F238E27FC236}">
              <a16:creationId xmlns="" xmlns:a16="http://schemas.microsoft.com/office/drawing/2014/main" id="{00000000-0008-0000-1700-00009AD94200}"/>
            </a:ext>
          </a:extLst>
        </xdr:cNvPr>
        <xdr:cNvGrpSpPr>
          <a:grpSpLocks/>
        </xdr:cNvGrpSpPr>
      </xdr:nvGrpSpPr>
      <xdr:grpSpPr bwMode="auto">
        <a:xfrm>
          <a:off x="2995613" y="5738813"/>
          <a:ext cx="2862262" cy="1304925"/>
          <a:chOff x="358" y="540"/>
          <a:chExt cx="293" cy="139"/>
        </a:xfrm>
      </xdr:grpSpPr>
      <xdr:sp macro="" textlink="">
        <xdr:nvSpPr>
          <xdr:cNvPr id="4381156" name="Line 238">
            <a:extLst>
              <a:ext uri="{FF2B5EF4-FFF2-40B4-BE49-F238E27FC236}">
                <a16:creationId xmlns="" xmlns:a16="http://schemas.microsoft.com/office/drawing/2014/main" id="{00000000-0008-0000-1700-0000E4D942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81157" name="Group 239">
            <a:extLst>
              <a:ext uri="{FF2B5EF4-FFF2-40B4-BE49-F238E27FC236}">
                <a16:creationId xmlns="" xmlns:a16="http://schemas.microsoft.com/office/drawing/2014/main" id="{00000000-0008-0000-1700-0000E5D942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381213" name="Line 240">
              <a:extLst>
                <a:ext uri="{FF2B5EF4-FFF2-40B4-BE49-F238E27FC236}">
                  <a16:creationId xmlns="" xmlns:a16="http://schemas.microsoft.com/office/drawing/2014/main" id="{00000000-0008-0000-1700-00001DDA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81214" name="Line 241">
              <a:extLst>
                <a:ext uri="{FF2B5EF4-FFF2-40B4-BE49-F238E27FC236}">
                  <a16:creationId xmlns="" xmlns:a16="http://schemas.microsoft.com/office/drawing/2014/main" id="{00000000-0008-0000-1700-00001EDA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81158" name="Line 242">
            <a:extLst>
              <a:ext uri="{FF2B5EF4-FFF2-40B4-BE49-F238E27FC236}">
                <a16:creationId xmlns="" xmlns:a16="http://schemas.microsoft.com/office/drawing/2014/main" id="{00000000-0008-0000-1700-0000E6D9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1159" name="Line 243">
            <a:extLst>
              <a:ext uri="{FF2B5EF4-FFF2-40B4-BE49-F238E27FC236}">
                <a16:creationId xmlns="" xmlns:a16="http://schemas.microsoft.com/office/drawing/2014/main" id="{00000000-0008-0000-1700-0000E7D9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1160" name="Line 244">
            <a:extLst>
              <a:ext uri="{FF2B5EF4-FFF2-40B4-BE49-F238E27FC236}">
                <a16:creationId xmlns="" xmlns:a16="http://schemas.microsoft.com/office/drawing/2014/main" id="{00000000-0008-0000-1700-0000E8D9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1161" name="Line 245">
            <a:extLst>
              <a:ext uri="{FF2B5EF4-FFF2-40B4-BE49-F238E27FC236}">
                <a16:creationId xmlns="" xmlns:a16="http://schemas.microsoft.com/office/drawing/2014/main" id="{00000000-0008-0000-1700-0000E9D942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1162" name="Line 246">
            <a:extLst>
              <a:ext uri="{FF2B5EF4-FFF2-40B4-BE49-F238E27FC236}">
                <a16:creationId xmlns="" xmlns:a16="http://schemas.microsoft.com/office/drawing/2014/main" id="{00000000-0008-0000-1700-0000EAD942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81163" name="Group 247">
            <a:extLst>
              <a:ext uri="{FF2B5EF4-FFF2-40B4-BE49-F238E27FC236}">
                <a16:creationId xmlns="" xmlns:a16="http://schemas.microsoft.com/office/drawing/2014/main" id="{00000000-0008-0000-1700-0000EBD942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381207" name="Line 248">
              <a:extLst>
                <a:ext uri="{FF2B5EF4-FFF2-40B4-BE49-F238E27FC236}">
                  <a16:creationId xmlns="" xmlns:a16="http://schemas.microsoft.com/office/drawing/2014/main" id="{00000000-0008-0000-1700-000017DA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1208" name="Group 249">
              <a:extLst>
                <a:ext uri="{FF2B5EF4-FFF2-40B4-BE49-F238E27FC236}">
                  <a16:creationId xmlns="" xmlns:a16="http://schemas.microsoft.com/office/drawing/2014/main" id="{00000000-0008-0000-1700-000018DA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1209" name="Line 250">
                <a:extLst>
                  <a:ext uri="{FF2B5EF4-FFF2-40B4-BE49-F238E27FC236}">
                    <a16:creationId xmlns="" xmlns:a16="http://schemas.microsoft.com/office/drawing/2014/main" id="{00000000-0008-0000-1700-000019DA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1210" name="Group 251">
                <a:extLst>
                  <a:ext uri="{FF2B5EF4-FFF2-40B4-BE49-F238E27FC236}">
                    <a16:creationId xmlns="" xmlns:a16="http://schemas.microsoft.com/office/drawing/2014/main" id="{00000000-0008-0000-1700-00001ADA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1211" name="Line 252">
                  <a:extLst>
                    <a:ext uri="{FF2B5EF4-FFF2-40B4-BE49-F238E27FC236}">
                      <a16:creationId xmlns="" xmlns:a16="http://schemas.microsoft.com/office/drawing/2014/main" id="{00000000-0008-0000-1700-00001BD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1212" name="Line 253">
                  <a:extLst>
                    <a:ext uri="{FF2B5EF4-FFF2-40B4-BE49-F238E27FC236}">
                      <a16:creationId xmlns="" xmlns:a16="http://schemas.microsoft.com/office/drawing/2014/main" id="{00000000-0008-0000-1700-00001CD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1164" name="Group 254">
            <a:extLst>
              <a:ext uri="{FF2B5EF4-FFF2-40B4-BE49-F238E27FC236}">
                <a16:creationId xmlns="" xmlns:a16="http://schemas.microsoft.com/office/drawing/2014/main" id="{00000000-0008-0000-1700-0000ECD942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381201" name="Line 255">
              <a:extLst>
                <a:ext uri="{FF2B5EF4-FFF2-40B4-BE49-F238E27FC236}">
                  <a16:creationId xmlns="" xmlns:a16="http://schemas.microsoft.com/office/drawing/2014/main" id="{00000000-0008-0000-1700-000011DA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1202" name="Group 256">
              <a:extLst>
                <a:ext uri="{FF2B5EF4-FFF2-40B4-BE49-F238E27FC236}">
                  <a16:creationId xmlns="" xmlns:a16="http://schemas.microsoft.com/office/drawing/2014/main" id="{00000000-0008-0000-1700-000012DA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1203" name="Line 257">
                <a:extLst>
                  <a:ext uri="{FF2B5EF4-FFF2-40B4-BE49-F238E27FC236}">
                    <a16:creationId xmlns="" xmlns:a16="http://schemas.microsoft.com/office/drawing/2014/main" id="{00000000-0008-0000-1700-000013DA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1204" name="Group 258">
                <a:extLst>
                  <a:ext uri="{FF2B5EF4-FFF2-40B4-BE49-F238E27FC236}">
                    <a16:creationId xmlns="" xmlns:a16="http://schemas.microsoft.com/office/drawing/2014/main" id="{00000000-0008-0000-1700-000014DA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1205" name="Line 259">
                  <a:extLst>
                    <a:ext uri="{FF2B5EF4-FFF2-40B4-BE49-F238E27FC236}">
                      <a16:creationId xmlns="" xmlns:a16="http://schemas.microsoft.com/office/drawing/2014/main" id="{00000000-0008-0000-1700-000015D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1206" name="Line 260">
                  <a:extLst>
                    <a:ext uri="{FF2B5EF4-FFF2-40B4-BE49-F238E27FC236}">
                      <a16:creationId xmlns="" xmlns:a16="http://schemas.microsoft.com/office/drawing/2014/main" id="{00000000-0008-0000-1700-000016D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1165" name="Group 261">
            <a:extLst>
              <a:ext uri="{FF2B5EF4-FFF2-40B4-BE49-F238E27FC236}">
                <a16:creationId xmlns="" xmlns:a16="http://schemas.microsoft.com/office/drawing/2014/main" id="{00000000-0008-0000-1700-0000EDD942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381195" name="Line 262">
              <a:extLst>
                <a:ext uri="{FF2B5EF4-FFF2-40B4-BE49-F238E27FC236}">
                  <a16:creationId xmlns="" xmlns:a16="http://schemas.microsoft.com/office/drawing/2014/main" id="{00000000-0008-0000-1700-00000BDA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1196" name="Group 263">
              <a:extLst>
                <a:ext uri="{FF2B5EF4-FFF2-40B4-BE49-F238E27FC236}">
                  <a16:creationId xmlns="" xmlns:a16="http://schemas.microsoft.com/office/drawing/2014/main" id="{00000000-0008-0000-1700-00000CDA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1197" name="Line 264">
                <a:extLst>
                  <a:ext uri="{FF2B5EF4-FFF2-40B4-BE49-F238E27FC236}">
                    <a16:creationId xmlns="" xmlns:a16="http://schemas.microsoft.com/office/drawing/2014/main" id="{00000000-0008-0000-1700-00000DDA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1198" name="Group 265">
                <a:extLst>
                  <a:ext uri="{FF2B5EF4-FFF2-40B4-BE49-F238E27FC236}">
                    <a16:creationId xmlns="" xmlns:a16="http://schemas.microsoft.com/office/drawing/2014/main" id="{00000000-0008-0000-1700-00000EDA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1199" name="Line 266">
                  <a:extLst>
                    <a:ext uri="{FF2B5EF4-FFF2-40B4-BE49-F238E27FC236}">
                      <a16:creationId xmlns="" xmlns:a16="http://schemas.microsoft.com/office/drawing/2014/main" id="{00000000-0008-0000-1700-00000FD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1200" name="Line 267">
                  <a:extLst>
                    <a:ext uri="{FF2B5EF4-FFF2-40B4-BE49-F238E27FC236}">
                      <a16:creationId xmlns="" xmlns:a16="http://schemas.microsoft.com/office/drawing/2014/main" id="{00000000-0008-0000-1700-000010D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1166" name="Group 268">
            <a:extLst>
              <a:ext uri="{FF2B5EF4-FFF2-40B4-BE49-F238E27FC236}">
                <a16:creationId xmlns="" xmlns:a16="http://schemas.microsoft.com/office/drawing/2014/main" id="{00000000-0008-0000-1700-0000EED942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381189" name="Line 269">
              <a:extLst>
                <a:ext uri="{FF2B5EF4-FFF2-40B4-BE49-F238E27FC236}">
                  <a16:creationId xmlns="" xmlns:a16="http://schemas.microsoft.com/office/drawing/2014/main" id="{00000000-0008-0000-1700-000005DA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1190" name="Group 270">
              <a:extLst>
                <a:ext uri="{FF2B5EF4-FFF2-40B4-BE49-F238E27FC236}">
                  <a16:creationId xmlns="" xmlns:a16="http://schemas.microsoft.com/office/drawing/2014/main" id="{00000000-0008-0000-1700-000006DA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1191" name="Line 271">
                <a:extLst>
                  <a:ext uri="{FF2B5EF4-FFF2-40B4-BE49-F238E27FC236}">
                    <a16:creationId xmlns="" xmlns:a16="http://schemas.microsoft.com/office/drawing/2014/main" id="{00000000-0008-0000-1700-000007DA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1192" name="Group 272">
                <a:extLst>
                  <a:ext uri="{FF2B5EF4-FFF2-40B4-BE49-F238E27FC236}">
                    <a16:creationId xmlns="" xmlns:a16="http://schemas.microsoft.com/office/drawing/2014/main" id="{00000000-0008-0000-1700-000008DA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1193" name="Line 273">
                  <a:extLst>
                    <a:ext uri="{FF2B5EF4-FFF2-40B4-BE49-F238E27FC236}">
                      <a16:creationId xmlns="" xmlns:a16="http://schemas.microsoft.com/office/drawing/2014/main" id="{00000000-0008-0000-1700-000009D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1194" name="Line 274">
                  <a:extLst>
                    <a:ext uri="{FF2B5EF4-FFF2-40B4-BE49-F238E27FC236}">
                      <a16:creationId xmlns="" xmlns:a16="http://schemas.microsoft.com/office/drawing/2014/main" id="{00000000-0008-0000-1700-00000AD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1167" name="Group 275">
            <a:extLst>
              <a:ext uri="{FF2B5EF4-FFF2-40B4-BE49-F238E27FC236}">
                <a16:creationId xmlns="" xmlns:a16="http://schemas.microsoft.com/office/drawing/2014/main" id="{00000000-0008-0000-1700-0000EFD942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381183" name="Line 276">
              <a:extLst>
                <a:ext uri="{FF2B5EF4-FFF2-40B4-BE49-F238E27FC236}">
                  <a16:creationId xmlns="" xmlns:a16="http://schemas.microsoft.com/office/drawing/2014/main" id="{00000000-0008-0000-1700-0000FFD9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1184" name="Group 277">
              <a:extLst>
                <a:ext uri="{FF2B5EF4-FFF2-40B4-BE49-F238E27FC236}">
                  <a16:creationId xmlns="" xmlns:a16="http://schemas.microsoft.com/office/drawing/2014/main" id="{00000000-0008-0000-1700-000000DA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1185" name="Line 278">
                <a:extLst>
                  <a:ext uri="{FF2B5EF4-FFF2-40B4-BE49-F238E27FC236}">
                    <a16:creationId xmlns="" xmlns:a16="http://schemas.microsoft.com/office/drawing/2014/main" id="{00000000-0008-0000-1700-000001DA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1186" name="Group 279">
                <a:extLst>
                  <a:ext uri="{FF2B5EF4-FFF2-40B4-BE49-F238E27FC236}">
                    <a16:creationId xmlns="" xmlns:a16="http://schemas.microsoft.com/office/drawing/2014/main" id="{00000000-0008-0000-1700-000002DA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1187" name="Line 280">
                  <a:extLst>
                    <a:ext uri="{FF2B5EF4-FFF2-40B4-BE49-F238E27FC236}">
                      <a16:creationId xmlns="" xmlns:a16="http://schemas.microsoft.com/office/drawing/2014/main" id="{00000000-0008-0000-1700-000003D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1188" name="Line 281">
                  <a:extLst>
                    <a:ext uri="{FF2B5EF4-FFF2-40B4-BE49-F238E27FC236}">
                      <a16:creationId xmlns="" xmlns:a16="http://schemas.microsoft.com/office/drawing/2014/main" id="{00000000-0008-0000-1700-000004DA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1168" name="Group 282">
            <a:extLst>
              <a:ext uri="{FF2B5EF4-FFF2-40B4-BE49-F238E27FC236}">
                <a16:creationId xmlns="" xmlns:a16="http://schemas.microsoft.com/office/drawing/2014/main" id="{00000000-0008-0000-1700-0000F0D942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381177" name="Line 283">
              <a:extLst>
                <a:ext uri="{FF2B5EF4-FFF2-40B4-BE49-F238E27FC236}">
                  <a16:creationId xmlns="" xmlns:a16="http://schemas.microsoft.com/office/drawing/2014/main" id="{00000000-0008-0000-1700-0000F9D9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1178" name="Group 284">
              <a:extLst>
                <a:ext uri="{FF2B5EF4-FFF2-40B4-BE49-F238E27FC236}">
                  <a16:creationId xmlns="" xmlns:a16="http://schemas.microsoft.com/office/drawing/2014/main" id="{00000000-0008-0000-1700-0000FAD9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1179" name="Line 285">
                <a:extLst>
                  <a:ext uri="{FF2B5EF4-FFF2-40B4-BE49-F238E27FC236}">
                    <a16:creationId xmlns="" xmlns:a16="http://schemas.microsoft.com/office/drawing/2014/main" id="{00000000-0008-0000-1700-0000FBD9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1180" name="Group 286">
                <a:extLst>
                  <a:ext uri="{FF2B5EF4-FFF2-40B4-BE49-F238E27FC236}">
                    <a16:creationId xmlns="" xmlns:a16="http://schemas.microsoft.com/office/drawing/2014/main" id="{00000000-0008-0000-1700-0000FCD9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1181" name="Line 287">
                  <a:extLst>
                    <a:ext uri="{FF2B5EF4-FFF2-40B4-BE49-F238E27FC236}">
                      <a16:creationId xmlns="" xmlns:a16="http://schemas.microsoft.com/office/drawing/2014/main" id="{00000000-0008-0000-1700-0000FDD9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1182" name="Line 288">
                  <a:extLst>
                    <a:ext uri="{FF2B5EF4-FFF2-40B4-BE49-F238E27FC236}">
                      <a16:creationId xmlns="" xmlns:a16="http://schemas.microsoft.com/office/drawing/2014/main" id="{00000000-0008-0000-1700-0000FED9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1169" name="Group 289">
            <a:extLst>
              <a:ext uri="{FF2B5EF4-FFF2-40B4-BE49-F238E27FC236}">
                <a16:creationId xmlns="" xmlns:a16="http://schemas.microsoft.com/office/drawing/2014/main" id="{00000000-0008-0000-1700-0000F1D942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381171" name="Line 290">
              <a:extLst>
                <a:ext uri="{FF2B5EF4-FFF2-40B4-BE49-F238E27FC236}">
                  <a16:creationId xmlns="" xmlns:a16="http://schemas.microsoft.com/office/drawing/2014/main" id="{00000000-0008-0000-1700-0000F3D9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1172" name="Group 291">
              <a:extLst>
                <a:ext uri="{FF2B5EF4-FFF2-40B4-BE49-F238E27FC236}">
                  <a16:creationId xmlns="" xmlns:a16="http://schemas.microsoft.com/office/drawing/2014/main" id="{00000000-0008-0000-1700-0000F4D9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1173" name="Line 292">
                <a:extLst>
                  <a:ext uri="{FF2B5EF4-FFF2-40B4-BE49-F238E27FC236}">
                    <a16:creationId xmlns="" xmlns:a16="http://schemas.microsoft.com/office/drawing/2014/main" id="{00000000-0008-0000-1700-0000F5D9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1174" name="Group 293">
                <a:extLst>
                  <a:ext uri="{FF2B5EF4-FFF2-40B4-BE49-F238E27FC236}">
                    <a16:creationId xmlns="" xmlns:a16="http://schemas.microsoft.com/office/drawing/2014/main" id="{00000000-0008-0000-1700-0000F6D9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1175" name="Line 294">
                  <a:extLst>
                    <a:ext uri="{FF2B5EF4-FFF2-40B4-BE49-F238E27FC236}">
                      <a16:creationId xmlns="" xmlns:a16="http://schemas.microsoft.com/office/drawing/2014/main" id="{00000000-0008-0000-1700-0000F7D9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1176" name="Line 295">
                  <a:extLst>
                    <a:ext uri="{FF2B5EF4-FFF2-40B4-BE49-F238E27FC236}">
                      <a16:creationId xmlns="" xmlns:a16="http://schemas.microsoft.com/office/drawing/2014/main" id="{00000000-0008-0000-1700-0000F8D9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81170" name="Line 296">
            <a:extLst>
              <a:ext uri="{FF2B5EF4-FFF2-40B4-BE49-F238E27FC236}">
                <a16:creationId xmlns="" xmlns:a16="http://schemas.microsoft.com/office/drawing/2014/main" id="{00000000-0008-0000-1700-0000F2D942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-2457450</xdr:colOff>
      <xdr:row>23</xdr:row>
      <xdr:rowOff>57150</xdr:rowOff>
    </xdr:from>
    <xdr:to>
      <xdr:col>0</xdr:col>
      <xdr:colOff>-2371725</xdr:colOff>
      <xdr:row>30</xdr:row>
      <xdr:rowOff>66675</xdr:rowOff>
    </xdr:to>
    <xdr:grpSp>
      <xdr:nvGrpSpPr>
        <xdr:cNvPr id="4381083" name="Group 375">
          <a:extLst>
            <a:ext uri="{FF2B5EF4-FFF2-40B4-BE49-F238E27FC236}">
              <a16:creationId xmlns="" xmlns:a16="http://schemas.microsoft.com/office/drawing/2014/main" id="{00000000-0008-0000-1700-00009BD94200}"/>
            </a:ext>
          </a:extLst>
        </xdr:cNvPr>
        <xdr:cNvGrpSpPr>
          <a:grpSpLocks/>
        </xdr:cNvGrpSpPr>
      </xdr:nvGrpSpPr>
      <xdr:grpSpPr bwMode="auto">
        <a:xfrm>
          <a:off x="-2457450" y="8248650"/>
          <a:ext cx="85725" cy="2224088"/>
          <a:chOff x="842" y="438"/>
          <a:chExt cx="10" cy="147"/>
        </a:xfrm>
      </xdr:grpSpPr>
      <xdr:sp macro="" textlink="">
        <xdr:nvSpPr>
          <xdr:cNvPr id="4381154" name="Line 376">
            <a:extLst>
              <a:ext uri="{FF2B5EF4-FFF2-40B4-BE49-F238E27FC236}">
                <a16:creationId xmlns="" xmlns:a16="http://schemas.microsoft.com/office/drawing/2014/main" id="{00000000-0008-0000-1700-0000E2D942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1155" name="Line 377">
            <a:extLst>
              <a:ext uri="{FF2B5EF4-FFF2-40B4-BE49-F238E27FC236}">
                <a16:creationId xmlns="" xmlns:a16="http://schemas.microsoft.com/office/drawing/2014/main" id="{00000000-0008-0000-1700-0000E3D942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542925</xdr:colOff>
      <xdr:row>19</xdr:row>
      <xdr:rowOff>161925</xdr:rowOff>
    </xdr:from>
    <xdr:to>
      <xdr:col>19</xdr:col>
      <xdr:colOff>409575</xdr:colOff>
      <xdr:row>19</xdr:row>
      <xdr:rowOff>161925</xdr:rowOff>
    </xdr:to>
    <xdr:sp macro="" textlink="">
      <xdr:nvSpPr>
        <xdr:cNvPr id="4381084" name="Line 166">
          <a:extLst>
            <a:ext uri="{FF2B5EF4-FFF2-40B4-BE49-F238E27FC236}">
              <a16:creationId xmlns="" xmlns:a16="http://schemas.microsoft.com/office/drawing/2014/main" id="{00000000-0008-0000-1700-00009CD94200}"/>
            </a:ext>
          </a:extLst>
        </xdr:cNvPr>
        <xdr:cNvSpPr>
          <a:spLocks noChangeAspect="1" noChangeShapeType="1"/>
        </xdr:cNvSpPr>
      </xdr:nvSpPr>
      <xdr:spPr bwMode="auto">
        <a:xfrm>
          <a:off x="10801350" y="7124700"/>
          <a:ext cx="5248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476250</xdr:colOff>
      <xdr:row>29</xdr:row>
      <xdr:rowOff>266700</xdr:rowOff>
    </xdr:from>
    <xdr:to>
      <xdr:col>19</xdr:col>
      <xdr:colOff>457200</xdr:colOff>
      <xdr:row>29</xdr:row>
      <xdr:rowOff>266700</xdr:rowOff>
    </xdr:to>
    <xdr:sp macro="" textlink="">
      <xdr:nvSpPr>
        <xdr:cNvPr id="4381085" name="Line 167">
          <a:extLst>
            <a:ext uri="{FF2B5EF4-FFF2-40B4-BE49-F238E27FC236}">
              <a16:creationId xmlns="" xmlns:a16="http://schemas.microsoft.com/office/drawing/2014/main" id="{00000000-0008-0000-1700-00009DD94200}"/>
            </a:ext>
          </a:extLst>
        </xdr:cNvPr>
        <xdr:cNvSpPr>
          <a:spLocks noChangeAspect="1" noChangeShapeType="1"/>
        </xdr:cNvSpPr>
      </xdr:nvSpPr>
      <xdr:spPr bwMode="auto">
        <a:xfrm>
          <a:off x="10801350" y="10239375"/>
          <a:ext cx="5295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495300</xdr:colOff>
      <xdr:row>30</xdr:row>
      <xdr:rowOff>295275</xdr:rowOff>
    </xdr:from>
    <xdr:to>
      <xdr:col>19</xdr:col>
      <xdr:colOff>495300</xdr:colOff>
      <xdr:row>34</xdr:row>
      <xdr:rowOff>314325</xdr:rowOff>
    </xdr:to>
    <xdr:sp macro="" textlink="">
      <xdr:nvSpPr>
        <xdr:cNvPr id="4381086" name="Line 202">
          <a:extLst>
            <a:ext uri="{FF2B5EF4-FFF2-40B4-BE49-F238E27FC236}">
              <a16:creationId xmlns="" xmlns:a16="http://schemas.microsoft.com/office/drawing/2014/main" id="{00000000-0008-0000-1700-00009ED94200}"/>
            </a:ext>
          </a:extLst>
        </xdr:cNvPr>
        <xdr:cNvSpPr>
          <a:spLocks noChangeAspect="1" noChangeShapeType="1"/>
        </xdr:cNvSpPr>
      </xdr:nvSpPr>
      <xdr:spPr bwMode="auto">
        <a:xfrm>
          <a:off x="16135350" y="10725150"/>
          <a:ext cx="0" cy="18478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12</xdr:col>
      <xdr:colOff>476250</xdr:colOff>
      <xdr:row>30</xdr:row>
      <xdr:rowOff>304800</xdr:rowOff>
    </xdr:from>
    <xdr:to>
      <xdr:col>12</xdr:col>
      <xdr:colOff>476250</xdr:colOff>
      <xdr:row>34</xdr:row>
      <xdr:rowOff>342900</xdr:rowOff>
    </xdr:to>
    <xdr:sp macro="" textlink="">
      <xdr:nvSpPr>
        <xdr:cNvPr id="4381087" name="Line 203">
          <a:extLst>
            <a:ext uri="{FF2B5EF4-FFF2-40B4-BE49-F238E27FC236}">
              <a16:creationId xmlns="" xmlns:a16="http://schemas.microsoft.com/office/drawing/2014/main" id="{00000000-0008-0000-1700-00009FD94200}"/>
            </a:ext>
          </a:extLst>
        </xdr:cNvPr>
        <xdr:cNvSpPr>
          <a:spLocks noChangeAspect="1" noChangeShapeType="1"/>
        </xdr:cNvSpPr>
      </xdr:nvSpPr>
      <xdr:spPr bwMode="auto">
        <a:xfrm flipH="1">
          <a:off x="10801350" y="10734675"/>
          <a:ext cx="0" cy="18669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504825</xdr:colOff>
      <xdr:row>20</xdr:row>
      <xdr:rowOff>0</xdr:rowOff>
    </xdr:from>
    <xdr:to>
      <xdr:col>14</xdr:col>
      <xdr:colOff>504825</xdr:colOff>
      <xdr:row>33</xdr:row>
      <xdr:rowOff>428625</xdr:rowOff>
    </xdr:to>
    <xdr:sp macro="" textlink="">
      <xdr:nvSpPr>
        <xdr:cNvPr id="4381088" name="Line 162">
          <a:extLst>
            <a:ext uri="{FF2B5EF4-FFF2-40B4-BE49-F238E27FC236}">
              <a16:creationId xmlns="" xmlns:a16="http://schemas.microsoft.com/office/drawing/2014/main" id="{00000000-0008-0000-1700-0000A0D94200}"/>
            </a:ext>
          </a:extLst>
        </xdr:cNvPr>
        <xdr:cNvSpPr>
          <a:spLocks noChangeAspect="1" noChangeShapeType="1"/>
        </xdr:cNvSpPr>
      </xdr:nvSpPr>
      <xdr:spPr bwMode="auto">
        <a:xfrm flipH="1">
          <a:off x="11553825" y="7153275"/>
          <a:ext cx="0" cy="5076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stealth" w="med" len="lg"/>
        </a:ln>
      </xdr:spPr>
    </xdr:sp>
    <xdr:clientData/>
  </xdr:twoCellAnchor>
  <xdr:twoCellAnchor>
    <xdr:from>
      <xdr:col>14</xdr:col>
      <xdr:colOff>381000</xdr:colOff>
      <xdr:row>29</xdr:row>
      <xdr:rowOff>152400</xdr:rowOff>
    </xdr:from>
    <xdr:to>
      <xdr:col>14</xdr:col>
      <xdr:colOff>609600</xdr:colOff>
      <xdr:row>29</xdr:row>
      <xdr:rowOff>352425</xdr:rowOff>
    </xdr:to>
    <xdr:sp macro="" textlink="">
      <xdr:nvSpPr>
        <xdr:cNvPr id="4381089" name="Oval 189">
          <a:extLst>
            <a:ext uri="{FF2B5EF4-FFF2-40B4-BE49-F238E27FC236}">
              <a16:creationId xmlns="" xmlns:a16="http://schemas.microsoft.com/office/drawing/2014/main" id="{00000000-0008-0000-1700-0000A1D94200}"/>
            </a:ext>
          </a:extLst>
        </xdr:cNvPr>
        <xdr:cNvSpPr>
          <a:spLocks noChangeAspect="1" noChangeArrowheads="1"/>
        </xdr:cNvSpPr>
      </xdr:nvSpPr>
      <xdr:spPr bwMode="auto">
        <a:xfrm>
          <a:off x="11430000" y="10125075"/>
          <a:ext cx="228600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381000</xdr:colOff>
      <xdr:row>19</xdr:row>
      <xdr:rowOff>57150</xdr:rowOff>
    </xdr:from>
    <xdr:to>
      <xdr:col>14</xdr:col>
      <xdr:colOff>609600</xdr:colOff>
      <xdr:row>20</xdr:row>
      <xdr:rowOff>66675</xdr:rowOff>
    </xdr:to>
    <xdr:sp macro="" textlink="">
      <xdr:nvSpPr>
        <xdr:cNvPr id="4381090" name="Oval 395">
          <a:extLst>
            <a:ext uri="{FF2B5EF4-FFF2-40B4-BE49-F238E27FC236}">
              <a16:creationId xmlns="" xmlns:a16="http://schemas.microsoft.com/office/drawing/2014/main" id="{00000000-0008-0000-1700-0000A2D94200}"/>
            </a:ext>
          </a:extLst>
        </xdr:cNvPr>
        <xdr:cNvSpPr>
          <a:spLocks noChangeAspect="1" noChangeArrowheads="1"/>
        </xdr:cNvSpPr>
      </xdr:nvSpPr>
      <xdr:spPr bwMode="auto">
        <a:xfrm>
          <a:off x="11430000" y="7019925"/>
          <a:ext cx="228600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33</xdr:row>
      <xdr:rowOff>28575</xdr:rowOff>
    </xdr:from>
    <xdr:to>
      <xdr:col>14</xdr:col>
      <xdr:colOff>1000125</xdr:colOff>
      <xdr:row>33</xdr:row>
      <xdr:rowOff>28575</xdr:rowOff>
    </xdr:to>
    <xdr:sp macro="" textlink="">
      <xdr:nvSpPr>
        <xdr:cNvPr id="4381091" name="Line 184">
          <a:extLst>
            <a:ext uri="{FF2B5EF4-FFF2-40B4-BE49-F238E27FC236}">
              <a16:creationId xmlns="" xmlns:a16="http://schemas.microsoft.com/office/drawing/2014/main" id="{00000000-0008-0000-1700-0000A3D94200}"/>
            </a:ext>
          </a:extLst>
        </xdr:cNvPr>
        <xdr:cNvSpPr>
          <a:spLocks noChangeAspect="1" noChangeShapeType="1"/>
        </xdr:cNvSpPr>
      </xdr:nvSpPr>
      <xdr:spPr bwMode="auto">
        <a:xfrm flipH="1">
          <a:off x="10801350" y="11830050"/>
          <a:ext cx="1247775" cy="0"/>
        </a:xfrm>
        <a:prstGeom prst="line">
          <a:avLst/>
        </a:prstGeom>
        <a:noFill/>
        <a:ln w="28575" cap="rnd">
          <a:solidFill>
            <a:srgbClr val="000000"/>
          </a:solidFill>
          <a:prstDash val="sysDot"/>
          <a:round/>
          <a:headEnd/>
          <a:tailEnd type="stealth" w="med" len="lg"/>
        </a:ln>
      </xdr:spPr>
    </xdr:sp>
    <xdr:clientData/>
  </xdr:twoCellAnchor>
  <xdr:twoCellAnchor>
    <xdr:from>
      <xdr:col>14</xdr:col>
      <xdr:colOff>1028700</xdr:colOff>
      <xdr:row>19</xdr:row>
      <xdr:rowOff>161925</xdr:rowOff>
    </xdr:from>
    <xdr:to>
      <xdr:col>14</xdr:col>
      <xdr:colOff>1028700</xdr:colOff>
      <xdr:row>33</xdr:row>
      <xdr:rowOff>47625</xdr:rowOff>
    </xdr:to>
    <xdr:sp macro="" textlink="">
      <xdr:nvSpPr>
        <xdr:cNvPr id="4381092" name="Line 398">
          <a:extLst>
            <a:ext uri="{FF2B5EF4-FFF2-40B4-BE49-F238E27FC236}">
              <a16:creationId xmlns="" xmlns:a16="http://schemas.microsoft.com/office/drawing/2014/main" id="{00000000-0008-0000-1700-0000A4D94200}"/>
            </a:ext>
          </a:extLst>
        </xdr:cNvPr>
        <xdr:cNvSpPr>
          <a:spLocks noChangeAspect="1" noChangeShapeType="1"/>
        </xdr:cNvSpPr>
      </xdr:nvSpPr>
      <xdr:spPr bwMode="auto">
        <a:xfrm flipH="1">
          <a:off x="12077700" y="7124700"/>
          <a:ext cx="0" cy="4724400"/>
        </a:xfrm>
        <a:prstGeom prst="line">
          <a:avLst/>
        </a:prstGeom>
        <a:noFill/>
        <a:ln w="28575" cap="rnd">
          <a:solidFill>
            <a:srgbClr val="000000"/>
          </a:solidFill>
          <a:prstDash val="sysDot"/>
          <a:round/>
          <a:headEnd/>
          <a:tailEnd type="stealth" w="med" len="lg"/>
        </a:ln>
      </xdr:spPr>
    </xdr:sp>
    <xdr:clientData/>
  </xdr:twoCellAnchor>
  <xdr:twoCellAnchor>
    <xdr:from>
      <xdr:col>14</xdr:col>
      <xdr:colOff>923925</xdr:colOff>
      <xdr:row>29</xdr:row>
      <xdr:rowOff>152400</xdr:rowOff>
    </xdr:from>
    <xdr:to>
      <xdr:col>14</xdr:col>
      <xdr:colOff>1152525</xdr:colOff>
      <xdr:row>29</xdr:row>
      <xdr:rowOff>352425</xdr:rowOff>
    </xdr:to>
    <xdr:sp macro="" textlink="">
      <xdr:nvSpPr>
        <xdr:cNvPr id="4381093" name="Oval 399">
          <a:extLst>
            <a:ext uri="{FF2B5EF4-FFF2-40B4-BE49-F238E27FC236}">
              <a16:creationId xmlns="" xmlns:a16="http://schemas.microsoft.com/office/drawing/2014/main" id="{00000000-0008-0000-1700-0000A5D94200}"/>
            </a:ext>
          </a:extLst>
        </xdr:cNvPr>
        <xdr:cNvSpPr>
          <a:spLocks noChangeAspect="1" noChangeArrowheads="1"/>
        </xdr:cNvSpPr>
      </xdr:nvSpPr>
      <xdr:spPr bwMode="auto">
        <a:xfrm>
          <a:off x="11972925" y="10125075"/>
          <a:ext cx="228600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923925</xdr:colOff>
      <xdr:row>19</xdr:row>
      <xdr:rowOff>57150</xdr:rowOff>
    </xdr:from>
    <xdr:to>
      <xdr:col>14</xdr:col>
      <xdr:colOff>1152525</xdr:colOff>
      <xdr:row>20</xdr:row>
      <xdr:rowOff>66675</xdr:rowOff>
    </xdr:to>
    <xdr:sp macro="" textlink="">
      <xdr:nvSpPr>
        <xdr:cNvPr id="4381094" name="Oval 400">
          <a:extLst>
            <a:ext uri="{FF2B5EF4-FFF2-40B4-BE49-F238E27FC236}">
              <a16:creationId xmlns="" xmlns:a16="http://schemas.microsoft.com/office/drawing/2014/main" id="{00000000-0008-0000-1700-0000A6D94200}"/>
            </a:ext>
          </a:extLst>
        </xdr:cNvPr>
        <xdr:cNvSpPr>
          <a:spLocks noChangeAspect="1" noChangeArrowheads="1"/>
        </xdr:cNvSpPr>
      </xdr:nvSpPr>
      <xdr:spPr bwMode="auto">
        <a:xfrm>
          <a:off x="11972925" y="7019925"/>
          <a:ext cx="228600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485775</xdr:colOff>
      <xdr:row>33</xdr:row>
      <xdr:rowOff>409575</xdr:rowOff>
    </xdr:from>
    <xdr:to>
      <xdr:col>19</xdr:col>
      <xdr:colOff>485775</xdr:colOff>
      <xdr:row>33</xdr:row>
      <xdr:rowOff>409575</xdr:rowOff>
    </xdr:to>
    <xdr:sp macro="" textlink="">
      <xdr:nvSpPr>
        <xdr:cNvPr id="4381095" name="Line 429">
          <a:extLst>
            <a:ext uri="{FF2B5EF4-FFF2-40B4-BE49-F238E27FC236}">
              <a16:creationId xmlns="" xmlns:a16="http://schemas.microsoft.com/office/drawing/2014/main" id="{00000000-0008-0000-1700-0000A7D94200}"/>
            </a:ext>
          </a:extLst>
        </xdr:cNvPr>
        <xdr:cNvSpPr>
          <a:spLocks noChangeAspect="1" noChangeShapeType="1"/>
        </xdr:cNvSpPr>
      </xdr:nvSpPr>
      <xdr:spPr bwMode="auto">
        <a:xfrm rot="16200000" flipH="1">
          <a:off x="13830300" y="9915525"/>
          <a:ext cx="0" cy="459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stealth" w="med" len="lg"/>
        </a:ln>
      </xdr:spPr>
    </xdr:sp>
    <xdr:clientData/>
  </xdr:twoCellAnchor>
  <xdr:twoCellAnchor>
    <xdr:from>
      <xdr:col>12</xdr:col>
      <xdr:colOff>466725</xdr:colOff>
      <xdr:row>32</xdr:row>
      <xdr:rowOff>9525</xdr:rowOff>
    </xdr:from>
    <xdr:to>
      <xdr:col>15</xdr:col>
      <xdr:colOff>419100</xdr:colOff>
      <xdr:row>32</xdr:row>
      <xdr:rowOff>9525</xdr:rowOff>
    </xdr:to>
    <xdr:sp macro="" textlink="">
      <xdr:nvSpPr>
        <xdr:cNvPr id="4381096" name="Line 191">
          <a:extLst>
            <a:ext uri="{FF2B5EF4-FFF2-40B4-BE49-F238E27FC236}">
              <a16:creationId xmlns="" xmlns:a16="http://schemas.microsoft.com/office/drawing/2014/main" id="{00000000-0008-0000-1700-0000A8D94200}"/>
            </a:ext>
          </a:extLst>
        </xdr:cNvPr>
        <xdr:cNvSpPr>
          <a:spLocks noChangeAspect="1" noChangeShapeType="1"/>
        </xdr:cNvSpPr>
      </xdr:nvSpPr>
      <xdr:spPr bwMode="auto">
        <a:xfrm flipH="1">
          <a:off x="10801350" y="11353800"/>
          <a:ext cx="1857375" cy="0"/>
        </a:xfrm>
        <a:prstGeom prst="line">
          <a:avLst/>
        </a:prstGeom>
        <a:noFill/>
        <a:ln w="22225">
          <a:solidFill>
            <a:srgbClr val="000000"/>
          </a:solidFill>
          <a:prstDash val="dash"/>
          <a:round/>
          <a:headEnd/>
          <a:tailEnd type="stealth" w="med" len="lg"/>
        </a:ln>
      </xdr:spPr>
    </xdr:sp>
    <xdr:clientData/>
  </xdr:twoCellAnchor>
  <xdr:twoCellAnchor>
    <xdr:from>
      <xdr:col>15</xdr:col>
      <xdr:colOff>419100</xdr:colOff>
      <xdr:row>19</xdr:row>
      <xdr:rowOff>161925</xdr:rowOff>
    </xdr:from>
    <xdr:to>
      <xdr:col>15</xdr:col>
      <xdr:colOff>419100</xdr:colOff>
      <xdr:row>32</xdr:row>
      <xdr:rowOff>47625</xdr:rowOff>
    </xdr:to>
    <xdr:sp macro="" textlink="">
      <xdr:nvSpPr>
        <xdr:cNvPr id="4381097" name="Line 434">
          <a:extLst>
            <a:ext uri="{FF2B5EF4-FFF2-40B4-BE49-F238E27FC236}">
              <a16:creationId xmlns="" xmlns:a16="http://schemas.microsoft.com/office/drawing/2014/main" id="{00000000-0008-0000-1700-0000A9D94200}"/>
            </a:ext>
          </a:extLst>
        </xdr:cNvPr>
        <xdr:cNvSpPr>
          <a:spLocks noChangeAspect="1" noChangeShapeType="1"/>
        </xdr:cNvSpPr>
      </xdr:nvSpPr>
      <xdr:spPr bwMode="auto">
        <a:xfrm flipH="1">
          <a:off x="12658725" y="7124700"/>
          <a:ext cx="0" cy="4267200"/>
        </a:xfrm>
        <a:prstGeom prst="line">
          <a:avLst/>
        </a:prstGeom>
        <a:noFill/>
        <a:ln w="22225">
          <a:solidFill>
            <a:srgbClr val="000000"/>
          </a:solidFill>
          <a:prstDash val="dash"/>
          <a:round/>
          <a:headEnd/>
          <a:tailEnd type="stealth" w="med" len="lg"/>
        </a:ln>
      </xdr:spPr>
    </xdr:sp>
    <xdr:clientData/>
  </xdr:twoCellAnchor>
  <xdr:twoCellAnchor>
    <xdr:from>
      <xdr:col>15</xdr:col>
      <xdr:colOff>314325</xdr:colOff>
      <xdr:row>29</xdr:row>
      <xdr:rowOff>152400</xdr:rowOff>
    </xdr:from>
    <xdr:to>
      <xdr:col>15</xdr:col>
      <xdr:colOff>542925</xdr:colOff>
      <xdr:row>29</xdr:row>
      <xdr:rowOff>352425</xdr:rowOff>
    </xdr:to>
    <xdr:sp macro="" textlink="">
      <xdr:nvSpPr>
        <xdr:cNvPr id="4381098" name="Oval 435">
          <a:extLst>
            <a:ext uri="{FF2B5EF4-FFF2-40B4-BE49-F238E27FC236}">
              <a16:creationId xmlns="" xmlns:a16="http://schemas.microsoft.com/office/drawing/2014/main" id="{00000000-0008-0000-1700-0000AAD94200}"/>
            </a:ext>
          </a:extLst>
        </xdr:cNvPr>
        <xdr:cNvSpPr>
          <a:spLocks noChangeAspect="1" noChangeArrowheads="1"/>
        </xdr:cNvSpPr>
      </xdr:nvSpPr>
      <xdr:spPr bwMode="auto">
        <a:xfrm>
          <a:off x="12553950" y="10125075"/>
          <a:ext cx="228600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314325</xdr:colOff>
      <xdr:row>19</xdr:row>
      <xdr:rowOff>57150</xdr:rowOff>
    </xdr:from>
    <xdr:to>
      <xdr:col>15</xdr:col>
      <xdr:colOff>542925</xdr:colOff>
      <xdr:row>20</xdr:row>
      <xdr:rowOff>66675</xdr:rowOff>
    </xdr:to>
    <xdr:sp macro="" textlink="">
      <xdr:nvSpPr>
        <xdr:cNvPr id="4381099" name="Oval 436">
          <a:extLst>
            <a:ext uri="{FF2B5EF4-FFF2-40B4-BE49-F238E27FC236}">
              <a16:creationId xmlns="" xmlns:a16="http://schemas.microsoft.com/office/drawing/2014/main" id="{00000000-0008-0000-1700-0000ABD94200}"/>
            </a:ext>
          </a:extLst>
        </xdr:cNvPr>
        <xdr:cNvSpPr>
          <a:spLocks noChangeAspect="1" noChangeArrowheads="1"/>
        </xdr:cNvSpPr>
      </xdr:nvSpPr>
      <xdr:spPr bwMode="auto">
        <a:xfrm>
          <a:off x="12553950" y="7019925"/>
          <a:ext cx="228600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457200</xdr:colOff>
      <xdr:row>31</xdr:row>
      <xdr:rowOff>28575</xdr:rowOff>
    </xdr:from>
    <xdr:to>
      <xdr:col>16</xdr:col>
      <xdr:colOff>57150</xdr:colOff>
      <xdr:row>31</xdr:row>
      <xdr:rowOff>28575</xdr:rowOff>
    </xdr:to>
    <xdr:sp macro="" textlink="">
      <xdr:nvSpPr>
        <xdr:cNvPr id="4381100" name="Line 232">
          <a:extLst>
            <a:ext uri="{FF2B5EF4-FFF2-40B4-BE49-F238E27FC236}">
              <a16:creationId xmlns="" xmlns:a16="http://schemas.microsoft.com/office/drawing/2014/main" id="{00000000-0008-0000-1700-0000ACD94200}"/>
            </a:ext>
          </a:extLst>
        </xdr:cNvPr>
        <xdr:cNvSpPr>
          <a:spLocks noChangeAspect="1" noChangeShapeType="1"/>
        </xdr:cNvSpPr>
      </xdr:nvSpPr>
      <xdr:spPr bwMode="auto">
        <a:xfrm flipH="1">
          <a:off x="10801350" y="10915650"/>
          <a:ext cx="2419350" cy="0"/>
        </a:xfrm>
        <a:prstGeom prst="line">
          <a:avLst/>
        </a:prstGeom>
        <a:noFill/>
        <a:ln w="22225">
          <a:solidFill>
            <a:srgbClr val="000000"/>
          </a:solidFill>
          <a:prstDash val="lgDashDotDot"/>
          <a:round/>
          <a:headEnd/>
          <a:tailEnd type="stealth" w="med" len="lg"/>
        </a:ln>
      </xdr:spPr>
    </xdr:sp>
    <xdr:clientData/>
  </xdr:twoCellAnchor>
  <xdr:twoCellAnchor>
    <xdr:from>
      <xdr:col>16</xdr:col>
      <xdr:colOff>38100</xdr:colOff>
      <xdr:row>19</xdr:row>
      <xdr:rowOff>161925</xdr:rowOff>
    </xdr:from>
    <xdr:to>
      <xdr:col>16</xdr:col>
      <xdr:colOff>38100</xdr:colOff>
      <xdr:row>31</xdr:row>
      <xdr:rowOff>38100</xdr:rowOff>
    </xdr:to>
    <xdr:sp macro="" textlink="">
      <xdr:nvSpPr>
        <xdr:cNvPr id="4381101" name="Line 437">
          <a:extLst>
            <a:ext uri="{FF2B5EF4-FFF2-40B4-BE49-F238E27FC236}">
              <a16:creationId xmlns="" xmlns:a16="http://schemas.microsoft.com/office/drawing/2014/main" id="{00000000-0008-0000-1700-0000ADD94200}"/>
            </a:ext>
          </a:extLst>
        </xdr:cNvPr>
        <xdr:cNvSpPr>
          <a:spLocks noChangeAspect="1" noChangeShapeType="1"/>
        </xdr:cNvSpPr>
      </xdr:nvSpPr>
      <xdr:spPr bwMode="auto">
        <a:xfrm flipH="1">
          <a:off x="13201650" y="7124700"/>
          <a:ext cx="0" cy="3800475"/>
        </a:xfrm>
        <a:prstGeom prst="line">
          <a:avLst/>
        </a:prstGeom>
        <a:noFill/>
        <a:ln w="22225">
          <a:solidFill>
            <a:srgbClr val="000000"/>
          </a:solidFill>
          <a:prstDash val="lgDashDotDot"/>
          <a:round/>
          <a:headEnd/>
          <a:tailEnd type="stealth" w="med" len="lg"/>
        </a:ln>
      </xdr:spPr>
    </xdr:sp>
    <xdr:clientData/>
  </xdr:twoCellAnchor>
  <xdr:twoCellAnchor>
    <xdr:from>
      <xdr:col>15</xdr:col>
      <xdr:colOff>857250</xdr:colOff>
      <xdr:row>29</xdr:row>
      <xdr:rowOff>152400</xdr:rowOff>
    </xdr:from>
    <xdr:to>
      <xdr:col>16</xdr:col>
      <xdr:colOff>161925</xdr:colOff>
      <xdr:row>29</xdr:row>
      <xdr:rowOff>352425</xdr:rowOff>
    </xdr:to>
    <xdr:sp macro="" textlink="">
      <xdr:nvSpPr>
        <xdr:cNvPr id="4381102" name="Oval 438">
          <a:extLst>
            <a:ext uri="{FF2B5EF4-FFF2-40B4-BE49-F238E27FC236}">
              <a16:creationId xmlns="" xmlns:a16="http://schemas.microsoft.com/office/drawing/2014/main" id="{00000000-0008-0000-1700-0000AED94200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10125075"/>
          <a:ext cx="228600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857250</xdr:colOff>
      <xdr:row>19</xdr:row>
      <xdr:rowOff>57150</xdr:rowOff>
    </xdr:from>
    <xdr:to>
      <xdr:col>16</xdr:col>
      <xdr:colOff>161925</xdr:colOff>
      <xdr:row>20</xdr:row>
      <xdr:rowOff>66675</xdr:rowOff>
    </xdr:to>
    <xdr:sp macro="" textlink="">
      <xdr:nvSpPr>
        <xdr:cNvPr id="4381103" name="Oval 439">
          <a:extLst>
            <a:ext uri="{FF2B5EF4-FFF2-40B4-BE49-F238E27FC236}">
              <a16:creationId xmlns="" xmlns:a16="http://schemas.microsoft.com/office/drawing/2014/main" id="{00000000-0008-0000-1700-0000AFD94200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7019925"/>
          <a:ext cx="228600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28575</xdr:colOff>
      <xdr:row>33</xdr:row>
      <xdr:rowOff>19050</xdr:rowOff>
    </xdr:from>
    <xdr:to>
      <xdr:col>19</xdr:col>
      <xdr:colOff>495300</xdr:colOff>
      <xdr:row>33</xdr:row>
      <xdr:rowOff>19050</xdr:rowOff>
    </xdr:to>
    <xdr:sp macro="" textlink="">
      <xdr:nvSpPr>
        <xdr:cNvPr id="4381104" name="Line 444">
          <a:extLst>
            <a:ext uri="{FF2B5EF4-FFF2-40B4-BE49-F238E27FC236}">
              <a16:creationId xmlns="" xmlns:a16="http://schemas.microsoft.com/office/drawing/2014/main" id="{00000000-0008-0000-1700-0000B0D94200}"/>
            </a:ext>
          </a:extLst>
        </xdr:cNvPr>
        <xdr:cNvSpPr>
          <a:spLocks noChangeAspect="1" noChangeShapeType="1"/>
        </xdr:cNvSpPr>
      </xdr:nvSpPr>
      <xdr:spPr bwMode="auto">
        <a:xfrm>
          <a:off x="14925675" y="11820525"/>
          <a:ext cx="1209675" cy="0"/>
        </a:xfrm>
        <a:prstGeom prst="line">
          <a:avLst/>
        </a:prstGeom>
        <a:noFill/>
        <a:ln w="28575" cap="rnd">
          <a:solidFill>
            <a:srgbClr val="000000"/>
          </a:solidFill>
          <a:prstDash val="sysDot"/>
          <a:round/>
          <a:headEnd/>
          <a:tailEnd type="stealth" w="med" len="lg"/>
        </a:ln>
      </xdr:spPr>
    </xdr:sp>
    <xdr:clientData/>
  </xdr:twoCellAnchor>
  <xdr:twoCellAnchor>
    <xdr:from>
      <xdr:col>18</xdr:col>
      <xdr:colOff>0</xdr:colOff>
      <xdr:row>19</xdr:row>
      <xdr:rowOff>152400</xdr:rowOff>
    </xdr:from>
    <xdr:to>
      <xdr:col>18</xdr:col>
      <xdr:colOff>0</xdr:colOff>
      <xdr:row>33</xdr:row>
      <xdr:rowOff>38100</xdr:rowOff>
    </xdr:to>
    <xdr:sp macro="" textlink="">
      <xdr:nvSpPr>
        <xdr:cNvPr id="4381105" name="Line 445">
          <a:extLst>
            <a:ext uri="{FF2B5EF4-FFF2-40B4-BE49-F238E27FC236}">
              <a16:creationId xmlns="" xmlns:a16="http://schemas.microsoft.com/office/drawing/2014/main" id="{00000000-0008-0000-1700-0000B1D94200}"/>
            </a:ext>
          </a:extLst>
        </xdr:cNvPr>
        <xdr:cNvSpPr>
          <a:spLocks noChangeAspect="1" noChangeShapeType="1"/>
        </xdr:cNvSpPr>
      </xdr:nvSpPr>
      <xdr:spPr bwMode="auto">
        <a:xfrm>
          <a:off x="14897100" y="7115175"/>
          <a:ext cx="0" cy="4724400"/>
        </a:xfrm>
        <a:prstGeom prst="line">
          <a:avLst/>
        </a:prstGeom>
        <a:noFill/>
        <a:ln w="28575" cap="rnd">
          <a:solidFill>
            <a:srgbClr val="000000"/>
          </a:solidFill>
          <a:prstDash val="sysDot"/>
          <a:round/>
          <a:headEnd/>
          <a:tailEnd type="stealth" w="med" len="lg"/>
        </a:ln>
      </xdr:spPr>
    </xdr:sp>
    <xdr:clientData/>
  </xdr:twoCellAnchor>
  <xdr:twoCellAnchor>
    <xdr:from>
      <xdr:col>17</xdr:col>
      <xdr:colOff>523875</xdr:colOff>
      <xdr:row>29</xdr:row>
      <xdr:rowOff>142875</xdr:rowOff>
    </xdr:from>
    <xdr:to>
      <xdr:col>18</xdr:col>
      <xdr:colOff>104775</xdr:colOff>
      <xdr:row>29</xdr:row>
      <xdr:rowOff>342900</xdr:rowOff>
    </xdr:to>
    <xdr:sp macro="" textlink="">
      <xdr:nvSpPr>
        <xdr:cNvPr id="4381106" name="Oval 446">
          <a:extLst>
            <a:ext uri="{FF2B5EF4-FFF2-40B4-BE49-F238E27FC236}">
              <a16:creationId xmlns="" xmlns:a16="http://schemas.microsoft.com/office/drawing/2014/main" id="{00000000-0008-0000-1700-0000B2D942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4773275" y="10115550"/>
          <a:ext cx="228600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523875</xdr:colOff>
      <xdr:row>19</xdr:row>
      <xdr:rowOff>47625</xdr:rowOff>
    </xdr:from>
    <xdr:to>
      <xdr:col>18</xdr:col>
      <xdr:colOff>104775</xdr:colOff>
      <xdr:row>20</xdr:row>
      <xdr:rowOff>57150</xdr:rowOff>
    </xdr:to>
    <xdr:sp macro="" textlink="">
      <xdr:nvSpPr>
        <xdr:cNvPr id="4381107" name="Oval 447">
          <a:extLst>
            <a:ext uri="{FF2B5EF4-FFF2-40B4-BE49-F238E27FC236}">
              <a16:creationId xmlns="" xmlns:a16="http://schemas.microsoft.com/office/drawing/2014/main" id="{00000000-0008-0000-1700-0000B3D942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4773275" y="7010400"/>
          <a:ext cx="228600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85725</xdr:colOff>
      <xdr:row>32</xdr:row>
      <xdr:rowOff>9525</xdr:rowOff>
    </xdr:from>
    <xdr:to>
      <xdr:col>19</xdr:col>
      <xdr:colOff>495300</xdr:colOff>
      <xdr:row>32</xdr:row>
      <xdr:rowOff>9525</xdr:rowOff>
    </xdr:to>
    <xdr:sp macro="" textlink="">
      <xdr:nvSpPr>
        <xdr:cNvPr id="4381108" name="Line 449">
          <a:extLst>
            <a:ext uri="{FF2B5EF4-FFF2-40B4-BE49-F238E27FC236}">
              <a16:creationId xmlns="" xmlns:a16="http://schemas.microsoft.com/office/drawing/2014/main" id="{00000000-0008-0000-1700-0000B4D94200}"/>
            </a:ext>
          </a:extLst>
        </xdr:cNvPr>
        <xdr:cNvSpPr>
          <a:spLocks noChangeAspect="1" noChangeShapeType="1"/>
        </xdr:cNvSpPr>
      </xdr:nvSpPr>
      <xdr:spPr bwMode="auto">
        <a:xfrm>
          <a:off x="14335125" y="11353800"/>
          <a:ext cx="1800225" cy="0"/>
        </a:xfrm>
        <a:prstGeom prst="line">
          <a:avLst/>
        </a:prstGeom>
        <a:noFill/>
        <a:ln w="22225">
          <a:solidFill>
            <a:srgbClr val="000000"/>
          </a:solidFill>
          <a:prstDash val="dash"/>
          <a:round/>
          <a:headEnd/>
          <a:tailEnd type="stealth" w="med" len="lg"/>
        </a:ln>
      </xdr:spPr>
    </xdr:sp>
    <xdr:clientData/>
  </xdr:twoCellAnchor>
  <xdr:twoCellAnchor>
    <xdr:from>
      <xdr:col>17</xdr:col>
      <xdr:colOff>85725</xdr:colOff>
      <xdr:row>19</xdr:row>
      <xdr:rowOff>152400</xdr:rowOff>
    </xdr:from>
    <xdr:to>
      <xdr:col>17</xdr:col>
      <xdr:colOff>85725</xdr:colOff>
      <xdr:row>32</xdr:row>
      <xdr:rowOff>38100</xdr:rowOff>
    </xdr:to>
    <xdr:sp macro="" textlink="">
      <xdr:nvSpPr>
        <xdr:cNvPr id="4381109" name="Line 450">
          <a:extLst>
            <a:ext uri="{FF2B5EF4-FFF2-40B4-BE49-F238E27FC236}">
              <a16:creationId xmlns="" xmlns:a16="http://schemas.microsoft.com/office/drawing/2014/main" id="{00000000-0008-0000-1700-0000B5D94200}"/>
            </a:ext>
          </a:extLst>
        </xdr:cNvPr>
        <xdr:cNvSpPr>
          <a:spLocks noChangeAspect="1" noChangeShapeType="1"/>
        </xdr:cNvSpPr>
      </xdr:nvSpPr>
      <xdr:spPr bwMode="auto">
        <a:xfrm>
          <a:off x="14335125" y="7115175"/>
          <a:ext cx="0" cy="4267200"/>
        </a:xfrm>
        <a:prstGeom prst="line">
          <a:avLst/>
        </a:prstGeom>
        <a:noFill/>
        <a:ln w="22225">
          <a:solidFill>
            <a:srgbClr val="000000"/>
          </a:solidFill>
          <a:prstDash val="dash"/>
          <a:round/>
          <a:headEnd/>
          <a:tailEnd type="stealth" w="med" len="lg"/>
        </a:ln>
      </xdr:spPr>
    </xdr:sp>
    <xdr:clientData/>
  </xdr:twoCellAnchor>
  <xdr:twoCellAnchor>
    <xdr:from>
      <xdr:col>16</xdr:col>
      <xdr:colOff>1047750</xdr:colOff>
      <xdr:row>29</xdr:row>
      <xdr:rowOff>142875</xdr:rowOff>
    </xdr:from>
    <xdr:to>
      <xdr:col>17</xdr:col>
      <xdr:colOff>190500</xdr:colOff>
      <xdr:row>29</xdr:row>
      <xdr:rowOff>342900</xdr:rowOff>
    </xdr:to>
    <xdr:sp macro="" textlink="">
      <xdr:nvSpPr>
        <xdr:cNvPr id="4381110" name="Oval 451">
          <a:extLst>
            <a:ext uri="{FF2B5EF4-FFF2-40B4-BE49-F238E27FC236}">
              <a16:creationId xmlns="" xmlns:a16="http://schemas.microsoft.com/office/drawing/2014/main" id="{00000000-0008-0000-1700-0000B6D942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4211300" y="10115550"/>
          <a:ext cx="228600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1047750</xdr:colOff>
      <xdr:row>19</xdr:row>
      <xdr:rowOff>47625</xdr:rowOff>
    </xdr:from>
    <xdr:to>
      <xdr:col>17</xdr:col>
      <xdr:colOff>190500</xdr:colOff>
      <xdr:row>20</xdr:row>
      <xdr:rowOff>57150</xdr:rowOff>
    </xdr:to>
    <xdr:sp macro="" textlink="">
      <xdr:nvSpPr>
        <xdr:cNvPr id="4381111" name="Oval 452">
          <a:extLst>
            <a:ext uri="{FF2B5EF4-FFF2-40B4-BE49-F238E27FC236}">
              <a16:creationId xmlns="" xmlns:a16="http://schemas.microsoft.com/office/drawing/2014/main" id="{00000000-0008-0000-1700-0000B7D942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4211300" y="7010400"/>
          <a:ext cx="228600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600075</xdr:colOff>
      <xdr:row>31</xdr:row>
      <xdr:rowOff>19050</xdr:rowOff>
    </xdr:from>
    <xdr:to>
      <xdr:col>19</xdr:col>
      <xdr:colOff>504825</xdr:colOff>
      <xdr:row>31</xdr:row>
      <xdr:rowOff>19050</xdr:rowOff>
    </xdr:to>
    <xdr:sp macro="" textlink="">
      <xdr:nvSpPr>
        <xdr:cNvPr id="4381112" name="Line 454">
          <a:extLst>
            <a:ext uri="{FF2B5EF4-FFF2-40B4-BE49-F238E27FC236}">
              <a16:creationId xmlns="" xmlns:a16="http://schemas.microsoft.com/office/drawing/2014/main" id="{00000000-0008-0000-1700-0000B8D94200}"/>
            </a:ext>
          </a:extLst>
        </xdr:cNvPr>
        <xdr:cNvSpPr>
          <a:spLocks noChangeAspect="1" noChangeShapeType="1"/>
        </xdr:cNvSpPr>
      </xdr:nvSpPr>
      <xdr:spPr bwMode="auto">
        <a:xfrm>
          <a:off x="13763625" y="10906125"/>
          <a:ext cx="2381250" cy="0"/>
        </a:xfrm>
        <a:prstGeom prst="line">
          <a:avLst/>
        </a:prstGeom>
        <a:noFill/>
        <a:ln w="22225">
          <a:solidFill>
            <a:srgbClr val="000000"/>
          </a:solidFill>
          <a:prstDash val="lgDashDotDot"/>
          <a:round/>
          <a:headEnd/>
          <a:tailEnd type="stealth" w="med" len="lg"/>
        </a:ln>
      </xdr:spPr>
    </xdr:sp>
    <xdr:clientData/>
  </xdr:twoCellAnchor>
  <xdr:twoCellAnchor>
    <xdr:from>
      <xdr:col>16</xdr:col>
      <xdr:colOff>619125</xdr:colOff>
      <xdr:row>19</xdr:row>
      <xdr:rowOff>152400</xdr:rowOff>
    </xdr:from>
    <xdr:to>
      <xdr:col>16</xdr:col>
      <xdr:colOff>619125</xdr:colOff>
      <xdr:row>31</xdr:row>
      <xdr:rowOff>28575</xdr:rowOff>
    </xdr:to>
    <xdr:sp macro="" textlink="">
      <xdr:nvSpPr>
        <xdr:cNvPr id="4381113" name="Line 455">
          <a:extLst>
            <a:ext uri="{FF2B5EF4-FFF2-40B4-BE49-F238E27FC236}">
              <a16:creationId xmlns="" xmlns:a16="http://schemas.microsoft.com/office/drawing/2014/main" id="{00000000-0008-0000-1700-0000B9D94200}"/>
            </a:ext>
          </a:extLst>
        </xdr:cNvPr>
        <xdr:cNvSpPr>
          <a:spLocks noChangeAspect="1" noChangeShapeType="1"/>
        </xdr:cNvSpPr>
      </xdr:nvSpPr>
      <xdr:spPr bwMode="auto">
        <a:xfrm>
          <a:off x="13782675" y="7115175"/>
          <a:ext cx="0" cy="3800475"/>
        </a:xfrm>
        <a:prstGeom prst="line">
          <a:avLst/>
        </a:prstGeom>
        <a:noFill/>
        <a:ln w="22225">
          <a:solidFill>
            <a:srgbClr val="000000"/>
          </a:solidFill>
          <a:prstDash val="lgDashDotDot"/>
          <a:round/>
          <a:headEnd/>
          <a:tailEnd type="stealth" w="med" len="lg"/>
        </a:ln>
      </xdr:spPr>
    </xdr:sp>
    <xdr:clientData/>
  </xdr:twoCellAnchor>
  <xdr:twoCellAnchor>
    <xdr:from>
      <xdr:col>16</xdr:col>
      <xdr:colOff>495300</xdr:colOff>
      <xdr:row>29</xdr:row>
      <xdr:rowOff>142875</xdr:rowOff>
    </xdr:from>
    <xdr:to>
      <xdr:col>16</xdr:col>
      <xdr:colOff>723900</xdr:colOff>
      <xdr:row>29</xdr:row>
      <xdr:rowOff>342900</xdr:rowOff>
    </xdr:to>
    <xdr:sp macro="" textlink="">
      <xdr:nvSpPr>
        <xdr:cNvPr id="4381114" name="Oval 456">
          <a:extLst>
            <a:ext uri="{FF2B5EF4-FFF2-40B4-BE49-F238E27FC236}">
              <a16:creationId xmlns="" xmlns:a16="http://schemas.microsoft.com/office/drawing/2014/main" id="{00000000-0008-0000-1700-0000BAD942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58850" y="10115550"/>
          <a:ext cx="228600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495300</xdr:colOff>
      <xdr:row>19</xdr:row>
      <xdr:rowOff>47625</xdr:rowOff>
    </xdr:from>
    <xdr:to>
      <xdr:col>16</xdr:col>
      <xdr:colOff>723900</xdr:colOff>
      <xdr:row>20</xdr:row>
      <xdr:rowOff>57150</xdr:rowOff>
    </xdr:to>
    <xdr:sp macro="" textlink="">
      <xdr:nvSpPr>
        <xdr:cNvPr id="4381115" name="Oval 457">
          <a:extLst>
            <a:ext uri="{FF2B5EF4-FFF2-40B4-BE49-F238E27FC236}">
              <a16:creationId xmlns="" xmlns:a16="http://schemas.microsoft.com/office/drawing/2014/main" id="{00000000-0008-0000-1700-0000BBD942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658850" y="7010400"/>
          <a:ext cx="228600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552450</xdr:colOff>
      <xdr:row>19</xdr:row>
      <xdr:rowOff>152400</xdr:rowOff>
    </xdr:from>
    <xdr:to>
      <xdr:col>18</xdr:col>
      <xdr:colOff>552450</xdr:colOff>
      <xdr:row>34</xdr:row>
      <xdr:rowOff>66675</xdr:rowOff>
    </xdr:to>
    <xdr:sp macro="" textlink="">
      <xdr:nvSpPr>
        <xdr:cNvPr id="4381116" name="Line 422">
          <a:extLst>
            <a:ext uri="{FF2B5EF4-FFF2-40B4-BE49-F238E27FC236}">
              <a16:creationId xmlns="" xmlns:a16="http://schemas.microsoft.com/office/drawing/2014/main" id="{00000000-0008-0000-1700-0000BCD94200}"/>
            </a:ext>
          </a:extLst>
        </xdr:cNvPr>
        <xdr:cNvSpPr>
          <a:spLocks noChangeAspect="1" noChangeShapeType="1"/>
        </xdr:cNvSpPr>
      </xdr:nvSpPr>
      <xdr:spPr bwMode="auto">
        <a:xfrm flipH="1">
          <a:off x="15449550" y="7115175"/>
          <a:ext cx="0" cy="5210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stealth" w="med" len="lg"/>
        </a:ln>
      </xdr:spPr>
    </xdr:sp>
    <xdr:clientData/>
  </xdr:twoCellAnchor>
  <xdr:twoCellAnchor>
    <xdr:from>
      <xdr:col>18</xdr:col>
      <xdr:colOff>447675</xdr:colOff>
      <xdr:row>29</xdr:row>
      <xdr:rowOff>142875</xdr:rowOff>
    </xdr:from>
    <xdr:to>
      <xdr:col>18</xdr:col>
      <xdr:colOff>676275</xdr:colOff>
      <xdr:row>29</xdr:row>
      <xdr:rowOff>342900</xdr:rowOff>
    </xdr:to>
    <xdr:sp macro="" textlink="">
      <xdr:nvSpPr>
        <xdr:cNvPr id="4381117" name="Oval 423">
          <a:extLst>
            <a:ext uri="{FF2B5EF4-FFF2-40B4-BE49-F238E27FC236}">
              <a16:creationId xmlns="" xmlns:a16="http://schemas.microsoft.com/office/drawing/2014/main" id="{00000000-0008-0000-1700-0000BDD94200}"/>
            </a:ext>
          </a:extLst>
        </xdr:cNvPr>
        <xdr:cNvSpPr>
          <a:spLocks noChangeAspect="1" noChangeArrowheads="1"/>
        </xdr:cNvSpPr>
      </xdr:nvSpPr>
      <xdr:spPr bwMode="auto">
        <a:xfrm>
          <a:off x="15344775" y="10115550"/>
          <a:ext cx="228600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476250</xdr:colOff>
      <xdr:row>34</xdr:row>
      <xdr:rowOff>76200</xdr:rowOff>
    </xdr:from>
    <xdr:to>
      <xdr:col>18</xdr:col>
      <xdr:colOff>542925</xdr:colOff>
      <xdr:row>34</xdr:row>
      <xdr:rowOff>76200</xdr:rowOff>
    </xdr:to>
    <xdr:sp macro="" textlink="">
      <xdr:nvSpPr>
        <xdr:cNvPr id="4381118" name="Line 432">
          <a:extLst>
            <a:ext uri="{FF2B5EF4-FFF2-40B4-BE49-F238E27FC236}">
              <a16:creationId xmlns="" xmlns:a16="http://schemas.microsoft.com/office/drawing/2014/main" id="{00000000-0008-0000-1700-0000BED94200}"/>
            </a:ext>
          </a:extLst>
        </xdr:cNvPr>
        <xdr:cNvSpPr>
          <a:spLocks noChangeAspect="1" noChangeShapeType="1"/>
        </xdr:cNvSpPr>
      </xdr:nvSpPr>
      <xdr:spPr bwMode="auto">
        <a:xfrm rot="5400000">
          <a:off x="13120688" y="10015537"/>
          <a:ext cx="0" cy="4638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stealth" w="med" len="lg"/>
        </a:ln>
      </xdr:spPr>
    </xdr:sp>
    <xdr:clientData/>
  </xdr:twoCellAnchor>
  <xdr:twoCellAnchor>
    <xdr:from>
      <xdr:col>18</xdr:col>
      <xdr:colOff>447675</xdr:colOff>
      <xdr:row>19</xdr:row>
      <xdr:rowOff>57150</xdr:rowOff>
    </xdr:from>
    <xdr:to>
      <xdr:col>18</xdr:col>
      <xdr:colOff>676275</xdr:colOff>
      <xdr:row>20</xdr:row>
      <xdr:rowOff>66675</xdr:rowOff>
    </xdr:to>
    <xdr:sp macro="" textlink="">
      <xdr:nvSpPr>
        <xdr:cNvPr id="4381119" name="Oval 459">
          <a:extLst>
            <a:ext uri="{FF2B5EF4-FFF2-40B4-BE49-F238E27FC236}">
              <a16:creationId xmlns="" xmlns:a16="http://schemas.microsoft.com/office/drawing/2014/main" id="{00000000-0008-0000-1700-0000BFD94200}"/>
            </a:ext>
          </a:extLst>
        </xdr:cNvPr>
        <xdr:cNvSpPr>
          <a:spLocks noChangeAspect="1" noChangeArrowheads="1"/>
        </xdr:cNvSpPr>
      </xdr:nvSpPr>
      <xdr:spPr bwMode="auto">
        <a:xfrm>
          <a:off x="15344775" y="7019925"/>
          <a:ext cx="228600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152400</xdr:rowOff>
    </xdr:from>
    <xdr:to>
      <xdr:col>21</xdr:col>
      <xdr:colOff>1314450</xdr:colOff>
      <xdr:row>2</xdr:row>
      <xdr:rowOff>47625</xdr:rowOff>
    </xdr:to>
    <xdr:sp macro="" textlink="">
      <xdr:nvSpPr>
        <xdr:cNvPr id="4342240" name="Rectangle 462">
          <a:extLst>
            <a:ext uri="{FF2B5EF4-FFF2-40B4-BE49-F238E27FC236}">
              <a16:creationId xmlns="" xmlns:a16="http://schemas.microsoft.com/office/drawing/2014/main" id="{00000000-0008-0000-1700-0000E0414200}"/>
            </a:ext>
          </a:extLst>
        </xdr:cNvPr>
        <xdr:cNvSpPr>
          <a:spLocks noChangeArrowheads="1"/>
        </xdr:cNvSpPr>
      </xdr:nvSpPr>
      <xdr:spPr bwMode="auto">
        <a:xfrm>
          <a:off x="2390775" y="152400"/>
          <a:ext cx="16563975" cy="5524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  <xdr:txBody>
        <a:bodyPr/>
        <a:lstStyle/>
        <a:p>
          <a:endParaRPr lang="it-IT"/>
        </a:p>
      </xdr:txBody>
    </xdr:sp>
    <xdr:clientData/>
  </xdr:twoCellAnchor>
  <xdr:twoCellAnchor>
    <xdr:from>
      <xdr:col>1</xdr:col>
      <xdr:colOff>285750</xdr:colOff>
      <xdr:row>23</xdr:row>
      <xdr:rowOff>0</xdr:rowOff>
    </xdr:from>
    <xdr:to>
      <xdr:col>10</xdr:col>
      <xdr:colOff>238125</xdr:colOff>
      <xdr:row>33</xdr:row>
      <xdr:rowOff>342900</xdr:rowOff>
    </xdr:to>
    <xdr:grpSp>
      <xdr:nvGrpSpPr>
        <xdr:cNvPr id="4381121" name="Gruppo 253">
          <a:extLst>
            <a:ext uri="{FF2B5EF4-FFF2-40B4-BE49-F238E27FC236}">
              <a16:creationId xmlns="" xmlns:a16="http://schemas.microsoft.com/office/drawing/2014/main" id="{00000000-0008-0000-1700-0000C1D94200}"/>
            </a:ext>
          </a:extLst>
        </xdr:cNvPr>
        <xdr:cNvGrpSpPr>
          <a:grpSpLocks/>
        </xdr:cNvGrpSpPr>
      </xdr:nvGrpSpPr>
      <xdr:grpSpPr bwMode="auto">
        <a:xfrm>
          <a:off x="2667000" y="8191500"/>
          <a:ext cx="7334250" cy="3914775"/>
          <a:chOff x="2672603" y="8157882"/>
          <a:chExt cx="7460316" cy="4179794"/>
        </a:xfrm>
      </xdr:grpSpPr>
      <xdr:sp macro="" textlink="">
        <xdr:nvSpPr>
          <xdr:cNvPr id="4381123" name="Line 363">
            <a:extLst>
              <a:ext uri="{FF2B5EF4-FFF2-40B4-BE49-F238E27FC236}">
                <a16:creationId xmlns="" xmlns:a16="http://schemas.microsoft.com/office/drawing/2014/main" id="{00000000-0008-0000-1700-0000C3D9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681188" y="9279892"/>
            <a:ext cx="403492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1124" name="Line 364">
            <a:extLst>
              <a:ext uri="{FF2B5EF4-FFF2-40B4-BE49-F238E27FC236}">
                <a16:creationId xmlns="" xmlns:a16="http://schemas.microsoft.com/office/drawing/2014/main" id="{00000000-0008-0000-1700-0000C4D94200}"/>
              </a:ext>
            </a:extLst>
          </xdr:cNvPr>
          <xdr:cNvSpPr>
            <a:spLocks noChangeShapeType="1"/>
          </xdr:cNvSpPr>
        </xdr:nvSpPr>
        <xdr:spPr bwMode="auto">
          <a:xfrm>
            <a:off x="2681188" y="8577094"/>
            <a:ext cx="0" cy="3760582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1125" name="Line 365">
            <a:extLst>
              <a:ext uri="{FF2B5EF4-FFF2-40B4-BE49-F238E27FC236}">
                <a16:creationId xmlns="" xmlns:a16="http://schemas.microsoft.com/office/drawing/2014/main" id="{00000000-0008-0000-1700-0000C5D94200}"/>
              </a:ext>
            </a:extLst>
          </xdr:cNvPr>
          <xdr:cNvSpPr>
            <a:spLocks noChangeShapeType="1"/>
          </xdr:cNvSpPr>
        </xdr:nvSpPr>
        <xdr:spPr bwMode="auto">
          <a:xfrm>
            <a:off x="2689773" y="9686774"/>
            <a:ext cx="160538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1126" name="Line 366">
            <a:extLst>
              <a:ext uri="{FF2B5EF4-FFF2-40B4-BE49-F238E27FC236}">
                <a16:creationId xmlns="" xmlns:a16="http://schemas.microsoft.com/office/drawing/2014/main" id="{00000000-0008-0000-1700-0000C6D94200}"/>
              </a:ext>
            </a:extLst>
          </xdr:cNvPr>
          <xdr:cNvSpPr>
            <a:spLocks noChangeShapeType="1"/>
          </xdr:cNvSpPr>
        </xdr:nvSpPr>
        <xdr:spPr bwMode="auto">
          <a:xfrm>
            <a:off x="2681188" y="10155306"/>
            <a:ext cx="2635578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1127" name="Line 367">
            <a:extLst>
              <a:ext uri="{FF2B5EF4-FFF2-40B4-BE49-F238E27FC236}">
                <a16:creationId xmlns="" xmlns:a16="http://schemas.microsoft.com/office/drawing/2014/main" id="{00000000-0008-0000-1700-0000C7D9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89773" y="10562188"/>
            <a:ext cx="361426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1128" name="Line 368">
            <a:extLst>
              <a:ext uri="{FF2B5EF4-FFF2-40B4-BE49-F238E27FC236}">
                <a16:creationId xmlns="" xmlns:a16="http://schemas.microsoft.com/office/drawing/2014/main" id="{00000000-0008-0000-1700-0000C8D94200}"/>
              </a:ext>
            </a:extLst>
          </xdr:cNvPr>
          <xdr:cNvSpPr>
            <a:spLocks noChangeShapeType="1"/>
          </xdr:cNvSpPr>
        </xdr:nvSpPr>
        <xdr:spPr bwMode="auto">
          <a:xfrm>
            <a:off x="3093265" y="8207201"/>
            <a:ext cx="0" cy="1183658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1129" name="Line 369">
            <a:extLst>
              <a:ext uri="{FF2B5EF4-FFF2-40B4-BE49-F238E27FC236}">
                <a16:creationId xmlns="" xmlns:a16="http://schemas.microsoft.com/office/drawing/2014/main" id="{00000000-0008-0000-1700-0000C9D94200}"/>
              </a:ext>
            </a:extLst>
          </xdr:cNvPr>
          <xdr:cNvSpPr>
            <a:spLocks noChangeShapeType="1"/>
          </xdr:cNvSpPr>
        </xdr:nvSpPr>
        <xdr:spPr bwMode="auto">
          <a:xfrm>
            <a:off x="2715528" y="8268850"/>
            <a:ext cx="489342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1130" name="Line 370">
            <a:extLst>
              <a:ext uri="{FF2B5EF4-FFF2-40B4-BE49-F238E27FC236}">
                <a16:creationId xmlns="" xmlns:a16="http://schemas.microsoft.com/office/drawing/2014/main" id="{00000000-0008-0000-1700-0000CAD94200}"/>
              </a:ext>
            </a:extLst>
          </xdr:cNvPr>
          <xdr:cNvSpPr>
            <a:spLocks noChangeShapeType="1"/>
          </xdr:cNvSpPr>
        </xdr:nvSpPr>
        <xdr:spPr bwMode="auto">
          <a:xfrm>
            <a:off x="4295157" y="8194871"/>
            <a:ext cx="0" cy="1541222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1131" name="Line 371">
            <a:extLst>
              <a:ext uri="{FF2B5EF4-FFF2-40B4-BE49-F238E27FC236}">
                <a16:creationId xmlns="" xmlns:a16="http://schemas.microsoft.com/office/drawing/2014/main" id="{00000000-0008-0000-1700-0000CBD94200}"/>
              </a:ext>
            </a:extLst>
          </xdr:cNvPr>
          <xdr:cNvSpPr>
            <a:spLocks noChangeShapeType="1"/>
          </xdr:cNvSpPr>
        </xdr:nvSpPr>
        <xdr:spPr bwMode="auto">
          <a:xfrm>
            <a:off x="3625532" y="8281180"/>
            <a:ext cx="104736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grpSp>
        <xdr:nvGrpSpPr>
          <xdr:cNvPr id="4381132" name="Group 372">
            <a:extLst>
              <a:ext uri="{FF2B5EF4-FFF2-40B4-BE49-F238E27FC236}">
                <a16:creationId xmlns="" xmlns:a16="http://schemas.microsoft.com/office/drawing/2014/main" id="{00000000-0008-0000-1700-0000CCD94200}"/>
              </a:ext>
            </a:extLst>
          </xdr:cNvPr>
          <xdr:cNvGrpSpPr>
            <a:grpSpLocks/>
          </xdr:cNvGrpSpPr>
        </xdr:nvGrpSpPr>
        <xdr:grpSpPr bwMode="auto">
          <a:xfrm>
            <a:off x="5286307" y="8184787"/>
            <a:ext cx="137340" cy="2036475"/>
            <a:chOff x="759" y="438"/>
            <a:chExt cx="10" cy="113"/>
          </a:xfrm>
        </xdr:grpSpPr>
        <xdr:sp macro="" textlink="">
          <xdr:nvSpPr>
            <xdr:cNvPr id="4381152" name="Line 373">
              <a:extLst>
                <a:ext uri="{FF2B5EF4-FFF2-40B4-BE49-F238E27FC236}">
                  <a16:creationId xmlns="" xmlns:a16="http://schemas.microsoft.com/office/drawing/2014/main" id="{00000000-0008-0000-1700-0000E0D942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62" y="438"/>
              <a:ext cx="2" cy="113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81153" name="Line 374">
              <a:extLst>
                <a:ext uri="{FF2B5EF4-FFF2-40B4-BE49-F238E27FC236}">
                  <a16:creationId xmlns="" xmlns:a16="http://schemas.microsoft.com/office/drawing/2014/main" id="{00000000-0008-0000-1700-0000E1D9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59" y="443"/>
              <a:ext cx="10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sp macro="" textlink="">
        <xdr:nvSpPr>
          <xdr:cNvPr id="4381133" name="Rectangle 378">
            <a:extLst>
              <a:ext uri="{FF2B5EF4-FFF2-40B4-BE49-F238E27FC236}">
                <a16:creationId xmlns="" xmlns:a16="http://schemas.microsoft.com/office/drawing/2014/main" id="{00000000-0008-0000-1700-0000CDD94200}"/>
              </a:ext>
            </a:extLst>
          </xdr:cNvPr>
          <xdr:cNvSpPr>
            <a:spLocks noChangeArrowheads="1"/>
          </xdr:cNvSpPr>
        </xdr:nvSpPr>
        <xdr:spPr bwMode="auto">
          <a:xfrm>
            <a:off x="2681188" y="8157882"/>
            <a:ext cx="7451731" cy="369893"/>
          </a:xfrm>
          <a:prstGeom prst="rect">
            <a:avLst/>
          </a:prstGeom>
          <a:noFill/>
          <a:ln w="158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81134" name="Line 379">
            <a:extLst>
              <a:ext uri="{FF2B5EF4-FFF2-40B4-BE49-F238E27FC236}">
                <a16:creationId xmlns="" xmlns:a16="http://schemas.microsoft.com/office/drawing/2014/main" id="{00000000-0008-0000-1700-0000CED94200}"/>
              </a:ext>
            </a:extLst>
          </xdr:cNvPr>
          <xdr:cNvSpPr>
            <a:spLocks noChangeShapeType="1"/>
          </xdr:cNvSpPr>
        </xdr:nvSpPr>
        <xdr:spPr bwMode="auto">
          <a:xfrm>
            <a:off x="9763766" y="8194871"/>
            <a:ext cx="0" cy="4093486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1135" name="Line 381">
            <a:extLst>
              <a:ext uri="{FF2B5EF4-FFF2-40B4-BE49-F238E27FC236}">
                <a16:creationId xmlns="" xmlns:a16="http://schemas.microsoft.com/office/drawing/2014/main" id="{00000000-0008-0000-1700-0000CFD9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672603" y="12288357"/>
            <a:ext cx="7082578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grpSp>
        <xdr:nvGrpSpPr>
          <xdr:cNvPr id="4381136" name="Group 382">
            <a:extLst>
              <a:ext uri="{FF2B5EF4-FFF2-40B4-BE49-F238E27FC236}">
                <a16:creationId xmlns="" xmlns:a16="http://schemas.microsoft.com/office/drawing/2014/main" id="{00000000-0008-0000-1700-0000D0D94200}"/>
              </a:ext>
            </a:extLst>
          </xdr:cNvPr>
          <xdr:cNvGrpSpPr>
            <a:grpSpLocks/>
          </xdr:cNvGrpSpPr>
        </xdr:nvGrpSpPr>
        <xdr:grpSpPr bwMode="auto">
          <a:xfrm>
            <a:off x="-611914" y="8207201"/>
            <a:ext cx="11" cy="2922157"/>
            <a:chOff x="912" y="438"/>
            <a:chExt cx="11" cy="175"/>
          </a:xfrm>
        </xdr:grpSpPr>
        <xdr:sp macro="" textlink="">
          <xdr:nvSpPr>
            <xdr:cNvPr id="4381150" name="Line 383">
              <a:extLst>
                <a:ext uri="{FF2B5EF4-FFF2-40B4-BE49-F238E27FC236}">
                  <a16:creationId xmlns="" xmlns:a16="http://schemas.microsoft.com/office/drawing/2014/main" id="{00000000-0008-0000-1700-0000DED9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81151" name="Line 384">
              <a:extLst>
                <a:ext uri="{FF2B5EF4-FFF2-40B4-BE49-F238E27FC236}">
                  <a16:creationId xmlns="" xmlns:a16="http://schemas.microsoft.com/office/drawing/2014/main" id="{00000000-0008-0000-1700-0000DFD9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sp macro="" textlink="">
        <xdr:nvSpPr>
          <xdr:cNvPr id="4381137" name="Line 385">
            <a:extLst>
              <a:ext uri="{FF2B5EF4-FFF2-40B4-BE49-F238E27FC236}">
                <a16:creationId xmlns="" xmlns:a16="http://schemas.microsoft.com/office/drawing/2014/main" id="{00000000-0008-0000-1700-0000D1D9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2603" y="11006060"/>
            <a:ext cx="4592945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1138" name="Line 386">
            <a:extLst>
              <a:ext uri="{FF2B5EF4-FFF2-40B4-BE49-F238E27FC236}">
                <a16:creationId xmlns="" xmlns:a16="http://schemas.microsoft.com/office/drawing/2014/main" id="{00000000-0008-0000-1700-0000D2D9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2603" y="11474592"/>
            <a:ext cx="554587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1139" name="Line 387">
            <a:extLst>
              <a:ext uri="{FF2B5EF4-FFF2-40B4-BE49-F238E27FC236}">
                <a16:creationId xmlns="" xmlns:a16="http://schemas.microsoft.com/office/drawing/2014/main" id="{00000000-0008-0000-1700-0000D3D9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2603" y="11869145"/>
            <a:ext cx="637861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grpSp>
        <xdr:nvGrpSpPr>
          <xdr:cNvPr id="4381140" name="Group 388">
            <a:extLst>
              <a:ext uri="{FF2B5EF4-FFF2-40B4-BE49-F238E27FC236}">
                <a16:creationId xmlns="" xmlns:a16="http://schemas.microsoft.com/office/drawing/2014/main" id="{00000000-0008-0000-1700-0000D4D94200}"/>
              </a:ext>
            </a:extLst>
          </xdr:cNvPr>
          <xdr:cNvGrpSpPr>
            <a:grpSpLocks/>
          </xdr:cNvGrpSpPr>
        </xdr:nvGrpSpPr>
        <xdr:grpSpPr bwMode="auto">
          <a:xfrm>
            <a:off x="-8142887" y="8207201"/>
            <a:ext cx="11" cy="3446917"/>
            <a:chOff x="912" y="438"/>
            <a:chExt cx="11" cy="175"/>
          </a:xfrm>
        </xdr:grpSpPr>
        <xdr:sp macro="" textlink="">
          <xdr:nvSpPr>
            <xdr:cNvPr id="4381148" name="Line 389">
              <a:extLst>
                <a:ext uri="{FF2B5EF4-FFF2-40B4-BE49-F238E27FC236}">
                  <a16:creationId xmlns="" xmlns:a16="http://schemas.microsoft.com/office/drawing/2014/main" id="{00000000-0008-0000-1700-0000DCD9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81149" name="Line 390">
              <a:extLst>
                <a:ext uri="{FF2B5EF4-FFF2-40B4-BE49-F238E27FC236}">
                  <a16:creationId xmlns="" xmlns:a16="http://schemas.microsoft.com/office/drawing/2014/main" id="{00000000-0008-0000-1700-0000DDD9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grpSp>
        <xdr:nvGrpSpPr>
          <xdr:cNvPr id="4381141" name="Group 391">
            <a:extLst>
              <a:ext uri="{FF2B5EF4-FFF2-40B4-BE49-F238E27FC236}">
                <a16:creationId xmlns="" xmlns:a16="http://schemas.microsoft.com/office/drawing/2014/main" id="{00000000-0008-0000-1700-0000D5D94200}"/>
              </a:ext>
            </a:extLst>
          </xdr:cNvPr>
          <xdr:cNvGrpSpPr>
            <a:grpSpLocks/>
          </xdr:cNvGrpSpPr>
        </xdr:nvGrpSpPr>
        <xdr:grpSpPr bwMode="auto">
          <a:xfrm>
            <a:off x="1173138" y="8207201"/>
            <a:ext cx="11" cy="3723592"/>
            <a:chOff x="912" y="438"/>
            <a:chExt cx="11" cy="175"/>
          </a:xfrm>
        </xdr:grpSpPr>
        <xdr:sp macro="" textlink="">
          <xdr:nvSpPr>
            <xdr:cNvPr id="4381146" name="Line 392">
              <a:extLst>
                <a:ext uri="{FF2B5EF4-FFF2-40B4-BE49-F238E27FC236}">
                  <a16:creationId xmlns="" xmlns:a16="http://schemas.microsoft.com/office/drawing/2014/main" id="{00000000-0008-0000-1700-0000DAD9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81147" name="Line 393">
              <a:extLst>
                <a:ext uri="{FF2B5EF4-FFF2-40B4-BE49-F238E27FC236}">
                  <a16:creationId xmlns="" xmlns:a16="http://schemas.microsoft.com/office/drawing/2014/main" id="{00000000-0008-0000-1700-0000DBD9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  <xdr:sp macro="" textlink="">
        <xdr:nvSpPr>
          <xdr:cNvPr id="4381142" name="Line 394">
            <a:extLst>
              <a:ext uri="{FF2B5EF4-FFF2-40B4-BE49-F238E27FC236}">
                <a16:creationId xmlns="" xmlns:a16="http://schemas.microsoft.com/office/drawing/2014/main" id="{00000000-0008-0000-1700-0000D6D94200}"/>
              </a:ext>
            </a:extLst>
          </xdr:cNvPr>
          <xdr:cNvSpPr>
            <a:spLocks noChangeShapeType="1"/>
          </xdr:cNvSpPr>
        </xdr:nvSpPr>
        <xdr:spPr bwMode="auto">
          <a:xfrm>
            <a:off x="9652162" y="8281180"/>
            <a:ext cx="20603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grpSp>
        <xdr:nvGrpSpPr>
          <xdr:cNvPr id="4381143" name="Group 382">
            <a:extLst>
              <a:ext uri="{FF2B5EF4-FFF2-40B4-BE49-F238E27FC236}">
                <a16:creationId xmlns="" xmlns:a16="http://schemas.microsoft.com/office/drawing/2014/main" id="{00000000-0008-0000-1700-0000D7D94200}"/>
              </a:ext>
            </a:extLst>
          </xdr:cNvPr>
          <xdr:cNvGrpSpPr>
            <a:grpSpLocks/>
          </xdr:cNvGrpSpPr>
        </xdr:nvGrpSpPr>
        <xdr:grpSpPr bwMode="auto">
          <a:xfrm>
            <a:off x="-1541786" y="8213928"/>
            <a:ext cx="11" cy="2554926"/>
            <a:chOff x="912" y="438"/>
            <a:chExt cx="11" cy="175"/>
          </a:xfrm>
        </xdr:grpSpPr>
        <xdr:sp macro="" textlink="">
          <xdr:nvSpPr>
            <xdr:cNvPr id="4381144" name="Line 383">
              <a:extLst>
                <a:ext uri="{FF2B5EF4-FFF2-40B4-BE49-F238E27FC236}">
                  <a16:creationId xmlns="" xmlns:a16="http://schemas.microsoft.com/office/drawing/2014/main" id="{00000000-0008-0000-1700-0000D8D9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8" y="438"/>
              <a:ext cx="0" cy="175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  <xdr:sp macro="" textlink="">
          <xdr:nvSpPr>
            <xdr:cNvPr id="4381145" name="Line 384">
              <a:extLst>
                <a:ext uri="{FF2B5EF4-FFF2-40B4-BE49-F238E27FC236}">
                  <a16:creationId xmlns="" xmlns:a16="http://schemas.microsoft.com/office/drawing/2014/main" id="{00000000-0008-0000-1700-0000D9D9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2" y="443"/>
              <a:ext cx="11" cy="0"/>
            </a:xfrm>
            <a:prstGeom prst="line">
              <a:avLst/>
            </a:prstGeom>
            <a:noFill/>
            <a:ln w="9525">
              <a:solidFill>
                <a:srgbClr val="969696"/>
              </a:solidFill>
              <a:round/>
              <a:headEnd/>
              <a:tailEnd/>
            </a:ln>
          </xdr:spPr>
        </xdr:sp>
      </xdr:grpSp>
    </xdr:grpSp>
    <xdr:clientData/>
  </xdr:twoCellAnchor>
  <xdr:oneCellAnchor>
    <xdr:from>
      <xdr:col>2</xdr:col>
      <xdr:colOff>922528</xdr:colOff>
      <xdr:row>13</xdr:row>
      <xdr:rowOff>474409</xdr:rowOff>
    </xdr:from>
    <xdr:ext cx="13412598" cy="5169155"/>
    <xdr:sp macro="" textlink="">
      <xdr:nvSpPr>
        <xdr:cNvPr id="253" name="Rettangolo 252">
          <a:extLst>
            <a:ext uri="{FF2B5EF4-FFF2-40B4-BE49-F238E27FC236}">
              <a16:creationId xmlns="" xmlns:a16="http://schemas.microsoft.com/office/drawing/2014/main" id="{00000000-0008-0000-1700-0000FD000000}"/>
            </a:ext>
          </a:extLst>
        </xdr:cNvPr>
        <xdr:cNvSpPr/>
      </xdr:nvSpPr>
      <xdr:spPr>
        <a:xfrm rot="20147104">
          <a:off x="3613341" y="5046409"/>
          <a:ext cx="13412598" cy="516915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it-IT" sz="23900" b="1" cap="none" spc="30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</a:rPr>
            <a:t>FOGLIO</a:t>
          </a:r>
          <a:r>
            <a:rPr lang="it-IT" sz="23900" b="1" cap="none" spc="300" baseline="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</a:rPr>
            <a:t> DA CREARE</a:t>
          </a:r>
          <a:endParaRPr lang="it-IT" sz="23900" b="1" cap="none" spc="300">
            <a:ln w="11430" cmpd="sng">
              <a:solidFill>
                <a:schemeClr val="accent1">
                  <a:tint val="10000"/>
                </a:schemeClr>
              </a:solidFill>
              <a:prstDash val="solid"/>
              <a:miter lim="800000"/>
            </a:ln>
            <a:gradFill>
              <a:gsLst>
                <a:gs pos="10000">
                  <a:schemeClr val="accent1">
                    <a:tint val="83000"/>
                    <a:shade val="100000"/>
                    <a:satMod val="200000"/>
                  </a:schemeClr>
                </a:gs>
                <a:gs pos="75000">
                  <a:schemeClr val="accent1">
                    <a:tint val="100000"/>
                    <a:shade val="50000"/>
                    <a:satMod val="150000"/>
                  </a:schemeClr>
                </a:gs>
              </a:gsLst>
              <a:lin ang="5400000"/>
            </a:gradFill>
            <a:effectLst>
              <a:glow rad="45500">
                <a:schemeClr val="accent1">
                  <a:satMod val="220000"/>
                  <a:alpha val="35000"/>
                </a:schemeClr>
              </a:glow>
            </a:effectLst>
          </a:endParaRPr>
        </a:p>
      </xdr:txBody>
    </xdr:sp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73409" name="Line 1">
          <a:extLst>
            <a:ext uri="{FF2B5EF4-FFF2-40B4-BE49-F238E27FC236}">
              <a16:creationId xmlns="" xmlns:a16="http://schemas.microsoft.com/office/drawing/2014/main" id="{00000000-0008-0000-1800-0000A1BB4200}"/>
            </a:ext>
          </a:extLst>
        </xdr:cNvPr>
        <xdr:cNvSpPr>
          <a:spLocks noChangeShapeType="1"/>
        </xdr:cNvSpPr>
      </xdr:nvSpPr>
      <xdr:spPr bwMode="auto">
        <a:xfrm flipV="1"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73410" name="Line 2">
          <a:extLst>
            <a:ext uri="{FF2B5EF4-FFF2-40B4-BE49-F238E27FC236}">
              <a16:creationId xmlns="" xmlns:a16="http://schemas.microsoft.com/office/drawing/2014/main" id="{00000000-0008-0000-1800-0000A2BB4200}"/>
            </a:ext>
          </a:extLst>
        </xdr:cNvPr>
        <xdr:cNvSpPr>
          <a:spLocks noChangeShapeType="1"/>
        </xdr:cNvSpPr>
      </xdr:nvSpPr>
      <xdr:spPr bwMode="auto">
        <a:xfrm flipV="1">
          <a:off x="70580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676275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73411" name="Line 3">
          <a:extLst>
            <a:ext uri="{FF2B5EF4-FFF2-40B4-BE49-F238E27FC236}">
              <a16:creationId xmlns="" xmlns:a16="http://schemas.microsoft.com/office/drawing/2014/main" id="{00000000-0008-0000-1800-0000A3BB42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442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95250</xdr:colOff>
      <xdr:row>0</xdr:row>
      <xdr:rowOff>0</xdr:rowOff>
    </xdr:from>
    <xdr:to>
      <xdr:col>6</xdr:col>
      <xdr:colOff>200025</xdr:colOff>
      <xdr:row>0</xdr:row>
      <xdr:rowOff>0</xdr:rowOff>
    </xdr:to>
    <xdr:sp macro="" textlink="">
      <xdr:nvSpPr>
        <xdr:cNvPr id="4373412" name="Line 4">
          <a:extLst>
            <a:ext uri="{FF2B5EF4-FFF2-40B4-BE49-F238E27FC236}">
              <a16:creationId xmlns="" xmlns:a16="http://schemas.microsoft.com/office/drawing/2014/main" id="{00000000-0008-0000-1800-0000A4BB4200}"/>
            </a:ext>
          </a:extLst>
        </xdr:cNvPr>
        <xdr:cNvSpPr>
          <a:spLocks noChangeShapeType="1"/>
        </xdr:cNvSpPr>
      </xdr:nvSpPr>
      <xdr:spPr bwMode="auto">
        <a:xfrm>
          <a:off x="7153275" y="0"/>
          <a:ext cx="1104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104775</xdr:colOff>
      <xdr:row>0</xdr:row>
      <xdr:rowOff>0</xdr:rowOff>
    </xdr:from>
    <xdr:to>
      <xdr:col>6</xdr:col>
      <xdr:colOff>104775</xdr:colOff>
      <xdr:row>0</xdr:row>
      <xdr:rowOff>0</xdr:rowOff>
    </xdr:to>
    <xdr:sp macro="" textlink="">
      <xdr:nvSpPr>
        <xdr:cNvPr id="4373413" name="Line 5">
          <a:extLst>
            <a:ext uri="{FF2B5EF4-FFF2-40B4-BE49-F238E27FC236}">
              <a16:creationId xmlns="" xmlns:a16="http://schemas.microsoft.com/office/drawing/2014/main" id="{00000000-0008-0000-1800-0000A5BB4200}"/>
            </a:ext>
          </a:extLst>
        </xdr:cNvPr>
        <xdr:cNvSpPr>
          <a:spLocks noChangeShapeType="1"/>
        </xdr:cNvSpPr>
      </xdr:nvSpPr>
      <xdr:spPr bwMode="auto">
        <a:xfrm>
          <a:off x="81629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0</xdr:row>
      <xdr:rowOff>0</xdr:rowOff>
    </xdr:from>
    <xdr:to>
      <xdr:col>6</xdr:col>
      <xdr:colOff>114300</xdr:colOff>
      <xdr:row>0</xdr:row>
      <xdr:rowOff>0</xdr:rowOff>
    </xdr:to>
    <xdr:sp macro="" textlink="">
      <xdr:nvSpPr>
        <xdr:cNvPr id="4373414" name="Line 6">
          <a:extLst>
            <a:ext uri="{FF2B5EF4-FFF2-40B4-BE49-F238E27FC236}">
              <a16:creationId xmlns="" xmlns:a16="http://schemas.microsoft.com/office/drawing/2014/main" id="{00000000-0008-0000-1800-0000A6BB4200}"/>
            </a:ext>
          </a:extLst>
        </xdr:cNvPr>
        <xdr:cNvSpPr>
          <a:spLocks noChangeShapeType="1"/>
        </xdr:cNvSpPr>
      </xdr:nvSpPr>
      <xdr:spPr bwMode="auto">
        <a:xfrm>
          <a:off x="81724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85725</xdr:colOff>
      <xdr:row>0</xdr:row>
      <xdr:rowOff>0</xdr:rowOff>
    </xdr:from>
    <xdr:to>
      <xdr:col>6</xdr:col>
      <xdr:colOff>228600</xdr:colOff>
      <xdr:row>0</xdr:row>
      <xdr:rowOff>0</xdr:rowOff>
    </xdr:to>
    <xdr:sp macro="" textlink="">
      <xdr:nvSpPr>
        <xdr:cNvPr id="4373415" name="Line 7">
          <a:extLst>
            <a:ext uri="{FF2B5EF4-FFF2-40B4-BE49-F238E27FC236}">
              <a16:creationId xmlns="" xmlns:a16="http://schemas.microsoft.com/office/drawing/2014/main" id="{00000000-0008-0000-1800-0000A7BB4200}"/>
            </a:ext>
          </a:extLst>
        </xdr:cNvPr>
        <xdr:cNvSpPr>
          <a:spLocks noChangeShapeType="1"/>
        </xdr:cNvSpPr>
      </xdr:nvSpPr>
      <xdr:spPr bwMode="auto">
        <a:xfrm>
          <a:off x="7143750" y="0"/>
          <a:ext cx="1143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533400</xdr:colOff>
      <xdr:row>0</xdr:row>
      <xdr:rowOff>0</xdr:rowOff>
    </xdr:from>
    <xdr:to>
      <xdr:col>12</xdr:col>
      <xdr:colOff>123825</xdr:colOff>
      <xdr:row>0</xdr:row>
      <xdr:rowOff>0</xdr:rowOff>
    </xdr:to>
    <xdr:sp macro="" textlink="">
      <xdr:nvSpPr>
        <xdr:cNvPr id="4373416" name="Line 8">
          <a:extLst>
            <a:ext uri="{FF2B5EF4-FFF2-40B4-BE49-F238E27FC236}">
              <a16:creationId xmlns="" xmlns:a16="http://schemas.microsoft.com/office/drawing/2014/main" id="{00000000-0008-0000-1800-0000A8BB4200}"/>
            </a:ext>
          </a:extLst>
        </xdr:cNvPr>
        <xdr:cNvSpPr>
          <a:spLocks noChangeShapeType="1"/>
        </xdr:cNvSpPr>
      </xdr:nvSpPr>
      <xdr:spPr bwMode="auto">
        <a:xfrm>
          <a:off x="11887200" y="0"/>
          <a:ext cx="12382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12</xdr:col>
      <xdr:colOff>238125</xdr:colOff>
      <xdr:row>0</xdr:row>
      <xdr:rowOff>0</xdr:rowOff>
    </xdr:to>
    <xdr:sp macro="" textlink="">
      <xdr:nvSpPr>
        <xdr:cNvPr id="4373417" name="Line 9">
          <a:extLst>
            <a:ext uri="{FF2B5EF4-FFF2-40B4-BE49-F238E27FC236}">
              <a16:creationId xmlns="" xmlns:a16="http://schemas.microsoft.com/office/drawing/2014/main" id="{00000000-0008-0000-1800-0000A9BB4200}"/>
            </a:ext>
          </a:extLst>
        </xdr:cNvPr>
        <xdr:cNvSpPr>
          <a:spLocks noChangeShapeType="1"/>
        </xdr:cNvSpPr>
      </xdr:nvSpPr>
      <xdr:spPr bwMode="auto">
        <a:xfrm flipV="1">
          <a:off x="120110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238125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73418" name="Line 10">
          <a:extLst>
            <a:ext uri="{FF2B5EF4-FFF2-40B4-BE49-F238E27FC236}">
              <a16:creationId xmlns="" xmlns:a16="http://schemas.microsoft.com/office/drawing/2014/main" id="{00000000-0008-0000-1800-0000AABB4200}"/>
            </a:ext>
          </a:extLst>
        </xdr:cNvPr>
        <xdr:cNvSpPr>
          <a:spLocks noChangeShapeType="1"/>
        </xdr:cNvSpPr>
      </xdr:nvSpPr>
      <xdr:spPr bwMode="auto">
        <a:xfrm>
          <a:off x="12125325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361950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73419" name="Line 11">
          <a:extLst>
            <a:ext uri="{FF2B5EF4-FFF2-40B4-BE49-F238E27FC236}">
              <a16:creationId xmlns="" xmlns:a16="http://schemas.microsoft.com/office/drawing/2014/main" id="{00000000-0008-0000-1800-0000ABBB4200}"/>
            </a:ext>
          </a:extLst>
        </xdr:cNvPr>
        <xdr:cNvSpPr>
          <a:spLocks noChangeShapeType="1"/>
        </xdr:cNvSpPr>
      </xdr:nvSpPr>
      <xdr:spPr bwMode="auto">
        <a:xfrm flipV="1"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466725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73420" name="Line 12">
          <a:extLst>
            <a:ext uri="{FF2B5EF4-FFF2-40B4-BE49-F238E27FC236}">
              <a16:creationId xmlns="" xmlns:a16="http://schemas.microsoft.com/office/drawing/2014/main" id="{00000000-0008-0000-1800-0000ACBB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581025</xdr:colOff>
      <xdr:row>0</xdr:row>
      <xdr:rowOff>0</xdr:rowOff>
    </xdr:from>
    <xdr:to>
      <xdr:col>13</xdr:col>
      <xdr:colOff>0</xdr:colOff>
      <xdr:row>0</xdr:row>
      <xdr:rowOff>0</xdr:rowOff>
    </xdr:to>
    <xdr:sp macro="" textlink="">
      <xdr:nvSpPr>
        <xdr:cNvPr id="4373421" name="Line 13">
          <a:extLst>
            <a:ext uri="{FF2B5EF4-FFF2-40B4-BE49-F238E27FC236}">
              <a16:creationId xmlns="" xmlns:a16="http://schemas.microsoft.com/office/drawing/2014/main" id="{00000000-0008-0000-1800-0000ADBB4200}"/>
            </a:ext>
          </a:extLst>
        </xdr:cNvPr>
        <xdr:cNvSpPr>
          <a:spLocks noChangeShapeType="1"/>
        </xdr:cNvSpPr>
      </xdr:nvSpPr>
      <xdr:spPr bwMode="auto">
        <a:xfrm flipV="1"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0</xdr:row>
      <xdr:rowOff>0</xdr:rowOff>
    </xdr:from>
    <xdr:to>
      <xdr:col>13</xdr:col>
      <xdr:colOff>123825</xdr:colOff>
      <xdr:row>0</xdr:row>
      <xdr:rowOff>0</xdr:rowOff>
    </xdr:to>
    <xdr:sp macro="" textlink="">
      <xdr:nvSpPr>
        <xdr:cNvPr id="4373422" name="Line 14">
          <a:extLst>
            <a:ext uri="{FF2B5EF4-FFF2-40B4-BE49-F238E27FC236}">
              <a16:creationId xmlns="" xmlns:a16="http://schemas.microsoft.com/office/drawing/2014/main" id="{00000000-0008-0000-1800-0000AEBB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123825</xdr:colOff>
      <xdr:row>0</xdr:row>
      <xdr:rowOff>0</xdr:rowOff>
    </xdr:from>
    <xdr:to>
      <xdr:col>13</xdr:col>
      <xdr:colOff>238125</xdr:colOff>
      <xdr:row>0</xdr:row>
      <xdr:rowOff>0</xdr:rowOff>
    </xdr:to>
    <xdr:sp macro="" textlink="">
      <xdr:nvSpPr>
        <xdr:cNvPr id="4373423" name="Line 15">
          <a:extLst>
            <a:ext uri="{FF2B5EF4-FFF2-40B4-BE49-F238E27FC236}">
              <a16:creationId xmlns="" xmlns:a16="http://schemas.microsoft.com/office/drawing/2014/main" id="{00000000-0008-0000-1800-0000AFBB4200}"/>
            </a:ext>
          </a:extLst>
        </xdr:cNvPr>
        <xdr:cNvSpPr>
          <a:spLocks noChangeShapeType="1"/>
        </xdr:cNvSpPr>
      </xdr:nvSpPr>
      <xdr:spPr bwMode="auto">
        <a:xfrm flipV="1">
          <a:off x="122586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238125</xdr:colOff>
      <xdr:row>0</xdr:row>
      <xdr:rowOff>0</xdr:rowOff>
    </xdr:from>
    <xdr:to>
      <xdr:col>13</xdr:col>
      <xdr:colOff>361950</xdr:colOff>
      <xdr:row>0</xdr:row>
      <xdr:rowOff>0</xdr:rowOff>
    </xdr:to>
    <xdr:sp macro="" textlink="">
      <xdr:nvSpPr>
        <xdr:cNvPr id="4373424" name="Line 16">
          <a:extLst>
            <a:ext uri="{FF2B5EF4-FFF2-40B4-BE49-F238E27FC236}">
              <a16:creationId xmlns="" xmlns:a16="http://schemas.microsoft.com/office/drawing/2014/main" id="{00000000-0008-0000-1800-0000B0BB4200}"/>
            </a:ext>
          </a:extLst>
        </xdr:cNvPr>
        <xdr:cNvSpPr>
          <a:spLocks noChangeShapeType="1"/>
        </xdr:cNvSpPr>
      </xdr:nvSpPr>
      <xdr:spPr bwMode="auto">
        <a:xfrm>
          <a:off x="123729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361950</xdr:colOff>
      <xdr:row>0</xdr:row>
      <xdr:rowOff>0</xdr:rowOff>
    </xdr:from>
    <xdr:to>
      <xdr:col>13</xdr:col>
      <xdr:colOff>476250</xdr:colOff>
      <xdr:row>0</xdr:row>
      <xdr:rowOff>0</xdr:rowOff>
    </xdr:to>
    <xdr:sp macro="" textlink="">
      <xdr:nvSpPr>
        <xdr:cNvPr id="4373425" name="Line 17">
          <a:extLst>
            <a:ext uri="{FF2B5EF4-FFF2-40B4-BE49-F238E27FC236}">
              <a16:creationId xmlns="" xmlns:a16="http://schemas.microsoft.com/office/drawing/2014/main" id="{00000000-0008-0000-1800-0000B1BB4200}"/>
            </a:ext>
          </a:extLst>
        </xdr:cNvPr>
        <xdr:cNvSpPr>
          <a:spLocks noChangeShapeType="1"/>
        </xdr:cNvSpPr>
      </xdr:nvSpPr>
      <xdr:spPr bwMode="auto">
        <a:xfrm flipV="1">
          <a:off x="1249680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476250</xdr:colOff>
      <xdr:row>0</xdr:row>
      <xdr:rowOff>0</xdr:rowOff>
    </xdr:from>
    <xdr:to>
      <xdr:col>13</xdr:col>
      <xdr:colOff>609600</xdr:colOff>
      <xdr:row>0</xdr:row>
      <xdr:rowOff>0</xdr:rowOff>
    </xdr:to>
    <xdr:sp macro="" textlink="">
      <xdr:nvSpPr>
        <xdr:cNvPr id="4373426" name="Line 18">
          <a:extLst>
            <a:ext uri="{FF2B5EF4-FFF2-40B4-BE49-F238E27FC236}">
              <a16:creationId xmlns="" xmlns:a16="http://schemas.microsoft.com/office/drawing/2014/main" id="{00000000-0008-0000-1800-0000B2BB4200}"/>
            </a:ext>
          </a:extLst>
        </xdr:cNvPr>
        <xdr:cNvSpPr>
          <a:spLocks noChangeShapeType="1"/>
        </xdr:cNvSpPr>
      </xdr:nvSpPr>
      <xdr:spPr bwMode="auto">
        <a:xfrm>
          <a:off x="12611100" y="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14</xdr:col>
      <xdr:colOff>28575</xdr:colOff>
      <xdr:row>0</xdr:row>
      <xdr:rowOff>0</xdr:rowOff>
    </xdr:to>
    <xdr:sp macro="" textlink="">
      <xdr:nvSpPr>
        <xdr:cNvPr id="4373427" name="Line 19">
          <a:extLst>
            <a:ext uri="{FF2B5EF4-FFF2-40B4-BE49-F238E27FC236}">
              <a16:creationId xmlns="" xmlns:a16="http://schemas.microsoft.com/office/drawing/2014/main" id="{00000000-0008-0000-1800-0000B3BB4200}"/>
            </a:ext>
          </a:extLst>
        </xdr:cNvPr>
        <xdr:cNvSpPr>
          <a:spLocks noChangeShapeType="1"/>
        </xdr:cNvSpPr>
      </xdr:nvSpPr>
      <xdr:spPr bwMode="auto">
        <a:xfrm flipV="1">
          <a:off x="12744450" y="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28575</xdr:colOff>
      <xdr:row>0</xdr:row>
      <xdr:rowOff>0</xdr:rowOff>
    </xdr:from>
    <xdr:to>
      <xdr:col>14</xdr:col>
      <xdr:colOff>152400</xdr:colOff>
      <xdr:row>0</xdr:row>
      <xdr:rowOff>0</xdr:rowOff>
    </xdr:to>
    <xdr:sp macro="" textlink="">
      <xdr:nvSpPr>
        <xdr:cNvPr id="4373428" name="Line 20">
          <a:extLst>
            <a:ext uri="{FF2B5EF4-FFF2-40B4-BE49-F238E27FC236}">
              <a16:creationId xmlns="" xmlns:a16="http://schemas.microsoft.com/office/drawing/2014/main" id="{00000000-0008-0000-1800-0000B4BB4200}"/>
            </a:ext>
          </a:extLst>
        </xdr:cNvPr>
        <xdr:cNvSpPr>
          <a:spLocks noChangeShapeType="1"/>
        </xdr:cNvSpPr>
      </xdr:nvSpPr>
      <xdr:spPr bwMode="auto">
        <a:xfrm>
          <a:off x="133540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152400</xdr:colOff>
      <xdr:row>0</xdr:row>
      <xdr:rowOff>0</xdr:rowOff>
    </xdr:from>
    <xdr:to>
      <xdr:col>14</xdr:col>
      <xdr:colOff>266700</xdr:colOff>
      <xdr:row>0</xdr:row>
      <xdr:rowOff>0</xdr:rowOff>
    </xdr:to>
    <xdr:sp macro="" textlink="">
      <xdr:nvSpPr>
        <xdr:cNvPr id="4373429" name="Line 21">
          <a:extLst>
            <a:ext uri="{FF2B5EF4-FFF2-40B4-BE49-F238E27FC236}">
              <a16:creationId xmlns="" xmlns:a16="http://schemas.microsoft.com/office/drawing/2014/main" id="{00000000-0008-0000-1800-0000B5BB4200}"/>
            </a:ext>
          </a:extLst>
        </xdr:cNvPr>
        <xdr:cNvSpPr>
          <a:spLocks noChangeShapeType="1"/>
        </xdr:cNvSpPr>
      </xdr:nvSpPr>
      <xdr:spPr bwMode="auto">
        <a:xfrm flipV="1">
          <a:off x="134778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266700</xdr:colOff>
      <xdr:row>0</xdr:row>
      <xdr:rowOff>0</xdr:rowOff>
    </xdr:from>
    <xdr:to>
      <xdr:col>14</xdr:col>
      <xdr:colOff>381000</xdr:colOff>
      <xdr:row>0</xdr:row>
      <xdr:rowOff>0</xdr:rowOff>
    </xdr:to>
    <xdr:sp macro="" textlink="">
      <xdr:nvSpPr>
        <xdr:cNvPr id="4373430" name="Line 22">
          <a:extLst>
            <a:ext uri="{FF2B5EF4-FFF2-40B4-BE49-F238E27FC236}">
              <a16:creationId xmlns="" xmlns:a16="http://schemas.microsoft.com/office/drawing/2014/main" id="{00000000-0008-0000-1800-0000B6BB4200}"/>
            </a:ext>
          </a:extLst>
        </xdr:cNvPr>
        <xdr:cNvSpPr>
          <a:spLocks noChangeShapeType="1"/>
        </xdr:cNvSpPr>
      </xdr:nvSpPr>
      <xdr:spPr bwMode="auto">
        <a:xfrm>
          <a:off x="135921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381000</xdr:colOff>
      <xdr:row>0</xdr:row>
      <xdr:rowOff>0</xdr:rowOff>
    </xdr:from>
    <xdr:to>
      <xdr:col>14</xdr:col>
      <xdr:colOff>495300</xdr:colOff>
      <xdr:row>0</xdr:row>
      <xdr:rowOff>0</xdr:rowOff>
    </xdr:to>
    <xdr:sp macro="" textlink="">
      <xdr:nvSpPr>
        <xdr:cNvPr id="4373431" name="Line 23">
          <a:extLst>
            <a:ext uri="{FF2B5EF4-FFF2-40B4-BE49-F238E27FC236}">
              <a16:creationId xmlns="" xmlns:a16="http://schemas.microsoft.com/office/drawing/2014/main" id="{00000000-0008-0000-1800-0000B7BB4200}"/>
            </a:ext>
          </a:extLst>
        </xdr:cNvPr>
        <xdr:cNvSpPr>
          <a:spLocks noChangeShapeType="1"/>
        </xdr:cNvSpPr>
      </xdr:nvSpPr>
      <xdr:spPr bwMode="auto">
        <a:xfrm flipV="1">
          <a:off x="137064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495300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73432" name="Line 24">
          <a:extLst>
            <a:ext uri="{FF2B5EF4-FFF2-40B4-BE49-F238E27FC236}">
              <a16:creationId xmlns="" xmlns:a16="http://schemas.microsoft.com/office/drawing/2014/main" id="{00000000-0008-0000-1800-0000B8BB4200}"/>
            </a:ext>
          </a:extLst>
        </xdr:cNvPr>
        <xdr:cNvSpPr>
          <a:spLocks noChangeShapeType="1"/>
        </xdr:cNvSpPr>
      </xdr:nvSpPr>
      <xdr:spPr bwMode="auto">
        <a:xfrm>
          <a:off x="138207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73433" name="Line 25">
          <a:extLst>
            <a:ext uri="{FF2B5EF4-FFF2-40B4-BE49-F238E27FC236}">
              <a16:creationId xmlns="" xmlns:a16="http://schemas.microsoft.com/office/drawing/2014/main" id="{00000000-0008-0000-1800-0000B9BB42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66675</xdr:colOff>
      <xdr:row>0</xdr:row>
      <xdr:rowOff>0</xdr:rowOff>
    </xdr:to>
    <xdr:sp macro="" textlink="">
      <xdr:nvSpPr>
        <xdr:cNvPr id="4373434" name="Line 26">
          <a:extLst>
            <a:ext uri="{FF2B5EF4-FFF2-40B4-BE49-F238E27FC236}">
              <a16:creationId xmlns="" xmlns:a16="http://schemas.microsoft.com/office/drawing/2014/main" id="{00000000-0008-0000-1800-0000BABB4200}"/>
            </a:ext>
          </a:extLst>
        </xdr:cNvPr>
        <xdr:cNvSpPr>
          <a:spLocks noChangeShapeType="1"/>
        </xdr:cNvSpPr>
      </xdr:nvSpPr>
      <xdr:spPr bwMode="auto">
        <a:xfrm flipV="1">
          <a:off x="11953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73435" name="Line 27">
          <a:extLst>
            <a:ext uri="{FF2B5EF4-FFF2-40B4-BE49-F238E27FC236}">
              <a16:creationId xmlns="" xmlns:a16="http://schemas.microsoft.com/office/drawing/2014/main" id="{00000000-0008-0000-1800-0000BBBB42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73436" name="Line 28">
          <a:extLst>
            <a:ext uri="{FF2B5EF4-FFF2-40B4-BE49-F238E27FC236}">
              <a16:creationId xmlns="" xmlns:a16="http://schemas.microsoft.com/office/drawing/2014/main" id="{00000000-0008-0000-1800-0000BCBB4200}"/>
            </a:ext>
          </a:extLst>
        </xdr:cNvPr>
        <xdr:cNvSpPr>
          <a:spLocks noChangeShapeType="1"/>
        </xdr:cNvSpPr>
      </xdr:nvSpPr>
      <xdr:spPr bwMode="auto">
        <a:xfrm>
          <a:off x="12011025" y="0"/>
          <a:ext cx="1933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352425</xdr:colOff>
      <xdr:row>0</xdr:row>
      <xdr:rowOff>0</xdr:rowOff>
    </xdr:from>
    <xdr:to>
      <xdr:col>2</xdr:col>
      <xdr:colOff>352425</xdr:colOff>
      <xdr:row>0</xdr:row>
      <xdr:rowOff>0</xdr:rowOff>
    </xdr:to>
    <xdr:sp macro="" textlink="">
      <xdr:nvSpPr>
        <xdr:cNvPr id="4373437" name="Line 29">
          <a:extLst>
            <a:ext uri="{FF2B5EF4-FFF2-40B4-BE49-F238E27FC236}">
              <a16:creationId xmlns="" xmlns:a16="http://schemas.microsoft.com/office/drawing/2014/main" id="{00000000-0008-0000-1800-0000BDBB4200}"/>
            </a:ext>
          </a:extLst>
        </xdr:cNvPr>
        <xdr:cNvSpPr>
          <a:spLocks noChangeShapeType="1"/>
        </xdr:cNvSpPr>
      </xdr:nvSpPr>
      <xdr:spPr bwMode="auto">
        <a:xfrm>
          <a:off x="2981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152400</xdr:colOff>
      <xdr:row>0</xdr:row>
      <xdr:rowOff>0</xdr:rowOff>
    </xdr:to>
    <xdr:sp macro="" textlink="">
      <xdr:nvSpPr>
        <xdr:cNvPr id="4373438" name="Line 30">
          <a:extLst>
            <a:ext uri="{FF2B5EF4-FFF2-40B4-BE49-F238E27FC236}">
              <a16:creationId xmlns="" xmlns:a16="http://schemas.microsoft.com/office/drawing/2014/main" id="{00000000-0008-0000-1800-0000BEBB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723900</xdr:colOff>
      <xdr:row>0</xdr:row>
      <xdr:rowOff>0</xdr:rowOff>
    </xdr:from>
    <xdr:to>
      <xdr:col>4</xdr:col>
      <xdr:colOff>723900</xdr:colOff>
      <xdr:row>0</xdr:row>
      <xdr:rowOff>0</xdr:rowOff>
    </xdr:to>
    <xdr:sp macro="" textlink="">
      <xdr:nvSpPr>
        <xdr:cNvPr id="4373439" name="Line 31">
          <a:extLst>
            <a:ext uri="{FF2B5EF4-FFF2-40B4-BE49-F238E27FC236}">
              <a16:creationId xmlns="" xmlns:a16="http://schemas.microsoft.com/office/drawing/2014/main" id="{00000000-0008-0000-1800-0000BFBB4200}"/>
            </a:ext>
          </a:extLst>
        </xdr:cNvPr>
        <xdr:cNvSpPr>
          <a:spLocks noChangeShapeType="1"/>
        </xdr:cNvSpPr>
      </xdr:nvSpPr>
      <xdr:spPr bwMode="auto">
        <a:xfrm>
          <a:off x="63722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285750</xdr:colOff>
      <xdr:row>0</xdr:row>
      <xdr:rowOff>0</xdr:rowOff>
    </xdr:from>
    <xdr:to>
      <xdr:col>2</xdr:col>
      <xdr:colOff>285750</xdr:colOff>
      <xdr:row>0</xdr:row>
      <xdr:rowOff>0</xdr:rowOff>
    </xdr:to>
    <xdr:sp macro="" textlink="">
      <xdr:nvSpPr>
        <xdr:cNvPr id="4373440" name="Line 32">
          <a:extLst>
            <a:ext uri="{FF2B5EF4-FFF2-40B4-BE49-F238E27FC236}">
              <a16:creationId xmlns="" xmlns:a16="http://schemas.microsoft.com/office/drawing/2014/main" id="{00000000-0008-0000-1800-0000C0BB4200}"/>
            </a:ext>
          </a:extLst>
        </xdr:cNvPr>
        <xdr:cNvSpPr>
          <a:spLocks noChangeShapeType="1"/>
        </xdr:cNvSpPr>
      </xdr:nvSpPr>
      <xdr:spPr bwMode="auto">
        <a:xfrm>
          <a:off x="29146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590550</xdr:colOff>
      <xdr:row>0</xdr:row>
      <xdr:rowOff>0</xdr:rowOff>
    </xdr:from>
    <xdr:to>
      <xdr:col>4</xdr:col>
      <xdr:colOff>590550</xdr:colOff>
      <xdr:row>0</xdr:row>
      <xdr:rowOff>0</xdr:rowOff>
    </xdr:to>
    <xdr:sp macro="" textlink="">
      <xdr:nvSpPr>
        <xdr:cNvPr id="4373441" name="Line 33">
          <a:extLst>
            <a:ext uri="{FF2B5EF4-FFF2-40B4-BE49-F238E27FC236}">
              <a16:creationId xmlns="" xmlns:a16="http://schemas.microsoft.com/office/drawing/2014/main" id="{00000000-0008-0000-1800-0000C1BB4200}"/>
            </a:ext>
          </a:extLst>
        </xdr:cNvPr>
        <xdr:cNvSpPr>
          <a:spLocks noChangeShapeType="1"/>
        </xdr:cNvSpPr>
      </xdr:nvSpPr>
      <xdr:spPr bwMode="auto">
        <a:xfrm flipH="1">
          <a:off x="6238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73442" name="Line 34">
          <a:extLst>
            <a:ext uri="{FF2B5EF4-FFF2-40B4-BE49-F238E27FC236}">
              <a16:creationId xmlns="" xmlns:a16="http://schemas.microsoft.com/office/drawing/2014/main" id="{00000000-0008-0000-1800-0000C2BB42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95250</xdr:colOff>
      <xdr:row>0</xdr:row>
      <xdr:rowOff>0</xdr:rowOff>
    </xdr:to>
    <xdr:grpSp>
      <xdr:nvGrpSpPr>
        <xdr:cNvPr id="4373443" name="Group 35">
          <a:extLst>
            <a:ext uri="{FF2B5EF4-FFF2-40B4-BE49-F238E27FC236}">
              <a16:creationId xmlns="" xmlns:a16="http://schemas.microsoft.com/office/drawing/2014/main" id="{00000000-0008-0000-1800-0000C3BB4200}"/>
            </a:ext>
          </a:extLst>
        </xdr:cNvPr>
        <xdr:cNvGrpSpPr>
          <a:grpSpLocks/>
        </xdr:cNvGrpSpPr>
      </xdr:nvGrpSpPr>
      <xdr:grpSpPr bwMode="auto">
        <a:xfrm>
          <a:off x="9853613" y="0"/>
          <a:ext cx="5600700" cy="0"/>
          <a:chOff x="630" y="359"/>
          <a:chExt cx="361" cy="60"/>
        </a:xfrm>
      </xdr:grpSpPr>
      <xdr:sp macro="" textlink="">
        <xdr:nvSpPr>
          <xdr:cNvPr id="4401262" name="Line 36">
            <a:extLst>
              <a:ext uri="{FF2B5EF4-FFF2-40B4-BE49-F238E27FC236}">
                <a16:creationId xmlns="" xmlns:a16="http://schemas.microsoft.com/office/drawing/2014/main" id="{00000000-0008-0000-1800-00006E28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0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01263" name="Line 37">
            <a:extLst>
              <a:ext uri="{FF2B5EF4-FFF2-40B4-BE49-F238E27FC236}">
                <a16:creationId xmlns="" xmlns:a16="http://schemas.microsoft.com/office/drawing/2014/main" id="{00000000-0008-0000-1800-00006F28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91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01264" name="Line 38">
            <a:extLst>
              <a:ext uri="{FF2B5EF4-FFF2-40B4-BE49-F238E27FC236}">
                <a16:creationId xmlns="" xmlns:a16="http://schemas.microsoft.com/office/drawing/2014/main" id="{00000000-0008-0000-1800-000070284300}"/>
              </a:ext>
            </a:extLst>
          </xdr:cNvPr>
          <xdr:cNvSpPr>
            <a:spLocks noChangeShapeType="1"/>
          </xdr:cNvSpPr>
        </xdr:nvSpPr>
        <xdr:spPr bwMode="auto">
          <a:xfrm>
            <a:off x="630" y="381"/>
            <a:ext cx="3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7</xdr:col>
      <xdr:colOff>590550</xdr:colOff>
      <xdr:row>0</xdr:row>
      <xdr:rowOff>0</xdr:rowOff>
    </xdr:to>
    <xdr:sp macro="" textlink="">
      <xdr:nvSpPr>
        <xdr:cNvPr id="4373444" name="Line 39">
          <a:extLst>
            <a:ext uri="{FF2B5EF4-FFF2-40B4-BE49-F238E27FC236}">
              <a16:creationId xmlns="" xmlns:a16="http://schemas.microsoft.com/office/drawing/2014/main" id="{00000000-0008-0000-1800-0000C4BB42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10</xdr:col>
      <xdr:colOff>47625</xdr:colOff>
      <xdr:row>0</xdr:row>
      <xdr:rowOff>0</xdr:rowOff>
    </xdr:to>
    <xdr:sp macro="" textlink="">
      <xdr:nvSpPr>
        <xdr:cNvPr id="4373445" name="Line 40">
          <a:extLst>
            <a:ext uri="{FF2B5EF4-FFF2-40B4-BE49-F238E27FC236}">
              <a16:creationId xmlns="" xmlns:a16="http://schemas.microsoft.com/office/drawing/2014/main" id="{00000000-0008-0000-1800-0000C5BB4200}"/>
            </a:ext>
          </a:extLst>
        </xdr:cNvPr>
        <xdr:cNvSpPr>
          <a:spLocks noChangeShapeType="1"/>
        </xdr:cNvSpPr>
      </xdr:nvSpPr>
      <xdr:spPr bwMode="auto">
        <a:xfrm flipV="1">
          <a:off x="9382125" y="0"/>
          <a:ext cx="1581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10</xdr:col>
      <xdr:colOff>914400</xdr:colOff>
      <xdr:row>0</xdr:row>
      <xdr:rowOff>0</xdr:rowOff>
    </xdr:to>
    <xdr:sp macro="" textlink="">
      <xdr:nvSpPr>
        <xdr:cNvPr id="4373446" name="Line 41">
          <a:extLst>
            <a:ext uri="{FF2B5EF4-FFF2-40B4-BE49-F238E27FC236}">
              <a16:creationId xmlns="" xmlns:a16="http://schemas.microsoft.com/office/drawing/2014/main" id="{00000000-0008-0000-1800-0000C6BB42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1733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28575</xdr:colOff>
      <xdr:row>0</xdr:row>
      <xdr:rowOff>0</xdr:rowOff>
    </xdr:to>
    <xdr:sp macro="" textlink="">
      <xdr:nvSpPr>
        <xdr:cNvPr id="4373447" name="Line 42">
          <a:extLst>
            <a:ext uri="{FF2B5EF4-FFF2-40B4-BE49-F238E27FC236}">
              <a16:creationId xmlns="" xmlns:a16="http://schemas.microsoft.com/office/drawing/2014/main" id="{00000000-0008-0000-1800-0000C7BB42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2076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552450</xdr:colOff>
      <xdr:row>0</xdr:row>
      <xdr:rowOff>0</xdr:rowOff>
    </xdr:from>
    <xdr:to>
      <xdr:col>13</xdr:col>
      <xdr:colOff>400050</xdr:colOff>
      <xdr:row>0</xdr:row>
      <xdr:rowOff>0</xdr:rowOff>
    </xdr:to>
    <xdr:sp macro="" textlink="">
      <xdr:nvSpPr>
        <xdr:cNvPr id="4373448" name="Line 43">
          <a:extLst>
            <a:ext uri="{FF2B5EF4-FFF2-40B4-BE49-F238E27FC236}">
              <a16:creationId xmlns="" xmlns:a16="http://schemas.microsoft.com/office/drawing/2014/main" id="{00000000-0008-0000-1800-0000C8BB4200}"/>
            </a:ext>
          </a:extLst>
        </xdr:cNvPr>
        <xdr:cNvSpPr>
          <a:spLocks noChangeShapeType="1"/>
        </xdr:cNvSpPr>
      </xdr:nvSpPr>
      <xdr:spPr bwMode="auto">
        <a:xfrm flipH="1">
          <a:off x="980122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10</xdr:col>
      <xdr:colOff>57150</xdr:colOff>
      <xdr:row>0</xdr:row>
      <xdr:rowOff>0</xdr:rowOff>
    </xdr:to>
    <xdr:grpSp>
      <xdr:nvGrpSpPr>
        <xdr:cNvPr id="4373449" name="Group 44">
          <a:extLst>
            <a:ext uri="{FF2B5EF4-FFF2-40B4-BE49-F238E27FC236}">
              <a16:creationId xmlns="" xmlns:a16="http://schemas.microsoft.com/office/drawing/2014/main" id="{00000000-0008-0000-1800-0000C9BB4200}"/>
            </a:ext>
          </a:extLst>
        </xdr:cNvPr>
        <xdr:cNvGrpSpPr>
          <a:grpSpLocks/>
        </xdr:cNvGrpSpPr>
      </xdr:nvGrpSpPr>
      <xdr:grpSpPr bwMode="auto">
        <a:xfrm>
          <a:off x="9882188" y="0"/>
          <a:ext cx="1104900" cy="0"/>
          <a:chOff x="554" y="439"/>
          <a:chExt cx="10" cy="76"/>
        </a:xfrm>
      </xdr:grpSpPr>
      <xdr:sp macro="" textlink="">
        <xdr:nvSpPr>
          <xdr:cNvPr id="4401260" name="Line 45">
            <a:extLst>
              <a:ext uri="{FF2B5EF4-FFF2-40B4-BE49-F238E27FC236}">
                <a16:creationId xmlns="" xmlns:a16="http://schemas.microsoft.com/office/drawing/2014/main" id="{00000000-0008-0000-1800-00006C284300}"/>
              </a:ext>
            </a:extLst>
          </xdr:cNvPr>
          <xdr:cNvSpPr>
            <a:spLocks noChangeShapeType="1"/>
          </xdr:cNvSpPr>
        </xdr:nvSpPr>
        <xdr:spPr bwMode="auto">
          <a:xfrm>
            <a:off x="558" y="439"/>
            <a:ext cx="0" cy="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01261" name="Line 46">
            <a:extLst>
              <a:ext uri="{FF2B5EF4-FFF2-40B4-BE49-F238E27FC236}">
                <a16:creationId xmlns="" xmlns:a16="http://schemas.microsoft.com/office/drawing/2014/main" id="{00000000-0008-0000-1800-00006D284300}"/>
              </a:ext>
            </a:extLst>
          </xdr:cNvPr>
          <xdr:cNvSpPr>
            <a:spLocks noChangeShapeType="1"/>
          </xdr:cNvSpPr>
        </xdr:nvSpPr>
        <xdr:spPr bwMode="auto">
          <a:xfrm>
            <a:off x="554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10</xdr:col>
      <xdr:colOff>628650</xdr:colOff>
      <xdr:row>0</xdr:row>
      <xdr:rowOff>0</xdr:rowOff>
    </xdr:from>
    <xdr:to>
      <xdr:col>11</xdr:col>
      <xdr:colOff>38100</xdr:colOff>
      <xdr:row>0</xdr:row>
      <xdr:rowOff>0</xdr:rowOff>
    </xdr:to>
    <xdr:grpSp>
      <xdr:nvGrpSpPr>
        <xdr:cNvPr id="4373450" name="Group 47">
          <a:extLst>
            <a:ext uri="{FF2B5EF4-FFF2-40B4-BE49-F238E27FC236}">
              <a16:creationId xmlns="" xmlns:a16="http://schemas.microsoft.com/office/drawing/2014/main" id="{00000000-0008-0000-1800-0000CABB4200}"/>
            </a:ext>
          </a:extLst>
        </xdr:cNvPr>
        <xdr:cNvGrpSpPr>
          <a:grpSpLocks/>
        </xdr:cNvGrpSpPr>
      </xdr:nvGrpSpPr>
      <xdr:grpSpPr bwMode="auto">
        <a:xfrm>
          <a:off x="11558588" y="0"/>
          <a:ext cx="76200" cy="0"/>
          <a:chOff x="680" y="439"/>
          <a:chExt cx="10" cy="98"/>
        </a:xfrm>
      </xdr:grpSpPr>
      <xdr:sp macro="" textlink="">
        <xdr:nvSpPr>
          <xdr:cNvPr id="4401258" name="Line 48">
            <a:extLst>
              <a:ext uri="{FF2B5EF4-FFF2-40B4-BE49-F238E27FC236}">
                <a16:creationId xmlns="" xmlns:a16="http://schemas.microsoft.com/office/drawing/2014/main" id="{00000000-0008-0000-1800-00006A284300}"/>
              </a:ext>
            </a:extLst>
          </xdr:cNvPr>
          <xdr:cNvSpPr>
            <a:spLocks noChangeShapeType="1"/>
          </xdr:cNvSpPr>
        </xdr:nvSpPr>
        <xdr:spPr bwMode="auto">
          <a:xfrm>
            <a:off x="685" y="439"/>
            <a:ext cx="0" cy="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01259" name="Line 49">
            <a:extLst>
              <a:ext uri="{FF2B5EF4-FFF2-40B4-BE49-F238E27FC236}">
                <a16:creationId xmlns="" xmlns:a16="http://schemas.microsoft.com/office/drawing/2014/main" id="{00000000-0008-0000-1800-00006B284300}"/>
              </a:ext>
            </a:extLst>
          </xdr:cNvPr>
          <xdr:cNvSpPr>
            <a:spLocks noChangeShapeType="1"/>
          </xdr:cNvSpPr>
        </xdr:nvSpPr>
        <xdr:spPr bwMode="auto">
          <a:xfrm>
            <a:off x="680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4373451" name="Group 50">
          <a:extLst>
            <a:ext uri="{FF2B5EF4-FFF2-40B4-BE49-F238E27FC236}">
              <a16:creationId xmlns="" xmlns:a16="http://schemas.microsoft.com/office/drawing/2014/main" id="{00000000-0008-0000-1800-0000CBBB4200}"/>
            </a:ext>
          </a:extLst>
        </xdr:cNvPr>
        <xdr:cNvGrpSpPr>
          <a:grpSpLocks/>
        </xdr:cNvGrpSpPr>
      </xdr:nvGrpSpPr>
      <xdr:grpSpPr bwMode="auto">
        <a:xfrm>
          <a:off x="11906250" y="0"/>
          <a:ext cx="142875" cy="0"/>
          <a:chOff x="759" y="438"/>
          <a:chExt cx="10" cy="121"/>
        </a:xfrm>
      </xdr:grpSpPr>
      <xdr:sp macro="" textlink="">
        <xdr:nvSpPr>
          <xdr:cNvPr id="4401256" name="Line 51">
            <a:extLst>
              <a:ext uri="{FF2B5EF4-FFF2-40B4-BE49-F238E27FC236}">
                <a16:creationId xmlns="" xmlns:a16="http://schemas.microsoft.com/office/drawing/2014/main" id="{00000000-0008-0000-1800-0000682843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01257" name="Line 52">
            <a:extLst>
              <a:ext uri="{FF2B5EF4-FFF2-40B4-BE49-F238E27FC236}">
                <a16:creationId xmlns="" xmlns:a16="http://schemas.microsoft.com/office/drawing/2014/main" id="{00000000-0008-0000-1800-0000692843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13</xdr:col>
      <xdr:colOff>76200</xdr:colOff>
      <xdr:row>0</xdr:row>
      <xdr:rowOff>0</xdr:rowOff>
    </xdr:from>
    <xdr:to>
      <xdr:col>13</xdr:col>
      <xdr:colOff>676275</xdr:colOff>
      <xdr:row>0</xdr:row>
      <xdr:rowOff>0</xdr:rowOff>
    </xdr:to>
    <xdr:grpSp>
      <xdr:nvGrpSpPr>
        <xdr:cNvPr id="4373452" name="Group 53">
          <a:extLst>
            <a:ext uri="{FF2B5EF4-FFF2-40B4-BE49-F238E27FC236}">
              <a16:creationId xmlns="" xmlns:a16="http://schemas.microsoft.com/office/drawing/2014/main" id="{00000000-0008-0000-1800-0000CCBB4200}"/>
            </a:ext>
          </a:extLst>
        </xdr:cNvPr>
        <xdr:cNvGrpSpPr>
          <a:grpSpLocks/>
        </xdr:cNvGrpSpPr>
      </xdr:nvGrpSpPr>
      <xdr:grpSpPr bwMode="auto">
        <a:xfrm>
          <a:off x="12220575" y="0"/>
          <a:ext cx="600075" cy="0"/>
          <a:chOff x="842" y="438"/>
          <a:chExt cx="10" cy="147"/>
        </a:xfrm>
      </xdr:grpSpPr>
      <xdr:sp macro="" textlink="">
        <xdr:nvSpPr>
          <xdr:cNvPr id="4401254" name="Line 54">
            <a:extLst>
              <a:ext uri="{FF2B5EF4-FFF2-40B4-BE49-F238E27FC236}">
                <a16:creationId xmlns="" xmlns:a16="http://schemas.microsoft.com/office/drawing/2014/main" id="{00000000-0008-0000-1800-0000662843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01255" name="Line 55">
            <a:extLst>
              <a:ext uri="{FF2B5EF4-FFF2-40B4-BE49-F238E27FC236}">
                <a16:creationId xmlns="" xmlns:a16="http://schemas.microsoft.com/office/drawing/2014/main" id="{00000000-0008-0000-1800-0000672843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76200</xdr:colOff>
      <xdr:row>0</xdr:row>
      <xdr:rowOff>0</xdr:rowOff>
    </xdr:to>
    <xdr:sp macro="" textlink="">
      <xdr:nvSpPr>
        <xdr:cNvPr id="4373453" name="Rectangle 56">
          <a:extLst>
            <a:ext uri="{FF2B5EF4-FFF2-40B4-BE49-F238E27FC236}">
              <a16:creationId xmlns="" xmlns:a16="http://schemas.microsoft.com/office/drawing/2014/main" id="{00000000-0008-0000-1800-0000CDBB4200}"/>
            </a:ext>
          </a:extLst>
        </xdr:cNvPr>
        <xdr:cNvSpPr>
          <a:spLocks noChangeArrowheads="1"/>
        </xdr:cNvSpPr>
      </xdr:nvSpPr>
      <xdr:spPr bwMode="auto">
        <a:xfrm>
          <a:off x="9839325" y="0"/>
          <a:ext cx="55721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4373454" name="Line 57">
          <a:extLst>
            <a:ext uri="{FF2B5EF4-FFF2-40B4-BE49-F238E27FC236}">
              <a16:creationId xmlns="" xmlns:a16="http://schemas.microsoft.com/office/drawing/2014/main" id="{00000000-0008-0000-1800-0000CEBB4200}"/>
            </a:ext>
          </a:extLst>
        </xdr:cNvPr>
        <xdr:cNvSpPr>
          <a:spLocks noChangeShapeType="1"/>
        </xdr:cNvSpPr>
      </xdr:nvSpPr>
      <xdr:spPr bwMode="auto">
        <a:xfrm>
          <a:off x="153352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638175</xdr:colOff>
      <xdr:row>0</xdr:row>
      <xdr:rowOff>0</xdr:rowOff>
    </xdr:from>
    <xdr:to>
      <xdr:col>16</xdr:col>
      <xdr:colOff>47625</xdr:colOff>
      <xdr:row>0</xdr:row>
      <xdr:rowOff>0</xdr:rowOff>
    </xdr:to>
    <xdr:sp macro="" textlink="">
      <xdr:nvSpPr>
        <xdr:cNvPr id="4373455" name="Line 58">
          <a:extLst>
            <a:ext uri="{FF2B5EF4-FFF2-40B4-BE49-F238E27FC236}">
              <a16:creationId xmlns="" xmlns:a16="http://schemas.microsoft.com/office/drawing/2014/main" id="{00000000-0008-0000-1800-0000CFBB4200}"/>
            </a:ext>
          </a:extLst>
        </xdr:cNvPr>
        <xdr:cNvSpPr>
          <a:spLocks noChangeShapeType="1"/>
        </xdr:cNvSpPr>
      </xdr:nvSpPr>
      <xdr:spPr bwMode="auto">
        <a:xfrm>
          <a:off x="14887575" y="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15</xdr:col>
      <xdr:colOff>1181100</xdr:colOff>
      <xdr:row>0</xdr:row>
      <xdr:rowOff>0</xdr:rowOff>
    </xdr:to>
    <xdr:sp macro="" textlink="">
      <xdr:nvSpPr>
        <xdr:cNvPr id="4373456" name="Line 59">
          <a:extLst>
            <a:ext uri="{FF2B5EF4-FFF2-40B4-BE49-F238E27FC236}">
              <a16:creationId xmlns="" xmlns:a16="http://schemas.microsoft.com/office/drawing/2014/main" id="{00000000-0008-0000-1800-0000D0BB4200}"/>
            </a:ext>
          </a:extLst>
        </xdr:cNvPr>
        <xdr:cNvSpPr>
          <a:spLocks noChangeShapeType="1"/>
        </xdr:cNvSpPr>
      </xdr:nvSpPr>
      <xdr:spPr bwMode="auto">
        <a:xfrm flipV="1">
          <a:off x="9867900" y="0"/>
          <a:ext cx="546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666750</xdr:colOff>
      <xdr:row>0</xdr:row>
      <xdr:rowOff>0</xdr:rowOff>
    </xdr:from>
    <xdr:to>
      <xdr:col>14</xdr:col>
      <xdr:colOff>838200</xdr:colOff>
      <xdr:row>0</xdr:row>
      <xdr:rowOff>0</xdr:rowOff>
    </xdr:to>
    <xdr:grpSp>
      <xdr:nvGrpSpPr>
        <xdr:cNvPr id="4373457" name="Group 60">
          <a:extLst>
            <a:ext uri="{FF2B5EF4-FFF2-40B4-BE49-F238E27FC236}">
              <a16:creationId xmlns="" xmlns:a16="http://schemas.microsoft.com/office/drawing/2014/main" id="{00000000-0008-0000-1800-0000D1BB4200}"/>
            </a:ext>
          </a:extLst>
        </xdr:cNvPr>
        <xdr:cNvGrpSpPr>
          <a:grpSpLocks/>
        </xdr:cNvGrpSpPr>
      </xdr:nvGrpSpPr>
      <xdr:grpSpPr bwMode="auto">
        <a:xfrm>
          <a:off x="14001750" y="0"/>
          <a:ext cx="171450" cy="0"/>
          <a:chOff x="912" y="438"/>
          <a:chExt cx="11" cy="175"/>
        </a:xfrm>
      </xdr:grpSpPr>
      <xdr:sp macro="" textlink="">
        <xdr:nvSpPr>
          <xdr:cNvPr id="4401252" name="Line 61">
            <a:extLst>
              <a:ext uri="{FF2B5EF4-FFF2-40B4-BE49-F238E27FC236}">
                <a16:creationId xmlns="" xmlns:a16="http://schemas.microsoft.com/office/drawing/2014/main" id="{00000000-0008-0000-1800-0000642843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01253" name="Line 62">
            <a:extLst>
              <a:ext uri="{FF2B5EF4-FFF2-40B4-BE49-F238E27FC236}">
                <a16:creationId xmlns="" xmlns:a16="http://schemas.microsoft.com/office/drawing/2014/main" id="{00000000-0008-0000-1800-0000652843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171450</xdr:colOff>
      <xdr:row>0</xdr:row>
      <xdr:rowOff>0</xdr:rowOff>
    </xdr:from>
    <xdr:to>
      <xdr:col>4</xdr:col>
      <xdr:colOff>542925</xdr:colOff>
      <xdr:row>0</xdr:row>
      <xdr:rowOff>0</xdr:rowOff>
    </xdr:to>
    <xdr:sp macro="" textlink="">
      <xdr:nvSpPr>
        <xdr:cNvPr id="4373458" name="Line 63">
          <a:extLst>
            <a:ext uri="{FF2B5EF4-FFF2-40B4-BE49-F238E27FC236}">
              <a16:creationId xmlns="" xmlns:a16="http://schemas.microsoft.com/office/drawing/2014/main" id="{00000000-0008-0000-1800-0000D2BB4200}"/>
            </a:ext>
          </a:extLst>
        </xdr:cNvPr>
        <xdr:cNvSpPr>
          <a:spLocks noChangeShapeType="1"/>
        </xdr:cNvSpPr>
      </xdr:nvSpPr>
      <xdr:spPr bwMode="auto">
        <a:xfrm>
          <a:off x="2800350" y="0"/>
          <a:ext cx="3390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190500</xdr:colOff>
      <xdr:row>0</xdr:row>
      <xdr:rowOff>0</xdr:rowOff>
    </xdr:from>
    <xdr:to>
      <xdr:col>4</xdr:col>
      <xdr:colOff>571500</xdr:colOff>
      <xdr:row>0</xdr:row>
      <xdr:rowOff>0</xdr:rowOff>
    </xdr:to>
    <xdr:sp macro="" textlink="">
      <xdr:nvSpPr>
        <xdr:cNvPr id="4373459" name="Line 64">
          <a:extLst>
            <a:ext uri="{FF2B5EF4-FFF2-40B4-BE49-F238E27FC236}">
              <a16:creationId xmlns="" xmlns:a16="http://schemas.microsoft.com/office/drawing/2014/main" id="{00000000-0008-0000-1800-0000D3BB4200}"/>
            </a:ext>
          </a:extLst>
        </xdr:cNvPr>
        <xdr:cNvSpPr>
          <a:spLocks noChangeShapeType="1"/>
        </xdr:cNvSpPr>
      </xdr:nvSpPr>
      <xdr:spPr bwMode="auto">
        <a:xfrm>
          <a:off x="2819400" y="0"/>
          <a:ext cx="3400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73460" name="Line 65">
          <a:extLst>
            <a:ext uri="{FF2B5EF4-FFF2-40B4-BE49-F238E27FC236}">
              <a16:creationId xmlns="" xmlns:a16="http://schemas.microsoft.com/office/drawing/2014/main" id="{00000000-0008-0000-1800-0000D4BB42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876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4</xdr:col>
      <xdr:colOff>676275</xdr:colOff>
      <xdr:row>0</xdr:row>
      <xdr:rowOff>0</xdr:rowOff>
    </xdr:to>
    <xdr:sp macro="" textlink="">
      <xdr:nvSpPr>
        <xdr:cNvPr id="4373461" name="Line 66">
          <a:extLst>
            <a:ext uri="{FF2B5EF4-FFF2-40B4-BE49-F238E27FC236}">
              <a16:creationId xmlns="" xmlns:a16="http://schemas.microsoft.com/office/drawing/2014/main" id="{00000000-0008-0000-1800-0000D5BB42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219075</xdr:colOff>
      <xdr:row>0</xdr:row>
      <xdr:rowOff>0</xdr:rowOff>
    </xdr:from>
    <xdr:to>
      <xdr:col>2</xdr:col>
      <xdr:colOff>219075</xdr:colOff>
      <xdr:row>0</xdr:row>
      <xdr:rowOff>0</xdr:rowOff>
    </xdr:to>
    <xdr:sp macro="" textlink="">
      <xdr:nvSpPr>
        <xdr:cNvPr id="4373462" name="Line 67">
          <a:extLst>
            <a:ext uri="{FF2B5EF4-FFF2-40B4-BE49-F238E27FC236}">
              <a16:creationId xmlns="" xmlns:a16="http://schemas.microsoft.com/office/drawing/2014/main" id="{00000000-0008-0000-1800-0000D6BB4200}"/>
            </a:ext>
          </a:extLst>
        </xdr:cNvPr>
        <xdr:cNvSpPr>
          <a:spLocks noChangeShapeType="1"/>
        </xdr:cNvSpPr>
      </xdr:nvSpPr>
      <xdr:spPr bwMode="auto">
        <a:xfrm>
          <a:off x="28479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266700</xdr:colOff>
      <xdr:row>0</xdr:row>
      <xdr:rowOff>0</xdr:rowOff>
    </xdr:from>
    <xdr:to>
      <xdr:col>2</xdr:col>
      <xdr:colOff>266700</xdr:colOff>
      <xdr:row>0</xdr:row>
      <xdr:rowOff>0</xdr:rowOff>
    </xdr:to>
    <xdr:sp macro="" textlink="">
      <xdr:nvSpPr>
        <xdr:cNvPr id="4373463" name="Line 68">
          <a:extLst>
            <a:ext uri="{FF2B5EF4-FFF2-40B4-BE49-F238E27FC236}">
              <a16:creationId xmlns="" xmlns:a16="http://schemas.microsoft.com/office/drawing/2014/main" id="{00000000-0008-0000-1800-0000D7BB4200}"/>
            </a:ext>
          </a:extLst>
        </xdr:cNvPr>
        <xdr:cNvSpPr>
          <a:spLocks noChangeShapeType="1"/>
        </xdr:cNvSpPr>
      </xdr:nvSpPr>
      <xdr:spPr bwMode="auto">
        <a:xfrm>
          <a:off x="2895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333375</xdr:colOff>
      <xdr:row>0</xdr:row>
      <xdr:rowOff>0</xdr:rowOff>
    </xdr:from>
    <xdr:to>
      <xdr:col>2</xdr:col>
      <xdr:colOff>333375</xdr:colOff>
      <xdr:row>0</xdr:row>
      <xdr:rowOff>0</xdr:rowOff>
    </xdr:to>
    <xdr:sp macro="" textlink="">
      <xdr:nvSpPr>
        <xdr:cNvPr id="4373464" name="Line 69">
          <a:extLst>
            <a:ext uri="{FF2B5EF4-FFF2-40B4-BE49-F238E27FC236}">
              <a16:creationId xmlns="" xmlns:a16="http://schemas.microsoft.com/office/drawing/2014/main" id="{00000000-0008-0000-1800-0000D8BB4200}"/>
            </a:ext>
          </a:extLst>
        </xdr:cNvPr>
        <xdr:cNvSpPr>
          <a:spLocks noChangeShapeType="1"/>
        </xdr:cNvSpPr>
      </xdr:nvSpPr>
      <xdr:spPr bwMode="auto">
        <a:xfrm>
          <a:off x="29622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0</xdr:row>
      <xdr:rowOff>0</xdr:rowOff>
    </xdr:from>
    <xdr:to>
      <xdr:col>2</xdr:col>
      <xdr:colOff>390525</xdr:colOff>
      <xdr:row>0</xdr:row>
      <xdr:rowOff>0</xdr:rowOff>
    </xdr:to>
    <xdr:sp macro="" textlink="">
      <xdr:nvSpPr>
        <xdr:cNvPr id="4373465" name="Line 70">
          <a:extLst>
            <a:ext uri="{FF2B5EF4-FFF2-40B4-BE49-F238E27FC236}">
              <a16:creationId xmlns="" xmlns:a16="http://schemas.microsoft.com/office/drawing/2014/main" id="{00000000-0008-0000-1800-0000D9BB4200}"/>
            </a:ext>
          </a:extLst>
        </xdr:cNvPr>
        <xdr:cNvSpPr>
          <a:spLocks noChangeShapeType="1"/>
        </xdr:cNvSpPr>
      </xdr:nvSpPr>
      <xdr:spPr bwMode="auto">
        <a:xfrm>
          <a:off x="3019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447675</xdr:colOff>
      <xdr:row>0</xdr:row>
      <xdr:rowOff>0</xdr:rowOff>
    </xdr:to>
    <xdr:sp macro="" textlink="">
      <xdr:nvSpPr>
        <xdr:cNvPr id="4373466" name="Line 71">
          <a:extLst>
            <a:ext uri="{FF2B5EF4-FFF2-40B4-BE49-F238E27FC236}">
              <a16:creationId xmlns="" xmlns:a16="http://schemas.microsoft.com/office/drawing/2014/main" id="{00000000-0008-0000-1800-0000DABB42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4373467" name="Line 72">
          <a:extLst>
            <a:ext uri="{FF2B5EF4-FFF2-40B4-BE49-F238E27FC236}">
              <a16:creationId xmlns="" xmlns:a16="http://schemas.microsoft.com/office/drawing/2014/main" id="{00000000-0008-0000-1800-0000DBBB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314325</xdr:colOff>
      <xdr:row>0</xdr:row>
      <xdr:rowOff>0</xdr:rowOff>
    </xdr:to>
    <xdr:sp macro="" textlink="">
      <xdr:nvSpPr>
        <xdr:cNvPr id="4373468" name="Line 73">
          <a:extLst>
            <a:ext uri="{FF2B5EF4-FFF2-40B4-BE49-F238E27FC236}">
              <a16:creationId xmlns="" xmlns:a16="http://schemas.microsoft.com/office/drawing/2014/main" id="{00000000-0008-0000-1800-0000DCBB42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657225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73469" name="Line 74">
          <a:extLst>
            <a:ext uri="{FF2B5EF4-FFF2-40B4-BE49-F238E27FC236}">
              <a16:creationId xmlns="" xmlns:a16="http://schemas.microsoft.com/office/drawing/2014/main" id="{00000000-0008-0000-1800-0000DDBB42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266700</xdr:colOff>
      <xdr:row>0</xdr:row>
      <xdr:rowOff>0</xdr:rowOff>
    </xdr:from>
    <xdr:to>
      <xdr:col>11</xdr:col>
      <xdr:colOff>352425</xdr:colOff>
      <xdr:row>0</xdr:row>
      <xdr:rowOff>0</xdr:rowOff>
    </xdr:to>
    <xdr:sp macro="" textlink="">
      <xdr:nvSpPr>
        <xdr:cNvPr id="4373470" name="Text Box 75">
          <a:extLst>
            <a:ext uri="{FF2B5EF4-FFF2-40B4-BE49-F238E27FC236}">
              <a16:creationId xmlns="" xmlns:a16="http://schemas.microsoft.com/office/drawing/2014/main" id="{00000000-0008-0000-1800-0000DEBB4200}"/>
            </a:ext>
          </a:extLst>
        </xdr:cNvPr>
        <xdr:cNvSpPr txBox="1">
          <a:spLocks noChangeArrowheads="1"/>
        </xdr:cNvSpPr>
      </xdr:nvSpPr>
      <xdr:spPr bwMode="auto">
        <a:xfrm>
          <a:off x="11182350" y="0"/>
          <a:ext cx="7048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209550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4373471" name="Line 76">
          <a:extLst>
            <a:ext uri="{FF2B5EF4-FFF2-40B4-BE49-F238E27FC236}">
              <a16:creationId xmlns="" xmlns:a16="http://schemas.microsoft.com/office/drawing/2014/main" id="{00000000-0008-0000-1800-0000DFBB4200}"/>
            </a:ext>
          </a:extLst>
        </xdr:cNvPr>
        <xdr:cNvSpPr>
          <a:spLocks noChangeShapeType="1"/>
        </xdr:cNvSpPr>
      </xdr:nvSpPr>
      <xdr:spPr bwMode="auto">
        <a:xfrm flipV="1">
          <a:off x="7267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819150</xdr:colOff>
      <xdr:row>0</xdr:row>
      <xdr:rowOff>0</xdr:rowOff>
    </xdr:to>
    <xdr:sp macro="" textlink="">
      <xdr:nvSpPr>
        <xdr:cNvPr id="4373472" name="Line 77">
          <a:extLst>
            <a:ext uri="{FF2B5EF4-FFF2-40B4-BE49-F238E27FC236}">
              <a16:creationId xmlns="" xmlns:a16="http://schemas.microsoft.com/office/drawing/2014/main" id="{00000000-0008-0000-1800-0000E0BB4200}"/>
            </a:ext>
          </a:extLst>
        </xdr:cNvPr>
        <xdr:cNvSpPr>
          <a:spLocks noChangeShapeType="1"/>
        </xdr:cNvSpPr>
      </xdr:nvSpPr>
      <xdr:spPr bwMode="auto">
        <a:xfrm>
          <a:off x="7553325" y="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114300</xdr:colOff>
      <xdr:row>0</xdr:row>
      <xdr:rowOff>0</xdr:rowOff>
    </xdr:from>
    <xdr:to>
      <xdr:col>5</xdr:col>
      <xdr:colOff>323850</xdr:colOff>
      <xdr:row>0</xdr:row>
      <xdr:rowOff>0</xdr:rowOff>
    </xdr:to>
    <xdr:sp macro="" textlink="">
      <xdr:nvSpPr>
        <xdr:cNvPr id="4373473" name="Line 78">
          <a:extLst>
            <a:ext uri="{FF2B5EF4-FFF2-40B4-BE49-F238E27FC236}">
              <a16:creationId xmlns="" xmlns:a16="http://schemas.microsoft.com/office/drawing/2014/main" id="{00000000-0008-0000-1800-0000E1BB4200}"/>
            </a:ext>
          </a:extLst>
        </xdr:cNvPr>
        <xdr:cNvSpPr>
          <a:spLocks noChangeShapeType="1"/>
        </xdr:cNvSpPr>
      </xdr:nvSpPr>
      <xdr:spPr bwMode="auto">
        <a:xfrm>
          <a:off x="7172325" y="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3474" name="Rectangle 79">
          <a:extLst>
            <a:ext uri="{FF2B5EF4-FFF2-40B4-BE49-F238E27FC236}">
              <a16:creationId xmlns="" xmlns:a16="http://schemas.microsoft.com/office/drawing/2014/main" id="{00000000-0008-0000-1800-0000E2BB4200}"/>
            </a:ext>
          </a:extLst>
        </xdr:cNvPr>
        <xdr:cNvSpPr>
          <a:spLocks noChangeArrowheads="1"/>
        </xdr:cNvSpPr>
      </xdr:nvSpPr>
      <xdr:spPr bwMode="auto">
        <a:xfrm>
          <a:off x="16573500" y="0"/>
          <a:ext cx="325755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73475" name="Line 80">
          <a:extLst>
            <a:ext uri="{FF2B5EF4-FFF2-40B4-BE49-F238E27FC236}">
              <a16:creationId xmlns="" xmlns:a16="http://schemas.microsoft.com/office/drawing/2014/main" id="{00000000-0008-0000-1800-0000E3BB4200}"/>
            </a:ext>
          </a:extLst>
        </xdr:cNvPr>
        <xdr:cNvSpPr>
          <a:spLocks noChangeShapeType="1"/>
        </xdr:cNvSpPr>
      </xdr:nvSpPr>
      <xdr:spPr bwMode="auto">
        <a:xfrm flipV="1">
          <a:off x="16725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3476" name="Line 81">
          <a:extLst>
            <a:ext uri="{FF2B5EF4-FFF2-40B4-BE49-F238E27FC236}">
              <a16:creationId xmlns="" xmlns:a16="http://schemas.microsoft.com/office/drawing/2014/main" id="{00000000-0008-0000-1800-0000E4BB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73477" name="Line 82">
          <a:extLst>
            <a:ext uri="{FF2B5EF4-FFF2-40B4-BE49-F238E27FC236}">
              <a16:creationId xmlns="" xmlns:a16="http://schemas.microsoft.com/office/drawing/2014/main" id="{00000000-0008-0000-1800-0000E5BB4200}"/>
            </a:ext>
          </a:extLst>
        </xdr:cNvPr>
        <xdr:cNvSpPr>
          <a:spLocks noChangeShapeType="1"/>
        </xdr:cNvSpPr>
      </xdr:nvSpPr>
      <xdr:spPr bwMode="auto">
        <a:xfrm flipV="1">
          <a:off x="16725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3478" name="Line 83">
          <a:extLst>
            <a:ext uri="{FF2B5EF4-FFF2-40B4-BE49-F238E27FC236}">
              <a16:creationId xmlns="" xmlns:a16="http://schemas.microsoft.com/office/drawing/2014/main" id="{00000000-0008-0000-1800-0000E6BB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19050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3479" name="Line 84">
          <a:extLst>
            <a:ext uri="{FF2B5EF4-FFF2-40B4-BE49-F238E27FC236}">
              <a16:creationId xmlns="" xmlns:a16="http://schemas.microsoft.com/office/drawing/2014/main" id="{00000000-0008-0000-1800-0000E7BB4200}"/>
            </a:ext>
          </a:extLst>
        </xdr:cNvPr>
        <xdr:cNvSpPr>
          <a:spLocks noChangeShapeType="1"/>
        </xdr:cNvSpPr>
      </xdr:nvSpPr>
      <xdr:spPr bwMode="auto">
        <a:xfrm>
          <a:off x="16744950" y="0"/>
          <a:ext cx="3086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609600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3480" name="Line 85">
          <a:extLst>
            <a:ext uri="{FF2B5EF4-FFF2-40B4-BE49-F238E27FC236}">
              <a16:creationId xmlns="" xmlns:a16="http://schemas.microsoft.com/office/drawing/2014/main" id="{00000000-0008-0000-1800-0000E8BB4200}"/>
            </a:ext>
          </a:extLst>
        </xdr:cNvPr>
        <xdr:cNvSpPr>
          <a:spLocks noChangeShapeType="1"/>
        </xdr:cNvSpPr>
      </xdr:nvSpPr>
      <xdr:spPr bwMode="auto">
        <a:xfrm>
          <a:off x="16592550" y="0"/>
          <a:ext cx="3238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628650</xdr:colOff>
      <xdr:row>0</xdr:row>
      <xdr:rowOff>0</xdr:rowOff>
    </xdr:from>
    <xdr:to>
      <xdr:col>17</xdr:col>
      <xdr:colOff>628650</xdr:colOff>
      <xdr:row>0</xdr:row>
      <xdr:rowOff>0</xdr:rowOff>
    </xdr:to>
    <xdr:sp macro="" textlink="">
      <xdr:nvSpPr>
        <xdr:cNvPr id="4373481" name="Line 86">
          <a:extLst>
            <a:ext uri="{FF2B5EF4-FFF2-40B4-BE49-F238E27FC236}">
              <a16:creationId xmlns="" xmlns:a16="http://schemas.microsoft.com/office/drawing/2014/main" id="{00000000-0008-0000-1800-0000E9BB4200}"/>
            </a:ext>
          </a:extLst>
        </xdr:cNvPr>
        <xdr:cNvSpPr>
          <a:spLocks noChangeShapeType="1"/>
        </xdr:cNvSpPr>
      </xdr:nvSpPr>
      <xdr:spPr bwMode="auto">
        <a:xfrm flipV="1">
          <a:off x="16611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3482" name="Line 87">
          <a:extLst>
            <a:ext uri="{FF2B5EF4-FFF2-40B4-BE49-F238E27FC236}">
              <a16:creationId xmlns="" xmlns:a16="http://schemas.microsoft.com/office/drawing/2014/main" id="{00000000-0008-0000-1800-0000EABB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38100</xdr:colOff>
      <xdr:row>0</xdr:row>
      <xdr:rowOff>0</xdr:rowOff>
    </xdr:to>
    <xdr:sp macro="" textlink="">
      <xdr:nvSpPr>
        <xdr:cNvPr id="4373483" name="Rectangle 88">
          <a:extLst>
            <a:ext uri="{FF2B5EF4-FFF2-40B4-BE49-F238E27FC236}">
              <a16:creationId xmlns="" xmlns:a16="http://schemas.microsoft.com/office/drawing/2014/main" id="{00000000-0008-0000-1800-0000EBBB4200}"/>
            </a:ext>
          </a:extLst>
        </xdr:cNvPr>
        <xdr:cNvSpPr>
          <a:spLocks noChangeArrowheads="1"/>
        </xdr:cNvSpPr>
      </xdr:nvSpPr>
      <xdr:spPr bwMode="auto">
        <a:xfrm>
          <a:off x="19831050" y="0"/>
          <a:ext cx="14097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3484" name="Line 89">
          <a:extLst>
            <a:ext uri="{FF2B5EF4-FFF2-40B4-BE49-F238E27FC236}">
              <a16:creationId xmlns="" xmlns:a16="http://schemas.microsoft.com/office/drawing/2014/main" id="{00000000-0008-0000-1800-0000ECBB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0</xdr:colOff>
      <xdr:row>0</xdr:row>
      <xdr:rowOff>0</xdr:rowOff>
    </xdr:to>
    <xdr:sp macro="" textlink="">
      <xdr:nvSpPr>
        <xdr:cNvPr id="4373485" name="Line 90">
          <a:extLst>
            <a:ext uri="{FF2B5EF4-FFF2-40B4-BE49-F238E27FC236}">
              <a16:creationId xmlns="" xmlns:a16="http://schemas.microsoft.com/office/drawing/2014/main" id="{00000000-0008-0000-1800-0000EDBB4200}"/>
            </a:ext>
          </a:extLst>
        </xdr:cNvPr>
        <xdr:cNvSpPr>
          <a:spLocks noChangeShapeType="1"/>
        </xdr:cNvSpPr>
      </xdr:nvSpPr>
      <xdr:spPr bwMode="auto">
        <a:xfrm>
          <a:off x="19831050" y="0"/>
          <a:ext cx="1371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24</xdr:col>
      <xdr:colOff>19050</xdr:colOff>
      <xdr:row>0</xdr:row>
      <xdr:rowOff>0</xdr:rowOff>
    </xdr:from>
    <xdr:to>
      <xdr:col>24</xdr:col>
      <xdr:colOff>19050</xdr:colOff>
      <xdr:row>0</xdr:row>
      <xdr:rowOff>0</xdr:rowOff>
    </xdr:to>
    <xdr:sp macro="" textlink="">
      <xdr:nvSpPr>
        <xdr:cNvPr id="4373486" name="Line 91">
          <a:extLst>
            <a:ext uri="{FF2B5EF4-FFF2-40B4-BE49-F238E27FC236}">
              <a16:creationId xmlns="" xmlns:a16="http://schemas.microsoft.com/office/drawing/2014/main" id="{00000000-0008-0000-1800-0000EEBB4200}"/>
            </a:ext>
          </a:extLst>
        </xdr:cNvPr>
        <xdr:cNvSpPr>
          <a:spLocks noChangeShapeType="1"/>
        </xdr:cNvSpPr>
      </xdr:nvSpPr>
      <xdr:spPr bwMode="auto">
        <a:xfrm>
          <a:off x="21221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400050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73487" name="Line 92">
          <a:extLst>
            <a:ext uri="{FF2B5EF4-FFF2-40B4-BE49-F238E27FC236}">
              <a16:creationId xmlns="" xmlns:a16="http://schemas.microsoft.com/office/drawing/2014/main" id="{00000000-0008-0000-1800-0000EFBB4200}"/>
            </a:ext>
          </a:extLst>
        </xdr:cNvPr>
        <xdr:cNvSpPr>
          <a:spLocks noChangeShapeType="1"/>
        </xdr:cNvSpPr>
      </xdr:nvSpPr>
      <xdr:spPr bwMode="auto">
        <a:xfrm flipH="1" flipV="1">
          <a:off x="13725525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14</xdr:col>
      <xdr:colOff>781050</xdr:colOff>
      <xdr:row>0</xdr:row>
      <xdr:rowOff>0</xdr:rowOff>
    </xdr:to>
    <xdr:sp macro="" textlink="">
      <xdr:nvSpPr>
        <xdr:cNvPr id="4373488" name="Line 93">
          <a:extLst>
            <a:ext uri="{FF2B5EF4-FFF2-40B4-BE49-F238E27FC236}">
              <a16:creationId xmlns="" xmlns:a16="http://schemas.microsoft.com/office/drawing/2014/main" id="{00000000-0008-0000-1800-0000F0BB4200}"/>
            </a:ext>
          </a:extLst>
        </xdr:cNvPr>
        <xdr:cNvSpPr>
          <a:spLocks noChangeShapeType="1"/>
        </xdr:cNvSpPr>
      </xdr:nvSpPr>
      <xdr:spPr bwMode="auto">
        <a:xfrm flipH="1">
          <a:off x="9867900" y="0"/>
          <a:ext cx="4238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4</xdr:col>
      <xdr:colOff>704850</xdr:colOff>
      <xdr:row>0</xdr:row>
      <xdr:rowOff>0</xdr:rowOff>
    </xdr:to>
    <xdr:sp macro="" textlink="">
      <xdr:nvSpPr>
        <xdr:cNvPr id="4373489" name="Line 94">
          <a:extLst>
            <a:ext uri="{FF2B5EF4-FFF2-40B4-BE49-F238E27FC236}">
              <a16:creationId xmlns="" xmlns:a16="http://schemas.microsoft.com/office/drawing/2014/main" id="{00000000-0008-0000-1800-0000F1BB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3571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73490" name="Line 95">
          <a:extLst>
            <a:ext uri="{FF2B5EF4-FFF2-40B4-BE49-F238E27FC236}">
              <a16:creationId xmlns="" xmlns:a16="http://schemas.microsoft.com/office/drawing/2014/main" id="{00000000-0008-0000-1800-0000F2BB4200}"/>
            </a:ext>
          </a:extLst>
        </xdr:cNvPr>
        <xdr:cNvSpPr>
          <a:spLocks noChangeShapeType="1"/>
        </xdr:cNvSpPr>
      </xdr:nvSpPr>
      <xdr:spPr bwMode="auto">
        <a:xfrm>
          <a:off x="116681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247650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73491" name="Line 96">
          <a:extLst>
            <a:ext uri="{FF2B5EF4-FFF2-40B4-BE49-F238E27FC236}">
              <a16:creationId xmlns="" xmlns:a16="http://schemas.microsoft.com/office/drawing/2014/main" id="{00000000-0008-0000-1800-0000F3BB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1047750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73492" name="Line 97">
          <a:extLst>
            <a:ext uri="{FF2B5EF4-FFF2-40B4-BE49-F238E27FC236}">
              <a16:creationId xmlns="" xmlns:a16="http://schemas.microsoft.com/office/drawing/2014/main" id="{00000000-0008-0000-1800-0000F4BB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571500</xdr:colOff>
      <xdr:row>0</xdr:row>
      <xdr:rowOff>0</xdr:rowOff>
    </xdr:from>
    <xdr:to>
      <xdr:col>13</xdr:col>
      <xdr:colOff>571500</xdr:colOff>
      <xdr:row>0</xdr:row>
      <xdr:rowOff>0</xdr:rowOff>
    </xdr:to>
    <xdr:sp macro="" textlink="">
      <xdr:nvSpPr>
        <xdr:cNvPr id="4373493" name="Line 98">
          <a:extLst>
            <a:ext uri="{FF2B5EF4-FFF2-40B4-BE49-F238E27FC236}">
              <a16:creationId xmlns="" xmlns:a16="http://schemas.microsoft.com/office/drawing/2014/main" id="{00000000-0008-0000-1800-0000F5BB4200}"/>
            </a:ext>
          </a:extLst>
        </xdr:cNvPr>
        <xdr:cNvSpPr>
          <a:spLocks noChangeShapeType="1"/>
        </xdr:cNvSpPr>
      </xdr:nvSpPr>
      <xdr:spPr bwMode="auto">
        <a:xfrm>
          <a:off x="12706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14</xdr:col>
      <xdr:colOff>457200</xdr:colOff>
      <xdr:row>0</xdr:row>
      <xdr:rowOff>0</xdr:rowOff>
    </xdr:to>
    <xdr:sp macro="" textlink="">
      <xdr:nvSpPr>
        <xdr:cNvPr id="4373494" name="Line 99">
          <a:extLst>
            <a:ext uri="{FF2B5EF4-FFF2-40B4-BE49-F238E27FC236}">
              <a16:creationId xmlns="" xmlns:a16="http://schemas.microsoft.com/office/drawing/2014/main" id="{00000000-0008-0000-1800-0000F6BB4200}"/>
            </a:ext>
          </a:extLst>
        </xdr:cNvPr>
        <xdr:cNvSpPr>
          <a:spLocks noChangeShapeType="1"/>
        </xdr:cNvSpPr>
      </xdr:nvSpPr>
      <xdr:spPr bwMode="auto">
        <a:xfrm>
          <a:off x="137826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323850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73495" name="Line 100">
          <a:extLst>
            <a:ext uri="{FF2B5EF4-FFF2-40B4-BE49-F238E27FC236}">
              <a16:creationId xmlns="" xmlns:a16="http://schemas.microsoft.com/office/drawing/2014/main" id="{00000000-0008-0000-1800-0000F7BB4200}"/>
            </a:ext>
          </a:extLst>
        </xdr:cNvPr>
        <xdr:cNvSpPr>
          <a:spLocks noChangeShapeType="1"/>
        </xdr:cNvSpPr>
      </xdr:nvSpPr>
      <xdr:spPr bwMode="auto">
        <a:xfrm flipH="1">
          <a:off x="9572625" y="0"/>
          <a:ext cx="2095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15</xdr:col>
      <xdr:colOff>161925</xdr:colOff>
      <xdr:row>0</xdr:row>
      <xdr:rowOff>0</xdr:rowOff>
    </xdr:to>
    <xdr:sp macro="" textlink="">
      <xdr:nvSpPr>
        <xdr:cNvPr id="4373496" name="Line 101">
          <a:extLst>
            <a:ext uri="{FF2B5EF4-FFF2-40B4-BE49-F238E27FC236}">
              <a16:creationId xmlns="" xmlns:a16="http://schemas.microsoft.com/office/drawing/2014/main" id="{00000000-0008-0000-1800-0000F8BB4200}"/>
            </a:ext>
          </a:extLst>
        </xdr:cNvPr>
        <xdr:cNvSpPr>
          <a:spLocks noChangeShapeType="1"/>
        </xdr:cNvSpPr>
      </xdr:nvSpPr>
      <xdr:spPr bwMode="auto">
        <a:xfrm>
          <a:off x="13782675" y="0"/>
          <a:ext cx="628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73497" name="Line 102">
          <a:extLst>
            <a:ext uri="{FF2B5EF4-FFF2-40B4-BE49-F238E27FC236}">
              <a16:creationId xmlns="" xmlns:a16="http://schemas.microsoft.com/office/drawing/2014/main" id="{00000000-0008-0000-1800-0000F9BB4200}"/>
            </a:ext>
          </a:extLst>
        </xdr:cNvPr>
        <xdr:cNvSpPr>
          <a:spLocks noChangeShapeType="1"/>
        </xdr:cNvSpPr>
      </xdr:nvSpPr>
      <xdr:spPr bwMode="auto">
        <a:xfrm flipV="1">
          <a:off x="12744450" y="0"/>
          <a:ext cx="165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1066800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73498" name="Line 103">
          <a:extLst>
            <a:ext uri="{FF2B5EF4-FFF2-40B4-BE49-F238E27FC236}">
              <a16:creationId xmlns="" xmlns:a16="http://schemas.microsoft.com/office/drawing/2014/main" id="{00000000-0008-0000-1800-0000FABB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266700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73499" name="Line 104">
          <a:extLst>
            <a:ext uri="{FF2B5EF4-FFF2-40B4-BE49-F238E27FC236}">
              <a16:creationId xmlns="" xmlns:a16="http://schemas.microsoft.com/office/drawing/2014/main" id="{00000000-0008-0000-1800-0000FBBB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73500" name="Line 105">
          <a:extLst>
            <a:ext uri="{FF2B5EF4-FFF2-40B4-BE49-F238E27FC236}">
              <a16:creationId xmlns="" xmlns:a16="http://schemas.microsoft.com/office/drawing/2014/main" id="{00000000-0008-0000-1800-0000FCBB4200}"/>
            </a:ext>
          </a:extLst>
        </xdr:cNvPr>
        <xdr:cNvSpPr>
          <a:spLocks noChangeShapeType="1"/>
        </xdr:cNvSpPr>
      </xdr:nvSpPr>
      <xdr:spPr bwMode="auto">
        <a:xfrm>
          <a:off x="1166812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495300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73501" name="Line 106">
          <a:extLst>
            <a:ext uri="{FF2B5EF4-FFF2-40B4-BE49-F238E27FC236}">
              <a16:creationId xmlns="" xmlns:a16="http://schemas.microsoft.com/office/drawing/2014/main" id="{00000000-0008-0000-1800-0000FDBB4200}"/>
            </a:ext>
          </a:extLst>
        </xdr:cNvPr>
        <xdr:cNvSpPr>
          <a:spLocks noChangeShapeType="1"/>
        </xdr:cNvSpPr>
      </xdr:nvSpPr>
      <xdr:spPr bwMode="auto">
        <a:xfrm flipH="1">
          <a:off x="9744075" y="0"/>
          <a:ext cx="2390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1028700</xdr:colOff>
      <xdr:row>0</xdr:row>
      <xdr:rowOff>0</xdr:rowOff>
    </xdr:to>
    <xdr:sp macro="" textlink="">
      <xdr:nvSpPr>
        <xdr:cNvPr id="4373502" name="Line 107">
          <a:extLst>
            <a:ext uri="{FF2B5EF4-FFF2-40B4-BE49-F238E27FC236}">
              <a16:creationId xmlns="" xmlns:a16="http://schemas.microsoft.com/office/drawing/2014/main" id="{00000000-0008-0000-1800-0000FEBB4200}"/>
            </a:ext>
          </a:extLst>
        </xdr:cNvPr>
        <xdr:cNvSpPr>
          <a:spLocks noChangeShapeType="1"/>
        </xdr:cNvSpPr>
      </xdr:nvSpPr>
      <xdr:spPr bwMode="auto">
        <a:xfrm flipH="1">
          <a:off x="9839325" y="0"/>
          <a:ext cx="2295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171450</xdr:colOff>
      <xdr:row>0</xdr:row>
      <xdr:rowOff>0</xdr:rowOff>
    </xdr:from>
    <xdr:to>
      <xdr:col>13</xdr:col>
      <xdr:colOff>552450</xdr:colOff>
      <xdr:row>0</xdr:row>
      <xdr:rowOff>0</xdr:rowOff>
    </xdr:to>
    <xdr:sp macro="" textlink="">
      <xdr:nvSpPr>
        <xdr:cNvPr id="4373503" name="Line 108">
          <a:extLst>
            <a:ext uri="{FF2B5EF4-FFF2-40B4-BE49-F238E27FC236}">
              <a16:creationId xmlns="" xmlns:a16="http://schemas.microsoft.com/office/drawing/2014/main" id="{00000000-0008-0000-1800-0000FFBB4200}"/>
            </a:ext>
          </a:extLst>
        </xdr:cNvPr>
        <xdr:cNvSpPr>
          <a:spLocks noChangeShapeType="1"/>
        </xdr:cNvSpPr>
      </xdr:nvSpPr>
      <xdr:spPr bwMode="auto">
        <a:xfrm flipH="1">
          <a:off x="11087100" y="0"/>
          <a:ext cx="1600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457200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401152" name="Line 109">
          <a:extLst>
            <a:ext uri="{FF2B5EF4-FFF2-40B4-BE49-F238E27FC236}">
              <a16:creationId xmlns="" xmlns:a16="http://schemas.microsoft.com/office/drawing/2014/main" id="{00000000-0008-0000-1800-000000284300}"/>
            </a:ext>
          </a:extLst>
        </xdr:cNvPr>
        <xdr:cNvSpPr>
          <a:spLocks noChangeShapeType="1"/>
        </xdr:cNvSpPr>
      </xdr:nvSpPr>
      <xdr:spPr bwMode="auto">
        <a:xfrm flipH="1">
          <a:off x="11372850" y="0"/>
          <a:ext cx="2371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1104900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401153" name="Line 110">
          <a:extLst>
            <a:ext uri="{FF2B5EF4-FFF2-40B4-BE49-F238E27FC236}">
              <a16:creationId xmlns="" xmlns:a16="http://schemas.microsoft.com/office/drawing/2014/main" id="{00000000-0008-0000-1800-000001284300}"/>
            </a:ext>
          </a:extLst>
        </xdr:cNvPr>
        <xdr:cNvSpPr>
          <a:spLocks noChangeShapeType="1"/>
        </xdr:cNvSpPr>
      </xdr:nvSpPr>
      <xdr:spPr bwMode="auto">
        <a:xfrm>
          <a:off x="1157287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1085850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401154" name="Line 111">
          <a:extLst>
            <a:ext uri="{FF2B5EF4-FFF2-40B4-BE49-F238E27FC236}">
              <a16:creationId xmlns="" xmlns:a16="http://schemas.microsoft.com/office/drawing/2014/main" id="{00000000-0008-0000-1800-000002284300}"/>
            </a:ext>
          </a:extLst>
        </xdr:cNvPr>
        <xdr:cNvSpPr>
          <a:spLocks noChangeShapeType="1"/>
        </xdr:cNvSpPr>
      </xdr:nvSpPr>
      <xdr:spPr bwMode="auto">
        <a:xfrm>
          <a:off x="1157287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123825</xdr:colOff>
      <xdr:row>0</xdr:row>
      <xdr:rowOff>0</xdr:rowOff>
    </xdr:from>
    <xdr:to>
      <xdr:col>21</xdr:col>
      <xdr:colOff>438150</xdr:colOff>
      <xdr:row>0</xdr:row>
      <xdr:rowOff>0</xdr:rowOff>
    </xdr:to>
    <xdr:sp macro="" textlink="">
      <xdr:nvSpPr>
        <xdr:cNvPr id="113" name="Text Box 112">
          <a:extLst>
            <a:ext uri="{FF2B5EF4-FFF2-40B4-BE49-F238E27FC236}">
              <a16:creationId xmlns="" xmlns:a16="http://schemas.microsoft.com/office/drawing/2014/main" id="{00000000-0008-0000-1800-000071000000}"/>
            </a:ext>
          </a:extLst>
        </xdr:cNvPr>
        <xdr:cNvSpPr txBox="1">
          <a:spLocks noChangeArrowheads="1"/>
        </xdr:cNvSpPr>
      </xdr:nvSpPr>
      <xdr:spPr bwMode="auto">
        <a:xfrm>
          <a:off x="19516725" y="0"/>
          <a:ext cx="3143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1°</a:t>
          </a:r>
        </a:p>
      </xdr:txBody>
    </xdr:sp>
    <xdr:clientData/>
  </xdr:twoCellAnchor>
  <xdr:twoCellAnchor>
    <xdr:from>
      <xdr:col>19</xdr:col>
      <xdr:colOff>1285875</xdr:colOff>
      <xdr:row>0</xdr:row>
      <xdr:rowOff>0</xdr:rowOff>
    </xdr:from>
    <xdr:to>
      <xdr:col>21</xdr:col>
      <xdr:colOff>333375</xdr:colOff>
      <xdr:row>0</xdr:row>
      <xdr:rowOff>0</xdr:rowOff>
    </xdr:to>
    <xdr:sp macro="" textlink="">
      <xdr:nvSpPr>
        <xdr:cNvPr id="114" name="Text Box 113">
          <a:extLst>
            <a:ext uri="{FF2B5EF4-FFF2-40B4-BE49-F238E27FC236}">
              <a16:creationId xmlns="" xmlns:a16="http://schemas.microsoft.com/office/drawing/2014/main" id="{00000000-0008-0000-1800-000072000000}"/>
            </a:ext>
          </a:extLst>
        </xdr:cNvPr>
        <xdr:cNvSpPr txBox="1">
          <a:spLocks noChangeArrowheads="1"/>
        </xdr:cNvSpPr>
      </xdr:nvSpPr>
      <xdr:spPr bwMode="auto">
        <a:xfrm>
          <a:off x="18630900" y="0"/>
          <a:ext cx="10953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3°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5" name="Text Box 114">
          <a:extLst>
            <a:ext uri="{FF2B5EF4-FFF2-40B4-BE49-F238E27FC236}">
              <a16:creationId xmlns="" xmlns:a16="http://schemas.microsoft.com/office/drawing/2014/main" id="{00000000-0008-0000-1800-000073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21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6" name="Text Box 115">
          <a:extLst>
            <a:ext uri="{FF2B5EF4-FFF2-40B4-BE49-F238E27FC236}">
              <a16:creationId xmlns="" xmlns:a16="http://schemas.microsoft.com/office/drawing/2014/main" id="{00000000-0008-0000-1800-000074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19</xdr:col>
      <xdr:colOff>819150</xdr:colOff>
      <xdr:row>0</xdr:row>
      <xdr:rowOff>0</xdr:rowOff>
    </xdr:from>
    <xdr:to>
      <xdr:col>19</xdr:col>
      <xdr:colOff>1000125</xdr:colOff>
      <xdr:row>0</xdr:row>
      <xdr:rowOff>0</xdr:rowOff>
    </xdr:to>
    <xdr:sp macro="" textlink="">
      <xdr:nvSpPr>
        <xdr:cNvPr id="117" name="Text Box 116">
          <a:extLst>
            <a:ext uri="{FF2B5EF4-FFF2-40B4-BE49-F238E27FC236}">
              <a16:creationId xmlns="" xmlns:a16="http://schemas.microsoft.com/office/drawing/2014/main" id="{00000000-0008-0000-1800-000075000000}"/>
            </a:ext>
          </a:extLst>
        </xdr:cNvPr>
        <xdr:cNvSpPr txBox="1">
          <a:spLocks noChangeArrowheads="1"/>
        </xdr:cNvSpPr>
      </xdr:nvSpPr>
      <xdr:spPr bwMode="auto">
        <a:xfrm>
          <a:off x="18183225" y="0"/>
          <a:ext cx="1809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5°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8" name="Text Box 117">
          <a:extLst>
            <a:ext uri="{FF2B5EF4-FFF2-40B4-BE49-F238E27FC236}">
              <a16:creationId xmlns="" xmlns:a16="http://schemas.microsoft.com/office/drawing/2014/main" id="{00000000-0008-0000-1800-000076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6°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1" i="0" strike="noStrike">
              <a:solidFill>
                <a:srgbClr val="000000"/>
              </a:solidFill>
              <a:latin typeface="Times New Roman"/>
              <a:cs typeface="Times New Roman"/>
            </a:rPr>
            <a:t>6</a:t>
          </a:r>
        </a:p>
      </xdr:txBody>
    </xdr:sp>
    <xdr:clientData/>
  </xdr:twoCellAnchor>
  <xdr:twoCellAnchor>
    <xdr:from>
      <xdr:col>14</xdr:col>
      <xdr:colOff>266700</xdr:colOff>
      <xdr:row>15</xdr:row>
      <xdr:rowOff>38100</xdr:rowOff>
    </xdr:from>
    <xdr:to>
      <xdr:col>15</xdr:col>
      <xdr:colOff>352425</xdr:colOff>
      <xdr:row>16</xdr:row>
      <xdr:rowOff>161925</xdr:rowOff>
    </xdr:to>
    <xdr:sp macro="" textlink="">
      <xdr:nvSpPr>
        <xdr:cNvPr id="4401161" name="Text Box 118">
          <a:extLst>
            <a:ext uri="{FF2B5EF4-FFF2-40B4-BE49-F238E27FC236}">
              <a16:creationId xmlns="" xmlns:a16="http://schemas.microsoft.com/office/drawing/2014/main" id="{00000000-0008-0000-1800-000009284300}"/>
            </a:ext>
          </a:extLst>
        </xdr:cNvPr>
        <xdr:cNvSpPr txBox="1">
          <a:spLocks noChangeArrowheads="1"/>
        </xdr:cNvSpPr>
      </xdr:nvSpPr>
      <xdr:spPr bwMode="auto">
        <a:xfrm>
          <a:off x="13592175" y="5638800"/>
          <a:ext cx="1009650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190500</xdr:colOff>
      <xdr:row>15</xdr:row>
      <xdr:rowOff>142875</xdr:rowOff>
    </xdr:from>
    <xdr:to>
      <xdr:col>4</xdr:col>
      <xdr:colOff>161925</xdr:colOff>
      <xdr:row>19</xdr:row>
      <xdr:rowOff>66675</xdr:rowOff>
    </xdr:to>
    <xdr:grpSp>
      <xdr:nvGrpSpPr>
        <xdr:cNvPr id="4401163" name="Group 120">
          <a:extLst>
            <a:ext uri="{FF2B5EF4-FFF2-40B4-BE49-F238E27FC236}">
              <a16:creationId xmlns="" xmlns:a16="http://schemas.microsoft.com/office/drawing/2014/main" id="{00000000-0008-0000-1800-00000B284300}"/>
            </a:ext>
          </a:extLst>
        </xdr:cNvPr>
        <xdr:cNvGrpSpPr>
          <a:grpSpLocks/>
        </xdr:cNvGrpSpPr>
      </xdr:nvGrpSpPr>
      <xdr:grpSpPr bwMode="auto">
        <a:xfrm>
          <a:off x="2833688" y="5738813"/>
          <a:ext cx="2995612" cy="1304925"/>
          <a:chOff x="358" y="540"/>
          <a:chExt cx="293" cy="139"/>
        </a:xfrm>
      </xdr:grpSpPr>
      <xdr:sp macro="" textlink="">
        <xdr:nvSpPr>
          <xdr:cNvPr id="4401193" name="Line 121">
            <a:extLst>
              <a:ext uri="{FF2B5EF4-FFF2-40B4-BE49-F238E27FC236}">
                <a16:creationId xmlns="" xmlns:a16="http://schemas.microsoft.com/office/drawing/2014/main" id="{00000000-0008-0000-1800-0000292843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401194" name="Group 122">
            <a:extLst>
              <a:ext uri="{FF2B5EF4-FFF2-40B4-BE49-F238E27FC236}">
                <a16:creationId xmlns="" xmlns:a16="http://schemas.microsoft.com/office/drawing/2014/main" id="{00000000-0008-0000-1800-00002A2843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401250" name="Line 123">
              <a:extLst>
                <a:ext uri="{FF2B5EF4-FFF2-40B4-BE49-F238E27FC236}">
                  <a16:creationId xmlns="" xmlns:a16="http://schemas.microsoft.com/office/drawing/2014/main" id="{00000000-0008-0000-1800-0000622843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401251" name="Line 124">
              <a:extLst>
                <a:ext uri="{FF2B5EF4-FFF2-40B4-BE49-F238E27FC236}">
                  <a16:creationId xmlns="" xmlns:a16="http://schemas.microsoft.com/office/drawing/2014/main" id="{00000000-0008-0000-1800-0000632843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401195" name="Line 125">
            <a:extLst>
              <a:ext uri="{FF2B5EF4-FFF2-40B4-BE49-F238E27FC236}">
                <a16:creationId xmlns="" xmlns:a16="http://schemas.microsoft.com/office/drawing/2014/main" id="{00000000-0008-0000-1800-00002B28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01196" name="Line 126">
            <a:extLst>
              <a:ext uri="{FF2B5EF4-FFF2-40B4-BE49-F238E27FC236}">
                <a16:creationId xmlns="" xmlns:a16="http://schemas.microsoft.com/office/drawing/2014/main" id="{00000000-0008-0000-1800-00002C28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1197" name="Line 127">
            <a:extLst>
              <a:ext uri="{FF2B5EF4-FFF2-40B4-BE49-F238E27FC236}">
                <a16:creationId xmlns="" xmlns:a16="http://schemas.microsoft.com/office/drawing/2014/main" id="{00000000-0008-0000-1800-00002D28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1198" name="Line 128">
            <a:extLst>
              <a:ext uri="{FF2B5EF4-FFF2-40B4-BE49-F238E27FC236}">
                <a16:creationId xmlns="" xmlns:a16="http://schemas.microsoft.com/office/drawing/2014/main" id="{00000000-0008-0000-1800-00002E2843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401199" name="Line 129">
            <a:extLst>
              <a:ext uri="{FF2B5EF4-FFF2-40B4-BE49-F238E27FC236}">
                <a16:creationId xmlns="" xmlns:a16="http://schemas.microsoft.com/office/drawing/2014/main" id="{00000000-0008-0000-1800-00002F2843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401200" name="Group 130">
            <a:extLst>
              <a:ext uri="{FF2B5EF4-FFF2-40B4-BE49-F238E27FC236}">
                <a16:creationId xmlns="" xmlns:a16="http://schemas.microsoft.com/office/drawing/2014/main" id="{00000000-0008-0000-1800-0000302843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401244" name="Line 131">
              <a:extLst>
                <a:ext uri="{FF2B5EF4-FFF2-40B4-BE49-F238E27FC236}">
                  <a16:creationId xmlns="" xmlns:a16="http://schemas.microsoft.com/office/drawing/2014/main" id="{00000000-0008-0000-1800-00005C28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401245" name="Group 132">
              <a:extLst>
                <a:ext uri="{FF2B5EF4-FFF2-40B4-BE49-F238E27FC236}">
                  <a16:creationId xmlns="" xmlns:a16="http://schemas.microsoft.com/office/drawing/2014/main" id="{00000000-0008-0000-1800-00005D28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401246" name="Line 133">
                <a:extLst>
                  <a:ext uri="{FF2B5EF4-FFF2-40B4-BE49-F238E27FC236}">
                    <a16:creationId xmlns="" xmlns:a16="http://schemas.microsoft.com/office/drawing/2014/main" id="{00000000-0008-0000-1800-00005E28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401247" name="Group 134">
                <a:extLst>
                  <a:ext uri="{FF2B5EF4-FFF2-40B4-BE49-F238E27FC236}">
                    <a16:creationId xmlns="" xmlns:a16="http://schemas.microsoft.com/office/drawing/2014/main" id="{00000000-0008-0000-1800-00005F28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401248" name="Line 135">
                  <a:extLst>
                    <a:ext uri="{FF2B5EF4-FFF2-40B4-BE49-F238E27FC236}">
                      <a16:creationId xmlns="" xmlns:a16="http://schemas.microsoft.com/office/drawing/2014/main" id="{00000000-0008-0000-1800-00006028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401249" name="Line 136">
                  <a:extLst>
                    <a:ext uri="{FF2B5EF4-FFF2-40B4-BE49-F238E27FC236}">
                      <a16:creationId xmlns="" xmlns:a16="http://schemas.microsoft.com/office/drawing/2014/main" id="{00000000-0008-0000-1800-00006128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401201" name="Group 137">
            <a:extLst>
              <a:ext uri="{FF2B5EF4-FFF2-40B4-BE49-F238E27FC236}">
                <a16:creationId xmlns="" xmlns:a16="http://schemas.microsoft.com/office/drawing/2014/main" id="{00000000-0008-0000-1800-0000312843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401238" name="Line 138">
              <a:extLst>
                <a:ext uri="{FF2B5EF4-FFF2-40B4-BE49-F238E27FC236}">
                  <a16:creationId xmlns="" xmlns:a16="http://schemas.microsoft.com/office/drawing/2014/main" id="{00000000-0008-0000-1800-00005628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401239" name="Group 139">
              <a:extLst>
                <a:ext uri="{FF2B5EF4-FFF2-40B4-BE49-F238E27FC236}">
                  <a16:creationId xmlns="" xmlns:a16="http://schemas.microsoft.com/office/drawing/2014/main" id="{00000000-0008-0000-1800-00005728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401240" name="Line 140">
                <a:extLst>
                  <a:ext uri="{FF2B5EF4-FFF2-40B4-BE49-F238E27FC236}">
                    <a16:creationId xmlns="" xmlns:a16="http://schemas.microsoft.com/office/drawing/2014/main" id="{00000000-0008-0000-1800-00005828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401241" name="Group 141">
                <a:extLst>
                  <a:ext uri="{FF2B5EF4-FFF2-40B4-BE49-F238E27FC236}">
                    <a16:creationId xmlns="" xmlns:a16="http://schemas.microsoft.com/office/drawing/2014/main" id="{00000000-0008-0000-1800-00005928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401242" name="Line 142">
                  <a:extLst>
                    <a:ext uri="{FF2B5EF4-FFF2-40B4-BE49-F238E27FC236}">
                      <a16:creationId xmlns="" xmlns:a16="http://schemas.microsoft.com/office/drawing/2014/main" id="{00000000-0008-0000-1800-00005A28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401243" name="Line 143">
                  <a:extLst>
                    <a:ext uri="{FF2B5EF4-FFF2-40B4-BE49-F238E27FC236}">
                      <a16:creationId xmlns="" xmlns:a16="http://schemas.microsoft.com/office/drawing/2014/main" id="{00000000-0008-0000-1800-00005B28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401202" name="Group 144">
            <a:extLst>
              <a:ext uri="{FF2B5EF4-FFF2-40B4-BE49-F238E27FC236}">
                <a16:creationId xmlns="" xmlns:a16="http://schemas.microsoft.com/office/drawing/2014/main" id="{00000000-0008-0000-1800-0000322843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401232" name="Line 145">
              <a:extLst>
                <a:ext uri="{FF2B5EF4-FFF2-40B4-BE49-F238E27FC236}">
                  <a16:creationId xmlns="" xmlns:a16="http://schemas.microsoft.com/office/drawing/2014/main" id="{00000000-0008-0000-1800-00005028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401233" name="Group 146">
              <a:extLst>
                <a:ext uri="{FF2B5EF4-FFF2-40B4-BE49-F238E27FC236}">
                  <a16:creationId xmlns="" xmlns:a16="http://schemas.microsoft.com/office/drawing/2014/main" id="{00000000-0008-0000-1800-00005128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401234" name="Line 147">
                <a:extLst>
                  <a:ext uri="{FF2B5EF4-FFF2-40B4-BE49-F238E27FC236}">
                    <a16:creationId xmlns="" xmlns:a16="http://schemas.microsoft.com/office/drawing/2014/main" id="{00000000-0008-0000-1800-00005228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401235" name="Group 148">
                <a:extLst>
                  <a:ext uri="{FF2B5EF4-FFF2-40B4-BE49-F238E27FC236}">
                    <a16:creationId xmlns="" xmlns:a16="http://schemas.microsoft.com/office/drawing/2014/main" id="{00000000-0008-0000-1800-00005328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401236" name="Line 149">
                  <a:extLst>
                    <a:ext uri="{FF2B5EF4-FFF2-40B4-BE49-F238E27FC236}">
                      <a16:creationId xmlns="" xmlns:a16="http://schemas.microsoft.com/office/drawing/2014/main" id="{00000000-0008-0000-1800-00005428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401237" name="Line 150">
                  <a:extLst>
                    <a:ext uri="{FF2B5EF4-FFF2-40B4-BE49-F238E27FC236}">
                      <a16:creationId xmlns="" xmlns:a16="http://schemas.microsoft.com/office/drawing/2014/main" id="{00000000-0008-0000-1800-00005528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401203" name="Group 151">
            <a:extLst>
              <a:ext uri="{FF2B5EF4-FFF2-40B4-BE49-F238E27FC236}">
                <a16:creationId xmlns="" xmlns:a16="http://schemas.microsoft.com/office/drawing/2014/main" id="{00000000-0008-0000-1800-0000332843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401226" name="Line 152">
              <a:extLst>
                <a:ext uri="{FF2B5EF4-FFF2-40B4-BE49-F238E27FC236}">
                  <a16:creationId xmlns="" xmlns:a16="http://schemas.microsoft.com/office/drawing/2014/main" id="{00000000-0008-0000-1800-00004A28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401227" name="Group 153">
              <a:extLst>
                <a:ext uri="{FF2B5EF4-FFF2-40B4-BE49-F238E27FC236}">
                  <a16:creationId xmlns="" xmlns:a16="http://schemas.microsoft.com/office/drawing/2014/main" id="{00000000-0008-0000-1800-00004B28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401228" name="Line 154">
                <a:extLst>
                  <a:ext uri="{FF2B5EF4-FFF2-40B4-BE49-F238E27FC236}">
                    <a16:creationId xmlns="" xmlns:a16="http://schemas.microsoft.com/office/drawing/2014/main" id="{00000000-0008-0000-1800-00004C28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401229" name="Group 155">
                <a:extLst>
                  <a:ext uri="{FF2B5EF4-FFF2-40B4-BE49-F238E27FC236}">
                    <a16:creationId xmlns="" xmlns:a16="http://schemas.microsoft.com/office/drawing/2014/main" id="{00000000-0008-0000-1800-00004D28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401230" name="Line 156">
                  <a:extLst>
                    <a:ext uri="{FF2B5EF4-FFF2-40B4-BE49-F238E27FC236}">
                      <a16:creationId xmlns="" xmlns:a16="http://schemas.microsoft.com/office/drawing/2014/main" id="{00000000-0008-0000-1800-00004E28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401231" name="Line 157">
                  <a:extLst>
                    <a:ext uri="{FF2B5EF4-FFF2-40B4-BE49-F238E27FC236}">
                      <a16:creationId xmlns="" xmlns:a16="http://schemas.microsoft.com/office/drawing/2014/main" id="{00000000-0008-0000-1800-00004F28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401204" name="Group 158">
            <a:extLst>
              <a:ext uri="{FF2B5EF4-FFF2-40B4-BE49-F238E27FC236}">
                <a16:creationId xmlns="" xmlns:a16="http://schemas.microsoft.com/office/drawing/2014/main" id="{00000000-0008-0000-1800-0000342843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401220" name="Line 159">
              <a:extLst>
                <a:ext uri="{FF2B5EF4-FFF2-40B4-BE49-F238E27FC236}">
                  <a16:creationId xmlns="" xmlns:a16="http://schemas.microsoft.com/office/drawing/2014/main" id="{00000000-0008-0000-1800-00004428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401221" name="Group 160">
              <a:extLst>
                <a:ext uri="{FF2B5EF4-FFF2-40B4-BE49-F238E27FC236}">
                  <a16:creationId xmlns="" xmlns:a16="http://schemas.microsoft.com/office/drawing/2014/main" id="{00000000-0008-0000-1800-00004528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401222" name="Line 161">
                <a:extLst>
                  <a:ext uri="{FF2B5EF4-FFF2-40B4-BE49-F238E27FC236}">
                    <a16:creationId xmlns="" xmlns:a16="http://schemas.microsoft.com/office/drawing/2014/main" id="{00000000-0008-0000-1800-00004628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401223" name="Group 162">
                <a:extLst>
                  <a:ext uri="{FF2B5EF4-FFF2-40B4-BE49-F238E27FC236}">
                    <a16:creationId xmlns="" xmlns:a16="http://schemas.microsoft.com/office/drawing/2014/main" id="{00000000-0008-0000-1800-00004728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401224" name="Line 163">
                  <a:extLst>
                    <a:ext uri="{FF2B5EF4-FFF2-40B4-BE49-F238E27FC236}">
                      <a16:creationId xmlns="" xmlns:a16="http://schemas.microsoft.com/office/drawing/2014/main" id="{00000000-0008-0000-1800-00004828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401225" name="Line 164">
                  <a:extLst>
                    <a:ext uri="{FF2B5EF4-FFF2-40B4-BE49-F238E27FC236}">
                      <a16:creationId xmlns="" xmlns:a16="http://schemas.microsoft.com/office/drawing/2014/main" id="{00000000-0008-0000-1800-00004928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401205" name="Group 165">
            <a:extLst>
              <a:ext uri="{FF2B5EF4-FFF2-40B4-BE49-F238E27FC236}">
                <a16:creationId xmlns="" xmlns:a16="http://schemas.microsoft.com/office/drawing/2014/main" id="{00000000-0008-0000-1800-0000352843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401214" name="Line 166">
              <a:extLst>
                <a:ext uri="{FF2B5EF4-FFF2-40B4-BE49-F238E27FC236}">
                  <a16:creationId xmlns="" xmlns:a16="http://schemas.microsoft.com/office/drawing/2014/main" id="{00000000-0008-0000-1800-00003E28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401215" name="Group 167">
              <a:extLst>
                <a:ext uri="{FF2B5EF4-FFF2-40B4-BE49-F238E27FC236}">
                  <a16:creationId xmlns="" xmlns:a16="http://schemas.microsoft.com/office/drawing/2014/main" id="{00000000-0008-0000-1800-00003F28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401216" name="Line 168">
                <a:extLst>
                  <a:ext uri="{FF2B5EF4-FFF2-40B4-BE49-F238E27FC236}">
                    <a16:creationId xmlns="" xmlns:a16="http://schemas.microsoft.com/office/drawing/2014/main" id="{00000000-0008-0000-1800-00004028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401217" name="Group 169">
                <a:extLst>
                  <a:ext uri="{FF2B5EF4-FFF2-40B4-BE49-F238E27FC236}">
                    <a16:creationId xmlns="" xmlns:a16="http://schemas.microsoft.com/office/drawing/2014/main" id="{00000000-0008-0000-1800-00004128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401218" name="Line 170">
                  <a:extLst>
                    <a:ext uri="{FF2B5EF4-FFF2-40B4-BE49-F238E27FC236}">
                      <a16:creationId xmlns="" xmlns:a16="http://schemas.microsoft.com/office/drawing/2014/main" id="{00000000-0008-0000-1800-00004228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401219" name="Line 171">
                  <a:extLst>
                    <a:ext uri="{FF2B5EF4-FFF2-40B4-BE49-F238E27FC236}">
                      <a16:creationId xmlns="" xmlns:a16="http://schemas.microsoft.com/office/drawing/2014/main" id="{00000000-0008-0000-1800-00004328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401206" name="Group 172">
            <a:extLst>
              <a:ext uri="{FF2B5EF4-FFF2-40B4-BE49-F238E27FC236}">
                <a16:creationId xmlns="" xmlns:a16="http://schemas.microsoft.com/office/drawing/2014/main" id="{00000000-0008-0000-1800-0000362843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401208" name="Line 173">
              <a:extLst>
                <a:ext uri="{FF2B5EF4-FFF2-40B4-BE49-F238E27FC236}">
                  <a16:creationId xmlns="" xmlns:a16="http://schemas.microsoft.com/office/drawing/2014/main" id="{00000000-0008-0000-1800-00003828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401209" name="Group 174">
              <a:extLst>
                <a:ext uri="{FF2B5EF4-FFF2-40B4-BE49-F238E27FC236}">
                  <a16:creationId xmlns="" xmlns:a16="http://schemas.microsoft.com/office/drawing/2014/main" id="{00000000-0008-0000-1800-00003928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401210" name="Line 175">
                <a:extLst>
                  <a:ext uri="{FF2B5EF4-FFF2-40B4-BE49-F238E27FC236}">
                    <a16:creationId xmlns="" xmlns:a16="http://schemas.microsoft.com/office/drawing/2014/main" id="{00000000-0008-0000-1800-00003A28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401211" name="Group 176">
                <a:extLst>
                  <a:ext uri="{FF2B5EF4-FFF2-40B4-BE49-F238E27FC236}">
                    <a16:creationId xmlns="" xmlns:a16="http://schemas.microsoft.com/office/drawing/2014/main" id="{00000000-0008-0000-1800-00003B28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401212" name="Line 177">
                  <a:extLst>
                    <a:ext uri="{FF2B5EF4-FFF2-40B4-BE49-F238E27FC236}">
                      <a16:creationId xmlns="" xmlns:a16="http://schemas.microsoft.com/office/drawing/2014/main" id="{00000000-0008-0000-1800-00003C28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401213" name="Line 178">
                  <a:extLst>
                    <a:ext uri="{FF2B5EF4-FFF2-40B4-BE49-F238E27FC236}">
                      <a16:creationId xmlns="" xmlns:a16="http://schemas.microsoft.com/office/drawing/2014/main" id="{00000000-0008-0000-1800-00003D28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401207" name="Line 179">
            <a:extLst>
              <a:ext uri="{FF2B5EF4-FFF2-40B4-BE49-F238E27FC236}">
                <a16:creationId xmlns="" xmlns:a16="http://schemas.microsoft.com/office/drawing/2014/main" id="{00000000-0008-0000-1800-0000372843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-3562350</xdr:colOff>
      <xdr:row>23</xdr:row>
      <xdr:rowOff>57150</xdr:rowOff>
    </xdr:from>
    <xdr:to>
      <xdr:col>0</xdr:col>
      <xdr:colOff>-3467100</xdr:colOff>
      <xdr:row>30</xdr:row>
      <xdr:rowOff>57150</xdr:rowOff>
    </xdr:to>
    <xdr:grpSp>
      <xdr:nvGrpSpPr>
        <xdr:cNvPr id="4401164" name="Group 193">
          <a:extLst>
            <a:ext uri="{FF2B5EF4-FFF2-40B4-BE49-F238E27FC236}">
              <a16:creationId xmlns="" xmlns:a16="http://schemas.microsoft.com/office/drawing/2014/main" id="{00000000-0008-0000-1800-00000C284300}"/>
            </a:ext>
          </a:extLst>
        </xdr:cNvPr>
        <xdr:cNvGrpSpPr>
          <a:grpSpLocks/>
        </xdr:cNvGrpSpPr>
      </xdr:nvGrpSpPr>
      <xdr:grpSpPr bwMode="auto">
        <a:xfrm>
          <a:off x="-3562350" y="7986713"/>
          <a:ext cx="95250" cy="2309812"/>
          <a:chOff x="842" y="438"/>
          <a:chExt cx="10" cy="147"/>
        </a:xfrm>
      </xdr:grpSpPr>
      <xdr:sp macro="" textlink="">
        <xdr:nvSpPr>
          <xdr:cNvPr id="4401191" name="Line 194">
            <a:extLst>
              <a:ext uri="{FF2B5EF4-FFF2-40B4-BE49-F238E27FC236}">
                <a16:creationId xmlns="" xmlns:a16="http://schemas.microsoft.com/office/drawing/2014/main" id="{00000000-0008-0000-1800-0000272843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1192" name="Line 195">
            <a:extLst>
              <a:ext uri="{FF2B5EF4-FFF2-40B4-BE49-F238E27FC236}">
                <a16:creationId xmlns="" xmlns:a16="http://schemas.microsoft.com/office/drawing/2014/main" id="{00000000-0008-0000-1800-0000282843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0</xdr:row>
      <xdr:rowOff>133350</xdr:rowOff>
    </xdr:from>
    <xdr:to>
      <xdr:col>21</xdr:col>
      <xdr:colOff>1314450</xdr:colOff>
      <xdr:row>2</xdr:row>
      <xdr:rowOff>28575</xdr:rowOff>
    </xdr:to>
    <xdr:sp macro="" textlink="">
      <xdr:nvSpPr>
        <xdr:cNvPr id="4343181" name="Rectangle 250">
          <a:extLst>
            <a:ext uri="{FF2B5EF4-FFF2-40B4-BE49-F238E27FC236}">
              <a16:creationId xmlns="" xmlns:a16="http://schemas.microsoft.com/office/drawing/2014/main" id="{00000000-0008-0000-1800-00008D454200}"/>
            </a:ext>
          </a:extLst>
        </xdr:cNvPr>
        <xdr:cNvSpPr>
          <a:spLocks noChangeArrowheads="1"/>
        </xdr:cNvSpPr>
      </xdr:nvSpPr>
      <xdr:spPr bwMode="auto">
        <a:xfrm>
          <a:off x="2324100" y="133350"/>
          <a:ext cx="17506950" cy="5524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  <xdr:txBody>
        <a:bodyPr/>
        <a:lstStyle/>
        <a:p>
          <a:endParaRPr lang="it-IT"/>
        </a:p>
      </xdr:txBody>
    </xdr:sp>
    <xdr:clientData/>
  </xdr:twoCellAnchor>
  <xdr:twoCellAnchor>
    <xdr:from>
      <xdr:col>1</xdr:col>
      <xdr:colOff>285750</xdr:colOff>
      <xdr:row>22</xdr:row>
      <xdr:rowOff>133350</xdr:rowOff>
    </xdr:from>
    <xdr:to>
      <xdr:col>10</xdr:col>
      <xdr:colOff>647700</xdr:colOff>
      <xdr:row>34</xdr:row>
      <xdr:rowOff>123825</xdr:rowOff>
    </xdr:to>
    <xdr:grpSp>
      <xdr:nvGrpSpPr>
        <xdr:cNvPr id="4401167" name="Gruppo 254">
          <a:extLst>
            <a:ext uri="{FF2B5EF4-FFF2-40B4-BE49-F238E27FC236}">
              <a16:creationId xmlns="" xmlns:a16="http://schemas.microsoft.com/office/drawing/2014/main" id="{00000000-0008-0000-1800-00000F284300}"/>
            </a:ext>
          </a:extLst>
        </xdr:cNvPr>
        <xdr:cNvGrpSpPr>
          <a:grpSpLocks/>
        </xdr:cNvGrpSpPr>
      </xdr:nvGrpSpPr>
      <xdr:grpSpPr bwMode="auto">
        <a:xfrm>
          <a:off x="2619375" y="7872413"/>
          <a:ext cx="8958263" cy="4300537"/>
          <a:chOff x="32032547" y="4916090"/>
          <a:chExt cx="6320731" cy="4069880"/>
        </a:xfrm>
      </xdr:grpSpPr>
      <xdr:sp macro="" textlink="">
        <xdr:nvSpPr>
          <xdr:cNvPr id="4401169" name="Line 181">
            <a:extLst>
              <a:ext uri="{FF2B5EF4-FFF2-40B4-BE49-F238E27FC236}">
                <a16:creationId xmlns="" xmlns:a16="http://schemas.microsoft.com/office/drawing/2014/main" id="{00000000-0008-0000-1800-00001128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039228" y="6007380"/>
            <a:ext cx="48107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401170" name="Line 182">
            <a:extLst>
              <a:ext uri="{FF2B5EF4-FFF2-40B4-BE49-F238E27FC236}">
                <a16:creationId xmlns="" xmlns:a16="http://schemas.microsoft.com/office/drawing/2014/main" id="{00000000-0008-0000-1800-000012284300}"/>
              </a:ext>
            </a:extLst>
          </xdr:cNvPr>
          <xdr:cNvSpPr>
            <a:spLocks noChangeShapeType="1"/>
          </xdr:cNvSpPr>
        </xdr:nvSpPr>
        <xdr:spPr bwMode="auto">
          <a:xfrm>
            <a:off x="32039228" y="5327889"/>
            <a:ext cx="0" cy="365808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1171" name="Line 183">
            <a:extLst>
              <a:ext uri="{FF2B5EF4-FFF2-40B4-BE49-F238E27FC236}">
                <a16:creationId xmlns="" xmlns:a16="http://schemas.microsoft.com/office/drawing/2014/main" id="{00000000-0008-0000-1800-000013284300}"/>
              </a:ext>
            </a:extLst>
          </xdr:cNvPr>
          <xdr:cNvSpPr>
            <a:spLocks noChangeShapeType="1"/>
          </xdr:cNvSpPr>
        </xdr:nvSpPr>
        <xdr:spPr bwMode="auto">
          <a:xfrm>
            <a:off x="32045909" y="6407627"/>
            <a:ext cx="13630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401172" name="Line 184">
            <a:extLst>
              <a:ext uri="{FF2B5EF4-FFF2-40B4-BE49-F238E27FC236}">
                <a16:creationId xmlns="" xmlns:a16="http://schemas.microsoft.com/office/drawing/2014/main" id="{00000000-0008-0000-1800-000014284300}"/>
              </a:ext>
            </a:extLst>
          </xdr:cNvPr>
          <xdr:cNvSpPr>
            <a:spLocks noChangeShapeType="1"/>
          </xdr:cNvSpPr>
        </xdr:nvSpPr>
        <xdr:spPr bwMode="auto">
          <a:xfrm>
            <a:off x="32039228" y="6863724"/>
            <a:ext cx="22316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401173" name="Line 185">
            <a:extLst>
              <a:ext uri="{FF2B5EF4-FFF2-40B4-BE49-F238E27FC236}">
                <a16:creationId xmlns="" xmlns:a16="http://schemas.microsoft.com/office/drawing/2014/main" id="{00000000-0008-0000-1800-00001528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45909" y="7254664"/>
            <a:ext cx="306014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401174" name="Line 186">
            <a:extLst>
              <a:ext uri="{FF2B5EF4-FFF2-40B4-BE49-F238E27FC236}">
                <a16:creationId xmlns="" xmlns:a16="http://schemas.microsoft.com/office/drawing/2014/main" id="{00000000-0008-0000-1800-000016284300}"/>
              </a:ext>
            </a:extLst>
          </xdr:cNvPr>
          <xdr:cNvSpPr>
            <a:spLocks noChangeShapeType="1"/>
          </xdr:cNvSpPr>
        </xdr:nvSpPr>
        <xdr:spPr bwMode="auto">
          <a:xfrm>
            <a:off x="32520299" y="4964873"/>
            <a:ext cx="0" cy="115420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1175" name="Line 187">
            <a:extLst>
              <a:ext uri="{FF2B5EF4-FFF2-40B4-BE49-F238E27FC236}">
                <a16:creationId xmlns="" xmlns:a16="http://schemas.microsoft.com/office/drawing/2014/main" id="{00000000-0008-0000-1800-000017284300}"/>
              </a:ext>
            </a:extLst>
          </xdr:cNvPr>
          <xdr:cNvSpPr>
            <a:spLocks noChangeShapeType="1"/>
          </xdr:cNvSpPr>
        </xdr:nvSpPr>
        <xdr:spPr bwMode="auto">
          <a:xfrm>
            <a:off x="32065954" y="5030029"/>
            <a:ext cx="414255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1176" name="Line 188">
            <a:extLst>
              <a:ext uri="{FF2B5EF4-FFF2-40B4-BE49-F238E27FC236}">
                <a16:creationId xmlns="" xmlns:a16="http://schemas.microsoft.com/office/drawing/2014/main" id="{00000000-0008-0000-1800-000018284300}"/>
              </a:ext>
            </a:extLst>
          </xdr:cNvPr>
          <xdr:cNvSpPr>
            <a:spLocks noChangeShapeType="1"/>
          </xdr:cNvSpPr>
        </xdr:nvSpPr>
        <xdr:spPr bwMode="auto">
          <a:xfrm>
            <a:off x="33408943" y="4955565"/>
            <a:ext cx="0" cy="149860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1177" name="Line 189">
            <a:extLst>
              <a:ext uri="{FF2B5EF4-FFF2-40B4-BE49-F238E27FC236}">
                <a16:creationId xmlns="" xmlns:a16="http://schemas.microsoft.com/office/drawing/2014/main" id="{00000000-0008-0000-1800-000019284300}"/>
              </a:ext>
            </a:extLst>
          </xdr:cNvPr>
          <xdr:cNvSpPr>
            <a:spLocks noChangeShapeType="1"/>
          </xdr:cNvSpPr>
        </xdr:nvSpPr>
        <xdr:spPr bwMode="auto">
          <a:xfrm>
            <a:off x="32841012" y="5039338"/>
            <a:ext cx="88864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1178" name="Line 191">
            <a:extLst>
              <a:ext uri="{FF2B5EF4-FFF2-40B4-BE49-F238E27FC236}">
                <a16:creationId xmlns="" xmlns:a16="http://schemas.microsoft.com/office/drawing/2014/main" id="{00000000-0008-0000-1800-00001A284300}"/>
              </a:ext>
            </a:extLst>
          </xdr:cNvPr>
          <xdr:cNvSpPr>
            <a:spLocks noChangeShapeType="1"/>
          </xdr:cNvSpPr>
        </xdr:nvSpPr>
        <xdr:spPr bwMode="auto">
          <a:xfrm>
            <a:off x="34241720" y="5042775"/>
            <a:ext cx="0" cy="209917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1179" name="Rectangle 196">
            <a:extLst>
              <a:ext uri="{FF2B5EF4-FFF2-40B4-BE49-F238E27FC236}">
                <a16:creationId xmlns="" xmlns:a16="http://schemas.microsoft.com/office/drawing/2014/main" id="{00000000-0008-0000-1800-00001B284300}"/>
              </a:ext>
            </a:extLst>
          </xdr:cNvPr>
          <xdr:cNvSpPr>
            <a:spLocks noChangeArrowheads="1"/>
          </xdr:cNvSpPr>
        </xdr:nvSpPr>
        <xdr:spPr bwMode="auto">
          <a:xfrm>
            <a:off x="32039227" y="4918332"/>
            <a:ext cx="6314051" cy="363016"/>
          </a:xfrm>
          <a:prstGeom prst="rect">
            <a:avLst/>
          </a:prstGeom>
          <a:noFill/>
          <a:ln w="158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401180" name="Line 197">
            <a:extLst>
              <a:ext uri="{FF2B5EF4-FFF2-40B4-BE49-F238E27FC236}">
                <a16:creationId xmlns="" xmlns:a16="http://schemas.microsoft.com/office/drawing/2014/main" id="{00000000-0008-0000-1800-00001C284300}"/>
              </a:ext>
            </a:extLst>
          </xdr:cNvPr>
          <xdr:cNvSpPr>
            <a:spLocks noChangeShapeType="1"/>
          </xdr:cNvSpPr>
        </xdr:nvSpPr>
        <xdr:spPr bwMode="auto">
          <a:xfrm>
            <a:off x="38039246" y="4955565"/>
            <a:ext cx="0" cy="398386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1181" name="Line 199">
            <a:extLst>
              <a:ext uri="{FF2B5EF4-FFF2-40B4-BE49-F238E27FC236}">
                <a16:creationId xmlns="" xmlns:a16="http://schemas.microsoft.com/office/drawing/2014/main" id="{00000000-0008-0000-1800-00001D28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032547" y="8939429"/>
            <a:ext cx="600001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401182" name="Line 201">
            <a:extLst>
              <a:ext uri="{FF2B5EF4-FFF2-40B4-BE49-F238E27FC236}">
                <a16:creationId xmlns="" xmlns:a16="http://schemas.microsoft.com/office/drawing/2014/main" id="{00000000-0008-0000-1800-00001E28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5082562" y="5032371"/>
            <a:ext cx="0" cy="2362448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1183" name="Line 202">
            <a:extLst>
              <a:ext uri="{FF2B5EF4-FFF2-40B4-BE49-F238E27FC236}">
                <a16:creationId xmlns="" xmlns:a16="http://schemas.microsoft.com/office/drawing/2014/main" id="{00000000-0008-0000-1800-00001F28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7758028" y="5032371"/>
            <a:ext cx="8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1184" name="Line 203">
            <a:extLst>
              <a:ext uri="{FF2B5EF4-FFF2-40B4-BE49-F238E27FC236}">
                <a16:creationId xmlns="" xmlns:a16="http://schemas.microsoft.com/office/drawing/2014/main" id="{00000000-0008-0000-1800-00002028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7692145"/>
            <a:ext cx="388865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401185" name="Line 204">
            <a:extLst>
              <a:ext uri="{FF2B5EF4-FFF2-40B4-BE49-F238E27FC236}">
                <a16:creationId xmlns="" xmlns:a16="http://schemas.microsoft.com/office/drawing/2014/main" id="{00000000-0008-0000-1800-00002128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8148242"/>
            <a:ext cx="469711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401186" name="Line 205">
            <a:extLst>
              <a:ext uri="{FF2B5EF4-FFF2-40B4-BE49-F238E27FC236}">
                <a16:creationId xmlns="" xmlns:a16="http://schemas.microsoft.com/office/drawing/2014/main" id="{00000000-0008-0000-1800-00002228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8529873"/>
            <a:ext cx="5405362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401187" name="Line 207">
            <a:extLst>
              <a:ext uri="{FF2B5EF4-FFF2-40B4-BE49-F238E27FC236}">
                <a16:creationId xmlns="" xmlns:a16="http://schemas.microsoft.com/office/drawing/2014/main" id="{00000000-0008-0000-1800-000023284300}"/>
              </a:ext>
            </a:extLst>
          </xdr:cNvPr>
          <xdr:cNvSpPr>
            <a:spLocks noChangeShapeType="1"/>
          </xdr:cNvSpPr>
        </xdr:nvSpPr>
        <xdr:spPr bwMode="auto">
          <a:xfrm>
            <a:off x="35903589" y="4964873"/>
            <a:ext cx="0" cy="291533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1188" name="Line 210">
            <a:extLst>
              <a:ext uri="{FF2B5EF4-FFF2-40B4-BE49-F238E27FC236}">
                <a16:creationId xmlns="" xmlns:a16="http://schemas.microsoft.com/office/drawing/2014/main" id="{00000000-0008-0000-1800-000024284300}"/>
              </a:ext>
            </a:extLst>
          </xdr:cNvPr>
          <xdr:cNvSpPr>
            <a:spLocks noChangeShapeType="1"/>
          </xdr:cNvSpPr>
        </xdr:nvSpPr>
        <xdr:spPr bwMode="auto">
          <a:xfrm>
            <a:off x="37410345" y="4985564"/>
            <a:ext cx="0" cy="3620849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1189" name="Line 212">
            <a:extLst>
              <a:ext uri="{FF2B5EF4-FFF2-40B4-BE49-F238E27FC236}">
                <a16:creationId xmlns="" xmlns:a16="http://schemas.microsoft.com/office/drawing/2014/main" id="{00000000-0008-0000-1800-000025284300}"/>
              </a:ext>
            </a:extLst>
          </xdr:cNvPr>
          <xdr:cNvSpPr>
            <a:spLocks noChangeShapeType="1"/>
          </xdr:cNvSpPr>
        </xdr:nvSpPr>
        <xdr:spPr bwMode="auto">
          <a:xfrm>
            <a:off x="37945705" y="5039338"/>
            <a:ext cx="17372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401190" name="Line 210">
            <a:extLst>
              <a:ext uri="{FF2B5EF4-FFF2-40B4-BE49-F238E27FC236}">
                <a16:creationId xmlns="" xmlns:a16="http://schemas.microsoft.com/office/drawing/2014/main" id="{00000000-0008-0000-1800-000026284300}"/>
              </a:ext>
            </a:extLst>
          </xdr:cNvPr>
          <xdr:cNvSpPr>
            <a:spLocks noChangeShapeType="1"/>
          </xdr:cNvSpPr>
        </xdr:nvSpPr>
        <xdr:spPr bwMode="auto">
          <a:xfrm>
            <a:off x="36723957" y="4916090"/>
            <a:ext cx="0" cy="3347106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12</xdr:col>
      <xdr:colOff>209550</xdr:colOff>
      <xdr:row>19</xdr:row>
      <xdr:rowOff>142875</xdr:rowOff>
    </xdr:from>
    <xdr:to>
      <xdr:col>22</xdr:col>
      <xdr:colOff>0</xdr:colOff>
      <xdr:row>31</xdr:row>
      <xdr:rowOff>161925</xdr:rowOff>
    </xdr:to>
    <xdr:pic>
      <xdr:nvPicPr>
        <xdr:cNvPr id="4401168" name="Picture 1">
          <a:extLst>
            <a:ext uri="{FF2B5EF4-FFF2-40B4-BE49-F238E27FC236}">
              <a16:creationId xmlns="" xmlns:a16="http://schemas.microsoft.com/office/drawing/2014/main" id="{00000000-0008-0000-1800-000010284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2096750" y="7143750"/>
          <a:ext cx="7734300" cy="3771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92059" name="Line 1">
          <a:extLst>
            <a:ext uri="{FF2B5EF4-FFF2-40B4-BE49-F238E27FC236}">
              <a16:creationId xmlns="" xmlns:a16="http://schemas.microsoft.com/office/drawing/2014/main" id="{00000000-0008-0000-1900-00007B044300}"/>
            </a:ext>
          </a:extLst>
        </xdr:cNvPr>
        <xdr:cNvSpPr>
          <a:spLocks noChangeShapeType="1"/>
        </xdr:cNvSpPr>
      </xdr:nvSpPr>
      <xdr:spPr bwMode="auto">
        <a:xfrm flipV="1"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92060" name="Line 2">
          <a:extLst>
            <a:ext uri="{FF2B5EF4-FFF2-40B4-BE49-F238E27FC236}">
              <a16:creationId xmlns="" xmlns:a16="http://schemas.microsoft.com/office/drawing/2014/main" id="{00000000-0008-0000-1900-00007C044300}"/>
            </a:ext>
          </a:extLst>
        </xdr:cNvPr>
        <xdr:cNvSpPr>
          <a:spLocks noChangeShapeType="1"/>
        </xdr:cNvSpPr>
      </xdr:nvSpPr>
      <xdr:spPr bwMode="auto">
        <a:xfrm flipV="1">
          <a:off x="70580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676275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92061" name="Line 3">
          <a:extLst>
            <a:ext uri="{FF2B5EF4-FFF2-40B4-BE49-F238E27FC236}">
              <a16:creationId xmlns="" xmlns:a16="http://schemas.microsoft.com/office/drawing/2014/main" id="{00000000-0008-0000-1900-00007D0443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442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95250</xdr:colOff>
      <xdr:row>0</xdr:row>
      <xdr:rowOff>0</xdr:rowOff>
    </xdr:from>
    <xdr:to>
      <xdr:col>6</xdr:col>
      <xdr:colOff>200025</xdr:colOff>
      <xdr:row>0</xdr:row>
      <xdr:rowOff>0</xdr:rowOff>
    </xdr:to>
    <xdr:sp macro="" textlink="">
      <xdr:nvSpPr>
        <xdr:cNvPr id="4392062" name="Line 4">
          <a:extLst>
            <a:ext uri="{FF2B5EF4-FFF2-40B4-BE49-F238E27FC236}">
              <a16:creationId xmlns="" xmlns:a16="http://schemas.microsoft.com/office/drawing/2014/main" id="{00000000-0008-0000-1900-00007E044300}"/>
            </a:ext>
          </a:extLst>
        </xdr:cNvPr>
        <xdr:cNvSpPr>
          <a:spLocks noChangeShapeType="1"/>
        </xdr:cNvSpPr>
      </xdr:nvSpPr>
      <xdr:spPr bwMode="auto">
        <a:xfrm>
          <a:off x="7153275" y="0"/>
          <a:ext cx="1104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104775</xdr:colOff>
      <xdr:row>0</xdr:row>
      <xdr:rowOff>0</xdr:rowOff>
    </xdr:from>
    <xdr:to>
      <xdr:col>6</xdr:col>
      <xdr:colOff>104775</xdr:colOff>
      <xdr:row>0</xdr:row>
      <xdr:rowOff>0</xdr:rowOff>
    </xdr:to>
    <xdr:sp macro="" textlink="">
      <xdr:nvSpPr>
        <xdr:cNvPr id="4392063" name="Line 5">
          <a:extLst>
            <a:ext uri="{FF2B5EF4-FFF2-40B4-BE49-F238E27FC236}">
              <a16:creationId xmlns="" xmlns:a16="http://schemas.microsoft.com/office/drawing/2014/main" id="{00000000-0008-0000-1900-00007F044300}"/>
            </a:ext>
          </a:extLst>
        </xdr:cNvPr>
        <xdr:cNvSpPr>
          <a:spLocks noChangeShapeType="1"/>
        </xdr:cNvSpPr>
      </xdr:nvSpPr>
      <xdr:spPr bwMode="auto">
        <a:xfrm>
          <a:off x="81629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0</xdr:row>
      <xdr:rowOff>0</xdr:rowOff>
    </xdr:from>
    <xdr:to>
      <xdr:col>6</xdr:col>
      <xdr:colOff>114300</xdr:colOff>
      <xdr:row>0</xdr:row>
      <xdr:rowOff>0</xdr:rowOff>
    </xdr:to>
    <xdr:sp macro="" textlink="">
      <xdr:nvSpPr>
        <xdr:cNvPr id="4392064" name="Line 6">
          <a:extLst>
            <a:ext uri="{FF2B5EF4-FFF2-40B4-BE49-F238E27FC236}">
              <a16:creationId xmlns="" xmlns:a16="http://schemas.microsoft.com/office/drawing/2014/main" id="{00000000-0008-0000-1900-000080044300}"/>
            </a:ext>
          </a:extLst>
        </xdr:cNvPr>
        <xdr:cNvSpPr>
          <a:spLocks noChangeShapeType="1"/>
        </xdr:cNvSpPr>
      </xdr:nvSpPr>
      <xdr:spPr bwMode="auto">
        <a:xfrm>
          <a:off x="81724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85725</xdr:colOff>
      <xdr:row>0</xdr:row>
      <xdr:rowOff>0</xdr:rowOff>
    </xdr:from>
    <xdr:to>
      <xdr:col>6</xdr:col>
      <xdr:colOff>228600</xdr:colOff>
      <xdr:row>0</xdr:row>
      <xdr:rowOff>0</xdr:rowOff>
    </xdr:to>
    <xdr:sp macro="" textlink="">
      <xdr:nvSpPr>
        <xdr:cNvPr id="4392065" name="Line 7">
          <a:extLst>
            <a:ext uri="{FF2B5EF4-FFF2-40B4-BE49-F238E27FC236}">
              <a16:creationId xmlns="" xmlns:a16="http://schemas.microsoft.com/office/drawing/2014/main" id="{00000000-0008-0000-1900-000081044300}"/>
            </a:ext>
          </a:extLst>
        </xdr:cNvPr>
        <xdr:cNvSpPr>
          <a:spLocks noChangeShapeType="1"/>
        </xdr:cNvSpPr>
      </xdr:nvSpPr>
      <xdr:spPr bwMode="auto">
        <a:xfrm>
          <a:off x="7143750" y="0"/>
          <a:ext cx="1143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533400</xdr:colOff>
      <xdr:row>0</xdr:row>
      <xdr:rowOff>0</xdr:rowOff>
    </xdr:from>
    <xdr:to>
      <xdr:col>12</xdr:col>
      <xdr:colOff>123825</xdr:colOff>
      <xdr:row>0</xdr:row>
      <xdr:rowOff>0</xdr:rowOff>
    </xdr:to>
    <xdr:sp macro="" textlink="">
      <xdr:nvSpPr>
        <xdr:cNvPr id="4392066" name="Line 8">
          <a:extLst>
            <a:ext uri="{FF2B5EF4-FFF2-40B4-BE49-F238E27FC236}">
              <a16:creationId xmlns="" xmlns:a16="http://schemas.microsoft.com/office/drawing/2014/main" id="{00000000-0008-0000-1900-000082044300}"/>
            </a:ext>
          </a:extLst>
        </xdr:cNvPr>
        <xdr:cNvSpPr>
          <a:spLocks noChangeShapeType="1"/>
        </xdr:cNvSpPr>
      </xdr:nvSpPr>
      <xdr:spPr bwMode="auto">
        <a:xfrm>
          <a:off x="11887200" y="0"/>
          <a:ext cx="12382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12</xdr:col>
      <xdr:colOff>238125</xdr:colOff>
      <xdr:row>0</xdr:row>
      <xdr:rowOff>0</xdr:rowOff>
    </xdr:to>
    <xdr:sp macro="" textlink="">
      <xdr:nvSpPr>
        <xdr:cNvPr id="4392067" name="Line 9">
          <a:extLst>
            <a:ext uri="{FF2B5EF4-FFF2-40B4-BE49-F238E27FC236}">
              <a16:creationId xmlns="" xmlns:a16="http://schemas.microsoft.com/office/drawing/2014/main" id="{00000000-0008-0000-1900-000083044300}"/>
            </a:ext>
          </a:extLst>
        </xdr:cNvPr>
        <xdr:cNvSpPr>
          <a:spLocks noChangeShapeType="1"/>
        </xdr:cNvSpPr>
      </xdr:nvSpPr>
      <xdr:spPr bwMode="auto">
        <a:xfrm flipV="1">
          <a:off x="120110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238125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2068" name="Line 10">
          <a:extLst>
            <a:ext uri="{FF2B5EF4-FFF2-40B4-BE49-F238E27FC236}">
              <a16:creationId xmlns="" xmlns:a16="http://schemas.microsoft.com/office/drawing/2014/main" id="{00000000-0008-0000-1900-000084044300}"/>
            </a:ext>
          </a:extLst>
        </xdr:cNvPr>
        <xdr:cNvSpPr>
          <a:spLocks noChangeShapeType="1"/>
        </xdr:cNvSpPr>
      </xdr:nvSpPr>
      <xdr:spPr bwMode="auto">
        <a:xfrm>
          <a:off x="12125325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361950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2069" name="Line 11">
          <a:extLst>
            <a:ext uri="{FF2B5EF4-FFF2-40B4-BE49-F238E27FC236}">
              <a16:creationId xmlns="" xmlns:a16="http://schemas.microsoft.com/office/drawing/2014/main" id="{00000000-0008-0000-1900-000085044300}"/>
            </a:ext>
          </a:extLst>
        </xdr:cNvPr>
        <xdr:cNvSpPr>
          <a:spLocks noChangeShapeType="1"/>
        </xdr:cNvSpPr>
      </xdr:nvSpPr>
      <xdr:spPr bwMode="auto">
        <a:xfrm flipV="1"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466725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2070" name="Line 12">
          <a:extLst>
            <a:ext uri="{FF2B5EF4-FFF2-40B4-BE49-F238E27FC236}">
              <a16:creationId xmlns="" xmlns:a16="http://schemas.microsoft.com/office/drawing/2014/main" id="{00000000-0008-0000-1900-00008604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581025</xdr:colOff>
      <xdr:row>0</xdr:row>
      <xdr:rowOff>0</xdr:rowOff>
    </xdr:from>
    <xdr:to>
      <xdr:col>13</xdr:col>
      <xdr:colOff>0</xdr:colOff>
      <xdr:row>0</xdr:row>
      <xdr:rowOff>0</xdr:rowOff>
    </xdr:to>
    <xdr:sp macro="" textlink="">
      <xdr:nvSpPr>
        <xdr:cNvPr id="4392071" name="Line 13">
          <a:extLst>
            <a:ext uri="{FF2B5EF4-FFF2-40B4-BE49-F238E27FC236}">
              <a16:creationId xmlns="" xmlns:a16="http://schemas.microsoft.com/office/drawing/2014/main" id="{00000000-0008-0000-1900-000087044300}"/>
            </a:ext>
          </a:extLst>
        </xdr:cNvPr>
        <xdr:cNvSpPr>
          <a:spLocks noChangeShapeType="1"/>
        </xdr:cNvSpPr>
      </xdr:nvSpPr>
      <xdr:spPr bwMode="auto">
        <a:xfrm flipV="1"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0</xdr:row>
      <xdr:rowOff>0</xdr:rowOff>
    </xdr:from>
    <xdr:to>
      <xdr:col>13</xdr:col>
      <xdr:colOff>123825</xdr:colOff>
      <xdr:row>0</xdr:row>
      <xdr:rowOff>0</xdr:rowOff>
    </xdr:to>
    <xdr:sp macro="" textlink="">
      <xdr:nvSpPr>
        <xdr:cNvPr id="4392072" name="Line 14">
          <a:extLst>
            <a:ext uri="{FF2B5EF4-FFF2-40B4-BE49-F238E27FC236}">
              <a16:creationId xmlns="" xmlns:a16="http://schemas.microsoft.com/office/drawing/2014/main" id="{00000000-0008-0000-1900-00008804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123825</xdr:colOff>
      <xdr:row>0</xdr:row>
      <xdr:rowOff>0</xdr:rowOff>
    </xdr:from>
    <xdr:to>
      <xdr:col>13</xdr:col>
      <xdr:colOff>238125</xdr:colOff>
      <xdr:row>0</xdr:row>
      <xdr:rowOff>0</xdr:rowOff>
    </xdr:to>
    <xdr:sp macro="" textlink="">
      <xdr:nvSpPr>
        <xdr:cNvPr id="4392073" name="Line 15">
          <a:extLst>
            <a:ext uri="{FF2B5EF4-FFF2-40B4-BE49-F238E27FC236}">
              <a16:creationId xmlns="" xmlns:a16="http://schemas.microsoft.com/office/drawing/2014/main" id="{00000000-0008-0000-1900-000089044300}"/>
            </a:ext>
          </a:extLst>
        </xdr:cNvPr>
        <xdr:cNvSpPr>
          <a:spLocks noChangeShapeType="1"/>
        </xdr:cNvSpPr>
      </xdr:nvSpPr>
      <xdr:spPr bwMode="auto">
        <a:xfrm flipV="1">
          <a:off x="122586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238125</xdr:colOff>
      <xdr:row>0</xdr:row>
      <xdr:rowOff>0</xdr:rowOff>
    </xdr:from>
    <xdr:to>
      <xdr:col>13</xdr:col>
      <xdr:colOff>361950</xdr:colOff>
      <xdr:row>0</xdr:row>
      <xdr:rowOff>0</xdr:rowOff>
    </xdr:to>
    <xdr:sp macro="" textlink="">
      <xdr:nvSpPr>
        <xdr:cNvPr id="4392074" name="Line 16">
          <a:extLst>
            <a:ext uri="{FF2B5EF4-FFF2-40B4-BE49-F238E27FC236}">
              <a16:creationId xmlns="" xmlns:a16="http://schemas.microsoft.com/office/drawing/2014/main" id="{00000000-0008-0000-1900-00008A044300}"/>
            </a:ext>
          </a:extLst>
        </xdr:cNvPr>
        <xdr:cNvSpPr>
          <a:spLocks noChangeShapeType="1"/>
        </xdr:cNvSpPr>
      </xdr:nvSpPr>
      <xdr:spPr bwMode="auto">
        <a:xfrm>
          <a:off x="123729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361950</xdr:colOff>
      <xdr:row>0</xdr:row>
      <xdr:rowOff>0</xdr:rowOff>
    </xdr:from>
    <xdr:to>
      <xdr:col>13</xdr:col>
      <xdr:colOff>476250</xdr:colOff>
      <xdr:row>0</xdr:row>
      <xdr:rowOff>0</xdr:rowOff>
    </xdr:to>
    <xdr:sp macro="" textlink="">
      <xdr:nvSpPr>
        <xdr:cNvPr id="4392075" name="Line 17">
          <a:extLst>
            <a:ext uri="{FF2B5EF4-FFF2-40B4-BE49-F238E27FC236}">
              <a16:creationId xmlns="" xmlns:a16="http://schemas.microsoft.com/office/drawing/2014/main" id="{00000000-0008-0000-1900-00008B044300}"/>
            </a:ext>
          </a:extLst>
        </xdr:cNvPr>
        <xdr:cNvSpPr>
          <a:spLocks noChangeShapeType="1"/>
        </xdr:cNvSpPr>
      </xdr:nvSpPr>
      <xdr:spPr bwMode="auto">
        <a:xfrm flipV="1">
          <a:off x="1249680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476250</xdr:colOff>
      <xdr:row>0</xdr:row>
      <xdr:rowOff>0</xdr:rowOff>
    </xdr:from>
    <xdr:to>
      <xdr:col>13</xdr:col>
      <xdr:colOff>609600</xdr:colOff>
      <xdr:row>0</xdr:row>
      <xdr:rowOff>0</xdr:rowOff>
    </xdr:to>
    <xdr:sp macro="" textlink="">
      <xdr:nvSpPr>
        <xdr:cNvPr id="4392076" name="Line 18">
          <a:extLst>
            <a:ext uri="{FF2B5EF4-FFF2-40B4-BE49-F238E27FC236}">
              <a16:creationId xmlns="" xmlns:a16="http://schemas.microsoft.com/office/drawing/2014/main" id="{00000000-0008-0000-1900-00008C044300}"/>
            </a:ext>
          </a:extLst>
        </xdr:cNvPr>
        <xdr:cNvSpPr>
          <a:spLocks noChangeShapeType="1"/>
        </xdr:cNvSpPr>
      </xdr:nvSpPr>
      <xdr:spPr bwMode="auto">
        <a:xfrm>
          <a:off x="12611100" y="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14</xdr:col>
      <xdr:colOff>28575</xdr:colOff>
      <xdr:row>0</xdr:row>
      <xdr:rowOff>0</xdr:rowOff>
    </xdr:to>
    <xdr:sp macro="" textlink="">
      <xdr:nvSpPr>
        <xdr:cNvPr id="4392077" name="Line 19">
          <a:extLst>
            <a:ext uri="{FF2B5EF4-FFF2-40B4-BE49-F238E27FC236}">
              <a16:creationId xmlns="" xmlns:a16="http://schemas.microsoft.com/office/drawing/2014/main" id="{00000000-0008-0000-1900-00008D044300}"/>
            </a:ext>
          </a:extLst>
        </xdr:cNvPr>
        <xdr:cNvSpPr>
          <a:spLocks noChangeShapeType="1"/>
        </xdr:cNvSpPr>
      </xdr:nvSpPr>
      <xdr:spPr bwMode="auto">
        <a:xfrm flipV="1">
          <a:off x="12744450" y="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28575</xdr:colOff>
      <xdr:row>0</xdr:row>
      <xdr:rowOff>0</xdr:rowOff>
    </xdr:from>
    <xdr:to>
      <xdr:col>14</xdr:col>
      <xdr:colOff>152400</xdr:colOff>
      <xdr:row>0</xdr:row>
      <xdr:rowOff>0</xdr:rowOff>
    </xdr:to>
    <xdr:sp macro="" textlink="">
      <xdr:nvSpPr>
        <xdr:cNvPr id="4392078" name="Line 20">
          <a:extLst>
            <a:ext uri="{FF2B5EF4-FFF2-40B4-BE49-F238E27FC236}">
              <a16:creationId xmlns="" xmlns:a16="http://schemas.microsoft.com/office/drawing/2014/main" id="{00000000-0008-0000-1900-00008E044300}"/>
            </a:ext>
          </a:extLst>
        </xdr:cNvPr>
        <xdr:cNvSpPr>
          <a:spLocks noChangeShapeType="1"/>
        </xdr:cNvSpPr>
      </xdr:nvSpPr>
      <xdr:spPr bwMode="auto">
        <a:xfrm>
          <a:off x="133540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152400</xdr:colOff>
      <xdr:row>0</xdr:row>
      <xdr:rowOff>0</xdr:rowOff>
    </xdr:from>
    <xdr:to>
      <xdr:col>14</xdr:col>
      <xdr:colOff>266700</xdr:colOff>
      <xdr:row>0</xdr:row>
      <xdr:rowOff>0</xdr:rowOff>
    </xdr:to>
    <xdr:sp macro="" textlink="">
      <xdr:nvSpPr>
        <xdr:cNvPr id="4392079" name="Line 21">
          <a:extLst>
            <a:ext uri="{FF2B5EF4-FFF2-40B4-BE49-F238E27FC236}">
              <a16:creationId xmlns="" xmlns:a16="http://schemas.microsoft.com/office/drawing/2014/main" id="{00000000-0008-0000-1900-00008F044300}"/>
            </a:ext>
          </a:extLst>
        </xdr:cNvPr>
        <xdr:cNvSpPr>
          <a:spLocks noChangeShapeType="1"/>
        </xdr:cNvSpPr>
      </xdr:nvSpPr>
      <xdr:spPr bwMode="auto">
        <a:xfrm flipV="1">
          <a:off x="134778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266700</xdr:colOff>
      <xdr:row>0</xdr:row>
      <xdr:rowOff>0</xdr:rowOff>
    </xdr:from>
    <xdr:to>
      <xdr:col>14</xdr:col>
      <xdr:colOff>381000</xdr:colOff>
      <xdr:row>0</xdr:row>
      <xdr:rowOff>0</xdr:rowOff>
    </xdr:to>
    <xdr:sp macro="" textlink="">
      <xdr:nvSpPr>
        <xdr:cNvPr id="4392080" name="Line 22">
          <a:extLst>
            <a:ext uri="{FF2B5EF4-FFF2-40B4-BE49-F238E27FC236}">
              <a16:creationId xmlns="" xmlns:a16="http://schemas.microsoft.com/office/drawing/2014/main" id="{00000000-0008-0000-1900-000090044300}"/>
            </a:ext>
          </a:extLst>
        </xdr:cNvPr>
        <xdr:cNvSpPr>
          <a:spLocks noChangeShapeType="1"/>
        </xdr:cNvSpPr>
      </xdr:nvSpPr>
      <xdr:spPr bwMode="auto">
        <a:xfrm>
          <a:off x="135921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381000</xdr:colOff>
      <xdr:row>0</xdr:row>
      <xdr:rowOff>0</xdr:rowOff>
    </xdr:from>
    <xdr:to>
      <xdr:col>14</xdr:col>
      <xdr:colOff>495300</xdr:colOff>
      <xdr:row>0</xdr:row>
      <xdr:rowOff>0</xdr:rowOff>
    </xdr:to>
    <xdr:sp macro="" textlink="">
      <xdr:nvSpPr>
        <xdr:cNvPr id="4392081" name="Line 23">
          <a:extLst>
            <a:ext uri="{FF2B5EF4-FFF2-40B4-BE49-F238E27FC236}">
              <a16:creationId xmlns="" xmlns:a16="http://schemas.microsoft.com/office/drawing/2014/main" id="{00000000-0008-0000-1900-000091044300}"/>
            </a:ext>
          </a:extLst>
        </xdr:cNvPr>
        <xdr:cNvSpPr>
          <a:spLocks noChangeShapeType="1"/>
        </xdr:cNvSpPr>
      </xdr:nvSpPr>
      <xdr:spPr bwMode="auto">
        <a:xfrm flipV="1">
          <a:off x="137064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495300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92082" name="Line 24">
          <a:extLst>
            <a:ext uri="{FF2B5EF4-FFF2-40B4-BE49-F238E27FC236}">
              <a16:creationId xmlns="" xmlns:a16="http://schemas.microsoft.com/office/drawing/2014/main" id="{00000000-0008-0000-1900-000092044300}"/>
            </a:ext>
          </a:extLst>
        </xdr:cNvPr>
        <xdr:cNvSpPr>
          <a:spLocks noChangeShapeType="1"/>
        </xdr:cNvSpPr>
      </xdr:nvSpPr>
      <xdr:spPr bwMode="auto">
        <a:xfrm>
          <a:off x="138207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92083" name="Line 25">
          <a:extLst>
            <a:ext uri="{FF2B5EF4-FFF2-40B4-BE49-F238E27FC236}">
              <a16:creationId xmlns="" xmlns:a16="http://schemas.microsoft.com/office/drawing/2014/main" id="{00000000-0008-0000-1900-0000930443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66675</xdr:colOff>
      <xdr:row>0</xdr:row>
      <xdr:rowOff>0</xdr:rowOff>
    </xdr:to>
    <xdr:sp macro="" textlink="">
      <xdr:nvSpPr>
        <xdr:cNvPr id="4392084" name="Line 26">
          <a:extLst>
            <a:ext uri="{FF2B5EF4-FFF2-40B4-BE49-F238E27FC236}">
              <a16:creationId xmlns="" xmlns:a16="http://schemas.microsoft.com/office/drawing/2014/main" id="{00000000-0008-0000-1900-000094044300}"/>
            </a:ext>
          </a:extLst>
        </xdr:cNvPr>
        <xdr:cNvSpPr>
          <a:spLocks noChangeShapeType="1"/>
        </xdr:cNvSpPr>
      </xdr:nvSpPr>
      <xdr:spPr bwMode="auto">
        <a:xfrm flipV="1">
          <a:off x="11953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92085" name="Line 27">
          <a:extLst>
            <a:ext uri="{FF2B5EF4-FFF2-40B4-BE49-F238E27FC236}">
              <a16:creationId xmlns="" xmlns:a16="http://schemas.microsoft.com/office/drawing/2014/main" id="{00000000-0008-0000-1900-0000950443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92086" name="Line 28">
          <a:extLst>
            <a:ext uri="{FF2B5EF4-FFF2-40B4-BE49-F238E27FC236}">
              <a16:creationId xmlns="" xmlns:a16="http://schemas.microsoft.com/office/drawing/2014/main" id="{00000000-0008-0000-1900-000096044300}"/>
            </a:ext>
          </a:extLst>
        </xdr:cNvPr>
        <xdr:cNvSpPr>
          <a:spLocks noChangeShapeType="1"/>
        </xdr:cNvSpPr>
      </xdr:nvSpPr>
      <xdr:spPr bwMode="auto">
        <a:xfrm>
          <a:off x="12011025" y="0"/>
          <a:ext cx="1933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352425</xdr:colOff>
      <xdr:row>0</xdr:row>
      <xdr:rowOff>0</xdr:rowOff>
    </xdr:from>
    <xdr:to>
      <xdr:col>2</xdr:col>
      <xdr:colOff>352425</xdr:colOff>
      <xdr:row>0</xdr:row>
      <xdr:rowOff>0</xdr:rowOff>
    </xdr:to>
    <xdr:sp macro="" textlink="">
      <xdr:nvSpPr>
        <xdr:cNvPr id="4392087" name="Line 29">
          <a:extLst>
            <a:ext uri="{FF2B5EF4-FFF2-40B4-BE49-F238E27FC236}">
              <a16:creationId xmlns="" xmlns:a16="http://schemas.microsoft.com/office/drawing/2014/main" id="{00000000-0008-0000-1900-000097044300}"/>
            </a:ext>
          </a:extLst>
        </xdr:cNvPr>
        <xdr:cNvSpPr>
          <a:spLocks noChangeShapeType="1"/>
        </xdr:cNvSpPr>
      </xdr:nvSpPr>
      <xdr:spPr bwMode="auto">
        <a:xfrm>
          <a:off x="2981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152400</xdr:colOff>
      <xdr:row>0</xdr:row>
      <xdr:rowOff>0</xdr:rowOff>
    </xdr:to>
    <xdr:sp macro="" textlink="">
      <xdr:nvSpPr>
        <xdr:cNvPr id="4392088" name="Line 30">
          <a:extLst>
            <a:ext uri="{FF2B5EF4-FFF2-40B4-BE49-F238E27FC236}">
              <a16:creationId xmlns="" xmlns:a16="http://schemas.microsoft.com/office/drawing/2014/main" id="{00000000-0008-0000-1900-0000980443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723900</xdr:colOff>
      <xdr:row>0</xdr:row>
      <xdr:rowOff>0</xdr:rowOff>
    </xdr:from>
    <xdr:to>
      <xdr:col>4</xdr:col>
      <xdr:colOff>723900</xdr:colOff>
      <xdr:row>0</xdr:row>
      <xdr:rowOff>0</xdr:rowOff>
    </xdr:to>
    <xdr:sp macro="" textlink="">
      <xdr:nvSpPr>
        <xdr:cNvPr id="4392089" name="Line 31">
          <a:extLst>
            <a:ext uri="{FF2B5EF4-FFF2-40B4-BE49-F238E27FC236}">
              <a16:creationId xmlns="" xmlns:a16="http://schemas.microsoft.com/office/drawing/2014/main" id="{00000000-0008-0000-1900-000099044300}"/>
            </a:ext>
          </a:extLst>
        </xdr:cNvPr>
        <xdr:cNvSpPr>
          <a:spLocks noChangeShapeType="1"/>
        </xdr:cNvSpPr>
      </xdr:nvSpPr>
      <xdr:spPr bwMode="auto">
        <a:xfrm>
          <a:off x="63722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285750</xdr:colOff>
      <xdr:row>0</xdr:row>
      <xdr:rowOff>0</xdr:rowOff>
    </xdr:from>
    <xdr:to>
      <xdr:col>2</xdr:col>
      <xdr:colOff>285750</xdr:colOff>
      <xdr:row>0</xdr:row>
      <xdr:rowOff>0</xdr:rowOff>
    </xdr:to>
    <xdr:sp macro="" textlink="">
      <xdr:nvSpPr>
        <xdr:cNvPr id="4392090" name="Line 32">
          <a:extLst>
            <a:ext uri="{FF2B5EF4-FFF2-40B4-BE49-F238E27FC236}">
              <a16:creationId xmlns="" xmlns:a16="http://schemas.microsoft.com/office/drawing/2014/main" id="{00000000-0008-0000-1900-00009A044300}"/>
            </a:ext>
          </a:extLst>
        </xdr:cNvPr>
        <xdr:cNvSpPr>
          <a:spLocks noChangeShapeType="1"/>
        </xdr:cNvSpPr>
      </xdr:nvSpPr>
      <xdr:spPr bwMode="auto">
        <a:xfrm>
          <a:off x="29146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590550</xdr:colOff>
      <xdr:row>0</xdr:row>
      <xdr:rowOff>0</xdr:rowOff>
    </xdr:from>
    <xdr:to>
      <xdr:col>4</xdr:col>
      <xdr:colOff>590550</xdr:colOff>
      <xdr:row>0</xdr:row>
      <xdr:rowOff>0</xdr:rowOff>
    </xdr:to>
    <xdr:sp macro="" textlink="">
      <xdr:nvSpPr>
        <xdr:cNvPr id="4392091" name="Line 33">
          <a:extLst>
            <a:ext uri="{FF2B5EF4-FFF2-40B4-BE49-F238E27FC236}">
              <a16:creationId xmlns="" xmlns:a16="http://schemas.microsoft.com/office/drawing/2014/main" id="{00000000-0008-0000-1900-00009B044300}"/>
            </a:ext>
          </a:extLst>
        </xdr:cNvPr>
        <xdr:cNvSpPr>
          <a:spLocks noChangeShapeType="1"/>
        </xdr:cNvSpPr>
      </xdr:nvSpPr>
      <xdr:spPr bwMode="auto">
        <a:xfrm flipH="1">
          <a:off x="6238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92092" name="Line 34">
          <a:extLst>
            <a:ext uri="{FF2B5EF4-FFF2-40B4-BE49-F238E27FC236}">
              <a16:creationId xmlns="" xmlns:a16="http://schemas.microsoft.com/office/drawing/2014/main" id="{00000000-0008-0000-1900-00009C0443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95250</xdr:colOff>
      <xdr:row>0</xdr:row>
      <xdr:rowOff>0</xdr:rowOff>
    </xdr:to>
    <xdr:grpSp>
      <xdr:nvGrpSpPr>
        <xdr:cNvPr id="4392093" name="Group 35">
          <a:extLst>
            <a:ext uri="{FF2B5EF4-FFF2-40B4-BE49-F238E27FC236}">
              <a16:creationId xmlns="" xmlns:a16="http://schemas.microsoft.com/office/drawing/2014/main" id="{00000000-0008-0000-1900-00009D044300}"/>
            </a:ext>
          </a:extLst>
        </xdr:cNvPr>
        <xdr:cNvGrpSpPr>
          <a:grpSpLocks/>
        </xdr:cNvGrpSpPr>
      </xdr:nvGrpSpPr>
      <xdr:grpSpPr bwMode="auto">
        <a:xfrm>
          <a:off x="9853613" y="0"/>
          <a:ext cx="5600700" cy="0"/>
          <a:chOff x="630" y="359"/>
          <a:chExt cx="361" cy="60"/>
        </a:xfrm>
      </xdr:grpSpPr>
      <xdr:sp macro="" textlink="">
        <xdr:nvSpPr>
          <xdr:cNvPr id="4392261" name="Line 36">
            <a:extLst>
              <a:ext uri="{FF2B5EF4-FFF2-40B4-BE49-F238E27FC236}">
                <a16:creationId xmlns="" xmlns:a16="http://schemas.microsoft.com/office/drawing/2014/main" id="{00000000-0008-0000-1900-00004505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0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2262" name="Line 37">
            <a:extLst>
              <a:ext uri="{FF2B5EF4-FFF2-40B4-BE49-F238E27FC236}">
                <a16:creationId xmlns="" xmlns:a16="http://schemas.microsoft.com/office/drawing/2014/main" id="{00000000-0008-0000-1900-00004605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91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2263" name="Line 38">
            <a:extLst>
              <a:ext uri="{FF2B5EF4-FFF2-40B4-BE49-F238E27FC236}">
                <a16:creationId xmlns="" xmlns:a16="http://schemas.microsoft.com/office/drawing/2014/main" id="{00000000-0008-0000-1900-000047054300}"/>
              </a:ext>
            </a:extLst>
          </xdr:cNvPr>
          <xdr:cNvSpPr>
            <a:spLocks noChangeShapeType="1"/>
          </xdr:cNvSpPr>
        </xdr:nvSpPr>
        <xdr:spPr bwMode="auto">
          <a:xfrm>
            <a:off x="630" y="381"/>
            <a:ext cx="3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7</xdr:col>
      <xdr:colOff>590550</xdr:colOff>
      <xdr:row>0</xdr:row>
      <xdr:rowOff>0</xdr:rowOff>
    </xdr:to>
    <xdr:sp macro="" textlink="">
      <xdr:nvSpPr>
        <xdr:cNvPr id="4392094" name="Line 39">
          <a:extLst>
            <a:ext uri="{FF2B5EF4-FFF2-40B4-BE49-F238E27FC236}">
              <a16:creationId xmlns="" xmlns:a16="http://schemas.microsoft.com/office/drawing/2014/main" id="{00000000-0008-0000-1900-00009E0443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10</xdr:col>
      <xdr:colOff>47625</xdr:colOff>
      <xdr:row>0</xdr:row>
      <xdr:rowOff>0</xdr:rowOff>
    </xdr:to>
    <xdr:sp macro="" textlink="">
      <xdr:nvSpPr>
        <xdr:cNvPr id="4392095" name="Line 40">
          <a:extLst>
            <a:ext uri="{FF2B5EF4-FFF2-40B4-BE49-F238E27FC236}">
              <a16:creationId xmlns="" xmlns:a16="http://schemas.microsoft.com/office/drawing/2014/main" id="{00000000-0008-0000-1900-00009F044300}"/>
            </a:ext>
          </a:extLst>
        </xdr:cNvPr>
        <xdr:cNvSpPr>
          <a:spLocks noChangeShapeType="1"/>
        </xdr:cNvSpPr>
      </xdr:nvSpPr>
      <xdr:spPr bwMode="auto">
        <a:xfrm flipV="1">
          <a:off x="9382125" y="0"/>
          <a:ext cx="1581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10</xdr:col>
      <xdr:colOff>914400</xdr:colOff>
      <xdr:row>0</xdr:row>
      <xdr:rowOff>0</xdr:rowOff>
    </xdr:to>
    <xdr:sp macro="" textlink="">
      <xdr:nvSpPr>
        <xdr:cNvPr id="4392096" name="Line 41">
          <a:extLst>
            <a:ext uri="{FF2B5EF4-FFF2-40B4-BE49-F238E27FC236}">
              <a16:creationId xmlns="" xmlns:a16="http://schemas.microsoft.com/office/drawing/2014/main" id="{00000000-0008-0000-1900-0000A00443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1733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28575</xdr:colOff>
      <xdr:row>0</xdr:row>
      <xdr:rowOff>0</xdr:rowOff>
    </xdr:to>
    <xdr:sp macro="" textlink="">
      <xdr:nvSpPr>
        <xdr:cNvPr id="4392097" name="Line 42">
          <a:extLst>
            <a:ext uri="{FF2B5EF4-FFF2-40B4-BE49-F238E27FC236}">
              <a16:creationId xmlns="" xmlns:a16="http://schemas.microsoft.com/office/drawing/2014/main" id="{00000000-0008-0000-1900-0000A10443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2076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552450</xdr:colOff>
      <xdr:row>0</xdr:row>
      <xdr:rowOff>0</xdr:rowOff>
    </xdr:from>
    <xdr:to>
      <xdr:col>13</xdr:col>
      <xdr:colOff>400050</xdr:colOff>
      <xdr:row>0</xdr:row>
      <xdr:rowOff>0</xdr:rowOff>
    </xdr:to>
    <xdr:sp macro="" textlink="">
      <xdr:nvSpPr>
        <xdr:cNvPr id="4392098" name="Line 43">
          <a:extLst>
            <a:ext uri="{FF2B5EF4-FFF2-40B4-BE49-F238E27FC236}">
              <a16:creationId xmlns="" xmlns:a16="http://schemas.microsoft.com/office/drawing/2014/main" id="{00000000-0008-0000-1900-0000A2044300}"/>
            </a:ext>
          </a:extLst>
        </xdr:cNvPr>
        <xdr:cNvSpPr>
          <a:spLocks noChangeShapeType="1"/>
        </xdr:cNvSpPr>
      </xdr:nvSpPr>
      <xdr:spPr bwMode="auto">
        <a:xfrm flipH="1">
          <a:off x="980122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10</xdr:col>
      <xdr:colOff>57150</xdr:colOff>
      <xdr:row>0</xdr:row>
      <xdr:rowOff>0</xdr:rowOff>
    </xdr:to>
    <xdr:grpSp>
      <xdr:nvGrpSpPr>
        <xdr:cNvPr id="4392099" name="Group 44">
          <a:extLst>
            <a:ext uri="{FF2B5EF4-FFF2-40B4-BE49-F238E27FC236}">
              <a16:creationId xmlns="" xmlns:a16="http://schemas.microsoft.com/office/drawing/2014/main" id="{00000000-0008-0000-1900-0000A3044300}"/>
            </a:ext>
          </a:extLst>
        </xdr:cNvPr>
        <xdr:cNvGrpSpPr>
          <a:grpSpLocks/>
        </xdr:cNvGrpSpPr>
      </xdr:nvGrpSpPr>
      <xdr:grpSpPr bwMode="auto">
        <a:xfrm>
          <a:off x="9882188" y="0"/>
          <a:ext cx="1104900" cy="0"/>
          <a:chOff x="554" y="439"/>
          <a:chExt cx="10" cy="76"/>
        </a:xfrm>
      </xdr:grpSpPr>
      <xdr:sp macro="" textlink="">
        <xdr:nvSpPr>
          <xdr:cNvPr id="4392259" name="Line 45">
            <a:extLst>
              <a:ext uri="{FF2B5EF4-FFF2-40B4-BE49-F238E27FC236}">
                <a16:creationId xmlns="" xmlns:a16="http://schemas.microsoft.com/office/drawing/2014/main" id="{00000000-0008-0000-1900-000043054300}"/>
              </a:ext>
            </a:extLst>
          </xdr:cNvPr>
          <xdr:cNvSpPr>
            <a:spLocks noChangeShapeType="1"/>
          </xdr:cNvSpPr>
        </xdr:nvSpPr>
        <xdr:spPr bwMode="auto">
          <a:xfrm>
            <a:off x="558" y="439"/>
            <a:ext cx="0" cy="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2260" name="Line 46">
            <a:extLst>
              <a:ext uri="{FF2B5EF4-FFF2-40B4-BE49-F238E27FC236}">
                <a16:creationId xmlns="" xmlns:a16="http://schemas.microsoft.com/office/drawing/2014/main" id="{00000000-0008-0000-1900-000044054300}"/>
              </a:ext>
            </a:extLst>
          </xdr:cNvPr>
          <xdr:cNvSpPr>
            <a:spLocks noChangeShapeType="1"/>
          </xdr:cNvSpPr>
        </xdr:nvSpPr>
        <xdr:spPr bwMode="auto">
          <a:xfrm>
            <a:off x="554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10</xdr:col>
      <xdr:colOff>628650</xdr:colOff>
      <xdr:row>0</xdr:row>
      <xdr:rowOff>0</xdr:rowOff>
    </xdr:from>
    <xdr:to>
      <xdr:col>11</xdr:col>
      <xdr:colOff>38100</xdr:colOff>
      <xdr:row>0</xdr:row>
      <xdr:rowOff>0</xdr:rowOff>
    </xdr:to>
    <xdr:grpSp>
      <xdr:nvGrpSpPr>
        <xdr:cNvPr id="4392100" name="Group 47">
          <a:extLst>
            <a:ext uri="{FF2B5EF4-FFF2-40B4-BE49-F238E27FC236}">
              <a16:creationId xmlns="" xmlns:a16="http://schemas.microsoft.com/office/drawing/2014/main" id="{00000000-0008-0000-1900-0000A4044300}"/>
            </a:ext>
          </a:extLst>
        </xdr:cNvPr>
        <xdr:cNvGrpSpPr>
          <a:grpSpLocks/>
        </xdr:cNvGrpSpPr>
      </xdr:nvGrpSpPr>
      <xdr:grpSpPr bwMode="auto">
        <a:xfrm>
          <a:off x="11558588" y="0"/>
          <a:ext cx="76200" cy="0"/>
          <a:chOff x="680" y="439"/>
          <a:chExt cx="10" cy="98"/>
        </a:xfrm>
      </xdr:grpSpPr>
      <xdr:sp macro="" textlink="">
        <xdr:nvSpPr>
          <xdr:cNvPr id="4392257" name="Line 48">
            <a:extLst>
              <a:ext uri="{FF2B5EF4-FFF2-40B4-BE49-F238E27FC236}">
                <a16:creationId xmlns="" xmlns:a16="http://schemas.microsoft.com/office/drawing/2014/main" id="{00000000-0008-0000-1900-000041054300}"/>
              </a:ext>
            </a:extLst>
          </xdr:cNvPr>
          <xdr:cNvSpPr>
            <a:spLocks noChangeShapeType="1"/>
          </xdr:cNvSpPr>
        </xdr:nvSpPr>
        <xdr:spPr bwMode="auto">
          <a:xfrm>
            <a:off x="685" y="439"/>
            <a:ext cx="0" cy="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2258" name="Line 49">
            <a:extLst>
              <a:ext uri="{FF2B5EF4-FFF2-40B4-BE49-F238E27FC236}">
                <a16:creationId xmlns="" xmlns:a16="http://schemas.microsoft.com/office/drawing/2014/main" id="{00000000-0008-0000-1900-000042054300}"/>
              </a:ext>
            </a:extLst>
          </xdr:cNvPr>
          <xdr:cNvSpPr>
            <a:spLocks noChangeShapeType="1"/>
          </xdr:cNvSpPr>
        </xdr:nvSpPr>
        <xdr:spPr bwMode="auto">
          <a:xfrm>
            <a:off x="680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4392101" name="Group 50">
          <a:extLst>
            <a:ext uri="{FF2B5EF4-FFF2-40B4-BE49-F238E27FC236}">
              <a16:creationId xmlns="" xmlns:a16="http://schemas.microsoft.com/office/drawing/2014/main" id="{00000000-0008-0000-1900-0000A5044300}"/>
            </a:ext>
          </a:extLst>
        </xdr:cNvPr>
        <xdr:cNvGrpSpPr>
          <a:grpSpLocks/>
        </xdr:cNvGrpSpPr>
      </xdr:nvGrpSpPr>
      <xdr:grpSpPr bwMode="auto">
        <a:xfrm>
          <a:off x="11906250" y="0"/>
          <a:ext cx="142875" cy="0"/>
          <a:chOff x="759" y="438"/>
          <a:chExt cx="10" cy="121"/>
        </a:xfrm>
      </xdr:grpSpPr>
      <xdr:sp macro="" textlink="">
        <xdr:nvSpPr>
          <xdr:cNvPr id="4392255" name="Line 51">
            <a:extLst>
              <a:ext uri="{FF2B5EF4-FFF2-40B4-BE49-F238E27FC236}">
                <a16:creationId xmlns="" xmlns:a16="http://schemas.microsoft.com/office/drawing/2014/main" id="{00000000-0008-0000-1900-00003F0543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2256" name="Line 52">
            <a:extLst>
              <a:ext uri="{FF2B5EF4-FFF2-40B4-BE49-F238E27FC236}">
                <a16:creationId xmlns="" xmlns:a16="http://schemas.microsoft.com/office/drawing/2014/main" id="{00000000-0008-0000-1900-0000400543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13</xdr:col>
      <xdr:colOff>76200</xdr:colOff>
      <xdr:row>0</xdr:row>
      <xdr:rowOff>0</xdr:rowOff>
    </xdr:from>
    <xdr:to>
      <xdr:col>13</xdr:col>
      <xdr:colOff>676275</xdr:colOff>
      <xdr:row>0</xdr:row>
      <xdr:rowOff>0</xdr:rowOff>
    </xdr:to>
    <xdr:grpSp>
      <xdr:nvGrpSpPr>
        <xdr:cNvPr id="4392102" name="Group 53">
          <a:extLst>
            <a:ext uri="{FF2B5EF4-FFF2-40B4-BE49-F238E27FC236}">
              <a16:creationId xmlns="" xmlns:a16="http://schemas.microsoft.com/office/drawing/2014/main" id="{00000000-0008-0000-1900-0000A6044300}"/>
            </a:ext>
          </a:extLst>
        </xdr:cNvPr>
        <xdr:cNvGrpSpPr>
          <a:grpSpLocks/>
        </xdr:cNvGrpSpPr>
      </xdr:nvGrpSpPr>
      <xdr:grpSpPr bwMode="auto">
        <a:xfrm>
          <a:off x="12220575" y="0"/>
          <a:ext cx="600075" cy="0"/>
          <a:chOff x="842" y="438"/>
          <a:chExt cx="10" cy="147"/>
        </a:xfrm>
      </xdr:grpSpPr>
      <xdr:sp macro="" textlink="">
        <xdr:nvSpPr>
          <xdr:cNvPr id="4392253" name="Line 54">
            <a:extLst>
              <a:ext uri="{FF2B5EF4-FFF2-40B4-BE49-F238E27FC236}">
                <a16:creationId xmlns="" xmlns:a16="http://schemas.microsoft.com/office/drawing/2014/main" id="{00000000-0008-0000-1900-00003D0543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2254" name="Line 55">
            <a:extLst>
              <a:ext uri="{FF2B5EF4-FFF2-40B4-BE49-F238E27FC236}">
                <a16:creationId xmlns="" xmlns:a16="http://schemas.microsoft.com/office/drawing/2014/main" id="{00000000-0008-0000-1900-00003E0543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76200</xdr:colOff>
      <xdr:row>0</xdr:row>
      <xdr:rowOff>0</xdr:rowOff>
    </xdr:to>
    <xdr:sp macro="" textlink="">
      <xdr:nvSpPr>
        <xdr:cNvPr id="4392103" name="Rectangle 56">
          <a:extLst>
            <a:ext uri="{FF2B5EF4-FFF2-40B4-BE49-F238E27FC236}">
              <a16:creationId xmlns="" xmlns:a16="http://schemas.microsoft.com/office/drawing/2014/main" id="{00000000-0008-0000-1900-0000A7044300}"/>
            </a:ext>
          </a:extLst>
        </xdr:cNvPr>
        <xdr:cNvSpPr>
          <a:spLocks noChangeArrowheads="1"/>
        </xdr:cNvSpPr>
      </xdr:nvSpPr>
      <xdr:spPr bwMode="auto">
        <a:xfrm>
          <a:off x="9839325" y="0"/>
          <a:ext cx="55721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4392104" name="Line 57">
          <a:extLst>
            <a:ext uri="{FF2B5EF4-FFF2-40B4-BE49-F238E27FC236}">
              <a16:creationId xmlns="" xmlns:a16="http://schemas.microsoft.com/office/drawing/2014/main" id="{00000000-0008-0000-1900-0000A8044300}"/>
            </a:ext>
          </a:extLst>
        </xdr:cNvPr>
        <xdr:cNvSpPr>
          <a:spLocks noChangeShapeType="1"/>
        </xdr:cNvSpPr>
      </xdr:nvSpPr>
      <xdr:spPr bwMode="auto">
        <a:xfrm>
          <a:off x="153352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638175</xdr:colOff>
      <xdr:row>0</xdr:row>
      <xdr:rowOff>0</xdr:rowOff>
    </xdr:from>
    <xdr:to>
      <xdr:col>16</xdr:col>
      <xdr:colOff>47625</xdr:colOff>
      <xdr:row>0</xdr:row>
      <xdr:rowOff>0</xdr:rowOff>
    </xdr:to>
    <xdr:sp macro="" textlink="">
      <xdr:nvSpPr>
        <xdr:cNvPr id="4392105" name="Line 58">
          <a:extLst>
            <a:ext uri="{FF2B5EF4-FFF2-40B4-BE49-F238E27FC236}">
              <a16:creationId xmlns="" xmlns:a16="http://schemas.microsoft.com/office/drawing/2014/main" id="{00000000-0008-0000-1900-0000A9044300}"/>
            </a:ext>
          </a:extLst>
        </xdr:cNvPr>
        <xdr:cNvSpPr>
          <a:spLocks noChangeShapeType="1"/>
        </xdr:cNvSpPr>
      </xdr:nvSpPr>
      <xdr:spPr bwMode="auto">
        <a:xfrm>
          <a:off x="14887575" y="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15</xdr:col>
      <xdr:colOff>1181100</xdr:colOff>
      <xdr:row>0</xdr:row>
      <xdr:rowOff>0</xdr:rowOff>
    </xdr:to>
    <xdr:sp macro="" textlink="">
      <xdr:nvSpPr>
        <xdr:cNvPr id="4392106" name="Line 59">
          <a:extLst>
            <a:ext uri="{FF2B5EF4-FFF2-40B4-BE49-F238E27FC236}">
              <a16:creationId xmlns="" xmlns:a16="http://schemas.microsoft.com/office/drawing/2014/main" id="{00000000-0008-0000-1900-0000AA044300}"/>
            </a:ext>
          </a:extLst>
        </xdr:cNvPr>
        <xdr:cNvSpPr>
          <a:spLocks noChangeShapeType="1"/>
        </xdr:cNvSpPr>
      </xdr:nvSpPr>
      <xdr:spPr bwMode="auto">
        <a:xfrm flipV="1">
          <a:off x="9867900" y="0"/>
          <a:ext cx="546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666750</xdr:colOff>
      <xdr:row>0</xdr:row>
      <xdr:rowOff>0</xdr:rowOff>
    </xdr:from>
    <xdr:to>
      <xdr:col>14</xdr:col>
      <xdr:colOff>838200</xdr:colOff>
      <xdr:row>0</xdr:row>
      <xdr:rowOff>0</xdr:rowOff>
    </xdr:to>
    <xdr:grpSp>
      <xdr:nvGrpSpPr>
        <xdr:cNvPr id="4392107" name="Group 60">
          <a:extLst>
            <a:ext uri="{FF2B5EF4-FFF2-40B4-BE49-F238E27FC236}">
              <a16:creationId xmlns="" xmlns:a16="http://schemas.microsoft.com/office/drawing/2014/main" id="{00000000-0008-0000-1900-0000AB044300}"/>
            </a:ext>
          </a:extLst>
        </xdr:cNvPr>
        <xdr:cNvGrpSpPr>
          <a:grpSpLocks/>
        </xdr:cNvGrpSpPr>
      </xdr:nvGrpSpPr>
      <xdr:grpSpPr bwMode="auto">
        <a:xfrm>
          <a:off x="14001750" y="0"/>
          <a:ext cx="171450" cy="0"/>
          <a:chOff x="912" y="438"/>
          <a:chExt cx="11" cy="175"/>
        </a:xfrm>
      </xdr:grpSpPr>
      <xdr:sp macro="" textlink="">
        <xdr:nvSpPr>
          <xdr:cNvPr id="4392251" name="Line 61">
            <a:extLst>
              <a:ext uri="{FF2B5EF4-FFF2-40B4-BE49-F238E27FC236}">
                <a16:creationId xmlns="" xmlns:a16="http://schemas.microsoft.com/office/drawing/2014/main" id="{00000000-0008-0000-1900-00003B0543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2252" name="Line 62">
            <a:extLst>
              <a:ext uri="{FF2B5EF4-FFF2-40B4-BE49-F238E27FC236}">
                <a16:creationId xmlns="" xmlns:a16="http://schemas.microsoft.com/office/drawing/2014/main" id="{00000000-0008-0000-1900-00003C0543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171450</xdr:colOff>
      <xdr:row>0</xdr:row>
      <xdr:rowOff>0</xdr:rowOff>
    </xdr:from>
    <xdr:to>
      <xdr:col>4</xdr:col>
      <xdr:colOff>542925</xdr:colOff>
      <xdr:row>0</xdr:row>
      <xdr:rowOff>0</xdr:rowOff>
    </xdr:to>
    <xdr:sp macro="" textlink="">
      <xdr:nvSpPr>
        <xdr:cNvPr id="4392108" name="Line 63">
          <a:extLst>
            <a:ext uri="{FF2B5EF4-FFF2-40B4-BE49-F238E27FC236}">
              <a16:creationId xmlns="" xmlns:a16="http://schemas.microsoft.com/office/drawing/2014/main" id="{00000000-0008-0000-1900-0000AC044300}"/>
            </a:ext>
          </a:extLst>
        </xdr:cNvPr>
        <xdr:cNvSpPr>
          <a:spLocks noChangeShapeType="1"/>
        </xdr:cNvSpPr>
      </xdr:nvSpPr>
      <xdr:spPr bwMode="auto">
        <a:xfrm>
          <a:off x="2800350" y="0"/>
          <a:ext cx="3390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190500</xdr:colOff>
      <xdr:row>0</xdr:row>
      <xdr:rowOff>0</xdr:rowOff>
    </xdr:from>
    <xdr:to>
      <xdr:col>4</xdr:col>
      <xdr:colOff>571500</xdr:colOff>
      <xdr:row>0</xdr:row>
      <xdr:rowOff>0</xdr:rowOff>
    </xdr:to>
    <xdr:sp macro="" textlink="">
      <xdr:nvSpPr>
        <xdr:cNvPr id="4392109" name="Line 64">
          <a:extLst>
            <a:ext uri="{FF2B5EF4-FFF2-40B4-BE49-F238E27FC236}">
              <a16:creationId xmlns="" xmlns:a16="http://schemas.microsoft.com/office/drawing/2014/main" id="{00000000-0008-0000-1900-0000AD044300}"/>
            </a:ext>
          </a:extLst>
        </xdr:cNvPr>
        <xdr:cNvSpPr>
          <a:spLocks noChangeShapeType="1"/>
        </xdr:cNvSpPr>
      </xdr:nvSpPr>
      <xdr:spPr bwMode="auto">
        <a:xfrm>
          <a:off x="2819400" y="0"/>
          <a:ext cx="3400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92110" name="Line 65">
          <a:extLst>
            <a:ext uri="{FF2B5EF4-FFF2-40B4-BE49-F238E27FC236}">
              <a16:creationId xmlns="" xmlns:a16="http://schemas.microsoft.com/office/drawing/2014/main" id="{00000000-0008-0000-1900-0000AE0443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876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4</xdr:col>
      <xdr:colOff>676275</xdr:colOff>
      <xdr:row>0</xdr:row>
      <xdr:rowOff>0</xdr:rowOff>
    </xdr:to>
    <xdr:sp macro="" textlink="">
      <xdr:nvSpPr>
        <xdr:cNvPr id="4392111" name="Line 66">
          <a:extLst>
            <a:ext uri="{FF2B5EF4-FFF2-40B4-BE49-F238E27FC236}">
              <a16:creationId xmlns="" xmlns:a16="http://schemas.microsoft.com/office/drawing/2014/main" id="{00000000-0008-0000-1900-0000AF0443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219075</xdr:colOff>
      <xdr:row>0</xdr:row>
      <xdr:rowOff>0</xdr:rowOff>
    </xdr:from>
    <xdr:to>
      <xdr:col>2</xdr:col>
      <xdr:colOff>219075</xdr:colOff>
      <xdr:row>0</xdr:row>
      <xdr:rowOff>0</xdr:rowOff>
    </xdr:to>
    <xdr:sp macro="" textlink="">
      <xdr:nvSpPr>
        <xdr:cNvPr id="4392112" name="Line 67">
          <a:extLst>
            <a:ext uri="{FF2B5EF4-FFF2-40B4-BE49-F238E27FC236}">
              <a16:creationId xmlns="" xmlns:a16="http://schemas.microsoft.com/office/drawing/2014/main" id="{00000000-0008-0000-1900-0000B0044300}"/>
            </a:ext>
          </a:extLst>
        </xdr:cNvPr>
        <xdr:cNvSpPr>
          <a:spLocks noChangeShapeType="1"/>
        </xdr:cNvSpPr>
      </xdr:nvSpPr>
      <xdr:spPr bwMode="auto">
        <a:xfrm>
          <a:off x="28479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266700</xdr:colOff>
      <xdr:row>0</xdr:row>
      <xdr:rowOff>0</xdr:rowOff>
    </xdr:from>
    <xdr:to>
      <xdr:col>2</xdr:col>
      <xdr:colOff>266700</xdr:colOff>
      <xdr:row>0</xdr:row>
      <xdr:rowOff>0</xdr:rowOff>
    </xdr:to>
    <xdr:sp macro="" textlink="">
      <xdr:nvSpPr>
        <xdr:cNvPr id="4392113" name="Line 68">
          <a:extLst>
            <a:ext uri="{FF2B5EF4-FFF2-40B4-BE49-F238E27FC236}">
              <a16:creationId xmlns="" xmlns:a16="http://schemas.microsoft.com/office/drawing/2014/main" id="{00000000-0008-0000-1900-0000B1044300}"/>
            </a:ext>
          </a:extLst>
        </xdr:cNvPr>
        <xdr:cNvSpPr>
          <a:spLocks noChangeShapeType="1"/>
        </xdr:cNvSpPr>
      </xdr:nvSpPr>
      <xdr:spPr bwMode="auto">
        <a:xfrm>
          <a:off x="2895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333375</xdr:colOff>
      <xdr:row>0</xdr:row>
      <xdr:rowOff>0</xdr:rowOff>
    </xdr:from>
    <xdr:to>
      <xdr:col>2</xdr:col>
      <xdr:colOff>333375</xdr:colOff>
      <xdr:row>0</xdr:row>
      <xdr:rowOff>0</xdr:rowOff>
    </xdr:to>
    <xdr:sp macro="" textlink="">
      <xdr:nvSpPr>
        <xdr:cNvPr id="4392114" name="Line 69">
          <a:extLst>
            <a:ext uri="{FF2B5EF4-FFF2-40B4-BE49-F238E27FC236}">
              <a16:creationId xmlns="" xmlns:a16="http://schemas.microsoft.com/office/drawing/2014/main" id="{00000000-0008-0000-1900-0000B2044300}"/>
            </a:ext>
          </a:extLst>
        </xdr:cNvPr>
        <xdr:cNvSpPr>
          <a:spLocks noChangeShapeType="1"/>
        </xdr:cNvSpPr>
      </xdr:nvSpPr>
      <xdr:spPr bwMode="auto">
        <a:xfrm>
          <a:off x="29622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0</xdr:row>
      <xdr:rowOff>0</xdr:rowOff>
    </xdr:from>
    <xdr:to>
      <xdr:col>2</xdr:col>
      <xdr:colOff>390525</xdr:colOff>
      <xdr:row>0</xdr:row>
      <xdr:rowOff>0</xdr:rowOff>
    </xdr:to>
    <xdr:sp macro="" textlink="">
      <xdr:nvSpPr>
        <xdr:cNvPr id="4392115" name="Line 70">
          <a:extLst>
            <a:ext uri="{FF2B5EF4-FFF2-40B4-BE49-F238E27FC236}">
              <a16:creationId xmlns="" xmlns:a16="http://schemas.microsoft.com/office/drawing/2014/main" id="{00000000-0008-0000-1900-0000B3044300}"/>
            </a:ext>
          </a:extLst>
        </xdr:cNvPr>
        <xdr:cNvSpPr>
          <a:spLocks noChangeShapeType="1"/>
        </xdr:cNvSpPr>
      </xdr:nvSpPr>
      <xdr:spPr bwMode="auto">
        <a:xfrm>
          <a:off x="3019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447675</xdr:colOff>
      <xdr:row>0</xdr:row>
      <xdr:rowOff>0</xdr:rowOff>
    </xdr:to>
    <xdr:sp macro="" textlink="">
      <xdr:nvSpPr>
        <xdr:cNvPr id="4392116" name="Line 71">
          <a:extLst>
            <a:ext uri="{FF2B5EF4-FFF2-40B4-BE49-F238E27FC236}">
              <a16:creationId xmlns="" xmlns:a16="http://schemas.microsoft.com/office/drawing/2014/main" id="{00000000-0008-0000-1900-0000B40443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4392117" name="Line 72">
          <a:extLst>
            <a:ext uri="{FF2B5EF4-FFF2-40B4-BE49-F238E27FC236}">
              <a16:creationId xmlns="" xmlns:a16="http://schemas.microsoft.com/office/drawing/2014/main" id="{00000000-0008-0000-1900-0000B50443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314325</xdr:colOff>
      <xdr:row>0</xdr:row>
      <xdr:rowOff>0</xdr:rowOff>
    </xdr:to>
    <xdr:sp macro="" textlink="">
      <xdr:nvSpPr>
        <xdr:cNvPr id="4392118" name="Line 73">
          <a:extLst>
            <a:ext uri="{FF2B5EF4-FFF2-40B4-BE49-F238E27FC236}">
              <a16:creationId xmlns="" xmlns:a16="http://schemas.microsoft.com/office/drawing/2014/main" id="{00000000-0008-0000-1900-0000B60443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657225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92119" name="Line 74">
          <a:extLst>
            <a:ext uri="{FF2B5EF4-FFF2-40B4-BE49-F238E27FC236}">
              <a16:creationId xmlns="" xmlns:a16="http://schemas.microsoft.com/office/drawing/2014/main" id="{00000000-0008-0000-1900-0000B70443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266700</xdr:colOff>
      <xdr:row>0</xdr:row>
      <xdr:rowOff>0</xdr:rowOff>
    </xdr:from>
    <xdr:to>
      <xdr:col>11</xdr:col>
      <xdr:colOff>352425</xdr:colOff>
      <xdr:row>0</xdr:row>
      <xdr:rowOff>0</xdr:rowOff>
    </xdr:to>
    <xdr:sp macro="" textlink="">
      <xdr:nvSpPr>
        <xdr:cNvPr id="4392120" name="Text Box 75">
          <a:extLst>
            <a:ext uri="{FF2B5EF4-FFF2-40B4-BE49-F238E27FC236}">
              <a16:creationId xmlns="" xmlns:a16="http://schemas.microsoft.com/office/drawing/2014/main" id="{00000000-0008-0000-1900-0000B8044300}"/>
            </a:ext>
          </a:extLst>
        </xdr:cNvPr>
        <xdr:cNvSpPr txBox="1">
          <a:spLocks noChangeArrowheads="1"/>
        </xdr:cNvSpPr>
      </xdr:nvSpPr>
      <xdr:spPr bwMode="auto">
        <a:xfrm>
          <a:off x="11182350" y="0"/>
          <a:ext cx="7048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209550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4392121" name="Line 76">
          <a:extLst>
            <a:ext uri="{FF2B5EF4-FFF2-40B4-BE49-F238E27FC236}">
              <a16:creationId xmlns="" xmlns:a16="http://schemas.microsoft.com/office/drawing/2014/main" id="{00000000-0008-0000-1900-0000B9044300}"/>
            </a:ext>
          </a:extLst>
        </xdr:cNvPr>
        <xdr:cNvSpPr>
          <a:spLocks noChangeShapeType="1"/>
        </xdr:cNvSpPr>
      </xdr:nvSpPr>
      <xdr:spPr bwMode="auto">
        <a:xfrm flipV="1">
          <a:off x="7267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819150</xdr:colOff>
      <xdr:row>0</xdr:row>
      <xdr:rowOff>0</xdr:rowOff>
    </xdr:to>
    <xdr:sp macro="" textlink="">
      <xdr:nvSpPr>
        <xdr:cNvPr id="4392122" name="Line 77">
          <a:extLst>
            <a:ext uri="{FF2B5EF4-FFF2-40B4-BE49-F238E27FC236}">
              <a16:creationId xmlns="" xmlns:a16="http://schemas.microsoft.com/office/drawing/2014/main" id="{00000000-0008-0000-1900-0000BA044300}"/>
            </a:ext>
          </a:extLst>
        </xdr:cNvPr>
        <xdr:cNvSpPr>
          <a:spLocks noChangeShapeType="1"/>
        </xdr:cNvSpPr>
      </xdr:nvSpPr>
      <xdr:spPr bwMode="auto">
        <a:xfrm>
          <a:off x="7553325" y="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114300</xdr:colOff>
      <xdr:row>0</xdr:row>
      <xdr:rowOff>0</xdr:rowOff>
    </xdr:from>
    <xdr:to>
      <xdr:col>5</xdr:col>
      <xdr:colOff>323850</xdr:colOff>
      <xdr:row>0</xdr:row>
      <xdr:rowOff>0</xdr:rowOff>
    </xdr:to>
    <xdr:sp macro="" textlink="">
      <xdr:nvSpPr>
        <xdr:cNvPr id="4392123" name="Line 78">
          <a:extLst>
            <a:ext uri="{FF2B5EF4-FFF2-40B4-BE49-F238E27FC236}">
              <a16:creationId xmlns="" xmlns:a16="http://schemas.microsoft.com/office/drawing/2014/main" id="{00000000-0008-0000-1900-0000BB044300}"/>
            </a:ext>
          </a:extLst>
        </xdr:cNvPr>
        <xdr:cNvSpPr>
          <a:spLocks noChangeShapeType="1"/>
        </xdr:cNvSpPr>
      </xdr:nvSpPr>
      <xdr:spPr bwMode="auto">
        <a:xfrm>
          <a:off x="7172325" y="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2124" name="Rectangle 79">
          <a:extLst>
            <a:ext uri="{FF2B5EF4-FFF2-40B4-BE49-F238E27FC236}">
              <a16:creationId xmlns="" xmlns:a16="http://schemas.microsoft.com/office/drawing/2014/main" id="{00000000-0008-0000-1900-0000BC044300}"/>
            </a:ext>
          </a:extLst>
        </xdr:cNvPr>
        <xdr:cNvSpPr>
          <a:spLocks noChangeArrowheads="1"/>
        </xdr:cNvSpPr>
      </xdr:nvSpPr>
      <xdr:spPr bwMode="auto">
        <a:xfrm>
          <a:off x="16573500" y="0"/>
          <a:ext cx="325755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92125" name="Line 80">
          <a:extLst>
            <a:ext uri="{FF2B5EF4-FFF2-40B4-BE49-F238E27FC236}">
              <a16:creationId xmlns="" xmlns:a16="http://schemas.microsoft.com/office/drawing/2014/main" id="{00000000-0008-0000-1900-0000BD044300}"/>
            </a:ext>
          </a:extLst>
        </xdr:cNvPr>
        <xdr:cNvSpPr>
          <a:spLocks noChangeShapeType="1"/>
        </xdr:cNvSpPr>
      </xdr:nvSpPr>
      <xdr:spPr bwMode="auto">
        <a:xfrm flipV="1">
          <a:off x="16725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2126" name="Line 81">
          <a:extLst>
            <a:ext uri="{FF2B5EF4-FFF2-40B4-BE49-F238E27FC236}">
              <a16:creationId xmlns="" xmlns:a16="http://schemas.microsoft.com/office/drawing/2014/main" id="{00000000-0008-0000-1900-0000BE0443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92127" name="Line 82">
          <a:extLst>
            <a:ext uri="{FF2B5EF4-FFF2-40B4-BE49-F238E27FC236}">
              <a16:creationId xmlns="" xmlns:a16="http://schemas.microsoft.com/office/drawing/2014/main" id="{00000000-0008-0000-1900-0000BF044300}"/>
            </a:ext>
          </a:extLst>
        </xdr:cNvPr>
        <xdr:cNvSpPr>
          <a:spLocks noChangeShapeType="1"/>
        </xdr:cNvSpPr>
      </xdr:nvSpPr>
      <xdr:spPr bwMode="auto">
        <a:xfrm flipV="1">
          <a:off x="16725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2128" name="Line 83">
          <a:extLst>
            <a:ext uri="{FF2B5EF4-FFF2-40B4-BE49-F238E27FC236}">
              <a16:creationId xmlns="" xmlns:a16="http://schemas.microsoft.com/office/drawing/2014/main" id="{00000000-0008-0000-1900-0000C00443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19050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2129" name="Line 84">
          <a:extLst>
            <a:ext uri="{FF2B5EF4-FFF2-40B4-BE49-F238E27FC236}">
              <a16:creationId xmlns="" xmlns:a16="http://schemas.microsoft.com/office/drawing/2014/main" id="{00000000-0008-0000-1900-0000C1044300}"/>
            </a:ext>
          </a:extLst>
        </xdr:cNvPr>
        <xdr:cNvSpPr>
          <a:spLocks noChangeShapeType="1"/>
        </xdr:cNvSpPr>
      </xdr:nvSpPr>
      <xdr:spPr bwMode="auto">
        <a:xfrm>
          <a:off x="16744950" y="0"/>
          <a:ext cx="3086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609600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2130" name="Line 85">
          <a:extLst>
            <a:ext uri="{FF2B5EF4-FFF2-40B4-BE49-F238E27FC236}">
              <a16:creationId xmlns="" xmlns:a16="http://schemas.microsoft.com/office/drawing/2014/main" id="{00000000-0008-0000-1900-0000C2044300}"/>
            </a:ext>
          </a:extLst>
        </xdr:cNvPr>
        <xdr:cNvSpPr>
          <a:spLocks noChangeShapeType="1"/>
        </xdr:cNvSpPr>
      </xdr:nvSpPr>
      <xdr:spPr bwMode="auto">
        <a:xfrm>
          <a:off x="16592550" y="0"/>
          <a:ext cx="3238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628650</xdr:colOff>
      <xdr:row>0</xdr:row>
      <xdr:rowOff>0</xdr:rowOff>
    </xdr:from>
    <xdr:to>
      <xdr:col>17</xdr:col>
      <xdr:colOff>628650</xdr:colOff>
      <xdr:row>0</xdr:row>
      <xdr:rowOff>0</xdr:rowOff>
    </xdr:to>
    <xdr:sp macro="" textlink="">
      <xdr:nvSpPr>
        <xdr:cNvPr id="4392131" name="Line 86">
          <a:extLst>
            <a:ext uri="{FF2B5EF4-FFF2-40B4-BE49-F238E27FC236}">
              <a16:creationId xmlns="" xmlns:a16="http://schemas.microsoft.com/office/drawing/2014/main" id="{00000000-0008-0000-1900-0000C3044300}"/>
            </a:ext>
          </a:extLst>
        </xdr:cNvPr>
        <xdr:cNvSpPr>
          <a:spLocks noChangeShapeType="1"/>
        </xdr:cNvSpPr>
      </xdr:nvSpPr>
      <xdr:spPr bwMode="auto">
        <a:xfrm flipV="1">
          <a:off x="16611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2132" name="Line 87">
          <a:extLst>
            <a:ext uri="{FF2B5EF4-FFF2-40B4-BE49-F238E27FC236}">
              <a16:creationId xmlns="" xmlns:a16="http://schemas.microsoft.com/office/drawing/2014/main" id="{00000000-0008-0000-1900-0000C40443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38100</xdr:colOff>
      <xdr:row>0</xdr:row>
      <xdr:rowOff>0</xdr:rowOff>
    </xdr:to>
    <xdr:sp macro="" textlink="">
      <xdr:nvSpPr>
        <xdr:cNvPr id="4392133" name="Rectangle 88">
          <a:extLst>
            <a:ext uri="{FF2B5EF4-FFF2-40B4-BE49-F238E27FC236}">
              <a16:creationId xmlns="" xmlns:a16="http://schemas.microsoft.com/office/drawing/2014/main" id="{00000000-0008-0000-1900-0000C5044300}"/>
            </a:ext>
          </a:extLst>
        </xdr:cNvPr>
        <xdr:cNvSpPr>
          <a:spLocks noChangeArrowheads="1"/>
        </xdr:cNvSpPr>
      </xdr:nvSpPr>
      <xdr:spPr bwMode="auto">
        <a:xfrm>
          <a:off x="19831050" y="0"/>
          <a:ext cx="38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2134" name="Line 89">
          <a:extLst>
            <a:ext uri="{FF2B5EF4-FFF2-40B4-BE49-F238E27FC236}">
              <a16:creationId xmlns="" xmlns:a16="http://schemas.microsoft.com/office/drawing/2014/main" id="{00000000-0008-0000-1900-0000C60443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2135" name="Line 90">
          <a:extLst>
            <a:ext uri="{FF2B5EF4-FFF2-40B4-BE49-F238E27FC236}">
              <a16:creationId xmlns="" xmlns:a16="http://schemas.microsoft.com/office/drawing/2014/main" id="{00000000-0008-0000-1900-0000C7044300}"/>
            </a:ext>
          </a:extLst>
        </xdr:cNvPr>
        <xdr:cNvSpPr>
          <a:spLocks noChangeShapeType="1"/>
        </xdr:cNvSpPr>
      </xdr:nvSpPr>
      <xdr:spPr bwMode="auto">
        <a:xfrm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22</xdr:col>
      <xdr:colOff>19050</xdr:colOff>
      <xdr:row>0</xdr:row>
      <xdr:rowOff>0</xdr:rowOff>
    </xdr:from>
    <xdr:to>
      <xdr:col>22</xdr:col>
      <xdr:colOff>19050</xdr:colOff>
      <xdr:row>0</xdr:row>
      <xdr:rowOff>0</xdr:rowOff>
    </xdr:to>
    <xdr:sp macro="" textlink="">
      <xdr:nvSpPr>
        <xdr:cNvPr id="4392136" name="Line 91">
          <a:extLst>
            <a:ext uri="{FF2B5EF4-FFF2-40B4-BE49-F238E27FC236}">
              <a16:creationId xmlns="" xmlns:a16="http://schemas.microsoft.com/office/drawing/2014/main" id="{00000000-0008-0000-1900-0000C8044300}"/>
            </a:ext>
          </a:extLst>
        </xdr:cNvPr>
        <xdr:cNvSpPr>
          <a:spLocks noChangeShapeType="1"/>
        </xdr:cNvSpPr>
      </xdr:nvSpPr>
      <xdr:spPr bwMode="auto">
        <a:xfrm>
          <a:off x="198501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400050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92137" name="Line 92">
          <a:extLst>
            <a:ext uri="{FF2B5EF4-FFF2-40B4-BE49-F238E27FC236}">
              <a16:creationId xmlns="" xmlns:a16="http://schemas.microsoft.com/office/drawing/2014/main" id="{00000000-0008-0000-1900-0000C9044300}"/>
            </a:ext>
          </a:extLst>
        </xdr:cNvPr>
        <xdr:cNvSpPr>
          <a:spLocks noChangeShapeType="1"/>
        </xdr:cNvSpPr>
      </xdr:nvSpPr>
      <xdr:spPr bwMode="auto">
        <a:xfrm flipH="1" flipV="1">
          <a:off x="13725525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14</xdr:col>
      <xdr:colOff>781050</xdr:colOff>
      <xdr:row>0</xdr:row>
      <xdr:rowOff>0</xdr:rowOff>
    </xdr:to>
    <xdr:sp macro="" textlink="">
      <xdr:nvSpPr>
        <xdr:cNvPr id="4392138" name="Line 93">
          <a:extLst>
            <a:ext uri="{FF2B5EF4-FFF2-40B4-BE49-F238E27FC236}">
              <a16:creationId xmlns="" xmlns:a16="http://schemas.microsoft.com/office/drawing/2014/main" id="{00000000-0008-0000-1900-0000CA044300}"/>
            </a:ext>
          </a:extLst>
        </xdr:cNvPr>
        <xdr:cNvSpPr>
          <a:spLocks noChangeShapeType="1"/>
        </xdr:cNvSpPr>
      </xdr:nvSpPr>
      <xdr:spPr bwMode="auto">
        <a:xfrm flipH="1">
          <a:off x="9867900" y="0"/>
          <a:ext cx="4238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4</xdr:col>
      <xdr:colOff>704850</xdr:colOff>
      <xdr:row>0</xdr:row>
      <xdr:rowOff>0</xdr:rowOff>
    </xdr:to>
    <xdr:sp macro="" textlink="">
      <xdr:nvSpPr>
        <xdr:cNvPr id="4392139" name="Line 94">
          <a:extLst>
            <a:ext uri="{FF2B5EF4-FFF2-40B4-BE49-F238E27FC236}">
              <a16:creationId xmlns="" xmlns:a16="http://schemas.microsoft.com/office/drawing/2014/main" id="{00000000-0008-0000-1900-0000CB0443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3571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92140" name="Line 95">
          <a:extLst>
            <a:ext uri="{FF2B5EF4-FFF2-40B4-BE49-F238E27FC236}">
              <a16:creationId xmlns="" xmlns:a16="http://schemas.microsoft.com/office/drawing/2014/main" id="{00000000-0008-0000-1900-0000CC044300}"/>
            </a:ext>
          </a:extLst>
        </xdr:cNvPr>
        <xdr:cNvSpPr>
          <a:spLocks noChangeShapeType="1"/>
        </xdr:cNvSpPr>
      </xdr:nvSpPr>
      <xdr:spPr bwMode="auto">
        <a:xfrm>
          <a:off x="116681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247650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2141" name="Line 96">
          <a:extLst>
            <a:ext uri="{FF2B5EF4-FFF2-40B4-BE49-F238E27FC236}">
              <a16:creationId xmlns="" xmlns:a16="http://schemas.microsoft.com/office/drawing/2014/main" id="{00000000-0008-0000-1900-0000CD04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1047750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2142" name="Line 97">
          <a:extLst>
            <a:ext uri="{FF2B5EF4-FFF2-40B4-BE49-F238E27FC236}">
              <a16:creationId xmlns="" xmlns:a16="http://schemas.microsoft.com/office/drawing/2014/main" id="{00000000-0008-0000-1900-0000CE04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571500</xdr:colOff>
      <xdr:row>0</xdr:row>
      <xdr:rowOff>0</xdr:rowOff>
    </xdr:from>
    <xdr:to>
      <xdr:col>13</xdr:col>
      <xdr:colOff>571500</xdr:colOff>
      <xdr:row>0</xdr:row>
      <xdr:rowOff>0</xdr:rowOff>
    </xdr:to>
    <xdr:sp macro="" textlink="">
      <xdr:nvSpPr>
        <xdr:cNvPr id="4392143" name="Line 98">
          <a:extLst>
            <a:ext uri="{FF2B5EF4-FFF2-40B4-BE49-F238E27FC236}">
              <a16:creationId xmlns="" xmlns:a16="http://schemas.microsoft.com/office/drawing/2014/main" id="{00000000-0008-0000-1900-0000CF044300}"/>
            </a:ext>
          </a:extLst>
        </xdr:cNvPr>
        <xdr:cNvSpPr>
          <a:spLocks noChangeShapeType="1"/>
        </xdr:cNvSpPr>
      </xdr:nvSpPr>
      <xdr:spPr bwMode="auto">
        <a:xfrm>
          <a:off x="12706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14</xdr:col>
      <xdr:colOff>457200</xdr:colOff>
      <xdr:row>0</xdr:row>
      <xdr:rowOff>0</xdr:rowOff>
    </xdr:to>
    <xdr:sp macro="" textlink="">
      <xdr:nvSpPr>
        <xdr:cNvPr id="4392144" name="Line 99">
          <a:extLst>
            <a:ext uri="{FF2B5EF4-FFF2-40B4-BE49-F238E27FC236}">
              <a16:creationId xmlns="" xmlns:a16="http://schemas.microsoft.com/office/drawing/2014/main" id="{00000000-0008-0000-1900-0000D0044300}"/>
            </a:ext>
          </a:extLst>
        </xdr:cNvPr>
        <xdr:cNvSpPr>
          <a:spLocks noChangeShapeType="1"/>
        </xdr:cNvSpPr>
      </xdr:nvSpPr>
      <xdr:spPr bwMode="auto">
        <a:xfrm>
          <a:off x="137826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323850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92145" name="Line 100">
          <a:extLst>
            <a:ext uri="{FF2B5EF4-FFF2-40B4-BE49-F238E27FC236}">
              <a16:creationId xmlns="" xmlns:a16="http://schemas.microsoft.com/office/drawing/2014/main" id="{00000000-0008-0000-1900-0000D1044300}"/>
            </a:ext>
          </a:extLst>
        </xdr:cNvPr>
        <xdr:cNvSpPr>
          <a:spLocks noChangeShapeType="1"/>
        </xdr:cNvSpPr>
      </xdr:nvSpPr>
      <xdr:spPr bwMode="auto">
        <a:xfrm flipH="1">
          <a:off x="9572625" y="0"/>
          <a:ext cx="2095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15</xdr:col>
      <xdr:colOff>161925</xdr:colOff>
      <xdr:row>0</xdr:row>
      <xdr:rowOff>0</xdr:rowOff>
    </xdr:to>
    <xdr:sp macro="" textlink="">
      <xdr:nvSpPr>
        <xdr:cNvPr id="4392146" name="Line 101">
          <a:extLst>
            <a:ext uri="{FF2B5EF4-FFF2-40B4-BE49-F238E27FC236}">
              <a16:creationId xmlns="" xmlns:a16="http://schemas.microsoft.com/office/drawing/2014/main" id="{00000000-0008-0000-1900-0000D2044300}"/>
            </a:ext>
          </a:extLst>
        </xdr:cNvPr>
        <xdr:cNvSpPr>
          <a:spLocks noChangeShapeType="1"/>
        </xdr:cNvSpPr>
      </xdr:nvSpPr>
      <xdr:spPr bwMode="auto">
        <a:xfrm>
          <a:off x="13782675" y="0"/>
          <a:ext cx="628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2147" name="Line 102">
          <a:extLst>
            <a:ext uri="{FF2B5EF4-FFF2-40B4-BE49-F238E27FC236}">
              <a16:creationId xmlns="" xmlns:a16="http://schemas.microsoft.com/office/drawing/2014/main" id="{00000000-0008-0000-1900-0000D3044300}"/>
            </a:ext>
          </a:extLst>
        </xdr:cNvPr>
        <xdr:cNvSpPr>
          <a:spLocks noChangeShapeType="1"/>
        </xdr:cNvSpPr>
      </xdr:nvSpPr>
      <xdr:spPr bwMode="auto">
        <a:xfrm flipV="1">
          <a:off x="12744450" y="0"/>
          <a:ext cx="165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1066800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2148" name="Line 103">
          <a:extLst>
            <a:ext uri="{FF2B5EF4-FFF2-40B4-BE49-F238E27FC236}">
              <a16:creationId xmlns="" xmlns:a16="http://schemas.microsoft.com/office/drawing/2014/main" id="{00000000-0008-0000-1900-0000D404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266700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2149" name="Line 104">
          <a:extLst>
            <a:ext uri="{FF2B5EF4-FFF2-40B4-BE49-F238E27FC236}">
              <a16:creationId xmlns="" xmlns:a16="http://schemas.microsoft.com/office/drawing/2014/main" id="{00000000-0008-0000-1900-0000D504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2150" name="Line 105">
          <a:extLst>
            <a:ext uri="{FF2B5EF4-FFF2-40B4-BE49-F238E27FC236}">
              <a16:creationId xmlns="" xmlns:a16="http://schemas.microsoft.com/office/drawing/2014/main" id="{00000000-0008-0000-1900-0000D6044300}"/>
            </a:ext>
          </a:extLst>
        </xdr:cNvPr>
        <xdr:cNvSpPr>
          <a:spLocks noChangeShapeType="1"/>
        </xdr:cNvSpPr>
      </xdr:nvSpPr>
      <xdr:spPr bwMode="auto">
        <a:xfrm>
          <a:off x="1166812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495300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2151" name="Line 106">
          <a:extLst>
            <a:ext uri="{FF2B5EF4-FFF2-40B4-BE49-F238E27FC236}">
              <a16:creationId xmlns="" xmlns:a16="http://schemas.microsoft.com/office/drawing/2014/main" id="{00000000-0008-0000-1900-0000D7044300}"/>
            </a:ext>
          </a:extLst>
        </xdr:cNvPr>
        <xdr:cNvSpPr>
          <a:spLocks noChangeShapeType="1"/>
        </xdr:cNvSpPr>
      </xdr:nvSpPr>
      <xdr:spPr bwMode="auto">
        <a:xfrm flipH="1">
          <a:off x="9744075" y="0"/>
          <a:ext cx="2390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1028700</xdr:colOff>
      <xdr:row>0</xdr:row>
      <xdr:rowOff>0</xdr:rowOff>
    </xdr:to>
    <xdr:sp macro="" textlink="">
      <xdr:nvSpPr>
        <xdr:cNvPr id="4392152" name="Line 107">
          <a:extLst>
            <a:ext uri="{FF2B5EF4-FFF2-40B4-BE49-F238E27FC236}">
              <a16:creationId xmlns="" xmlns:a16="http://schemas.microsoft.com/office/drawing/2014/main" id="{00000000-0008-0000-1900-0000D8044300}"/>
            </a:ext>
          </a:extLst>
        </xdr:cNvPr>
        <xdr:cNvSpPr>
          <a:spLocks noChangeShapeType="1"/>
        </xdr:cNvSpPr>
      </xdr:nvSpPr>
      <xdr:spPr bwMode="auto">
        <a:xfrm flipH="1">
          <a:off x="9839325" y="0"/>
          <a:ext cx="2295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171450</xdr:colOff>
      <xdr:row>0</xdr:row>
      <xdr:rowOff>0</xdr:rowOff>
    </xdr:from>
    <xdr:to>
      <xdr:col>13</xdr:col>
      <xdr:colOff>552450</xdr:colOff>
      <xdr:row>0</xdr:row>
      <xdr:rowOff>0</xdr:rowOff>
    </xdr:to>
    <xdr:sp macro="" textlink="">
      <xdr:nvSpPr>
        <xdr:cNvPr id="4392153" name="Line 108">
          <a:extLst>
            <a:ext uri="{FF2B5EF4-FFF2-40B4-BE49-F238E27FC236}">
              <a16:creationId xmlns="" xmlns:a16="http://schemas.microsoft.com/office/drawing/2014/main" id="{00000000-0008-0000-1900-0000D9044300}"/>
            </a:ext>
          </a:extLst>
        </xdr:cNvPr>
        <xdr:cNvSpPr>
          <a:spLocks noChangeShapeType="1"/>
        </xdr:cNvSpPr>
      </xdr:nvSpPr>
      <xdr:spPr bwMode="auto">
        <a:xfrm flipH="1">
          <a:off x="11087100" y="0"/>
          <a:ext cx="1600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457200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92154" name="Line 109">
          <a:extLst>
            <a:ext uri="{FF2B5EF4-FFF2-40B4-BE49-F238E27FC236}">
              <a16:creationId xmlns="" xmlns:a16="http://schemas.microsoft.com/office/drawing/2014/main" id="{00000000-0008-0000-1900-0000DA044300}"/>
            </a:ext>
          </a:extLst>
        </xdr:cNvPr>
        <xdr:cNvSpPr>
          <a:spLocks noChangeShapeType="1"/>
        </xdr:cNvSpPr>
      </xdr:nvSpPr>
      <xdr:spPr bwMode="auto">
        <a:xfrm flipH="1">
          <a:off x="11372850" y="0"/>
          <a:ext cx="2371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1104900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92155" name="Line 110">
          <a:extLst>
            <a:ext uri="{FF2B5EF4-FFF2-40B4-BE49-F238E27FC236}">
              <a16:creationId xmlns="" xmlns:a16="http://schemas.microsoft.com/office/drawing/2014/main" id="{00000000-0008-0000-1900-0000DB044300}"/>
            </a:ext>
          </a:extLst>
        </xdr:cNvPr>
        <xdr:cNvSpPr>
          <a:spLocks noChangeShapeType="1"/>
        </xdr:cNvSpPr>
      </xdr:nvSpPr>
      <xdr:spPr bwMode="auto">
        <a:xfrm>
          <a:off x="1157287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1085850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92156" name="Line 111">
          <a:extLst>
            <a:ext uri="{FF2B5EF4-FFF2-40B4-BE49-F238E27FC236}">
              <a16:creationId xmlns="" xmlns:a16="http://schemas.microsoft.com/office/drawing/2014/main" id="{00000000-0008-0000-1900-0000DC044300}"/>
            </a:ext>
          </a:extLst>
        </xdr:cNvPr>
        <xdr:cNvSpPr>
          <a:spLocks noChangeShapeType="1"/>
        </xdr:cNvSpPr>
      </xdr:nvSpPr>
      <xdr:spPr bwMode="auto">
        <a:xfrm>
          <a:off x="1157287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123825</xdr:colOff>
      <xdr:row>0</xdr:row>
      <xdr:rowOff>0</xdr:rowOff>
    </xdr:from>
    <xdr:to>
      <xdr:col>21</xdr:col>
      <xdr:colOff>438150</xdr:colOff>
      <xdr:row>0</xdr:row>
      <xdr:rowOff>0</xdr:rowOff>
    </xdr:to>
    <xdr:sp macro="" textlink="">
      <xdr:nvSpPr>
        <xdr:cNvPr id="113" name="Text Box 112">
          <a:extLst>
            <a:ext uri="{FF2B5EF4-FFF2-40B4-BE49-F238E27FC236}">
              <a16:creationId xmlns="" xmlns:a16="http://schemas.microsoft.com/office/drawing/2014/main" id="{00000000-0008-0000-1900-000071000000}"/>
            </a:ext>
          </a:extLst>
        </xdr:cNvPr>
        <xdr:cNvSpPr txBox="1">
          <a:spLocks noChangeArrowheads="1"/>
        </xdr:cNvSpPr>
      </xdr:nvSpPr>
      <xdr:spPr bwMode="auto">
        <a:xfrm>
          <a:off x="19516725" y="0"/>
          <a:ext cx="3143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1°</a:t>
          </a:r>
        </a:p>
      </xdr:txBody>
    </xdr:sp>
    <xdr:clientData/>
  </xdr:twoCellAnchor>
  <xdr:twoCellAnchor>
    <xdr:from>
      <xdr:col>19</xdr:col>
      <xdr:colOff>1285875</xdr:colOff>
      <xdr:row>0</xdr:row>
      <xdr:rowOff>0</xdr:rowOff>
    </xdr:from>
    <xdr:to>
      <xdr:col>21</xdr:col>
      <xdr:colOff>333375</xdr:colOff>
      <xdr:row>0</xdr:row>
      <xdr:rowOff>0</xdr:rowOff>
    </xdr:to>
    <xdr:sp macro="" textlink="">
      <xdr:nvSpPr>
        <xdr:cNvPr id="114" name="Text Box 113">
          <a:extLst>
            <a:ext uri="{FF2B5EF4-FFF2-40B4-BE49-F238E27FC236}">
              <a16:creationId xmlns="" xmlns:a16="http://schemas.microsoft.com/office/drawing/2014/main" id="{00000000-0008-0000-1900-000072000000}"/>
            </a:ext>
          </a:extLst>
        </xdr:cNvPr>
        <xdr:cNvSpPr txBox="1">
          <a:spLocks noChangeArrowheads="1"/>
        </xdr:cNvSpPr>
      </xdr:nvSpPr>
      <xdr:spPr bwMode="auto">
        <a:xfrm>
          <a:off x="18630900" y="0"/>
          <a:ext cx="10953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3°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5" name="Text Box 114">
          <a:extLst>
            <a:ext uri="{FF2B5EF4-FFF2-40B4-BE49-F238E27FC236}">
              <a16:creationId xmlns="" xmlns:a16="http://schemas.microsoft.com/office/drawing/2014/main" id="{00000000-0008-0000-1900-000073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21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6" name="Text Box 115">
          <a:extLst>
            <a:ext uri="{FF2B5EF4-FFF2-40B4-BE49-F238E27FC236}">
              <a16:creationId xmlns="" xmlns:a16="http://schemas.microsoft.com/office/drawing/2014/main" id="{00000000-0008-0000-1900-000074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19</xdr:col>
      <xdr:colOff>819150</xdr:colOff>
      <xdr:row>0</xdr:row>
      <xdr:rowOff>0</xdr:rowOff>
    </xdr:from>
    <xdr:to>
      <xdr:col>19</xdr:col>
      <xdr:colOff>1000125</xdr:colOff>
      <xdr:row>0</xdr:row>
      <xdr:rowOff>0</xdr:rowOff>
    </xdr:to>
    <xdr:sp macro="" textlink="">
      <xdr:nvSpPr>
        <xdr:cNvPr id="117" name="Text Box 116">
          <a:extLst>
            <a:ext uri="{FF2B5EF4-FFF2-40B4-BE49-F238E27FC236}">
              <a16:creationId xmlns="" xmlns:a16="http://schemas.microsoft.com/office/drawing/2014/main" id="{00000000-0008-0000-1900-000075000000}"/>
            </a:ext>
          </a:extLst>
        </xdr:cNvPr>
        <xdr:cNvSpPr txBox="1">
          <a:spLocks noChangeArrowheads="1"/>
        </xdr:cNvSpPr>
      </xdr:nvSpPr>
      <xdr:spPr bwMode="auto">
        <a:xfrm>
          <a:off x="18183225" y="0"/>
          <a:ext cx="1809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5°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8" name="Text Box 117">
          <a:extLst>
            <a:ext uri="{FF2B5EF4-FFF2-40B4-BE49-F238E27FC236}">
              <a16:creationId xmlns="" xmlns:a16="http://schemas.microsoft.com/office/drawing/2014/main" id="{00000000-0008-0000-1900-000076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6°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1" i="0" strike="noStrike">
              <a:solidFill>
                <a:srgbClr val="000000"/>
              </a:solidFill>
              <a:latin typeface="Times New Roman"/>
              <a:cs typeface="Times New Roman"/>
            </a:rPr>
            <a:t>6</a:t>
          </a:r>
        </a:p>
      </xdr:txBody>
    </xdr:sp>
    <xdr:clientData/>
  </xdr:twoCellAnchor>
  <xdr:twoCellAnchor>
    <xdr:from>
      <xdr:col>14</xdr:col>
      <xdr:colOff>266700</xdr:colOff>
      <xdr:row>15</xdr:row>
      <xdr:rowOff>38100</xdr:rowOff>
    </xdr:from>
    <xdr:to>
      <xdr:col>15</xdr:col>
      <xdr:colOff>352425</xdr:colOff>
      <xdr:row>16</xdr:row>
      <xdr:rowOff>161925</xdr:rowOff>
    </xdr:to>
    <xdr:sp macro="" textlink="">
      <xdr:nvSpPr>
        <xdr:cNvPr id="4392163" name="Text Box 118">
          <a:extLst>
            <a:ext uri="{FF2B5EF4-FFF2-40B4-BE49-F238E27FC236}">
              <a16:creationId xmlns="" xmlns:a16="http://schemas.microsoft.com/office/drawing/2014/main" id="{00000000-0008-0000-1900-0000E3044300}"/>
            </a:ext>
          </a:extLst>
        </xdr:cNvPr>
        <xdr:cNvSpPr txBox="1">
          <a:spLocks noChangeArrowheads="1"/>
        </xdr:cNvSpPr>
      </xdr:nvSpPr>
      <xdr:spPr bwMode="auto">
        <a:xfrm>
          <a:off x="13592175" y="5600700"/>
          <a:ext cx="1009650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190500</xdr:colOff>
      <xdr:row>15</xdr:row>
      <xdr:rowOff>142875</xdr:rowOff>
    </xdr:from>
    <xdr:to>
      <xdr:col>4</xdr:col>
      <xdr:colOff>161925</xdr:colOff>
      <xdr:row>19</xdr:row>
      <xdr:rowOff>66675</xdr:rowOff>
    </xdr:to>
    <xdr:grpSp>
      <xdr:nvGrpSpPr>
        <xdr:cNvPr id="4392165" name="Group 120">
          <a:extLst>
            <a:ext uri="{FF2B5EF4-FFF2-40B4-BE49-F238E27FC236}">
              <a16:creationId xmlns="" xmlns:a16="http://schemas.microsoft.com/office/drawing/2014/main" id="{00000000-0008-0000-1900-0000E5044300}"/>
            </a:ext>
          </a:extLst>
        </xdr:cNvPr>
        <xdr:cNvGrpSpPr>
          <a:grpSpLocks/>
        </xdr:cNvGrpSpPr>
      </xdr:nvGrpSpPr>
      <xdr:grpSpPr bwMode="auto">
        <a:xfrm>
          <a:off x="2833688" y="5691188"/>
          <a:ext cx="2995612" cy="1304925"/>
          <a:chOff x="358" y="540"/>
          <a:chExt cx="293" cy="139"/>
        </a:xfrm>
      </xdr:grpSpPr>
      <xdr:sp macro="" textlink="">
        <xdr:nvSpPr>
          <xdr:cNvPr id="4392192" name="Line 121">
            <a:extLst>
              <a:ext uri="{FF2B5EF4-FFF2-40B4-BE49-F238E27FC236}">
                <a16:creationId xmlns="" xmlns:a16="http://schemas.microsoft.com/office/drawing/2014/main" id="{00000000-0008-0000-1900-0000000543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92193" name="Group 122">
            <a:extLst>
              <a:ext uri="{FF2B5EF4-FFF2-40B4-BE49-F238E27FC236}">
                <a16:creationId xmlns="" xmlns:a16="http://schemas.microsoft.com/office/drawing/2014/main" id="{00000000-0008-0000-1900-0000010543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392249" name="Line 123">
              <a:extLst>
                <a:ext uri="{FF2B5EF4-FFF2-40B4-BE49-F238E27FC236}">
                  <a16:creationId xmlns="" xmlns:a16="http://schemas.microsoft.com/office/drawing/2014/main" id="{00000000-0008-0000-1900-0000390543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2250" name="Line 124">
              <a:extLst>
                <a:ext uri="{FF2B5EF4-FFF2-40B4-BE49-F238E27FC236}">
                  <a16:creationId xmlns="" xmlns:a16="http://schemas.microsoft.com/office/drawing/2014/main" id="{00000000-0008-0000-1900-00003A0543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92194" name="Line 125">
            <a:extLst>
              <a:ext uri="{FF2B5EF4-FFF2-40B4-BE49-F238E27FC236}">
                <a16:creationId xmlns="" xmlns:a16="http://schemas.microsoft.com/office/drawing/2014/main" id="{00000000-0008-0000-1900-00000205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2195" name="Line 126">
            <a:extLst>
              <a:ext uri="{FF2B5EF4-FFF2-40B4-BE49-F238E27FC236}">
                <a16:creationId xmlns="" xmlns:a16="http://schemas.microsoft.com/office/drawing/2014/main" id="{00000000-0008-0000-1900-00000305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2196" name="Line 127">
            <a:extLst>
              <a:ext uri="{FF2B5EF4-FFF2-40B4-BE49-F238E27FC236}">
                <a16:creationId xmlns="" xmlns:a16="http://schemas.microsoft.com/office/drawing/2014/main" id="{00000000-0008-0000-1900-00000405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2197" name="Line 128">
            <a:extLst>
              <a:ext uri="{FF2B5EF4-FFF2-40B4-BE49-F238E27FC236}">
                <a16:creationId xmlns="" xmlns:a16="http://schemas.microsoft.com/office/drawing/2014/main" id="{00000000-0008-0000-1900-0000050543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2198" name="Line 129">
            <a:extLst>
              <a:ext uri="{FF2B5EF4-FFF2-40B4-BE49-F238E27FC236}">
                <a16:creationId xmlns="" xmlns:a16="http://schemas.microsoft.com/office/drawing/2014/main" id="{00000000-0008-0000-1900-0000060543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92199" name="Group 130">
            <a:extLst>
              <a:ext uri="{FF2B5EF4-FFF2-40B4-BE49-F238E27FC236}">
                <a16:creationId xmlns="" xmlns:a16="http://schemas.microsoft.com/office/drawing/2014/main" id="{00000000-0008-0000-1900-0000070543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392243" name="Line 131">
              <a:extLst>
                <a:ext uri="{FF2B5EF4-FFF2-40B4-BE49-F238E27FC236}">
                  <a16:creationId xmlns="" xmlns:a16="http://schemas.microsoft.com/office/drawing/2014/main" id="{00000000-0008-0000-1900-00003305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2244" name="Group 132">
              <a:extLst>
                <a:ext uri="{FF2B5EF4-FFF2-40B4-BE49-F238E27FC236}">
                  <a16:creationId xmlns="" xmlns:a16="http://schemas.microsoft.com/office/drawing/2014/main" id="{00000000-0008-0000-1900-00003405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2245" name="Line 133">
                <a:extLst>
                  <a:ext uri="{FF2B5EF4-FFF2-40B4-BE49-F238E27FC236}">
                    <a16:creationId xmlns="" xmlns:a16="http://schemas.microsoft.com/office/drawing/2014/main" id="{00000000-0008-0000-1900-00003505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2246" name="Group 134">
                <a:extLst>
                  <a:ext uri="{FF2B5EF4-FFF2-40B4-BE49-F238E27FC236}">
                    <a16:creationId xmlns="" xmlns:a16="http://schemas.microsoft.com/office/drawing/2014/main" id="{00000000-0008-0000-1900-00003605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2247" name="Line 135">
                  <a:extLst>
                    <a:ext uri="{FF2B5EF4-FFF2-40B4-BE49-F238E27FC236}">
                      <a16:creationId xmlns="" xmlns:a16="http://schemas.microsoft.com/office/drawing/2014/main" id="{00000000-0008-0000-1900-00003705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2248" name="Line 136">
                  <a:extLst>
                    <a:ext uri="{FF2B5EF4-FFF2-40B4-BE49-F238E27FC236}">
                      <a16:creationId xmlns="" xmlns:a16="http://schemas.microsoft.com/office/drawing/2014/main" id="{00000000-0008-0000-1900-00003805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2200" name="Group 137">
            <a:extLst>
              <a:ext uri="{FF2B5EF4-FFF2-40B4-BE49-F238E27FC236}">
                <a16:creationId xmlns="" xmlns:a16="http://schemas.microsoft.com/office/drawing/2014/main" id="{00000000-0008-0000-1900-0000080543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392237" name="Line 138">
              <a:extLst>
                <a:ext uri="{FF2B5EF4-FFF2-40B4-BE49-F238E27FC236}">
                  <a16:creationId xmlns="" xmlns:a16="http://schemas.microsoft.com/office/drawing/2014/main" id="{00000000-0008-0000-1900-00002D05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2238" name="Group 139">
              <a:extLst>
                <a:ext uri="{FF2B5EF4-FFF2-40B4-BE49-F238E27FC236}">
                  <a16:creationId xmlns="" xmlns:a16="http://schemas.microsoft.com/office/drawing/2014/main" id="{00000000-0008-0000-1900-00002E05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2239" name="Line 140">
                <a:extLst>
                  <a:ext uri="{FF2B5EF4-FFF2-40B4-BE49-F238E27FC236}">
                    <a16:creationId xmlns="" xmlns:a16="http://schemas.microsoft.com/office/drawing/2014/main" id="{00000000-0008-0000-1900-00002F05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2240" name="Group 141">
                <a:extLst>
                  <a:ext uri="{FF2B5EF4-FFF2-40B4-BE49-F238E27FC236}">
                    <a16:creationId xmlns="" xmlns:a16="http://schemas.microsoft.com/office/drawing/2014/main" id="{00000000-0008-0000-1900-00003005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2241" name="Line 142">
                  <a:extLst>
                    <a:ext uri="{FF2B5EF4-FFF2-40B4-BE49-F238E27FC236}">
                      <a16:creationId xmlns="" xmlns:a16="http://schemas.microsoft.com/office/drawing/2014/main" id="{00000000-0008-0000-1900-00003105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2242" name="Line 143">
                  <a:extLst>
                    <a:ext uri="{FF2B5EF4-FFF2-40B4-BE49-F238E27FC236}">
                      <a16:creationId xmlns="" xmlns:a16="http://schemas.microsoft.com/office/drawing/2014/main" id="{00000000-0008-0000-1900-00003205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2201" name="Group 144">
            <a:extLst>
              <a:ext uri="{FF2B5EF4-FFF2-40B4-BE49-F238E27FC236}">
                <a16:creationId xmlns="" xmlns:a16="http://schemas.microsoft.com/office/drawing/2014/main" id="{00000000-0008-0000-1900-0000090543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392231" name="Line 145">
              <a:extLst>
                <a:ext uri="{FF2B5EF4-FFF2-40B4-BE49-F238E27FC236}">
                  <a16:creationId xmlns="" xmlns:a16="http://schemas.microsoft.com/office/drawing/2014/main" id="{00000000-0008-0000-1900-00002705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2232" name="Group 146">
              <a:extLst>
                <a:ext uri="{FF2B5EF4-FFF2-40B4-BE49-F238E27FC236}">
                  <a16:creationId xmlns="" xmlns:a16="http://schemas.microsoft.com/office/drawing/2014/main" id="{00000000-0008-0000-1900-00002805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2233" name="Line 147">
                <a:extLst>
                  <a:ext uri="{FF2B5EF4-FFF2-40B4-BE49-F238E27FC236}">
                    <a16:creationId xmlns="" xmlns:a16="http://schemas.microsoft.com/office/drawing/2014/main" id="{00000000-0008-0000-1900-00002905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2234" name="Group 148">
                <a:extLst>
                  <a:ext uri="{FF2B5EF4-FFF2-40B4-BE49-F238E27FC236}">
                    <a16:creationId xmlns="" xmlns:a16="http://schemas.microsoft.com/office/drawing/2014/main" id="{00000000-0008-0000-1900-00002A05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2235" name="Line 149">
                  <a:extLst>
                    <a:ext uri="{FF2B5EF4-FFF2-40B4-BE49-F238E27FC236}">
                      <a16:creationId xmlns="" xmlns:a16="http://schemas.microsoft.com/office/drawing/2014/main" id="{00000000-0008-0000-1900-00002B05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2236" name="Line 150">
                  <a:extLst>
                    <a:ext uri="{FF2B5EF4-FFF2-40B4-BE49-F238E27FC236}">
                      <a16:creationId xmlns="" xmlns:a16="http://schemas.microsoft.com/office/drawing/2014/main" id="{00000000-0008-0000-1900-00002C05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2202" name="Group 151">
            <a:extLst>
              <a:ext uri="{FF2B5EF4-FFF2-40B4-BE49-F238E27FC236}">
                <a16:creationId xmlns="" xmlns:a16="http://schemas.microsoft.com/office/drawing/2014/main" id="{00000000-0008-0000-1900-00000A0543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392225" name="Line 152">
              <a:extLst>
                <a:ext uri="{FF2B5EF4-FFF2-40B4-BE49-F238E27FC236}">
                  <a16:creationId xmlns="" xmlns:a16="http://schemas.microsoft.com/office/drawing/2014/main" id="{00000000-0008-0000-1900-00002105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2226" name="Group 153">
              <a:extLst>
                <a:ext uri="{FF2B5EF4-FFF2-40B4-BE49-F238E27FC236}">
                  <a16:creationId xmlns="" xmlns:a16="http://schemas.microsoft.com/office/drawing/2014/main" id="{00000000-0008-0000-1900-00002205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2227" name="Line 154">
                <a:extLst>
                  <a:ext uri="{FF2B5EF4-FFF2-40B4-BE49-F238E27FC236}">
                    <a16:creationId xmlns="" xmlns:a16="http://schemas.microsoft.com/office/drawing/2014/main" id="{00000000-0008-0000-1900-00002305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2228" name="Group 155">
                <a:extLst>
                  <a:ext uri="{FF2B5EF4-FFF2-40B4-BE49-F238E27FC236}">
                    <a16:creationId xmlns="" xmlns:a16="http://schemas.microsoft.com/office/drawing/2014/main" id="{00000000-0008-0000-1900-00002405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2229" name="Line 156">
                  <a:extLst>
                    <a:ext uri="{FF2B5EF4-FFF2-40B4-BE49-F238E27FC236}">
                      <a16:creationId xmlns="" xmlns:a16="http://schemas.microsoft.com/office/drawing/2014/main" id="{00000000-0008-0000-1900-00002505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2230" name="Line 157">
                  <a:extLst>
                    <a:ext uri="{FF2B5EF4-FFF2-40B4-BE49-F238E27FC236}">
                      <a16:creationId xmlns="" xmlns:a16="http://schemas.microsoft.com/office/drawing/2014/main" id="{00000000-0008-0000-1900-00002605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2203" name="Group 158">
            <a:extLst>
              <a:ext uri="{FF2B5EF4-FFF2-40B4-BE49-F238E27FC236}">
                <a16:creationId xmlns="" xmlns:a16="http://schemas.microsoft.com/office/drawing/2014/main" id="{00000000-0008-0000-1900-00000B0543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392219" name="Line 159">
              <a:extLst>
                <a:ext uri="{FF2B5EF4-FFF2-40B4-BE49-F238E27FC236}">
                  <a16:creationId xmlns="" xmlns:a16="http://schemas.microsoft.com/office/drawing/2014/main" id="{00000000-0008-0000-1900-00001B05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2220" name="Group 160">
              <a:extLst>
                <a:ext uri="{FF2B5EF4-FFF2-40B4-BE49-F238E27FC236}">
                  <a16:creationId xmlns="" xmlns:a16="http://schemas.microsoft.com/office/drawing/2014/main" id="{00000000-0008-0000-1900-00001C05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2221" name="Line 161">
                <a:extLst>
                  <a:ext uri="{FF2B5EF4-FFF2-40B4-BE49-F238E27FC236}">
                    <a16:creationId xmlns="" xmlns:a16="http://schemas.microsoft.com/office/drawing/2014/main" id="{00000000-0008-0000-1900-00001D05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2222" name="Group 162">
                <a:extLst>
                  <a:ext uri="{FF2B5EF4-FFF2-40B4-BE49-F238E27FC236}">
                    <a16:creationId xmlns="" xmlns:a16="http://schemas.microsoft.com/office/drawing/2014/main" id="{00000000-0008-0000-1900-00001E05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2223" name="Line 163">
                  <a:extLst>
                    <a:ext uri="{FF2B5EF4-FFF2-40B4-BE49-F238E27FC236}">
                      <a16:creationId xmlns="" xmlns:a16="http://schemas.microsoft.com/office/drawing/2014/main" id="{00000000-0008-0000-1900-00001F05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2224" name="Line 164">
                  <a:extLst>
                    <a:ext uri="{FF2B5EF4-FFF2-40B4-BE49-F238E27FC236}">
                      <a16:creationId xmlns="" xmlns:a16="http://schemas.microsoft.com/office/drawing/2014/main" id="{00000000-0008-0000-1900-00002005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2204" name="Group 165">
            <a:extLst>
              <a:ext uri="{FF2B5EF4-FFF2-40B4-BE49-F238E27FC236}">
                <a16:creationId xmlns="" xmlns:a16="http://schemas.microsoft.com/office/drawing/2014/main" id="{00000000-0008-0000-1900-00000C0543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392213" name="Line 166">
              <a:extLst>
                <a:ext uri="{FF2B5EF4-FFF2-40B4-BE49-F238E27FC236}">
                  <a16:creationId xmlns="" xmlns:a16="http://schemas.microsoft.com/office/drawing/2014/main" id="{00000000-0008-0000-1900-00001505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2214" name="Group 167">
              <a:extLst>
                <a:ext uri="{FF2B5EF4-FFF2-40B4-BE49-F238E27FC236}">
                  <a16:creationId xmlns="" xmlns:a16="http://schemas.microsoft.com/office/drawing/2014/main" id="{00000000-0008-0000-1900-00001605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2215" name="Line 168">
                <a:extLst>
                  <a:ext uri="{FF2B5EF4-FFF2-40B4-BE49-F238E27FC236}">
                    <a16:creationId xmlns="" xmlns:a16="http://schemas.microsoft.com/office/drawing/2014/main" id="{00000000-0008-0000-1900-00001705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2216" name="Group 169">
                <a:extLst>
                  <a:ext uri="{FF2B5EF4-FFF2-40B4-BE49-F238E27FC236}">
                    <a16:creationId xmlns="" xmlns:a16="http://schemas.microsoft.com/office/drawing/2014/main" id="{00000000-0008-0000-1900-00001805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2217" name="Line 170">
                  <a:extLst>
                    <a:ext uri="{FF2B5EF4-FFF2-40B4-BE49-F238E27FC236}">
                      <a16:creationId xmlns="" xmlns:a16="http://schemas.microsoft.com/office/drawing/2014/main" id="{00000000-0008-0000-1900-00001905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2218" name="Line 171">
                  <a:extLst>
                    <a:ext uri="{FF2B5EF4-FFF2-40B4-BE49-F238E27FC236}">
                      <a16:creationId xmlns="" xmlns:a16="http://schemas.microsoft.com/office/drawing/2014/main" id="{00000000-0008-0000-1900-00001A05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2205" name="Group 172">
            <a:extLst>
              <a:ext uri="{FF2B5EF4-FFF2-40B4-BE49-F238E27FC236}">
                <a16:creationId xmlns="" xmlns:a16="http://schemas.microsoft.com/office/drawing/2014/main" id="{00000000-0008-0000-1900-00000D0543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392207" name="Line 173">
              <a:extLst>
                <a:ext uri="{FF2B5EF4-FFF2-40B4-BE49-F238E27FC236}">
                  <a16:creationId xmlns="" xmlns:a16="http://schemas.microsoft.com/office/drawing/2014/main" id="{00000000-0008-0000-1900-00000F05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2208" name="Group 174">
              <a:extLst>
                <a:ext uri="{FF2B5EF4-FFF2-40B4-BE49-F238E27FC236}">
                  <a16:creationId xmlns="" xmlns:a16="http://schemas.microsoft.com/office/drawing/2014/main" id="{00000000-0008-0000-1900-00001005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2209" name="Line 175">
                <a:extLst>
                  <a:ext uri="{FF2B5EF4-FFF2-40B4-BE49-F238E27FC236}">
                    <a16:creationId xmlns="" xmlns:a16="http://schemas.microsoft.com/office/drawing/2014/main" id="{00000000-0008-0000-1900-00001105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2210" name="Group 176">
                <a:extLst>
                  <a:ext uri="{FF2B5EF4-FFF2-40B4-BE49-F238E27FC236}">
                    <a16:creationId xmlns="" xmlns:a16="http://schemas.microsoft.com/office/drawing/2014/main" id="{00000000-0008-0000-1900-00001205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2211" name="Line 177">
                  <a:extLst>
                    <a:ext uri="{FF2B5EF4-FFF2-40B4-BE49-F238E27FC236}">
                      <a16:creationId xmlns="" xmlns:a16="http://schemas.microsoft.com/office/drawing/2014/main" id="{00000000-0008-0000-1900-00001305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2212" name="Line 178">
                  <a:extLst>
                    <a:ext uri="{FF2B5EF4-FFF2-40B4-BE49-F238E27FC236}">
                      <a16:creationId xmlns="" xmlns:a16="http://schemas.microsoft.com/office/drawing/2014/main" id="{00000000-0008-0000-1900-00001405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92206" name="Line 179">
            <a:extLst>
              <a:ext uri="{FF2B5EF4-FFF2-40B4-BE49-F238E27FC236}">
                <a16:creationId xmlns="" xmlns:a16="http://schemas.microsoft.com/office/drawing/2014/main" id="{00000000-0008-0000-1900-00000E0543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0</xdr:row>
      <xdr:rowOff>133350</xdr:rowOff>
    </xdr:from>
    <xdr:to>
      <xdr:col>21</xdr:col>
      <xdr:colOff>1314450</xdr:colOff>
      <xdr:row>2</xdr:row>
      <xdr:rowOff>28575</xdr:rowOff>
    </xdr:to>
    <xdr:sp macro="" textlink="">
      <xdr:nvSpPr>
        <xdr:cNvPr id="4330110" name="Rectangle 250">
          <a:extLst>
            <a:ext uri="{FF2B5EF4-FFF2-40B4-BE49-F238E27FC236}">
              <a16:creationId xmlns="" xmlns:a16="http://schemas.microsoft.com/office/drawing/2014/main" id="{00000000-0008-0000-1900-00007E124200}"/>
            </a:ext>
          </a:extLst>
        </xdr:cNvPr>
        <xdr:cNvSpPr>
          <a:spLocks noChangeArrowheads="1"/>
        </xdr:cNvSpPr>
      </xdr:nvSpPr>
      <xdr:spPr bwMode="auto">
        <a:xfrm>
          <a:off x="2324100" y="133350"/>
          <a:ext cx="17506950" cy="5524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  <xdr:txBody>
        <a:bodyPr/>
        <a:lstStyle/>
        <a:p>
          <a:endParaRPr lang="it-IT"/>
        </a:p>
      </xdr:txBody>
    </xdr:sp>
    <xdr:clientData/>
  </xdr:twoCellAnchor>
  <xdr:twoCellAnchor editAs="oneCell">
    <xdr:from>
      <xdr:col>12</xdr:col>
      <xdr:colOff>219075</xdr:colOff>
      <xdr:row>18</xdr:row>
      <xdr:rowOff>85725</xdr:rowOff>
    </xdr:from>
    <xdr:to>
      <xdr:col>21</xdr:col>
      <xdr:colOff>238125</xdr:colOff>
      <xdr:row>30</xdr:row>
      <xdr:rowOff>400050</xdr:rowOff>
    </xdr:to>
    <xdr:pic>
      <xdr:nvPicPr>
        <xdr:cNvPr id="4392168" name="Picture 103">
          <a:extLst>
            <a:ext uri="{FF2B5EF4-FFF2-40B4-BE49-F238E27FC236}">
              <a16:creationId xmlns="" xmlns:a16="http://schemas.microsoft.com/office/drawing/2014/main" id="{00000000-0008-0000-1900-0000E8044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2106275" y="6858000"/>
          <a:ext cx="7524750" cy="3800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285750</xdr:colOff>
      <xdr:row>22</xdr:row>
      <xdr:rowOff>95250</xdr:rowOff>
    </xdr:from>
    <xdr:to>
      <xdr:col>11</xdr:col>
      <xdr:colOff>9525</xdr:colOff>
      <xdr:row>34</xdr:row>
      <xdr:rowOff>171450</xdr:rowOff>
    </xdr:to>
    <xdr:grpSp>
      <xdr:nvGrpSpPr>
        <xdr:cNvPr id="4392169" name="Gruppo 254">
          <a:extLst>
            <a:ext uri="{FF2B5EF4-FFF2-40B4-BE49-F238E27FC236}">
              <a16:creationId xmlns="" xmlns:a16="http://schemas.microsoft.com/office/drawing/2014/main" id="{00000000-0008-0000-1900-0000E9044300}"/>
            </a:ext>
          </a:extLst>
        </xdr:cNvPr>
        <xdr:cNvGrpSpPr>
          <a:grpSpLocks/>
        </xdr:cNvGrpSpPr>
      </xdr:nvGrpSpPr>
      <xdr:grpSpPr bwMode="auto">
        <a:xfrm>
          <a:off x="2619375" y="7786688"/>
          <a:ext cx="8986838" cy="4386262"/>
          <a:chOff x="32032547" y="4916090"/>
          <a:chExt cx="6320731" cy="4069880"/>
        </a:xfrm>
      </xdr:grpSpPr>
      <xdr:sp macro="" textlink="">
        <xdr:nvSpPr>
          <xdr:cNvPr id="4392170" name="Line 181">
            <a:extLst>
              <a:ext uri="{FF2B5EF4-FFF2-40B4-BE49-F238E27FC236}">
                <a16:creationId xmlns="" xmlns:a16="http://schemas.microsoft.com/office/drawing/2014/main" id="{00000000-0008-0000-1900-0000EA04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039228" y="6007380"/>
            <a:ext cx="48107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2171" name="Line 182">
            <a:extLst>
              <a:ext uri="{FF2B5EF4-FFF2-40B4-BE49-F238E27FC236}">
                <a16:creationId xmlns="" xmlns:a16="http://schemas.microsoft.com/office/drawing/2014/main" id="{00000000-0008-0000-1900-0000EB044300}"/>
              </a:ext>
            </a:extLst>
          </xdr:cNvPr>
          <xdr:cNvSpPr>
            <a:spLocks noChangeShapeType="1"/>
          </xdr:cNvSpPr>
        </xdr:nvSpPr>
        <xdr:spPr bwMode="auto">
          <a:xfrm>
            <a:off x="32039228" y="5327889"/>
            <a:ext cx="0" cy="365808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2172" name="Line 183">
            <a:extLst>
              <a:ext uri="{FF2B5EF4-FFF2-40B4-BE49-F238E27FC236}">
                <a16:creationId xmlns="" xmlns:a16="http://schemas.microsoft.com/office/drawing/2014/main" id="{00000000-0008-0000-1900-0000EC044300}"/>
              </a:ext>
            </a:extLst>
          </xdr:cNvPr>
          <xdr:cNvSpPr>
            <a:spLocks noChangeShapeType="1"/>
          </xdr:cNvSpPr>
        </xdr:nvSpPr>
        <xdr:spPr bwMode="auto">
          <a:xfrm>
            <a:off x="32045909" y="6407627"/>
            <a:ext cx="13630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2173" name="Line 184">
            <a:extLst>
              <a:ext uri="{FF2B5EF4-FFF2-40B4-BE49-F238E27FC236}">
                <a16:creationId xmlns="" xmlns:a16="http://schemas.microsoft.com/office/drawing/2014/main" id="{00000000-0008-0000-1900-0000ED044300}"/>
              </a:ext>
            </a:extLst>
          </xdr:cNvPr>
          <xdr:cNvSpPr>
            <a:spLocks noChangeShapeType="1"/>
          </xdr:cNvSpPr>
        </xdr:nvSpPr>
        <xdr:spPr bwMode="auto">
          <a:xfrm>
            <a:off x="32039228" y="6863724"/>
            <a:ext cx="22316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2174" name="Line 185">
            <a:extLst>
              <a:ext uri="{FF2B5EF4-FFF2-40B4-BE49-F238E27FC236}">
                <a16:creationId xmlns="" xmlns:a16="http://schemas.microsoft.com/office/drawing/2014/main" id="{00000000-0008-0000-1900-0000EE04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45909" y="7254664"/>
            <a:ext cx="306014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2175" name="Line 186">
            <a:extLst>
              <a:ext uri="{FF2B5EF4-FFF2-40B4-BE49-F238E27FC236}">
                <a16:creationId xmlns="" xmlns:a16="http://schemas.microsoft.com/office/drawing/2014/main" id="{00000000-0008-0000-1900-0000EF044300}"/>
              </a:ext>
            </a:extLst>
          </xdr:cNvPr>
          <xdr:cNvSpPr>
            <a:spLocks noChangeShapeType="1"/>
          </xdr:cNvSpPr>
        </xdr:nvSpPr>
        <xdr:spPr bwMode="auto">
          <a:xfrm>
            <a:off x="32520299" y="4964873"/>
            <a:ext cx="0" cy="115420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2176" name="Line 187">
            <a:extLst>
              <a:ext uri="{FF2B5EF4-FFF2-40B4-BE49-F238E27FC236}">
                <a16:creationId xmlns="" xmlns:a16="http://schemas.microsoft.com/office/drawing/2014/main" id="{00000000-0008-0000-1900-0000F0044300}"/>
              </a:ext>
            </a:extLst>
          </xdr:cNvPr>
          <xdr:cNvSpPr>
            <a:spLocks noChangeShapeType="1"/>
          </xdr:cNvSpPr>
        </xdr:nvSpPr>
        <xdr:spPr bwMode="auto">
          <a:xfrm>
            <a:off x="32065954" y="5030029"/>
            <a:ext cx="414255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2177" name="Line 188">
            <a:extLst>
              <a:ext uri="{FF2B5EF4-FFF2-40B4-BE49-F238E27FC236}">
                <a16:creationId xmlns="" xmlns:a16="http://schemas.microsoft.com/office/drawing/2014/main" id="{00000000-0008-0000-1900-0000F1044300}"/>
              </a:ext>
            </a:extLst>
          </xdr:cNvPr>
          <xdr:cNvSpPr>
            <a:spLocks noChangeShapeType="1"/>
          </xdr:cNvSpPr>
        </xdr:nvSpPr>
        <xdr:spPr bwMode="auto">
          <a:xfrm>
            <a:off x="33408943" y="4955565"/>
            <a:ext cx="0" cy="149860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2178" name="Line 189">
            <a:extLst>
              <a:ext uri="{FF2B5EF4-FFF2-40B4-BE49-F238E27FC236}">
                <a16:creationId xmlns="" xmlns:a16="http://schemas.microsoft.com/office/drawing/2014/main" id="{00000000-0008-0000-1900-0000F2044300}"/>
              </a:ext>
            </a:extLst>
          </xdr:cNvPr>
          <xdr:cNvSpPr>
            <a:spLocks noChangeShapeType="1"/>
          </xdr:cNvSpPr>
        </xdr:nvSpPr>
        <xdr:spPr bwMode="auto">
          <a:xfrm>
            <a:off x="32841012" y="5039338"/>
            <a:ext cx="88864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2179" name="Line 191">
            <a:extLst>
              <a:ext uri="{FF2B5EF4-FFF2-40B4-BE49-F238E27FC236}">
                <a16:creationId xmlns="" xmlns:a16="http://schemas.microsoft.com/office/drawing/2014/main" id="{00000000-0008-0000-1900-0000F3044300}"/>
              </a:ext>
            </a:extLst>
          </xdr:cNvPr>
          <xdr:cNvSpPr>
            <a:spLocks noChangeShapeType="1"/>
          </xdr:cNvSpPr>
        </xdr:nvSpPr>
        <xdr:spPr bwMode="auto">
          <a:xfrm>
            <a:off x="34241720" y="5042775"/>
            <a:ext cx="0" cy="209917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2180" name="Rectangle 196">
            <a:extLst>
              <a:ext uri="{FF2B5EF4-FFF2-40B4-BE49-F238E27FC236}">
                <a16:creationId xmlns="" xmlns:a16="http://schemas.microsoft.com/office/drawing/2014/main" id="{00000000-0008-0000-1900-0000F4044300}"/>
              </a:ext>
            </a:extLst>
          </xdr:cNvPr>
          <xdr:cNvSpPr>
            <a:spLocks noChangeArrowheads="1"/>
          </xdr:cNvSpPr>
        </xdr:nvSpPr>
        <xdr:spPr bwMode="auto">
          <a:xfrm>
            <a:off x="32039227" y="4918332"/>
            <a:ext cx="6314051" cy="363016"/>
          </a:xfrm>
          <a:prstGeom prst="rect">
            <a:avLst/>
          </a:prstGeom>
          <a:noFill/>
          <a:ln w="158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92181" name="Line 197">
            <a:extLst>
              <a:ext uri="{FF2B5EF4-FFF2-40B4-BE49-F238E27FC236}">
                <a16:creationId xmlns="" xmlns:a16="http://schemas.microsoft.com/office/drawing/2014/main" id="{00000000-0008-0000-1900-0000F5044300}"/>
              </a:ext>
            </a:extLst>
          </xdr:cNvPr>
          <xdr:cNvSpPr>
            <a:spLocks noChangeShapeType="1"/>
          </xdr:cNvSpPr>
        </xdr:nvSpPr>
        <xdr:spPr bwMode="auto">
          <a:xfrm>
            <a:off x="38039246" y="4955565"/>
            <a:ext cx="0" cy="398386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2182" name="Line 199">
            <a:extLst>
              <a:ext uri="{FF2B5EF4-FFF2-40B4-BE49-F238E27FC236}">
                <a16:creationId xmlns="" xmlns:a16="http://schemas.microsoft.com/office/drawing/2014/main" id="{00000000-0008-0000-1900-0000F604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032547" y="8939429"/>
            <a:ext cx="600001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2183" name="Line 201">
            <a:extLst>
              <a:ext uri="{FF2B5EF4-FFF2-40B4-BE49-F238E27FC236}">
                <a16:creationId xmlns="" xmlns:a16="http://schemas.microsoft.com/office/drawing/2014/main" id="{00000000-0008-0000-1900-0000F704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5082562" y="5032371"/>
            <a:ext cx="0" cy="2362448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2184" name="Line 202">
            <a:extLst>
              <a:ext uri="{FF2B5EF4-FFF2-40B4-BE49-F238E27FC236}">
                <a16:creationId xmlns="" xmlns:a16="http://schemas.microsoft.com/office/drawing/2014/main" id="{00000000-0008-0000-1900-0000F804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7758028" y="5032371"/>
            <a:ext cx="8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2185" name="Line 203">
            <a:extLst>
              <a:ext uri="{FF2B5EF4-FFF2-40B4-BE49-F238E27FC236}">
                <a16:creationId xmlns="" xmlns:a16="http://schemas.microsoft.com/office/drawing/2014/main" id="{00000000-0008-0000-1900-0000F904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7692145"/>
            <a:ext cx="388865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2186" name="Line 204">
            <a:extLst>
              <a:ext uri="{FF2B5EF4-FFF2-40B4-BE49-F238E27FC236}">
                <a16:creationId xmlns="" xmlns:a16="http://schemas.microsoft.com/office/drawing/2014/main" id="{00000000-0008-0000-1900-0000FA04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8148242"/>
            <a:ext cx="469711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2187" name="Line 205">
            <a:extLst>
              <a:ext uri="{FF2B5EF4-FFF2-40B4-BE49-F238E27FC236}">
                <a16:creationId xmlns="" xmlns:a16="http://schemas.microsoft.com/office/drawing/2014/main" id="{00000000-0008-0000-1900-0000FB04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8529873"/>
            <a:ext cx="5405362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2188" name="Line 207">
            <a:extLst>
              <a:ext uri="{FF2B5EF4-FFF2-40B4-BE49-F238E27FC236}">
                <a16:creationId xmlns="" xmlns:a16="http://schemas.microsoft.com/office/drawing/2014/main" id="{00000000-0008-0000-1900-0000FC044300}"/>
              </a:ext>
            </a:extLst>
          </xdr:cNvPr>
          <xdr:cNvSpPr>
            <a:spLocks noChangeShapeType="1"/>
          </xdr:cNvSpPr>
        </xdr:nvSpPr>
        <xdr:spPr bwMode="auto">
          <a:xfrm>
            <a:off x="35903589" y="4964873"/>
            <a:ext cx="0" cy="291533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2189" name="Line 210">
            <a:extLst>
              <a:ext uri="{FF2B5EF4-FFF2-40B4-BE49-F238E27FC236}">
                <a16:creationId xmlns="" xmlns:a16="http://schemas.microsoft.com/office/drawing/2014/main" id="{00000000-0008-0000-1900-0000FD044300}"/>
              </a:ext>
            </a:extLst>
          </xdr:cNvPr>
          <xdr:cNvSpPr>
            <a:spLocks noChangeShapeType="1"/>
          </xdr:cNvSpPr>
        </xdr:nvSpPr>
        <xdr:spPr bwMode="auto">
          <a:xfrm>
            <a:off x="37410345" y="4985564"/>
            <a:ext cx="0" cy="3620849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2190" name="Line 212">
            <a:extLst>
              <a:ext uri="{FF2B5EF4-FFF2-40B4-BE49-F238E27FC236}">
                <a16:creationId xmlns="" xmlns:a16="http://schemas.microsoft.com/office/drawing/2014/main" id="{00000000-0008-0000-1900-0000FE044300}"/>
              </a:ext>
            </a:extLst>
          </xdr:cNvPr>
          <xdr:cNvSpPr>
            <a:spLocks noChangeShapeType="1"/>
          </xdr:cNvSpPr>
        </xdr:nvSpPr>
        <xdr:spPr bwMode="auto">
          <a:xfrm>
            <a:off x="37945705" y="5039338"/>
            <a:ext cx="17372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2191" name="Line 210">
            <a:extLst>
              <a:ext uri="{FF2B5EF4-FFF2-40B4-BE49-F238E27FC236}">
                <a16:creationId xmlns="" xmlns:a16="http://schemas.microsoft.com/office/drawing/2014/main" id="{00000000-0008-0000-1900-0000FF044300}"/>
              </a:ext>
            </a:extLst>
          </xdr:cNvPr>
          <xdr:cNvSpPr>
            <a:spLocks noChangeShapeType="1"/>
          </xdr:cNvSpPr>
        </xdr:nvSpPr>
        <xdr:spPr bwMode="auto">
          <a:xfrm>
            <a:off x="36723957" y="4916090"/>
            <a:ext cx="0" cy="3347106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93083" name="Line 1">
          <a:extLst>
            <a:ext uri="{FF2B5EF4-FFF2-40B4-BE49-F238E27FC236}">
              <a16:creationId xmlns="" xmlns:a16="http://schemas.microsoft.com/office/drawing/2014/main" id="{00000000-0008-0000-1A00-00007B084300}"/>
            </a:ext>
          </a:extLst>
        </xdr:cNvPr>
        <xdr:cNvSpPr>
          <a:spLocks noChangeShapeType="1"/>
        </xdr:cNvSpPr>
      </xdr:nvSpPr>
      <xdr:spPr bwMode="auto">
        <a:xfrm flipV="1"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93084" name="Line 2">
          <a:extLst>
            <a:ext uri="{FF2B5EF4-FFF2-40B4-BE49-F238E27FC236}">
              <a16:creationId xmlns="" xmlns:a16="http://schemas.microsoft.com/office/drawing/2014/main" id="{00000000-0008-0000-1A00-00007C084300}"/>
            </a:ext>
          </a:extLst>
        </xdr:cNvPr>
        <xdr:cNvSpPr>
          <a:spLocks noChangeShapeType="1"/>
        </xdr:cNvSpPr>
      </xdr:nvSpPr>
      <xdr:spPr bwMode="auto">
        <a:xfrm flipV="1">
          <a:off x="70580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676275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93085" name="Line 3">
          <a:extLst>
            <a:ext uri="{FF2B5EF4-FFF2-40B4-BE49-F238E27FC236}">
              <a16:creationId xmlns="" xmlns:a16="http://schemas.microsoft.com/office/drawing/2014/main" id="{00000000-0008-0000-1A00-00007D0843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442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95250</xdr:colOff>
      <xdr:row>0</xdr:row>
      <xdr:rowOff>0</xdr:rowOff>
    </xdr:from>
    <xdr:to>
      <xdr:col>6</xdr:col>
      <xdr:colOff>200025</xdr:colOff>
      <xdr:row>0</xdr:row>
      <xdr:rowOff>0</xdr:rowOff>
    </xdr:to>
    <xdr:sp macro="" textlink="">
      <xdr:nvSpPr>
        <xdr:cNvPr id="4393086" name="Line 4">
          <a:extLst>
            <a:ext uri="{FF2B5EF4-FFF2-40B4-BE49-F238E27FC236}">
              <a16:creationId xmlns="" xmlns:a16="http://schemas.microsoft.com/office/drawing/2014/main" id="{00000000-0008-0000-1A00-00007E084300}"/>
            </a:ext>
          </a:extLst>
        </xdr:cNvPr>
        <xdr:cNvSpPr>
          <a:spLocks noChangeShapeType="1"/>
        </xdr:cNvSpPr>
      </xdr:nvSpPr>
      <xdr:spPr bwMode="auto">
        <a:xfrm>
          <a:off x="7153275" y="0"/>
          <a:ext cx="1104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104775</xdr:colOff>
      <xdr:row>0</xdr:row>
      <xdr:rowOff>0</xdr:rowOff>
    </xdr:from>
    <xdr:to>
      <xdr:col>6</xdr:col>
      <xdr:colOff>104775</xdr:colOff>
      <xdr:row>0</xdr:row>
      <xdr:rowOff>0</xdr:rowOff>
    </xdr:to>
    <xdr:sp macro="" textlink="">
      <xdr:nvSpPr>
        <xdr:cNvPr id="4393087" name="Line 5">
          <a:extLst>
            <a:ext uri="{FF2B5EF4-FFF2-40B4-BE49-F238E27FC236}">
              <a16:creationId xmlns="" xmlns:a16="http://schemas.microsoft.com/office/drawing/2014/main" id="{00000000-0008-0000-1A00-00007F084300}"/>
            </a:ext>
          </a:extLst>
        </xdr:cNvPr>
        <xdr:cNvSpPr>
          <a:spLocks noChangeShapeType="1"/>
        </xdr:cNvSpPr>
      </xdr:nvSpPr>
      <xdr:spPr bwMode="auto">
        <a:xfrm>
          <a:off x="81629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0</xdr:row>
      <xdr:rowOff>0</xdr:rowOff>
    </xdr:from>
    <xdr:to>
      <xdr:col>6</xdr:col>
      <xdr:colOff>114300</xdr:colOff>
      <xdr:row>0</xdr:row>
      <xdr:rowOff>0</xdr:rowOff>
    </xdr:to>
    <xdr:sp macro="" textlink="">
      <xdr:nvSpPr>
        <xdr:cNvPr id="4393088" name="Line 6">
          <a:extLst>
            <a:ext uri="{FF2B5EF4-FFF2-40B4-BE49-F238E27FC236}">
              <a16:creationId xmlns="" xmlns:a16="http://schemas.microsoft.com/office/drawing/2014/main" id="{00000000-0008-0000-1A00-000080084300}"/>
            </a:ext>
          </a:extLst>
        </xdr:cNvPr>
        <xdr:cNvSpPr>
          <a:spLocks noChangeShapeType="1"/>
        </xdr:cNvSpPr>
      </xdr:nvSpPr>
      <xdr:spPr bwMode="auto">
        <a:xfrm>
          <a:off x="81724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85725</xdr:colOff>
      <xdr:row>0</xdr:row>
      <xdr:rowOff>0</xdr:rowOff>
    </xdr:from>
    <xdr:to>
      <xdr:col>6</xdr:col>
      <xdr:colOff>228600</xdr:colOff>
      <xdr:row>0</xdr:row>
      <xdr:rowOff>0</xdr:rowOff>
    </xdr:to>
    <xdr:sp macro="" textlink="">
      <xdr:nvSpPr>
        <xdr:cNvPr id="4393089" name="Line 7">
          <a:extLst>
            <a:ext uri="{FF2B5EF4-FFF2-40B4-BE49-F238E27FC236}">
              <a16:creationId xmlns="" xmlns:a16="http://schemas.microsoft.com/office/drawing/2014/main" id="{00000000-0008-0000-1A00-000081084300}"/>
            </a:ext>
          </a:extLst>
        </xdr:cNvPr>
        <xdr:cNvSpPr>
          <a:spLocks noChangeShapeType="1"/>
        </xdr:cNvSpPr>
      </xdr:nvSpPr>
      <xdr:spPr bwMode="auto">
        <a:xfrm>
          <a:off x="7143750" y="0"/>
          <a:ext cx="1143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533400</xdr:colOff>
      <xdr:row>0</xdr:row>
      <xdr:rowOff>0</xdr:rowOff>
    </xdr:from>
    <xdr:to>
      <xdr:col>12</xdr:col>
      <xdr:colOff>123825</xdr:colOff>
      <xdr:row>0</xdr:row>
      <xdr:rowOff>0</xdr:rowOff>
    </xdr:to>
    <xdr:sp macro="" textlink="">
      <xdr:nvSpPr>
        <xdr:cNvPr id="4393090" name="Line 8">
          <a:extLst>
            <a:ext uri="{FF2B5EF4-FFF2-40B4-BE49-F238E27FC236}">
              <a16:creationId xmlns="" xmlns:a16="http://schemas.microsoft.com/office/drawing/2014/main" id="{00000000-0008-0000-1A00-000082084300}"/>
            </a:ext>
          </a:extLst>
        </xdr:cNvPr>
        <xdr:cNvSpPr>
          <a:spLocks noChangeShapeType="1"/>
        </xdr:cNvSpPr>
      </xdr:nvSpPr>
      <xdr:spPr bwMode="auto">
        <a:xfrm>
          <a:off x="11887200" y="0"/>
          <a:ext cx="12382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12</xdr:col>
      <xdr:colOff>238125</xdr:colOff>
      <xdr:row>0</xdr:row>
      <xdr:rowOff>0</xdr:rowOff>
    </xdr:to>
    <xdr:sp macro="" textlink="">
      <xdr:nvSpPr>
        <xdr:cNvPr id="4393091" name="Line 9">
          <a:extLst>
            <a:ext uri="{FF2B5EF4-FFF2-40B4-BE49-F238E27FC236}">
              <a16:creationId xmlns="" xmlns:a16="http://schemas.microsoft.com/office/drawing/2014/main" id="{00000000-0008-0000-1A00-000083084300}"/>
            </a:ext>
          </a:extLst>
        </xdr:cNvPr>
        <xdr:cNvSpPr>
          <a:spLocks noChangeShapeType="1"/>
        </xdr:cNvSpPr>
      </xdr:nvSpPr>
      <xdr:spPr bwMode="auto">
        <a:xfrm flipV="1">
          <a:off x="120110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238125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3092" name="Line 10">
          <a:extLst>
            <a:ext uri="{FF2B5EF4-FFF2-40B4-BE49-F238E27FC236}">
              <a16:creationId xmlns="" xmlns:a16="http://schemas.microsoft.com/office/drawing/2014/main" id="{00000000-0008-0000-1A00-000084084300}"/>
            </a:ext>
          </a:extLst>
        </xdr:cNvPr>
        <xdr:cNvSpPr>
          <a:spLocks noChangeShapeType="1"/>
        </xdr:cNvSpPr>
      </xdr:nvSpPr>
      <xdr:spPr bwMode="auto">
        <a:xfrm>
          <a:off x="12125325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361950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3093" name="Line 11">
          <a:extLst>
            <a:ext uri="{FF2B5EF4-FFF2-40B4-BE49-F238E27FC236}">
              <a16:creationId xmlns="" xmlns:a16="http://schemas.microsoft.com/office/drawing/2014/main" id="{00000000-0008-0000-1A00-000085084300}"/>
            </a:ext>
          </a:extLst>
        </xdr:cNvPr>
        <xdr:cNvSpPr>
          <a:spLocks noChangeShapeType="1"/>
        </xdr:cNvSpPr>
      </xdr:nvSpPr>
      <xdr:spPr bwMode="auto">
        <a:xfrm flipV="1"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466725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3094" name="Line 12">
          <a:extLst>
            <a:ext uri="{FF2B5EF4-FFF2-40B4-BE49-F238E27FC236}">
              <a16:creationId xmlns="" xmlns:a16="http://schemas.microsoft.com/office/drawing/2014/main" id="{00000000-0008-0000-1A00-00008608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581025</xdr:colOff>
      <xdr:row>0</xdr:row>
      <xdr:rowOff>0</xdr:rowOff>
    </xdr:from>
    <xdr:to>
      <xdr:col>13</xdr:col>
      <xdr:colOff>0</xdr:colOff>
      <xdr:row>0</xdr:row>
      <xdr:rowOff>0</xdr:rowOff>
    </xdr:to>
    <xdr:sp macro="" textlink="">
      <xdr:nvSpPr>
        <xdr:cNvPr id="4393095" name="Line 13">
          <a:extLst>
            <a:ext uri="{FF2B5EF4-FFF2-40B4-BE49-F238E27FC236}">
              <a16:creationId xmlns="" xmlns:a16="http://schemas.microsoft.com/office/drawing/2014/main" id="{00000000-0008-0000-1A00-000087084300}"/>
            </a:ext>
          </a:extLst>
        </xdr:cNvPr>
        <xdr:cNvSpPr>
          <a:spLocks noChangeShapeType="1"/>
        </xdr:cNvSpPr>
      </xdr:nvSpPr>
      <xdr:spPr bwMode="auto">
        <a:xfrm flipV="1"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0</xdr:row>
      <xdr:rowOff>0</xdr:rowOff>
    </xdr:from>
    <xdr:to>
      <xdr:col>13</xdr:col>
      <xdr:colOff>123825</xdr:colOff>
      <xdr:row>0</xdr:row>
      <xdr:rowOff>0</xdr:rowOff>
    </xdr:to>
    <xdr:sp macro="" textlink="">
      <xdr:nvSpPr>
        <xdr:cNvPr id="4393096" name="Line 14">
          <a:extLst>
            <a:ext uri="{FF2B5EF4-FFF2-40B4-BE49-F238E27FC236}">
              <a16:creationId xmlns="" xmlns:a16="http://schemas.microsoft.com/office/drawing/2014/main" id="{00000000-0008-0000-1A00-00008808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123825</xdr:colOff>
      <xdr:row>0</xdr:row>
      <xdr:rowOff>0</xdr:rowOff>
    </xdr:from>
    <xdr:to>
      <xdr:col>13</xdr:col>
      <xdr:colOff>238125</xdr:colOff>
      <xdr:row>0</xdr:row>
      <xdr:rowOff>0</xdr:rowOff>
    </xdr:to>
    <xdr:sp macro="" textlink="">
      <xdr:nvSpPr>
        <xdr:cNvPr id="4393097" name="Line 15">
          <a:extLst>
            <a:ext uri="{FF2B5EF4-FFF2-40B4-BE49-F238E27FC236}">
              <a16:creationId xmlns="" xmlns:a16="http://schemas.microsoft.com/office/drawing/2014/main" id="{00000000-0008-0000-1A00-000089084300}"/>
            </a:ext>
          </a:extLst>
        </xdr:cNvPr>
        <xdr:cNvSpPr>
          <a:spLocks noChangeShapeType="1"/>
        </xdr:cNvSpPr>
      </xdr:nvSpPr>
      <xdr:spPr bwMode="auto">
        <a:xfrm flipV="1">
          <a:off x="122586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238125</xdr:colOff>
      <xdr:row>0</xdr:row>
      <xdr:rowOff>0</xdr:rowOff>
    </xdr:from>
    <xdr:to>
      <xdr:col>13</xdr:col>
      <xdr:colOff>361950</xdr:colOff>
      <xdr:row>0</xdr:row>
      <xdr:rowOff>0</xdr:rowOff>
    </xdr:to>
    <xdr:sp macro="" textlink="">
      <xdr:nvSpPr>
        <xdr:cNvPr id="4393098" name="Line 16">
          <a:extLst>
            <a:ext uri="{FF2B5EF4-FFF2-40B4-BE49-F238E27FC236}">
              <a16:creationId xmlns="" xmlns:a16="http://schemas.microsoft.com/office/drawing/2014/main" id="{00000000-0008-0000-1A00-00008A084300}"/>
            </a:ext>
          </a:extLst>
        </xdr:cNvPr>
        <xdr:cNvSpPr>
          <a:spLocks noChangeShapeType="1"/>
        </xdr:cNvSpPr>
      </xdr:nvSpPr>
      <xdr:spPr bwMode="auto">
        <a:xfrm>
          <a:off x="123729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361950</xdr:colOff>
      <xdr:row>0</xdr:row>
      <xdr:rowOff>0</xdr:rowOff>
    </xdr:from>
    <xdr:to>
      <xdr:col>13</xdr:col>
      <xdr:colOff>476250</xdr:colOff>
      <xdr:row>0</xdr:row>
      <xdr:rowOff>0</xdr:rowOff>
    </xdr:to>
    <xdr:sp macro="" textlink="">
      <xdr:nvSpPr>
        <xdr:cNvPr id="4393099" name="Line 17">
          <a:extLst>
            <a:ext uri="{FF2B5EF4-FFF2-40B4-BE49-F238E27FC236}">
              <a16:creationId xmlns="" xmlns:a16="http://schemas.microsoft.com/office/drawing/2014/main" id="{00000000-0008-0000-1A00-00008B084300}"/>
            </a:ext>
          </a:extLst>
        </xdr:cNvPr>
        <xdr:cNvSpPr>
          <a:spLocks noChangeShapeType="1"/>
        </xdr:cNvSpPr>
      </xdr:nvSpPr>
      <xdr:spPr bwMode="auto">
        <a:xfrm flipV="1">
          <a:off x="1249680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476250</xdr:colOff>
      <xdr:row>0</xdr:row>
      <xdr:rowOff>0</xdr:rowOff>
    </xdr:from>
    <xdr:to>
      <xdr:col>13</xdr:col>
      <xdr:colOff>609600</xdr:colOff>
      <xdr:row>0</xdr:row>
      <xdr:rowOff>0</xdr:rowOff>
    </xdr:to>
    <xdr:sp macro="" textlink="">
      <xdr:nvSpPr>
        <xdr:cNvPr id="4393100" name="Line 18">
          <a:extLst>
            <a:ext uri="{FF2B5EF4-FFF2-40B4-BE49-F238E27FC236}">
              <a16:creationId xmlns="" xmlns:a16="http://schemas.microsoft.com/office/drawing/2014/main" id="{00000000-0008-0000-1A00-00008C084300}"/>
            </a:ext>
          </a:extLst>
        </xdr:cNvPr>
        <xdr:cNvSpPr>
          <a:spLocks noChangeShapeType="1"/>
        </xdr:cNvSpPr>
      </xdr:nvSpPr>
      <xdr:spPr bwMode="auto">
        <a:xfrm>
          <a:off x="12611100" y="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14</xdr:col>
      <xdr:colOff>28575</xdr:colOff>
      <xdr:row>0</xdr:row>
      <xdr:rowOff>0</xdr:rowOff>
    </xdr:to>
    <xdr:sp macro="" textlink="">
      <xdr:nvSpPr>
        <xdr:cNvPr id="4393101" name="Line 19">
          <a:extLst>
            <a:ext uri="{FF2B5EF4-FFF2-40B4-BE49-F238E27FC236}">
              <a16:creationId xmlns="" xmlns:a16="http://schemas.microsoft.com/office/drawing/2014/main" id="{00000000-0008-0000-1A00-00008D084300}"/>
            </a:ext>
          </a:extLst>
        </xdr:cNvPr>
        <xdr:cNvSpPr>
          <a:spLocks noChangeShapeType="1"/>
        </xdr:cNvSpPr>
      </xdr:nvSpPr>
      <xdr:spPr bwMode="auto">
        <a:xfrm flipV="1">
          <a:off x="12744450" y="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28575</xdr:colOff>
      <xdr:row>0</xdr:row>
      <xdr:rowOff>0</xdr:rowOff>
    </xdr:from>
    <xdr:to>
      <xdr:col>14</xdr:col>
      <xdr:colOff>152400</xdr:colOff>
      <xdr:row>0</xdr:row>
      <xdr:rowOff>0</xdr:rowOff>
    </xdr:to>
    <xdr:sp macro="" textlink="">
      <xdr:nvSpPr>
        <xdr:cNvPr id="4393102" name="Line 20">
          <a:extLst>
            <a:ext uri="{FF2B5EF4-FFF2-40B4-BE49-F238E27FC236}">
              <a16:creationId xmlns="" xmlns:a16="http://schemas.microsoft.com/office/drawing/2014/main" id="{00000000-0008-0000-1A00-00008E084300}"/>
            </a:ext>
          </a:extLst>
        </xdr:cNvPr>
        <xdr:cNvSpPr>
          <a:spLocks noChangeShapeType="1"/>
        </xdr:cNvSpPr>
      </xdr:nvSpPr>
      <xdr:spPr bwMode="auto">
        <a:xfrm>
          <a:off x="133540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152400</xdr:colOff>
      <xdr:row>0</xdr:row>
      <xdr:rowOff>0</xdr:rowOff>
    </xdr:from>
    <xdr:to>
      <xdr:col>14</xdr:col>
      <xdr:colOff>266700</xdr:colOff>
      <xdr:row>0</xdr:row>
      <xdr:rowOff>0</xdr:rowOff>
    </xdr:to>
    <xdr:sp macro="" textlink="">
      <xdr:nvSpPr>
        <xdr:cNvPr id="4393103" name="Line 21">
          <a:extLst>
            <a:ext uri="{FF2B5EF4-FFF2-40B4-BE49-F238E27FC236}">
              <a16:creationId xmlns="" xmlns:a16="http://schemas.microsoft.com/office/drawing/2014/main" id="{00000000-0008-0000-1A00-00008F084300}"/>
            </a:ext>
          </a:extLst>
        </xdr:cNvPr>
        <xdr:cNvSpPr>
          <a:spLocks noChangeShapeType="1"/>
        </xdr:cNvSpPr>
      </xdr:nvSpPr>
      <xdr:spPr bwMode="auto">
        <a:xfrm flipV="1">
          <a:off x="134778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266700</xdr:colOff>
      <xdr:row>0</xdr:row>
      <xdr:rowOff>0</xdr:rowOff>
    </xdr:from>
    <xdr:to>
      <xdr:col>14</xdr:col>
      <xdr:colOff>381000</xdr:colOff>
      <xdr:row>0</xdr:row>
      <xdr:rowOff>0</xdr:rowOff>
    </xdr:to>
    <xdr:sp macro="" textlink="">
      <xdr:nvSpPr>
        <xdr:cNvPr id="4393104" name="Line 22">
          <a:extLst>
            <a:ext uri="{FF2B5EF4-FFF2-40B4-BE49-F238E27FC236}">
              <a16:creationId xmlns="" xmlns:a16="http://schemas.microsoft.com/office/drawing/2014/main" id="{00000000-0008-0000-1A00-000090084300}"/>
            </a:ext>
          </a:extLst>
        </xdr:cNvPr>
        <xdr:cNvSpPr>
          <a:spLocks noChangeShapeType="1"/>
        </xdr:cNvSpPr>
      </xdr:nvSpPr>
      <xdr:spPr bwMode="auto">
        <a:xfrm>
          <a:off x="135921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381000</xdr:colOff>
      <xdr:row>0</xdr:row>
      <xdr:rowOff>0</xdr:rowOff>
    </xdr:from>
    <xdr:to>
      <xdr:col>14</xdr:col>
      <xdr:colOff>495300</xdr:colOff>
      <xdr:row>0</xdr:row>
      <xdr:rowOff>0</xdr:rowOff>
    </xdr:to>
    <xdr:sp macro="" textlink="">
      <xdr:nvSpPr>
        <xdr:cNvPr id="4393105" name="Line 23">
          <a:extLst>
            <a:ext uri="{FF2B5EF4-FFF2-40B4-BE49-F238E27FC236}">
              <a16:creationId xmlns="" xmlns:a16="http://schemas.microsoft.com/office/drawing/2014/main" id="{00000000-0008-0000-1A00-000091084300}"/>
            </a:ext>
          </a:extLst>
        </xdr:cNvPr>
        <xdr:cNvSpPr>
          <a:spLocks noChangeShapeType="1"/>
        </xdr:cNvSpPr>
      </xdr:nvSpPr>
      <xdr:spPr bwMode="auto">
        <a:xfrm flipV="1">
          <a:off x="137064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495300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93106" name="Line 24">
          <a:extLst>
            <a:ext uri="{FF2B5EF4-FFF2-40B4-BE49-F238E27FC236}">
              <a16:creationId xmlns="" xmlns:a16="http://schemas.microsoft.com/office/drawing/2014/main" id="{00000000-0008-0000-1A00-000092084300}"/>
            </a:ext>
          </a:extLst>
        </xdr:cNvPr>
        <xdr:cNvSpPr>
          <a:spLocks noChangeShapeType="1"/>
        </xdr:cNvSpPr>
      </xdr:nvSpPr>
      <xdr:spPr bwMode="auto">
        <a:xfrm>
          <a:off x="138207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93107" name="Line 25">
          <a:extLst>
            <a:ext uri="{FF2B5EF4-FFF2-40B4-BE49-F238E27FC236}">
              <a16:creationId xmlns="" xmlns:a16="http://schemas.microsoft.com/office/drawing/2014/main" id="{00000000-0008-0000-1A00-0000930843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66675</xdr:colOff>
      <xdr:row>0</xdr:row>
      <xdr:rowOff>0</xdr:rowOff>
    </xdr:to>
    <xdr:sp macro="" textlink="">
      <xdr:nvSpPr>
        <xdr:cNvPr id="4393108" name="Line 26">
          <a:extLst>
            <a:ext uri="{FF2B5EF4-FFF2-40B4-BE49-F238E27FC236}">
              <a16:creationId xmlns="" xmlns:a16="http://schemas.microsoft.com/office/drawing/2014/main" id="{00000000-0008-0000-1A00-000094084300}"/>
            </a:ext>
          </a:extLst>
        </xdr:cNvPr>
        <xdr:cNvSpPr>
          <a:spLocks noChangeShapeType="1"/>
        </xdr:cNvSpPr>
      </xdr:nvSpPr>
      <xdr:spPr bwMode="auto">
        <a:xfrm flipV="1">
          <a:off x="11953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93109" name="Line 27">
          <a:extLst>
            <a:ext uri="{FF2B5EF4-FFF2-40B4-BE49-F238E27FC236}">
              <a16:creationId xmlns="" xmlns:a16="http://schemas.microsoft.com/office/drawing/2014/main" id="{00000000-0008-0000-1A00-0000950843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93110" name="Line 28">
          <a:extLst>
            <a:ext uri="{FF2B5EF4-FFF2-40B4-BE49-F238E27FC236}">
              <a16:creationId xmlns="" xmlns:a16="http://schemas.microsoft.com/office/drawing/2014/main" id="{00000000-0008-0000-1A00-000096084300}"/>
            </a:ext>
          </a:extLst>
        </xdr:cNvPr>
        <xdr:cNvSpPr>
          <a:spLocks noChangeShapeType="1"/>
        </xdr:cNvSpPr>
      </xdr:nvSpPr>
      <xdr:spPr bwMode="auto">
        <a:xfrm>
          <a:off x="12011025" y="0"/>
          <a:ext cx="1933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352425</xdr:colOff>
      <xdr:row>0</xdr:row>
      <xdr:rowOff>0</xdr:rowOff>
    </xdr:from>
    <xdr:to>
      <xdr:col>2</xdr:col>
      <xdr:colOff>352425</xdr:colOff>
      <xdr:row>0</xdr:row>
      <xdr:rowOff>0</xdr:rowOff>
    </xdr:to>
    <xdr:sp macro="" textlink="">
      <xdr:nvSpPr>
        <xdr:cNvPr id="4393111" name="Line 29">
          <a:extLst>
            <a:ext uri="{FF2B5EF4-FFF2-40B4-BE49-F238E27FC236}">
              <a16:creationId xmlns="" xmlns:a16="http://schemas.microsoft.com/office/drawing/2014/main" id="{00000000-0008-0000-1A00-000097084300}"/>
            </a:ext>
          </a:extLst>
        </xdr:cNvPr>
        <xdr:cNvSpPr>
          <a:spLocks noChangeShapeType="1"/>
        </xdr:cNvSpPr>
      </xdr:nvSpPr>
      <xdr:spPr bwMode="auto">
        <a:xfrm>
          <a:off x="2981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152400</xdr:colOff>
      <xdr:row>0</xdr:row>
      <xdr:rowOff>0</xdr:rowOff>
    </xdr:to>
    <xdr:sp macro="" textlink="">
      <xdr:nvSpPr>
        <xdr:cNvPr id="4393112" name="Line 30">
          <a:extLst>
            <a:ext uri="{FF2B5EF4-FFF2-40B4-BE49-F238E27FC236}">
              <a16:creationId xmlns="" xmlns:a16="http://schemas.microsoft.com/office/drawing/2014/main" id="{00000000-0008-0000-1A00-0000980843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723900</xdr:colOff>
      <xdr:row>0</xdr:row>
      <xdr:rowOff>0</xdr:rowOff>
    </xdr:from>
    <xdr:to>
      <xdr:col>4</xdr:col>
      <xdr:colOff>723900</xdr:colOff>
      <xdr:row>0</xdr:row>
      <xdr:rowOff>0</xdr:rowOff>
    </xdr:to>
    <xdr:sp macro="" textlink="">
      <xdr:nvSpPr>
        <xdr:cNvPr id="4393113" name="Line 31">
          <a:extLst>
            <a:ext uri="{FF2B5EF4-FFF2-40B4-BE49-F238E27FC236}">
              <a16:creationId xmlns="" xmlns:a16="http://schemas.microsoft.com/office/drawing/2014/main" id="{00000000-0008-0000-1A00-000099084300}"/>
            </a:ext>
          </a:extLst>
        </xdr:cNvPr>
        <xdr:cNvSpPr>
          <a:spLocks noChangeShapeType="1"/>
        </xdr:cNvSpPr>
      </xdr:nvSpPr>
      <xdr:spPr bwMode="auto">
        <a:xfrm>
          <a:off x="63722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285750</xdr:colOff>
      <xdr:row>0</xdr:row>
      <xdr:rowOff>0</xdr:rowOff>
    </xdr:from>
    <xdr:to>
      <xdr:col>2</xdr:col>
      <xdr:colOff>285750</xdr:colOff>
      <xdr:row>0</xdr:row>
      <xdr:rowOff>0</xdr:rowOff>
    </xdr:to>
    <xdr:sp macro="" textlink="">
      <xdr:nvSpPr>
        <xdr:cNvPr id="4393114" name="Line 32">
          <a:extLst>
            <a:ext uri="{FF2B5EF4-FFF2-40B4-BE49-F238E27FC236}">
              <a16:creationId xmlns="" xmlns:a16="http://schemas.microsoft.com/office/drawing/2014/main" id="{00000000-0008-0000-1A00-00009A084300}"/>
            </a:ext>
          </a:extLst>
        </xdr:cNvPr>
        <xdr:cNvSpPr>
          <a:spLocks noChangeShapeType="1"/>
        </xdr:cNvSpPr>
      </xdr:nvSpPr>
      <xdr:spPr bwMode="auto">
        <a:xfrm>
          <a:off x="29146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590550</xdr:colOff>
      <xdr:row>0</xdr:row>
      <xdr:rowOff>0</xdr:rowOff>
    </xdr:from>
    <xdr:to>
      <xdr:col>4</xdr:col>
      <xdr:colOff>590550</xdr:colOff>
      <xdr:row>0</xdr:row>
      <xdr:rowOff>0</xdr:rowOff>
    </xdr:to>
    <xdr:sp macro="" textlink="">
      <xdr:nvSpPr>
        <xdr:cNvPr id="4393115" name="Line 33">
          <a:extLst>
            <a:ext uri="{FF2B5EF4-FFF2-40B4-BE49-F238E27FC236}">
              <a16:creationId xmlns="" xmlns:a16="http://schemas.microsoft.com/office/drawing/2014/main" id="{00000000-0008-0000-1A00-00009B084300}"/>
            </a:ext>
          </a:extLst>
        </xdr:cNvPr>
        <xdr:cNvSpPr>
          <a:spLocks noChangeShapeType="1"/>
        </xdr:cNvSpPr>
      </xdr:nvSpPr>
      <xdr:spPr bwMode="auto">
        <a:xfrm flipH="1">
          <a:off x="6238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93116" name="Line 34">
          <a:extLst>
            <a:ext uri="{FF2B5EF4-FFF2-40B4-BE49-F238E27FC236}">
              <a16:creationId xmlns="" xmlns:a16="http://schemas.microsoft.com/office/drawing/2014/main" id="{00000000-0008-0000-1A00-00009C0843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95250</xdr:colOff>
      <xdr:row>0</xdr:row>
      <xdr:rowOff>0</xdr:rowOff>
    </xdr:to>
    <xdr:grpSp>
      <xdr:nvGrpSpPr>
        <xdr:cNvPr id="4393117" name="Group 35">
          <a:extLst>
            <a:ext uri="{FF2B5EF4-FFF2-40B4-BE49-F238E27FC236}">
              <a16:creationId xmlns="" xmlns:a16="http://schemas.microsoft.com/office/drawing/2014/main" id="{00000000-0008-0000-1A00-00009D084300}"/>
            </a:ext>
          </a:extLst>
        </xdr:cNvPr>
        <xdr:cNvGrpSpPr>
          <a:grpSpLocks/>
        </xdr:cNvGrpSpPr>
      </xdr:nvGrpSpPr>
      <xdr:grpSpPr bwMode="auto">
        <a:xfrm>
          <a:off x="9853613" y="0"/>
          <a:ext cx="5600700" cy="0"/>
          <a:chOff x="630" y="359"/>
          <a:chExt cx="361" cy="60"/>
        </a:xfrm>
      </xdr:grpSpPr>
      <xdr:sp macro="" textlink="">
        <xdr:nvSpPr>
          <xdr:cNvPr id="4393285" name="Line 36">
            <a:extLst>
              <a:ext uri="{FF2B5EF4-FFF2-40B4-BE49-F238E27FC236}">
                <a16:creationId xmlns="" xmlns:a16="http://schemas.microsoft.com/office/drawing/2014/main" id="{00000000-0008-0000-1A00-00004509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0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3286" name="Line 37">
            <a:extLst>
              <a:ext uri="{FF2B5EF4-FFF2-40B4-BE49-F238E27FC236}">
                <a16:creationId xmlns="" xmlns:a16="http://schemas.microsoft.com/office/drawing/2014/main" id="{00000000-0008-0000-1A00-00004609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91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3287" name="Line 38">
            <a:extLst>
              <a:ext uri="{FF2B5EF4-FFF2-40B4-BE49-F238E27FC236}">
                <a16:creationId xmlns="" xmlns:a16="http://schemas.microsoft.com/office/drawing/2014/main" id="{00000000-0008-0000-1A00-000047094300}"/>
              </a:ext>
            </a:extLst>
          </xdr:cNvPr>
          <xdr:cNvSpPr>
            <a:spLocks noChangeShapeType="1"/>
          </xdr:cNvSpPr>
        </xdr:nvSpPr>
        <xdr:spPr bwMode="auto">
          <a:xfrm>
            <a:off x="630" y="381"/>
            <a:ext cx="3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7</xdr:col>
      <xdr:colOff>590550</xdr:colOff>
      <xdr:row>0</xdr:row>
      <xdr:rowOff>0</xdr:rowOff>
    </xdr:to>
    <xdr:sp macro="" textlink="">
      <xdr:nvSpPr>
        <xdr:cNvPr id="4393118" name="Line 39">
          <a:extLst>
            <a:ext uri="{FF2B5EF4-FFF2-40B4-BE49-F238E27FC236}">
              <a16:creationId xmlns="" xmlns:a16="http://schemas.microsoft.com/office/drawing/2014/main" id="{00000000-0008-0000-1A00-00009E0843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10</xdr:col>
      <xdr:colOff>47625</xdr:colOff>
      <xdr:row>0</xdr:row>
      <xdr:rowOff>0</xdr:rowOff>
    </xdr:to>
    <xdr:sp macro="" textlink="">
      <xdr:nvSpPr>
        <xdr:cNvPr id="4393119" name="Line 40">
          <a:extLst>
            <a:ext uri="{FF2B5EF4-FFF2-40B4-BE49-F238E27FC236}">
              <a16:creationId xmlns="" xmlns:a16="http://schemas.microsoft.com/office/drawing/2014/main" id="{00000000-0008-0000-1A00-00009F084300}"/>
            </a:ext>
          </a:extLst>
        </xdr:cNvPr>
        <xdr:cNvSpPr>
          <a:spLocks noChangeShapeType="1"/>
        </xdr:cNvSpPr>
      </xdr:nvSpPr>
      <xdr:spPr bwMode="auto">
        <a:xfrm flipV="1">
          <a:off x="9382125" y="0"/>
          <a:ext cx="1581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10</xdr:col>
      <xdr:colOff>914400</xdr:colOff>
      <xdr:row>0</xdr:row>
      <xdr:rowOff>0</xdr:rowOff>
    </xdr:to>
    <xdr:sp macro="" textlink="">
      <xdr:nvSpPr>
        <xdr:cNvPr id="4393120" name="Line 41">
          <a:extLst>
            <a:ext uri="{FF2B5EF4-FFF2-40B4-BE49-F238E27FC236}">
              <a16:creationId xmlns="" xmlns:a16="http://schemas.microsoft.com/office/drawing/2014/main" id="{00000000-0008-0000-1A00-0000A00843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1733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28575</xdr:colOff>
      <xdr:row>0</xdr:row>
      <xdr:rowOff>0</xdr:rowOff>
    </xdr:to>
    <xdr:sp macro="" textlink="">
      <xdr:nvSpPr>
        <xdr:cNvPr id="4393121" name="Line 42">
          <a:extLst>
            <a:ext uri="{FF2B5EF4-FFF2-40B4-BE49-F238E27FC236}">
              <a16:creationId xmlns="" xmlns:a16="http://schemas.microsoft.com/office/drawing/2014/main" id="{00000000-0008-0000-1A00-0000A10843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2076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552450</xdr:colOff>
      <xdr:row>0</xdr:row>
      <xdr:rowOff>0</xdr:rowOff>
    </xdr:from>
    <xdr:to>
      <xdr:col>13</xdr:col>
      <xdr:colOff>400050</xdr:colOff>
      <xdr:row>0</xdr:row>
      <xdr:rowOff>0</xdr:rowOff>
    </xdr:to>
    <xdr:sp macro="" textlink="">
      <xdr:nvSpPr>
        <xdr:cNvPr id="4393122" name="Line 43">
          <a:extLst>
            <a:ext uri="{FF2B5EF4-FFF2-40B4-BE49-F238E27FC236}">
              <a16:creationId xmlns="" xmlns:a16="http://schemas.microsoft.com/office/drawing/2014/main" id="{00000000-0008-0000-1A00-0000A2084300}"/>
            </a:ext>
          </a:extLst>
        </xdr:cNvPr>
        <xdr:cNvSpPr>
          <a:spLocks noChangeShapeType="1"/>
        </xdr:cNvSpPr>
      </xdr:nvSpPr>
      <xdr:spPr bwMode="auto">
        <a:xfrm flipH="1">
          <a:off x="980122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10</xdr:col>
      <xdr:colOff>57150</xdr:colOff>
      <xdr:row>0</xdr:row>
      <xdr:rowOff>0</xdr:rowOff>
    </xdr:to>
    <xdr:grpSp>
      <xdr:nvGrpSpPr>
        <xdr:cNvPr id="4393123" name="Group 44">
          <a:extLst>
            <a:ext uri="{FF2B5EF4-FFF2-40B4-BE49-F238E27FC236}">
              <a16:creationId xmlns="" xmlns:a16="http://schemas.microsoft.com/office/drawing/2014/main" id="{00000000-0008-0000-1A00-0000A3084300}"/>
            </a:ext>
          </a:extLst>
        </xdr:cNvPr>
        <xdr:cNvGrpSpPr>
          <a:grpSpLocks/>
        </xdr:cNvGrpSpPr>
      </xdr:nvGrpSpPr>
      <xdr:grpSpPr bwMode="auto">
        <a:xfrm>
          <a:off x="9882188" y="0"/>
          <a:ext cx="1104900" cy="0"/>
          <a:chOff x="554" y="439"/>
          <a:chExt cx="10" cy="76"/>
        </a:xfrm>
      </xdr:grpSpPr>
      <xdr:sp macro="" textlink="">
        <xdr:nvSpPr>
          <xdr:cNvPr id="4393283" name="Line 45">
            <a:extLst>
              <a:ext uri="{FF2B5EF4-FFF2-40B4-BE49-F238E27FC236}">
                <a16:creationId xmlns="" xmlns:a16="http://schemas.microsoft.com/office/drawing/2014/main" id="{00000000-0008-0000-1A00-000043094300}"/>
              </a:ext>
            </a:extLst>
          </xdr:cNvPr>
          <xdr:cNvSpPr>
            <a:spLocks noChangeShapeType="1"/>
          </xdr:cNvSpPr>
        </xdr:nvSpPr>
        <xdr:spPr bwMode="auto">
          <a:xfrm>
            <a:off x="558" y="439"/>
            <a:ext cx="0" cy="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3284" name="Line 46">
            <a:extLst>
              <a:ext uri="{FF2B5EF4-FFF2-40B4-BE49-F238E27FC236}">
                <a16:creationId xmlns="" xmlns:a16="http://schemas.microsoft.com/office/drawing/2014/main" id="{00000000-0008-0000-1A00-000044094300}"/>
              </a:ext>
            </a:extLst>
          </xdr:cNvPr>
          <xdr:cNvSpPr>
            <a:spLocks noChangeShapeType="1"/>
          </xdr:cNvSpPr>
        </xdr:nvSpPr>
        <xdr:spPr bwMode="auto">
          <a:xfrm>
            <a:off x="554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10</xdr:col>
      <xdr:colOff>628650</xdr:colOff>
      <xdr:row>0</xdr:row>
      <xdr:rowOff>0</xdr:rowOff>
    </xdr:from>
    <xdr:to>
      <xdr:col>11</xdr:col>
      <xdr:colOff>38100</xdr:colOff>
      <xdr:row>0</xdr:row>
      <xdr:rowOff>0</xdr:rowOff>
    </xdr:to>
    <xdr:grpSp>
      <xdr:nvGrpSpPr>
        <xdr:cNvPr id="4393124" name="Group 47">
          <a:extLst>
            <a:ext uri="{FF2B5EF4-FFF2-40B4-BE49-F238E27FC236}">
              <a16:creationId xmlns="" xmlns:a16="http://schemas.microsoft.com/office/drawing/2014/main" id="{00000000-0008-0000-1A00-0000A4084300}"/>
            </a:ext>
          </a:extLst>
        </xdr:cNvPr>
        <xdr:cNvGrpSpPr>
          <a:grpSpLocks/>
        </xdr:cNvGrpSpPr>
      </xdr:nvGrpSpPr>
      <xdr:grpSpPr bwMode="auto">
        <a:xfrm>
          <a:off x="11558588" y="0"/>
          <a:ext cx="76200" cy="0"/>
          <a:chOff x="680" y="439"/>
          <a:chExt cx="10" cy="98"/>
        </a:xfrm>
      </xdr:grpSpPr>
      <xdr:sp macro="" textlink="">
        <xdr:nvSpPr>
          <xdr:cNvPr id="4393281" name="Line 48">
            <a:extLst>
              <a:ext uri="{FF2B5EF4-FFF2-40B4-BE49-F238E27FC236}">
                <a16:creationId xmlns="" xmlns:a16="http://schemas.microsoft.com/office/drawing/2014/main" id="{00000000-0008-0000-1A00-000041094300}"/>
              </a:ext>
            </a:extLst>
          </xdr:cNvPr>
          <xdr:cNvSpPr>
            <a:spLocks noChangeShapeType="1"/>
          </xdr:cNvSpPr>
        </xdr:nvSpPr>
        <xdr:spPr bwMode="auto">
          <a:xfrm>
            <a:off x="685" y="439"/>
            <a:ext cx="0" cy="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3282" name="Line 49">
            <a:extLst>
              <a:ext uri="{FF2B5EF4-FFF2-40B4-BE49-F238E27FC236}">
                <a16:creationId xmlns="" xmlns:a16="http://schemas.microsoft.com/office/drawing/2014/main" id="{00000000-0008-0000-1A00-000042094300}"/>
              </a:ext>
            </a:extLst>
          </xdr:cNvPr>
          <xdr:cNvSpPr>
            <a:spLocks noChangeShapeType="1"/>
          </xdr:cNvSpPr>
        </xdr:nvSpPr>
        <xdr:spPr bwMode="auto">
          <a:xfrm>
            <a:off x="680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4393125" name="Group 50">
          <a:extLst>
            <a:ext uri="{FF2B5EF4-FFF2-40B4-BE49-F238E27FC236}">
              <a16:creationId xmlns="" xmlns:a16="http://schemas.microsoft.com/office/drawing/2014/main" id="{00000000-0008-0000-1A00-0000A5084300}"/>
            </a:ext>
          </a:extLst>
        </xdr:cNvPr>
        <xdr:cNvGrpSpPr>
          <a:grpSpLocks/>
        </xdr:cNvGrpSpPr>
      </xdr:nvGrpSpPr>
      <xdr:grpSpPr bwMode="auto">
        <a:xfrm>
          <a:off x="11906250" y="0"/>
          <a:ext cx="142875" cy="0"/>
          <a:chOff x="759" y="438"/>
          <a:chExt cx="10" cy="121"/>
        </a:xfrm>
      </xdr:grpSpPr>
      <xdr:sp macro="" textlink="">
        <xdr:nvSpPr>
          <xdr:cNvPr id="4393279" name="Line 51">
            <a:extLst>
              <a:ext uri="{FF2B5EF4-FFF2-40B4-BE49-F238E27FC236}">
                <a16:creationId xmlns="" xmlns:a16="http://schemas.microsoft.com/office/drawing/2014/main" id="{00000000-0008-0000-1A00-00003F0943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3280" name="Line 52">
            <a:extLst>
              <a:ext uri="{FF2B5EF4-FFF2-40B4-BE49-F238E27FC236}">
                <a16:creationId xmlns="" xmlns:a16="http://schemas.microsoft.com/office/drawing/2014/main" id="{00000000-0008-0000-1A00-0000400943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13</xdr:col>
      <xdr:colOff>76200</xdr:colOff>
      <xdr:row>0</xdr:row>
      <xdr:rowOff>0</xdr:rowOff>
    </xdr:from>
    <xdr:to>
      <xdr:col>13</xdr:col>
      <xdr:colOff>676275</xdr:colOff>
      <xdr:row>0</xdr:row>
      <xdr:rowOff>0</xdr:rowOff>
    </xdr:to>
    <xdr:grpSp>
      <xdr:nvGrpSpPr>
        <xdr:cNvPr id="4393126" name="Group 53">
          <a:extLst>
            <a:ext uri="{FF2B5EF4-FFF2-40B4-BE49-F238E27FC236}">
              <a16:creationId xmlns="" xmlns:a16="http://schemas.microsoft.com/office/drawing/2014/main" id="{00000000-0008-0000-1A00-0000A6084300}"/>
            </a:ext>
          </a:extLst>
        </xdr:cNvPr>
        <xdr:cNvGrpSpPr>
          <a:grpSpLocks/>
        </xdr:cNvGrpSpPr>
      </xdr:nvGrpSpPr>
      <xdr:grpSpPr bwMode="auto">
        <a:xfrm>
          <a:off x="12220575" y="0"/>
          <a:ext cx="600075" cy="0"/>
          <a:chOff x="842" y="438"/>
          <a:chExt cx="10" cy="147"/>
        </a:xfrm>
      </xdr:grpSpPr>
      <xdr:sp macro="" textlink="">
        <xdr:nvSpPr>
          <xdr:cNvPr id="4393277" name="Line 54">
            <a:extLst>
              <a:ext uri="{FF2B5EF4-FFF2-40B4-BE49-F238E27FC236}">
                <a16:creationId xmlns="" xmlns:a16="http://schemas.microsoft.com/office/drawing/2014/main" id="{00000000-0008-0000-1A00-00003D0943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3278" name="Line 55">
            <a:extLst>
              <a:ext uri="{FF2B5EF4-FFF2-40B4-BE49-F238E27FC236}">
                <a16:creationId xmlns="" xmlns:a16="http://schemas.microsoft.com/office/drawing/2014/main" id="{00000000-0008-0000-1A00-00003E0943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76200</xdr:colOff>
      <xdr:row>0</xdr:row>
      <xdr:rowOff>0</xdr:rowOff>
    </xdr:to>
    <xdr:sp macro="" textlink="">
      <xdr:nvSpPr>
        <xdr:cNvPr id="4393127" name="Rectangle 56">
          <a:extLst>
            <a:ext uri="{FF2B5EF4-FFF2-40B4-BE49-F238E27FC236}">
              <a16:creationId xmlns="" xmlns:a16="http://schemas.microsoft.com/office/drawing/2014/main" id="{00000000-0008-0000-1A00-0000A7084300}"/>
            </a:ext>
          </a:extLst>
        </xdr:cNvPr>
        <xdr:cNvSpPr>
          <a:spLocks noChangeArrowheads="1"/>
        </xdr:cNvSpPr>
      </xdr:nvSpPr>
      <xdr:spPr bwMode="auto">
        <a:xfrm>
          <a:off x="9839325" y="0"/>
          <a:ext cx="55721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4393128" name="Line 57">
          <a:extLst>
            <a:ext uri="{FF2B5EF4-FFF2-40B4-BE49-F238E27FC236}">
              <a16:creationId xmlns="" xmlns:a16="http://schemas.microsoft.com/office/drawing/2014/main" id="{00000000-0008-0000-1A00-0000A8084300}"/>
            </a:ext>
          </a:extLst>
        </xdr:cNvPr>
        <xdr:cNvSpPr>
          <a:spLocks noChangeShapeType="1"/>
        </xdr:cNvSpPr>
      </xdr:nvSpPr>
      <xdr:spPr bwMode="auto">
        <a:xfrm>
          <a:off x="153352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638175</xdr:colOff>
      <xdr:row>0</xdr:row>
      <xdr:rowOff>0</xdr:rowOff>
    </xdr:from>
    <xdr:to>
      <xdr:col>16</xdr:col>
      <xdr:colOff>47625</xdr:colOff>
      <xdr:row>0</xdr:row>
      <xdr:rowOff>0</xdr:rowOff>
    </xdr:to>
    <xdr:sp macro="" textlink="">
      <xdr:nvSpPr>
        <xdr:cNvPr id="4393129" name="Line 58">
          <a:extLst>
            <a:ext uri="{FF2B5EF4-FFF2-40B4-BE49-F238E27FC236}">
              <a16:creationId xmlns="" xmlns:a16="http://schemas.microsoft.com/office/drawing/2014/main" id="{00000000-0008-0000-1A00-0000A9084300}"/>
            </a:ext>
          </a:extLst>
        </xdr:cNvPr>
        <xdr:cNvSpPr>
          <a:spLocks noChangeShapeType="1"/>
        </xdr:cNvSpPr>
      </xdr:nvSpPr>
      <xdr:spPr bwMode="auto">
        <a:xfrm>
          <a:off x="14887575" y="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15</xdr:col>
      <xdr:colOff>1181100</xdr:colOff>
      <xdr:row>0</xdr:row>
      <xdr:rowOff>0</xdr:rowOff>
    </xdr:to>
    <xdr:sp macro="" textlink="">
      <xdr:nvSpPr>
        <xdr:cNvPr id="4393130" name="Line 59">
          <a:extLst>
            <a:ext uri="{FF2B5EF4-FFF2-40B4-BE49-F238E27FC236}">
              <a16:creationId xmlns="" xmlns:a16="http://schemas.microsoft.com/office/drawing/2014/main" id="{00000000-0008-0000-1A00-0000AA084300}"/>
            </a:ext>
          </a:extLst>
        </xdr:cNvPr>
        <xdr:cNvSpPr>
          <a:spLocks noChangeShapeType="1"/>
        </xdr:cNvSpPr>
      </xdr:nvSpPr>
      <xdr:spPr bwMode="auto">
        <a:xfrm flipV="1">
          <a:off x="9867900" y="0"/>
          <a:ext cx="546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666750</xdr:colOff>
      <xdr:row>0</xdr:row>
      <xdr:rowOff>0</xdr:rowOff>
    </xdr:from>
    <xdr:to>
      <xdr:col>14</xdr:col>
      <xdr:colOff>838200</xdr:colOff>
      <xdr:row>0</xdr:row>
      <xdr:rowOff>0</xdr:rowOff>
    </xdr:to>
    <xdr:grpSp>
      <xdr:nvGrpSpPr>
        <xdr:cNvPr id="4393131" name="Group 60">
          <a:extLst>
            <a:ext uri="{FF2B5EF4-FFF2-40B4-BE49-F238E27FC236}">
              <a16:creationId xmlns="" xmlns:a16="http://schemas.microsoft.com/office/drawing/2014/main" id="{00000000-0008-0000-1A00-0000AB084300}"/>
            </a:ext>
          </a:extLst>
        </xdr:cNvPr>
        <xdr:cNvGrpSpPr>
          <a:grpSpLocks/>
        </xdr:cNvGrpSpPr>
      </xdr:nvGrpSpPr>
      <xdr:grpSpPr bwMode="auto">
        <a:xfrm>
          <a:off x="14001750" y="0"/>
          <a:ext cx="171450" cy="0"/>
          <a:chOff x="912" y="438"/>
          <a:chExt cx="11" cy="175"/>
        </a:xfrm>
      </xdr:grpSpPr>
      <xdr:sp macro="" textlink="">
        <xdr:nvSpPr>
          <xdr:cNvPr id="4393275" name="Line 61">
            <a:extLst>
              <a:ext uri="{FF2B5EF4-FFF2-40B4-BE49-F238E27FC236}">
                <a16:creationId xmlns="" xmlns:a16="http://schemas.microsoft.com/office/drawing/2014/main" id="{00000000-0008-0000-1A00-00003B0943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3276" name="Line 62">
            <a:extLst>
              <a:ext uri="{FF2B5EF4-FFF2-40B4-BE49-F238E27FC236}">
                <a16:creationId xmlns="" xmlns:a16="http://schemas.microsoft.com/office/drawing/2014/main" id="{00000000-0008-0000-1A00-00003C0943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171450</xdr:colOff>
      <xdr:row>0</xdr:row>
      <xdr:rowOff>0</xdr:rowOff>
    </xdr:from>
    <xdr:to>
      <xdr:col>4</xdr:col>
      <xdr:colOff>542925</xdr:colOff>
      <xdr:row>0</xdr:row>
      <xdr:rowOff>0</xdr:rowOff>
    </xdr:to>
    <xdr:sp macro="" textlink="">
      <xdr:nvSpPr>
        <xdr:cNvPr id="4393132" name="Line 63">
          <a:extLst>
            <a:ext uri="{FF2B5EF4-FFF2-40B4-BE49-F238E27FC236}">
              <a16:creationId xmlns="" xmlns:a16="http://schemas.microsoft.com/office/drawing/2014/main" id="{00000000-0008-0000-1A00-0000AC084300}"/>
            </a:ext>
          </a:extLst>
        </xdr:cNvPr>
        <xdr:cNvSpPr>
          <a:spLocks noChangeShapeType="1"/>
        </xdr:cNvSpPr>
      </xdr:nvSpPr>
      <xdr:spPr bwMode="auto">
        <a:xfrm>
          <a:off x="2800350" y="0"/>
          <a:ext cx="3390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190500</xdr:colOff>
      <xdr:row>0</xdr:row>
      <xdr:rowOff>0</xdr:rowOff>
    </xdr:from>
    <xdr:to>
      <xdr:col>4</xdr:col>
      <xdr:colOff>571500</xdr:colOff>
      <xdr:row>0</xdr:row>
      <xdr:rowOff>0</xdr:rowOff>
    </xdr:to>
    <xdr:sp macro="" textlink="">
      <xdr:nvSpPr>
        <xdr:cNvPr id="4393133" name="Line 64">
          <a:extLst>
            <a:ext uri="{FF2B5EF4-FFF2-40B4-BE49-F238E27FC236}">
              <a16:creationId xmlns="" xmlns:a16="http://schemas.microsoft.com/office/drawing/2014/main" id="{00000000-0008-0000-1A00-0000AD084300}"/>
            </a:ext>
          </a:extLst>
        </xdr:cNvPr>
        <xdr:cNvSpPr>
          <a:spLocks noChangeShapeType="1"/>
        </xdr:cNvSpPr>
      </xdr:nvSpPr>
      <xdr:spPr bwMode="auto">
        <a:xfrm>
          <a:off x="2819400" y="0"/>
          <a:ext cx="3400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93134" name="Line 65">
          <a:extLst>
            <a:ext uri="{FF2B5EF4-FFF2-40B4-BE49-F238E27FC236}">
              <a16:creationId xmlns="" xmlns:a16="http://schemas.microsoft.com/office/drawing/2014/main" id="{00000000-0008-0000-1A00-0000AE0843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876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4</xdr:col>
      <xdr:colOff>676275</xdr:colOff>
      <xdr:row>0</xdr:row>
      <xdr:rowOff>0</xdr:rowOff>
    </xdr:to>
    <xdr:sp macro="" textlink="">
      <xdr:nvSpPr>
        <xdr:cNvPr id="4393135" name="Line 66">
          <a:extLst>
            <a:ext uri="{FF2B5EF4-FFF2-40B4-BE49-F238E27FC236}">
              <a16:creationId xmlns="" xmlns:a16="http://schemas.microsoft.com/office/drawing/2014/main" id="{00000000-0008-0000-1A00-0000AF0843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219075</xdr:colOff>
      <xdr:row>0</xdr:row>
      <xdr:rowOff>0</xdr:rowOff>
    </xdr:from>
    <xdr:to>
      <xdr:col>2</xdr:col>
      <xdr:colOff>219075</xdr:colOff>
      <xdr:row>0</xdr:row>
      <xdr:rowOff>0</xdr:rowOff>
    </xdr:to>
    <xdr:sp macro="" textlink="">
      <xdr:nvSpPr>
        <xdr:cNvPr id="4393136" name="Line 67">
          <a:extLst>
            <a:ext uri="{FF2B5EF4-FFF2-40B4-BE49-F238E27FC236}">
              <a16:creationId xmlns="" xmlns:a16="http://schemas.microsoft.com/office/drawing/2014/main" id="{00000000-0008-0000-1A00-0000B0084300}"/>
            </a:ext>
          </a:extLst>
        </xdr:cNvPr>
        <xdr:cNvSpPr>
          <a:spLocks noChangeShapeType="1"/>
        </xdr:cNvSpPr>
      </xdr:nvSpPr>
      <xdr:spPr bwMode="auto">
        <a:xfrm>
          <a:off x="28479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266700</xdr:colOff>
      <xdr:row>0</xdr:row>
      <xdr:rowOff>0</xdr:rowOff>
    </xdr:from>
    <xdr:to>
      <xdr:col>2</xdr:col>
      <xdr:colOff>266700</xdr:colOff>
      <xdr:row>0</xdr:row>
      <xdr:rowOff>0</xdr:rowOff>
    </xdr:to>
    <xdr:sp macro="" textlink="">
      <xdr:nvSpPr>
        <xdr:cNvPr id="4393137" name="Line 68">
          <a:extLst>
            <a:ext uri="{FF2B5EF4-FFF2-40B4-BE49-F238E27FC236}">
              <a16:creationId xmlns="" xmlns:a16="http://schemas.microsoft.com/office/drawing/2014/main" id="{00000000-0008-0000-1A00-0000B1084300}"/>
            </a:ext>
          </a:extLst>
        </xdr:cNvPr>
        <xdr:cNvSpPr>
          <a:spLocks noChangeShapeType="1"/>
        </xdr:cNvSpPr>
      </xdr:nvSpPr>
      <xdr:spPr bwMode="auto">
        <a:xfrm>
          <a:off x="2895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333375</xdr:colOff>
      <xdr:row>0</xdr:row>
      <xdr:rowOff>0</xdr:rowOff>
    </xdr:from>
    <xdr:to>
      <xdr:col>2</xdr:col>
      <xdr:colOff>333375</xdr:colOff>
      <xdr:row>0</xdr:row>
      <xdr:rowOff>0</xdr:rowOff>
    </xdr:to>
    <xdr:sp macro="" textlink="">
      <xdr:nvSpPr>
        <xdr:cNvPr id="4393138" name="Line 69">
          <a:extLst>
            <a:ext uri="{FF2B5EF4-FFF2-40B4-BE49-F238E27FC236}">
              <a16:creationId xmlns="" xmlns:a16="http://schemas.microsoft.com/office/drawing/2014/main" id="{00000000-0008-0000-1A00-0000B2084300}"/>
            </a:ext>
          </a:extLst>
        </xdr:cNvPr>
        <xdr:cNvSpPr>
          <a:spLocks noChangeShapeType="1"/>
        </xdr:cNvSpPr>
      </xdr:nvSpPr>
      <xdr:spPr bwMode="auto">
        <a:xfrm>
          <a:off x="29622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0</xdr:row>
      <xdr:rowOff>0</xdr:rowOff>
    </xdr:from>
    <xdr:to>
      <xdr:col>2</xdr:col>
      <xdr:colOff>390525</xdr:colOff>
      <xdr:row>0</xdr:row>
      <xdr:rowOff>0</xdr:rowOff>
    </xdr:to>
    <xdr:sp macro="" textlink="">
      <xdr:nvSpPr>
        <xdr:cNvPr id="4393139" name="Line 70">
          <a:extLst>
            <a:ext uri="{FF2B5EF4-FFF2-40B4-BE49-F238E27FC236}">
              <a16:creationId xmlns="" xmlns:a16="http://schemas.microsoft.com/office/drawing/2014/main" id="{00000000-0008-0000-1A00-0000B3084300}"/>
            </a:ext>
          </a:extLst>
        </xdr:cNvPr>
        <xdr:cNvSpPr>
          <a:spLocks noChangeShapeType="1"/>
        </xdr:cNvSpPr>
      </xdr:nvSpPr>
      <xdr:spPr bwMode="auto">
        <a:xfrm>
          <a:off x="3019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447675</xdr:colOff>
      <xdr:row>0</xdr:row>
      <xdr:rowOff>0</xdr:rowOff>
    </xdr:to>
    <xdr:sp macro="" textlink="">
      <xdr:nvSpPr>
        <xdr:cNvPr id="4393140" name="Line 71">
          <a:extLst>
            <a:ext uri="{FF2B5EF4-FFF2-40B4-BE49-F238E27FC236}">
              <a16:creationId xmlns="" xmlns:a16="http://schemas.microsoft.com/office/drawing/2014/main" id="{00000000-0008-0000-1A00-0000B40843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4393141" name="Line 72">
          <a:extLst>
            <a:ext uri="{FF2B5EF4-FFF2-40B4-BE49-F238E27FC236}">
              <a16:creationId xmlns="" xmlns:a16="http://schemas.microsoft.com/office/drawing/2014/main" id="{00000000-0008-0000-1A00-0000B50843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314325</xdr:colOff>
      <xdr:row>0</xdr:row>
      <xdr:rowOff>0</xdr:rowOff>
    </xdr:to>
    <xdr:sp macro="" textlink="">
      <xdr:nvSpPr>
        <xdr:cNvPr id="4393142" name="Line 73">
          <a:extLst>
            <a:ext uri="{FF2B5EF4-FFF2-40B4-BE49-F238E27FC236}">
              <a16:creationId xmlns="" xmlns:a16="http://schemas.microsoft.com/office/drawing/2014/main" id="{00000000-0008-0000-1A00-0000B60843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657225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93143" name="Line 74">
          <a:extLst>
            <a:ext uri="{FF2B5EF4-FFF2-40B4-BE49-F238E27FC236}">
              <a16:creationId xmlns="" xmlns:a16="http://schemas.microsoft.com/office/drawing/2014/main" id="{00000000-0008-0000-1A00-0000B70843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266700</xdr:colOff>
      <xdr:row>0</xdr:row>
      <xdr:rowOff>0</xdr:rowOff>
    </xdr:from>
    <xdr:to>
      <xdr:col>11</xdr:col>
      <xdr:colOff>352425</xdr:colOff>
      <xdr:row>0</xdr:row>
      <xdr:rowOff>0</xdr:rowOff>
    </xdr:to>
    <xdr:sp macro="" textlink="">
      <xdr:nvSpPr>
        <xdr:cNvPr id="4393144" name="Text Box 75">
          <a:extLst>
            <a:ext uri="{FF2B5EF4-FFF2-40B4-BE49-F238E27FC236}">
              <a16:creationId xmlns="" xmlns:a16="http://schemas.microsoft.com/office/drawing/2014/main" id="{00000000-0008-0000-1A00-0000B8084300}"/>
            </a:ext>
          </a:extLst>
        </xdr:cNvPr>
        <xdr:cNvSpPr txBox="1">
          <a:spLocks noChangeArrowheads="1"/>
        </xdr:cNvSpPr>
      </xdr:nvSpPr>
      <xdr:spPr bwMode="auto">
        <a:xfrm>
          <a:off x="11182350" y="0"/>
          <a:ext cx="7048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209550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4393145" name="Line 76">
          <a:extLst>
            <a:ext uri="{FF2B5EF4-FFF2-40B4-BE49-F238E27FC236}">
              <a16:creationId xmlns="" xmlns:a16="http://schemas.microsoft.com/office/drawing/2014/main" id="{00000000-0008-0000-1A00-0000B9084300}"/>
            </a:ext>
          </a:extLst>
        </xdr:cNvPr>
        <xdr:cNvSpPr>
          <a:spLocks noChangeShapeType="1"/>
        </xdr:cNvSpPr>
      </xdr:nvSpPr>
      <xdr:spPr bwMode="auto">
        <a:xfrm flipV="1">
          <a:off x="7267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819150</xdr:colOff>
      <xdr:row>0</xdr:row>
      <xdr:rowOff>0</xdr:rowOff>
    </xdr:to>
    <xdr:sp macro="" textlink="">
      <xdr:nvSpPr>
        <xdr:cNvPr id="4393146" name="Line 77">
          <a:extLst>
            <a:ext uri="{FF2B5EF4-FFF2-40B4-BE49-F238E27FC236}">
              <a16:creationId xmlns="" xmlns:a16="http://schemas.microsoft.com/office/drawing/2014/main" id="{00000000-0008-0000-1A00-0000BA084300}"/>
            </a:ext>
          </a:extLst>
        </xdr:cNvPr>
        <xdr:cNvSpPr>
          <a:spLocks noChangeShapeType="1"/>
        </xdr:cNvSpPr>
      </xdr:nvSpPr>
      <xdr:spPr bwMode="auto">
        <a:xfrm>
          <a:off x="7553325" y="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114300</xdr:colOff>
      <xdr:row>0</xdr:row>
      <xdr:rowOff>0</xdr:rowOff>
    </xdr:from>
    <xdr:to>
      <xdr:col>5</xdr:col>
      <xdr:colOff>323850</xdr:colOff>
      <xdr:row>0</xdr:row>
      <xdr:rowOff>0</xdr:rowOff>
    </xdr:to>
    <xdr:sp macro="" textlink="">
      <xdr:nvSpPr>
        <xdr:cNvPr id="4393147" name="Line 78">
          <a:extLst>
            <a:ext uri="{FF2B5EF4-FFF2-40B4-BE49-F238E27FC236}">
              <a16:creationId xmlns="" xmlns:a16="http://schemas.microsoft.com/office/drawing/2014/main" id="{00000000-0008-0000-1A00-0000BB084300}"/>
            </a:ext>
          </a:extLst>
        </xdr:cNvPr>
        <xdr:cNvSpPr>
          <a:spLocks noChangeShapeType="1"/>
        </xdr:cNvSpPr>
      </xdr:nvSpPr>
      <xdr:spPr bwMode="auto">
        <a:xfrm>
          <a:off x="7172325" y="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3148" name="Rectangle 79">
          <a:extLst>
            <a:ext uri="{FF2B5EF4-FFF2-40B4-BE49-F238E27FC236}">
              <a16:creationId xmlns="" xmlns:a16="http://schemas.microsoft.com/office/drawing/2014/main" id="{00000000-0008-0000-1A00-0000BC084300}"/>
            </a:ext>
          </a:extLst>
        </xdr:cNvPr>
        <xdr:cNvSpPr>
          <a:spLocks noChangeArrowheads="1"/>
        </xdr:cNvSpPr>
      </xdr:nvSpPr>
      <xdr:spPr bwMode="auto">
        <a:xfrm>
          <a:off x="16573500" y="0"/>
          <a:ext cx="325755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93149" name="Line 80">
          <a:extLst>
            <a:ext uri="{FF2B5EF4-FFF2-40B4-BE49-F238E27FC236}">
              <a16:creationId xmlns="" xmlns:a16="http://schemas.microsoft.com/office/drawing/2014/main" id="{00000000-0008-0000-1A00-0000BD084300}"/>
            </a:ext>
          </a:extLst>
        </xdr:cNvPr>
        <xdr:cNvSpPr>
          <a:spLocks noChangeShapeType="1"/>
        </xdr:cNvSpPr>
      </xdr:nvSpPr>
      <xdr:spPr bwMode="auto">
        <a:xfrm flipV="1">
          <a:off x="16725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3150" name="Line 81">
          <a:extLst>
            <a:ext uri="{FF2B5EF4-FFF2-40B4-BE49-F238E27FC236}">
              <a16:creationId xmlns="" xmlns:a16="http://schemas.microsoft.com/office/drawing/2014/main" id="{00000000-0008-0000-1A00-0000BE0843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93151" name="Line 82">
          <a:extLst>
            <a:ext uri="{FF2B5EF4-FFF2-40B4-BE49-F238E27FC236}">
              <a16:creationId xmlns="" xmlns:a16="http://schemas.microsoft.com/office/drawing/2014/main" id="{00000000-0008-0000-1A00-0000BF084300}"/>
            </a:ext>
          </a:extLst>
        </xdr:cNvPr>
        <xdr:cNvSpPr>
          <a:spLocks noChangeShapeType="1"/>
        </xdr:cNvSpPr>
      </xdr:nvSpPr>
      <xdr:spPr bwMode="auto">
        <a:xfrm flipV="1">
          <a:off x="16725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3152" name="Line 83">
          <a:extLst>
            <a:ext uri="{FF2B5EF4-FFF2-40B4-BE49-F238E27FC236}">
              <a16:creationId xmlns="" xmlns:a16="http://schemas.microsoft.com/office/drawing/2014/main" id="{00000000-0008-0000-1A00-0000C00843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19050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3153" name="Line 84">
          <a:extLst>
            <a:ext uri="{FF2B5EF4-FFF2-40B4-BE49-F238E27FC236}">
              <a16:creationId xmlns="" xmlns:a16="http://schemas.microsoft.com/office/drawing/2014/main" id="{00000000-0008-0000-1A00-0000C1084300}"/>
            </a:ext>
          </a:extLst>
        </xdr:cNvPr>
        <xdr:cNvSpPr>
          <a:spLocks noChangeShapeType="1"/>
        </xdr:cNvSpPr>
      </xdr:nvSpPr>
      <xdr:spPr bwMode="auto">
        <a:xfrm>
          <a:off x="16744950" y="0"/>
          <a:ext cx="3086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609600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3154" name="Line 85">
          <a:extLst>
            <a:ext uri="{FF2B5EF4-FFF2-40B4-BE49-F238E27FC236}">
              <a16:creationId xmlns="" xmlns:a16="http://schemas.microsoft.com/office/drawing/2014/main" id="{00000000-0008-0000-1A00-0000C2084300}"/>
            </a:ext>
          </a:extLst>
        </xdr:cNvPr>
        <xdr:cNvSpPr>
          <a:spLocks noChangeShapeType="1"/>
        </xdr:cNvSpPr>
      </xdr:nvSpPr>
      <xdr:spPr bwMode="auto">
        <a:xfrm>
          <a:off x="16592550" y="0"/>
          <a:ext cx="3238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628650</xdr:colOff>
      <xdr:row>0</xdr:row>
      <xdr:rowOff>0</xdr:rowOff>
    </xdr:from>
    <xdr:to>
      <xdr:col>17</xdr:col>
      <xdr:colOff>628650</xdr:colOff>
      <xdr:row>0</xdr:row>
      <xdr:rowOff>0</xdr:rowOff>
    </xdr:to>
    <xdr:sp macro="" textlink="">
      <xdr:nvSpPr>
        <xdr:cNvPr id="4393155" name="Line 86">
          <a:extLst>
            <a:ext uri="{FF2B5EF4-FFF2-40B4-BE49-F238E27FC236}">
              <a16:creationId xmlns="" xmlns:a16="http://schemas.microsoft.com/office/drawing/2014/main" id="{00000000-0008-0000-1A00-0000C3084300}"/>
            </a:ext>
          </a:extLst>
        </xdr:cNvPr>
        <xdr:cNvSpPr>
          <a:spLocks noChangeShapeType="1"/>
        </xdr:cNvSpPr>
      </xdr:nvSpPr>
      <xdr:spPr bwMode="auto">
        <a:xfrm flipV="1">
          <a:off x="16611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3156" name="Line 87">
          <a:extLst>
            <a:ext uri="{FF2B5EF4-FFF2-40B4-BE49-F238E27FC236}">
              <a16:creationId xmlns="" xmlns:a16="http://schemas.microsoft.com/office/drawing/2014/main" id="{00000000-0008-0000-1A00-0000C40843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38100</xdr:colOff>
      <xdr:row>0</xdr:row>
      <xdr:rowOff>0</xdr:rowOff>
    </xdr:to>
    <xdr:sp macro="" textlink="">
      <xdr:nvSpPr>
        <xdr:cNvPr id="4393157" name="Rectangle 88">
          <a:extLst>
            <a:ext uri="{FF2B5EF4-FFF2-40B4-BE49-F238E27FC236}">
              <a16:creationId xmlns="" xmlns:a16="http://schemas.microsoft.com/office/drawing/2014/main" id="{00000000-0008-0000-1A00-0000C5084300}"/>
            </a:ext>
          </a:extLst>
        </xdr:cNvPr>
        <xdr:cNvSpPr>
          <a:spLocks noChangeArrowheads="1"/>
        </xdr:cNvSpPr>
      </xdr:nvSpPr>
      <xdr:spPr bwMode="auto">
        <a:xfrm>
          <a:off x="19831050" y="0"/>
          <a:ext cx="38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3158" name="Line 89">
          <a:extLst>
            <a:ext uri="{FF2B5EF4-FFF2-40B4-BE49-F238E27FC236}">
              <a16:creationId xmlns="" xmlns:a16="http://schemas.microsoft.com/office/drawing/2014/main" id="{00000000-0008-0000-1A00-0000C60843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3159" name="Line 90">
          <a:extLst>
            <a:ext uri="{FF2B5EF4-FFF2-40B4-BE49-F238E27FC236}">
              <a16:creationId xmlns="" xmlns:a16="http://schemas.microsoft.com/office/drawing/2014/main" id="{00000000-0008-0000-1A00-0000C7084300}"/>
            </a:ext>
          </a:extLst>
        </xdr:cNvPr>
        <xdr:cNvSpPr>
          <a:spLocks noChangeShapeType="1"/>
        </xdr:cNvSpPr>
      </xdr:nvSpPr>
      <xdr:spPr bwMode="auto">
        <a:xfrm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22</xdr:col>
      <xdr:colOff>19050</xdr:colOff>
      <xdr:row>0</xdr:row>
      <xdr:rowOff>0</xdr:rowOff>
    </xdr:from>
    <xdr:to>
      <xdr:col>22</xdr:col>
      <xdr:colOff>19050</xdr:colOff>
      <xdr:row>0</xdr:row>
      <xdr:rowOff>0</xdr:rowOff>
    </xdr:to>
    <xdr:sp macro="" textlink="">
      <xdr:nvSpPr>
        <xdr:cNvPr id="4393160" name="Line 91">
          <a:extLst>
            <a:ext uri="{FF2B5EF4-FFF2-40B4-BE49-F238E27FC236}">
              <a16:creationId xmlns="" xmlns:a16="http://schemas.microsoft.com/office/drawing/2014/main" id="{00000000-0008-0000-1A00-0000C8084300}"/>
            </a:ext>
          </a:extLst>
        </xdr:cNvPr>
        <xdr:cNvSpPr>
          <a:spLocks noChangeShapeType="1"/>
        </xdr:cNvSpPr>
      </xdr:nvSpPr>
      <xdr:spPr bwMode="auto">
        <a:xfrm>
          <a:off x="198501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400050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93161" name="Line 92">
          <a:extLst>
            <a:ext uri="{FF2B5EF4-FFF2-40B4-BE49-F238E27FC236}">
              <a16:creationId xmlns="" xmlns:a16="http://schemas.microsoft.com/office/drawing/2014/main" id="{00000000-0008-0000-1A00-0000C9084300}"/>
            </a:ext>
          </a:extLst>
        </xdr:cNvPr>
        <xdr:cNvSpPr>
          <a:spLocks noChangeShapeType="1"/>
        </xdr:cNvSpPr>
      </xdr:nvSpPr>
      <xdr:spPr bwMode="auto">
        <a:xfrm flipH="1" flipV="1">
          <a:off x="13725525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14</xdr:col>
      <xdr:colOff>781050</xdr:colOff>
      <xdr:row>0</xdr:row>
      <xdr:rowOff>0</xdr:rowOff>
    </xdr:to>
    <xdr:sp macro="" textlink="">
      <xdr:nvSpPr>
        <xdr:cNvPr id="4393162" name="Line 93">
          <a:extLst>
            <a:ext uri="{FF2B5EF4-FFF2-40B4-BE49-F238E27FC236}">
              <a16:creationId xmlns="" xmlns:a16="http://schemas.microsoft.com/office/drawing/2014/main" id="{00000000-0008-0000-1A00-0000CA084300}"/>
            </a:ext>
          </a:extLst>
        </xdr:cNvPr>
        <xdr:cNvSpPr>
          <a:spLocks noChangeShapeType="1"/>
        </xdr:cNvSpPr>
      </xdr:nvSpPr>
      <xdr:spPr bwMode="auto">
        <a:xfrm flipH="1">
          <a:off x="9867900" y="0"/>
          <a:ext cx="4238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4</xdr:col>
      <xdr:colOff>704850</xdr:colOff>
      <xdr:row>0</xdr:row>
      <xdr:rowOff>0</xdr:rowOff>
    </xdr:to>
    <xdr:sp macro="" textlink="">
      <xdr:nvSpPr>
        <xdr:cNvPr id="4393163" name="Line 94">
          <a:extLst>
            <a:ext uri="{FF2B5EF4-FFF2-40B4-BE49-F238E27FC236}">
              <a16:creationId xmlns="" xmlns:a16="http://schemas.microsoft.com/office/drawing/2014/main" id="{00000000-0008-0000-1A00-0000CB0843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3571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93164" name="Line 95">
          <a:extLst>
            <a:ext uri="{FF2B5EF4-FFF2-40B4-BE49-F238E27FC236}">
              <a16:creationId xmlns="" xmlns:a16="http://schemas.microsoft.com/office/drawing/2014/main" id="{00000000-0008-0000-1A00-0000CC084300}"/>
            </a:ext>
          </a:extLst>
        </xdr:cNvPr>
        <xdr:cNvSpPr>
          <a:spLocks noChangeShapeType="1"/>
        </xdr:cNvSpPr>
      </xdr:nvSpPr>
      <xdr:spPr bwMode="auto">
        <a:xfrm>
          <a:off x="116681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247650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3165" name="Line 96">
          <a:extLst>
            <a:ext uri="{FF2B5EF4-FFF2-40B4-BE49-F238E27FC236}">
              <a16:creationId xmlns="" xmlns:a16="http://schemas.microsoft.com/office/drawing/2014/main" id="{00000000-0008-0000-1A00-0000CD08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1047750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3166" name="Line 97">
          <a:extLst>
            <a:ext uri="{FF2B5EF4-FFF2-40B4-BE49-F238E27FC236}">
              <a16:creationId xmlns="" xmlns:a16="http://schemas.microsoft.com/office/drawing/2014/main" id="{00000000-0008-0000-1A00-0000CE08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571500</xdr:colOff>
      <xdr:row>0</xdr:row>
      <xdr:rowOff>0</xdr:rowOff>
    </xdr:from>
    <xdr:to>
      <xdr:col>13</xdr:col>
      <xdr:colOff>571500</xdr:colOff>
      <xdr:row>0</xdr:row>
      <xdr:rowOff>0</xdr:rowOff>
    </xdr:to>
    <xdr:sp macro="" textlink="">
      <xdr:nvSpPr>
        <xdr:cNvPr id="4393167" name="Line 98">
          <a:extLst>
            <a:ext uri="{FF2B5EF4-FFF2-40B4-BE49-F238E27FC236}">
              <a16:creationId xmlns="" xmlns:a16="http://schemas.microsoft.com/office/drawing/2014/main" id="{00000000-0008-0000-1A00-0000CF084300}"/>
            </a:ext>
          </a:extLst>
        </xdr:cNvPr>
        <xdr:cNvSpPr>
          <a:spLocks noChangeShapeType="1"/>
        </xdr:cNvSpPr>
      </xdr:nvSpPr>
      <xdr:spPr bwMode="auto">
        <a:xfrm>
          <a:off x="12706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14</xdr:col>
      <xdr:colOff>457200</xdr:colOff>
      <xdr:row>0</xdr:row>
      <xdr:rowOff>0</xdr:rowOff>
    </xdr:to>
    <xdr:sp macro="" textlink="">
      <xdr:nvSpPr>
        <xdr:cNvPr id="4393168" name="Line 99">
          <a:extLst>
            <a:ext uri="{FF2B5EF4-FFF2-40B4-BE49-F238E27FC236}">
              <a16:creationId xmlns="" xmlns:a16="http://schemas.microsoft.com/office/drawing/2014/main" id="{00000000-0008-0000-1A00-0000D0084300}"/>
            </a:ext>
          </a:extLst>
        </xdr:cNvPr>
        <xdr:cNvSpPr>
          <a:spLocks noChangeShapeType="1"/>
        </xdr:cNvSpPr>
      </xdr:nvSpPr>
      <xdr:spPr bwMode="auto">
        <a:xfrm>
          <a:off x="137826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323850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93169" name="Line 100">
          <a:extLst>
            <a:ext uri="{FF2B5EF4-FFF2-40B4-BE49-F238E27FC236}">
              <a16:creationId xmlns="" xmlns:a16="http://schemas.microsoft.com/office/drawing/2014/main" id="{00000000-0008-0000-1A00-0000D1084300}"/>
            </a:ext>
          </a:extLst>
        </xdr:cNvPr>
        <xdr:cNvSpPr>
          <a:spLocks noChangeShapeType="1"/>
        </xdr:cNvSpPr>
      </xdr:nvSpPr>
      <xdr:spPr bwMode="auto">
        <a:xfrm flipH="1">
          <a:off x="9572625" y="0"/>
          <a:ext cx="2095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15</xdr:col>
      <xdr:colOff>161925</xdr:colOff>
      <xdr:row>0</xdr:row>
      <xdr:rowOff>0</xdr:rowOff>
    </xdr:to>
    <xdr:sp macro="" textlink="">
      <xdr:nvSpPr>
        <xdr:cNvPr id="4393170" name="Line 101">
          <a:extLst>
            <a:ext uri="{FF2B5EF4-FFF2-40B4-BE49-F238E27FC236}">
              <a16:creationId xmlns="" xmlns:a16="http://schemas.microsoft.com/office/drawing/2014/main" id="{00000000-0008-0000-1A00-0000D2084300}"/>
            </a:ext>
          </a:extLst>
        </xdr:cNvPr>
        <xdr:cNvSpPr>
          <a:spLocks noChangeShapeType="1"/>
        </xdr:cNvSpPr>
      </xdr:nvSpPr>
      <xdr:spPr bwMode="auto">
        <a:xfrm>
          <a:off x="13782675" y="0"/>
          <a:ext cx="628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3171" name="Line 102">
          <a:extLst>
            <a:ext uri="{FF2B5EF4-FFF2-40B4-BE49-F238E27FC236}">
              <a16:creationId xmlns="" xmlns:a16="http://schemas.microsoft.com/office/drawing/2014/main" id="{00000000-0008-0000-1A00-0000D3084300}"/>
            </a:ext>
          </a:extLst>
        </xdr:cNvPr>
        <xdr:cNvSpPr>
          <a:spLocks noChangeShapeType="1"/>
        </xdr:cNvSpPr>
      </xdr:nvSpPr>
      <xdr:spPr bwMode="auto">
        <a:xfrm flipV="1">
          <a:off x="12744450" y="0"/>
          <a:ext cx="165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1066800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3172" name="Line 103">
          <a:extLst>
            <a:ext uri="{FF2B5EF4-FFF2-40B4-BE49-F238E27FC236}">
              <a16:creationId xmlns="" xmlns:a16="http://schemas.microsoft.com/office/drawing/2014/main" id="{00000000-0008-0000-1A00-0000D408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266700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3173" name="Line 104">
          <a:extLst>
            <a:ext uri="{FF2B5EF4-FFF2-40B4-BE49-F238E27FC236}">
              <a16:creationId xmlns="" xmlns:a16="http://schemas.microsoft.com/office/drawing/2014/main" id="{00000000-0008-0000-1A00-0000D508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3174" name="Line 105">
          <a:extLst>
            <a:ext uri="{FF2B5EF4-FFF2-40B4-BE49-F238E27FC236}">
              <a16:creationId xmlns="" xmlns:a16="http://schemas.microsoft.com/office/drawing/2014/main" id="{00000000-0008-0000-1A00-0000D6084300}"/>
            </a:ext>
          </a:extLst>
        </xdr:cNvPr>
        <xdr:cNvSpPr>
          <a:spLocks noChangeShapeType="1"/>
        </xdr:cNvSpPr>
      </xdr:nvSpPr>
      <xdr:spPr bwMode="auto">
        <a:xfrm>
          <a:off x="1166812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495300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3175" name="Line 106">
          <a:extLst>
            <a:ext uri="{FF2B5EF4-FFF2-40B4-BE49-F238E27FC236}">
              <a16:creationId xmlns="" xmlns:a16="http://schemas.microsoft.com/office/drawing/2014/main" id="{00000000-0008-0000-1A00-0000D7084300}"/>
            </a:ext>
          </a:extLst>
        </xdr:cNvPr>
        <xdr:cNvSpPr>
          <a:spLocks noChangeShapeType="1"/>
        </xdr:cNvSpPr>
      </xdr:nvSpPr>
      <xdr:spPr bwMode="auto">
        <a:xfrm flipH="1">
          <a:off x="9744075" y="0"/>
          <a:ext cx="2390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1028700</xdr:colOff>
      <xdr:row>0</xdr:row>
      <xdr:rowOff>0</xdr:rowOff>
    </xdr:to>
    <xdr:sp macro="" textlink="">
      <xdr:nvSpPr>
        <xdr:cNvPr id="4393176" name="Line 107">
          <a:extLst>
            <a:ext uri="{FF2B5EF4-FFF2-40B4-BE49-F238E27FC236}">
              <a16:creationId xmlns="" xmlns:a16="http://schemas.microsoft.com/office/drawing/2014/main" id="{00000000-0008-0000-1A00-0000D8084300}"/>
            </a:ext>
          </a:extLst>
        </xdr:cNvPr>
        <xdr:cNvSpPr>
          <a:spLocks noChangeShapeType="1"/>
        </xdr:cNvSpPr>
      </xdr:nvSpPr>
      <xdr:spPr bwMode="auto">
        <a:xfrm flipH="1">
          <a:off x="9839325" y="0"/>
          <a:ext cx="2295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171450</xdr:colOff>
      <xdr:row>0</xdr:row>
      <xdr:rowOff>0</xdr:rowOff>
    </xdr:from>
    <xdr:to>
      <xdr:col>13</xdr:col>
      <xdr:colOff>552450</xdr:colOff>
      <xdr:row>0</xdr:row>
      <xdr:rowOff>0</xdr:rowOff>
    </xdr:to>
    <xdr:sp macro="" textlink="">
      <xdr:nvSpPr>
        <xdr:cNvPr id="4393177" name="Line 108">
          <a:extLst>
            <a:ext uri="{FF2B5EF4-FFF2-40B4-BE49-F238E27FC236}">
              <a16:creationId xmlns="" xmlns:a16="http://schemas.microsoft.com/office/drawing/2014/main" id="{00000000-0008-0000-1A00-0000D9084300}"/>
            </a:ext>
          </a:extLst>
        </xdr:cNvPr>
        <xdr:cNvSpPr>
          <a:spLocks noChangeShapeType="1"/>
        </xdr:cNvSpPr>
      </xdr:nvSpPr>
      <xdr:spPr bwMode="auto">
        <a:xfrm flipH="1">
          <a:off x="11087100" y="0"/>
          <a:ext cx="1600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457200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93178" name="Line 109">
          <a:extLst>
            <a:ext uri="{FF2B5EF4-FFF2-40B4-BE49-F238E27FC236}">
              <a16:creationId xmlns="" xmlns:a16="http://schemas.microsoft.com/office/drawing/2014/main" id="{00000000-0008-0000-1A00-0000DA084300}"/>
            </a:ext>
          </a:extLst>
        </xdr:cNvPr>
        <xdr:cNvSpPr>
          <a:spLocks noChangeShapeType="1"/>
        </xdr:cNvSpPr>
      </xdr:nvSpPr>
      <xdr:spPr bwMode="auto">
        <a:xfrm flipH="1">
          <a:off x="11372850" y="0"/>
          <a:ext cx="2371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1104900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93179" name="Line 110">
          <a:extLst>
            <a:ext uri="{FF2B5EF4-FFF2-40B4-BE49-F238E27FC236}">
              <a16:creationId xmlns="" xmlns:a16="http://schemas.microsoft.com/office/drawing/2014/main" id="{00000000-0008-0000-1A00-0000DB084300}"/>
            </a:ext>
          </a:extLst>
        </xdr:cNvPr>
        <xdr:cNvSpPr>
          <a:spLocks noChangeShapeType="1"/>
        </xdr:cNvSpPr>
      </xdr:nvSpPr>
      <xdr:spPr bwMode="auto">
        <a:xfrm>
          <a:off x="1157287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1085850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93180" name="Line 111">
          <a:extLst>
            <a:ext uri="{FF2B5EF4-FFF2-40B4-BE49-F238E27FC236}">
              <a16:creationId xmlns="" xmlns:a16="http://schemas.microsoft.com/office/drawing/2014/main" id="{00000000-0008-0000-1A00-0000DC084300}"/>
            </a:ext>
          </a:extLst>
        </xdr:cNvPr>
        <xdr:cNvSpPr>
          <a:spLocks noChangeShapeType="1"/>
        </xdr:cNvSpPr>
      </xdr:nvSpPr>
      <xdr:spPr bwMode="auto">
        <a:xfrm>
          <a:off x="1157287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123825</xdr:colOff>
      <xdr:row>0</xdr:row>
      <xdr:rowOff>0</xdr:rowOff>
    </xdr:from>
    <xdr:to>
      <xdr:col>21</xdr:col>
      <xdr:colOff>438150</xdr:colOff>
      <xdr:row>0</xdr:row>
      <xdr:rowOff>0</xdr:rowOff>
    </xdr:to>
    <xdr:sp macro="" textlink="">
      <xdr:nvSpPr>
        <xdr:cNvPr id="113" name="Text Box 112">
          <a:extLst>
            <a:ext uri="{FF2B5EF4-FFF2-40B4-BE49-F238E27FC236}">
              <a16:creationId xmlns="" xmlns:a16="http://schemas.microsoft.com/office/drawing/2014/main" id="{00000000-0008-0000-1A00-000071000000}"/>
            </a:ext>
          </a:extLst>
        </xdr:cNvPr>
        <xdr:cNvSpPr txBox="1">
          <a:spLocks noChangeArrowheads="1"/>
        </xdr:cNvSpPr>
      </xdr:nvSpPr>
      <xdr:spPr bwMode="auto">
        <a:xfrm>
          <a:off x="19516725" y="0"/>
          <a:ext cx="3143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1°</a:t>
          </a:r>
        </a:p>
      </xdr:txBody>
    </xdr:sp>
    <xdr:clientData/>
  </xdr:twoCellAnchor>
  <xdr:twoCellAnchor>
    <xdr:from>
      <xdr:col>19</xdr:col>
      <xdr:colOff>1285875</xdr:colOff>
      <xdr:row>0</xdr:row>
      <xdr:rowOff>0</xdr:rowOff>
    </xdr:from>
    <xdr:to>
      <xdr:col>21</xdr:col>
      <xdr:colOff>333375</xdr:colOff>
      <xdr:row>0</xdr:row>
      <xdr:rowOff>0</xdr:rowOff>
    </xdr:to>
    <xdr:sp macro="" textlink="">
      <xdr:nvSpPr>
        <xdr:cNvPr id="114" name="Text Box 113">
          <a:extLst>
            <a:ext uri="{FF2B5EF4-FFF2-40B4-BE49-F238E27FC236}">
              <a16:creationId xmlns="" xmlns:a16="http://schemas.microsoft.com/office/drawing/2014/main" id="{00000000-0008-0000-1A00-000072000000}"/>
            </a:ext>
          </a:extLst>
        </xdr:cNvPr>
        <xdr:cNvSpPr txBox="1">
          <a:spLocks noChangeArrowheads="1"/>
        </xdr:cNvSpPr>
      </xdr:nvSpPr>
      <xdr:spPr bwMode="auto">
        <a:xfrm>
          <a:off x="18630900" y="0"/>
          <a:ext cx="10953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3°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5" name="Text Box 114">
          <a:extLst>
            <a:ext uri="{FF2B5EF4-FFF2-40B4-BE49-F238E27FC236}">
              <a16:creationId xmlns="" xmlns:a16="http://schemas.microsoft.com/office/drawing/2014/main" id="{00000000-0008-0000-1A00-000073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21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6" name="Text Box 115">
          <a:extLst>
            <a:ext uri="{FF2B5EF4-FFF2-40B4-BE49-F238E27FC236}">
              <a16:creationId xmlns="" xmlns:a16="http://schemas.microsoft.com/office/drawing/2014/main" id="{00000000-0008-0000-1A00-000074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19</xdr:col>
      <xdr:colOff>819150</xdr:colOff>
      <xdr:row>0</xdr:row>
      <xdr:rowOff>0</xdr:rowOff>
    </xdr:from>
    <xdr:to>
      <xdr:col>19</xdr:col>
      <xdr:colOff>1000125</xdr:colOff>
      <xdr:row>0</xdr:row>
      <xdr:rowOff>0</xdr:rowOff>
    </xdr:to>
    <xdr:sp macro="" textlink="">
      <xdr:nvSpPr>
        <xdr:cNvPr id="117" name="Text Box 116">
          <a:extLst>
            <a:ext uri="{FF2B5EF4-FFF2-40B4-BE49-F238E27FC236}">
              <a16:creationId xmlns="" xmlns:a16="http://schemas.microsoft.com/office/drawing/2014/main" id="{00000000-0008-0000-1A00-000075000000}"/>
            </a:ext>
          </a:extLst>
        </xdr:cNvPr>
        <xdr:cNvSpPr txBox="1">
          <a:spLocks noChangeArrowheads="1"/>
        </xdr:cNvSpPr>
      </xdr:nvSpPr>
      <xdr:spPr bwMode="auto">
        <a:xfrm>
          <a:off x="18183225" y="0"/>
          <a:ext cx="1809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5°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8" name="Text Box 117">
          <a:extLst>
            <a:ext uri="{FF2B5EF4-FFF2-40B4-BE49-F238E27FC236}">
              <a16:creationId xmlns="" xmlns:a16="http://schemas.microsoft.com/office/drawing/2014/main" id="{00000000-0008-0000-1A00-000076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6°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1" i="0" strike="noStrike">
              <a:solidFill>
                <a:srgbClr val="000000"/>
              </a:solidFill>
              <a:latin typeface="Times New Roman"/>
              <a:cs typeface="Times New Roman"/>
            </a:rPr>
            <a:t>6</a:t>
          </a:r>
        </a:p>
      </xdr:txBody>
    </xdr:sp>
    <xdr:clientData/>
  </xdr:twoCellAnchor>
  <xdr:twoCellAnchor>
    <xdr:from>
      <xdr:col>14</xdr:col>
      <xdr:colOff>266700</xdr:colOff>
      <xdr:row>15</xdr:row>
      <xdr:rowOff>38100</xdr:rowOff>
    </xdr:from>
    <xdr:to>
      <xdr:col>15</xdr:col>
      <xdr:colOff>352425</xdr:colOff>
      <xdr:row>16</xdr:row>
      <xdr:rowOff>161925</xdr:rowOff>
    </xdr:to>
    <xdr:sp macro="" textlink="">
      <xdr:nvSpPr>
        <xdr:cNvPr id="4393187" name="Text Box 118">
          <a:extLst>
            <a:ext uri="{FF2B5EF4-FFF2-40B4-BE49-F238E27FC236}">
              <a16:creationId xmlns="" xmlns:a16="http://schemas.microsoft.com/office/drawing/2014/main" id="{00000000-0008-0000-1A00-0000E3084300}"/>
            </a:ext>
          </a:extLst>
        </xdr:cNvPr>
        <xdr:cNvSpPr txBox="1">
          <a:spLocks noChangeArrowheads="1"/>
        </xdr:cNvSpPr>
      </xdr:nvSpPr>
      <xdr:spPr bwMode="auto">
        <a:xfrm>
          <a:off x="13592175" y="5600700"/>
          <a:ext cx="1009650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400050</xdr:colOff>
      <xdr:row>15</xdr:row>
      <xdr:rowOff>85725</xdr:rowOff>
    </xdr:from>
    <xdr:to>
      <xdr:col>4</xdr:col>
      <xdr:colOff>114300</xdr:colOff>
      <xdr:row>19</xdr:row>
      <xdr:rowOff>57150</xdr:rowOff>
    </xdr:to>
    <xdr:grpSp>
      <xdr:nvGrpSpPr>
        <xdr:cNvPr id="4393189" name="Group 120">
          <a:extLst>
            <a:ext uri="{FF2B5EF4-FFF2-40B4-BE49-F238E27FC236}">
              <a16:creationId xmlns="" xmlns:a16="http://schemas.microsoft.com/office/drawing/2014/main" id="{00000000-0008-0000-1A00-0000E5084300}"/>
            </a:ext>
          </a:extLst>
        </xdr:cNvPr>
        <xdr:cNvGrpSpPr>
          <a:grpSpLocks/>
        </xdr:cNvGrpSpPr>
      </xdr:nvGrpSpPr>
      <xdr:grpSpPr bwMode="auto">
        <a:xfrm>
          <a:off x="3043238" y="5634038"/>
          <a:ext cx="2738437" cy="1352550"/>
          <a:chOff x="358" y="540"/>
          <a:chExt cx="293" cy="139"/>
        </a:xfrm>
      </xdr:grpSpPr>
      <xdr:sp macro="" textlink="">
        <xdr:nvSpPr>
          <xdr:cNvPr id="4393216" name="Line 121">
            <a:extLst>
              <a:ext uri="{FF2B5EF4-FFF2-40B4-BE49-F238E27FC236}">
                <a16:creationId xmlns="" xmlns:a16="http://schemas.microsoft.com/office/drawing/2014/main" id="{00000000-0008-0000-1A00-0000000943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93217" name="Group 122">
            <a:extLst>
              <a:ext uri="{FF2B5EF4-FFF2-40B4-BE49-F238E27FC236}">
                <a16:creationId xmlns="" xmlns:a16="http://schemas.microsoft.com/office/drawing/2014/main" id="{00000000-0008-0000-1A00-0000010943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393273" name="Line 123">
              <a:extLst>
                <a:ext uri="{FF2B5EF4-FFF2-40B4-BE49-F238E27FC236}">
                  <a16:creationId xmlns="" xmlns:a16="http://schemas.microsoft.com/office/drawing/2014/main" id="{00000000-0008-0000-1A00-0000390943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3274" name="Line 124">
              <a:extLst>
                <a:ext uri="{FF2B5EF4-FFF2-40B4-BE49-F238E27FC236}">
                  <a16:creationId xmlns="" xmlns:a16="http://schemas.microsoft.com/office/drawing/2014/main" id="{00000000-0008-0000-1A00-00003A0943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93218" name="Line 125">
            <a:extLst>
              <a:ext uri="{FF2B5EF4-FFF2-40B4-BE49-F238E27FC236}">
                <a16:creationId xmlns="" xmlns:a16="http://schemas.microsoft.com/office/drawing/2014/main" id="{00000000-0008-0000-1A00-00000209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3219" name="Line 126">
            <a:extLst>
              <a:ext uri="{FF2B5EF4-FFF2-40B4-BE49-F238E27FC236}">
                <a16:creationId xmlns="" xmlns:a16="http://schemas.microsoft.com/office/drawing/2014/main" id="{00000000-0008-0000-1A00-00000309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3220" name="Line 127">
            <a:extLst>
              <a:ext uri="{FF2B5EF4-FFF2-40B4-BE49-F238E27FC236}">
                <a16:creationId xmlns="" xmlns:a16="http://schemas.microsoft.com/office/drawing/2014/main" id="{00000000-0008-0000-1A00-00000409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3221" name="Line 128">
            <a:extLst>
              <a:ext uri="{FF2B5EF4-FFF2-40B4-BE49-F238E27FC236}">
                <a16:creationId xmlns="" xmlns:a16="http://schemas.microsoft.com/office/drawing/2014/main" id="{00000000-0008-0000-1A00-0000050943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3222" name="Line 129">
            <a:extLst>
              <a:ext uri="{FF2B5EF4-FFF2-40B4-BE49-F238E27FC236}">
                <a16:creationId xmlns="" xmlns:a16="http://schemas.microsoft.com/office/drawing/2014/main" id="{00000000-0008-0000-1A00-0000060943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93223" name="Group 130">
            <a:extLst>
              <a:ext uri="{FF2B5EF4-FFF2-40B4-BE49-F238E27FC236}">
                <a16:creationId xmlns="" xmlns:a16="http://schemas.microsoft.com/office/drawing/2014/main" id="{00000000-0008-0000-1A00-0000070943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393267" name="Line 131">
              <a:extLst>
                <a:ext uri="{FF2B5EF4-FFF2-40B4-BE49-F238E27FC236}">
                  <a16:creationId xmlns="" xmlns:a16="http://schemas.microsoft.com/office/drawing/2014/main" id="{00000000-0008-0000-1A00-00003309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3268" name="Group 132">
              <a:extLst>
                <a:ext uri="{FF2B5EF4-FFF2-40B4-BE49-F238E27FC236}">
                  <a16:creationId xmlns="" xmlns:a16="http://schemas.microsoft.com/office/drawing/2014/main" id="{00000000-0008-0000-1A00-00003409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3269" name="Line 133">
                <a:extLst>
                  <a:ext uri="{FF2B5EF4-FFF2-40B4-BE49-F238E27FC236}">
                    <a16:creationId xmlns="" xmlns:a16="http://schemas.microsoft.com/office/drawing/2014/main" id="{00000000-0008-0000-1A00-00003509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3270" name="Group 134">
                <a:extLst>
                  <a:ext uri="{FF2B5EF4-FFF2-40B4-BE49-F238E27FC236}">
                    <a16:creationId xmlns="" xmlns:a16="http://schemas.microsoft.com/office/drawing/2014/main" id="{00000000-0008-0000-1A00-00003609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3271" name="Line 135">
                  <a:extLst>
                    <a:ext uri="{FF2B5EF4-FFF2-40B4-BE49-F238E27FC236}">
                      <a16:creationId xmlns="" xmlns:a16="http://schemas.microsoft.com/office/drawing/2014/main" id="{00000000-0008-0000-1A00-00003709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3272" name="Line 136">
                  <a:extLst>
                    <a:ext uri="{FF2B5EF4-FFF2-40B4-BE49-F238E27FC236}">
                      <a16:creationId xmlns="" xmlns:a16="http://schemas.microsoft.com/office/drawing/2014/main" id="{00000000-0008-0000-1A00-00003809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3224" name="Group 137">
            <a:extLst>
              <a:ext uri="{FF2B5EF4-FFF2-40B4-BE49-F238E27FC236}">
                <a16:creationId xmlns="" xmlns:a16="http://schemas.microsoft.com/office/drawing/2014/main" id="{00000000-0008-0000-1A00-0000080943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393261" name="Line 138">
              <a:extLst>
                <a:ext uri="{FF2B5EF4-FFF2-40B4-BE49-F238E27FC236}">
                  <a16:creationId xmlns="" xmlns:a16="http://schemas.microsoft.com/office/drawing/2014/main" id="{00000000-0008-0000-1A00-00002D09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3262" name="Group 139">
              <a:extLst>
                <a:ext uri="{FF2B5EF4-FFF2-40B4-BE49-F238E27FC236}">
                  <a16:creationId xmlns="" xmlns:a16="http://schemas.microsoft.com/office/drawing/2014/main" id="{00000000-0008-0000-1A00-00002E09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3263" name="Line 140">
                <a:extLst>
                  <a:ext uri="{FF2B5EF4-FFF2-40B4-BE49-F238E27FC236}">
                    <a16:creationId xmlns="" xmlns:a16="http://schemas.microsoft.com/office/drawing/2014/main" id="{00000000-0008-0000-1A00-00002F09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3264" name="Group 141">
                <a:extLst>
                  <a:ext uri="{FF2B5EF4-FFF2-40B4-BE49-F238E27FC236}">
                    <a16:creationId xmlns="" xmlns:a16="http://schemas.microsoft.com/office/drawing/2014/main" id="{00000000-0008-0000-1A00-00003009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3265" name="Line 142">
                  <a:extLst>
                    <a:ext uri="{FF2B5EF4-FFF2-40B4-BE49-F238E27FC236}">
                      <a16:creationId xmlns="" xmlns:a16="http://schemas.microsoft.com/office/drawing/2014/main" id="{00000000-0008-0000-1A00-00003109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3266" name="Line 143">
                  <a:extLst>
                    <a:ext uri="{FF2B5EF4-FFF2-40B4-BE49-F238E27FC236}">
                      <a16:creationId xmlns="" xmlns:a16="http://schemas.microsoft.com/office/drawing/2014/main" id="{00000000-0008-0000-1A00-00003209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3225" name="Group 144">
            <a:extLst>
              <a:ext uri="{FF2B5EF4-FFF2-40B4-BE49-F238E27FC236}">
                <a16:creationId xmlns="" xmlns:a16="http://schemas.microsoft.com/office/drawing/2014/main" id="{00000000-0008-0000-1A00-0000090943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393255" name="Line 145">
              <a:extLst>
                <a:ext uri="{FF2B5EF4-FFF2-40B4-BE49-F238E27FC236}">
                  <a16:creationId xmlns="" xmlns:a16="http://schemas.microsoft.com/office/drawing/2014/main" id="{00000000-0008-0000-1A00-00002709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3256" name="Group 146">
              <a:extLst>
                <a:ext uri="{FF2B5EF4-FFF2-40B4-BE49-F238E27FC236}">
                  <a16:creationId xmlns="" xmlns:a16="http://schemas.microsoft.com/office/drawing/2014/main" id="{00000000-0008-0000-1A00-00002809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3257" name="Line 147">
                <a:extLst>
                  <a:ext uri="{FF2B5EF4-FFF2-40B4-BE49-F238E27FC236}">
                    <a16:creationId xmlns="" xmlns:a16="http://schemas.microsoft.com/office/drawing/2014/main" id="{00000000-0008-0000-1A00-00002909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3258" name="Group 148">
                <a:extLst>
                  <a:ext uri="{FF2B5EF4-FFF2-40B4-BE49-F238E27FC236}">
                    <a16:creationId xmlns="" xmlns:a16="http://schemas.microsoft.com/office/drawing/2014/main" id="{00000000-0008-0000-1A00-00002A09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3259" name="Line 149">
                  <a:extLst>
                    <a:ext uri="{FF2B5EF4-FFF2-40B4-BE49-F238E27FC236}">
                      <a16:creationId xmlns="" xmlns:a16="http://schemas.microsoft.com/office/drawing/2014/main" id="{00000000-0008-0000-1A00-00002B09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3260" name="Line 150">
                  <a:extLst>
                    <a:ext uri="{FF2B5EF4-FFF2-40B4-BE49-F238E27FC236}">
                      <a16:creationId xmlns="" xmlns:a16="http://schemas.microsoft.com/office/drawing/2014/main" id="{00000000-0008-0000-1A00-00002C09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3226" name="Group 151">
            <a:extLst>
              <a:ext uri="{FF2B5EF4-FFF2-40B4-BE49-F238E27FC236}">
                <a16:creationId xmlns="" xmlns:a16="http://schemas.microsoft.com/office/drawing/2014/main" id="{00000000-0008-0000-1A00-00000A0943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393249" name="Line 152">
              <a:extLst>
                <a:ext uri="{FF2B5EF4-FFF2-40B4-BE49-F238E27FC236}">
                  <a16:creationId xmlns="" xmlns:a16="http://schemas.microsoft.com/office/drawing/2014/main" id="{00000000-0008-0000-1A00-00002109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3250" name="Group 153">
              <a:extLst>
                <a:ext uri="{FF2B5EF4-FFF2-40B4-BE49-F238E27FC236}">
                  <a16:creationId xmlns="" xmlns:a16="http://schemas.microsoft.com/office/drawing/2014/main" id="{00000000-0008-0000-1A00-00002209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3251" name="Line 154">
                <a:extLst>
                  <a:ext uri="{FF2B5EF4-FFF2-40B4-BE49-F238E27FC236}">
                    <a16:creationId xmlns="" xmlns:a16="http://schemas.microsoft.com/office/drawing/2014/main" id="{00000000-0008-0000-1A00-00002309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3252" name="Group 155">
                <a:extLst>
                  <a:ext uri="{FF2B5EF4-FFF2-40B4-BE49-F238E27FC236}">
                    <a16:creationId xmlns="" xmlns:a16="http://schemas.microsoft.com/office/drawing/2014/main" id="{00000000-0008-0000-1A00-00002409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3253" name="Line 156">
                  <a:extLst>
                    <a:ext uri="{FF2B5EF4-FFF2-40B4-BE49-F238E27FC236}">
                      <a16:creationId xmlns="" xmlns:a16="http://schemas.microsoft.com/office/drawing/2014/main" id="{00000000-0008-0000-1A00-00002509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3254" name="Line 157">
                  <a:extLst>
                    <a:ext uri="{FF2B5EF4-FFF2-40B4-BE49-F238E27FC236}">
                      <a16:creationId xmlns="" xmlns:a16="http://schemas.microsoft.com/office/drawing/2014/main" id="{00000000-0008-0000-1A00-00002609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3227" name="Group 158">
            <a:extLst>
              <a:ext uri="{FF2B5EF4-FFF2-40B4-BE49-F238E27FC236}">
                <a16:creationId xmlns="" xmlns:a16="http://schemas.microsoft.com/office/drawing/2014/main" id="{00000000-0008-0000-1A00-00000B0943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393243" name="Line 159">
              <a:extLst>
                <a:ext uri="{FF2B5EF4-FFF2-40B4-BE49-F238E27FC236}">
                  <a16:creationId xmlns="" xmlns:a16="http://schemas.microsoft.com/office/drawing/2014/main" id="{00000000-0008-0000-1A00-00001B09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3244" name="Group 160">
              <a:extLst>
                <a:ext uri="{FF2B5EF4-FFF2-40B4-BE49-F238E27FC236}">
                  <a16:creationId xmlns="" xmlns:a16="http://schemas.microsoft.com/office/drawing/2014/main" id="{00000000-0008-0000-1A00-00001C09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3245" name="Line 161">
                <a:extLst>
                  <a:ext uri="{FF2B5EF4-FFF2-40B4-BE49-F238E27FC236}">
                    <a16:creationId xmlns="" xmlns:a16="http://schemas.microsoft.com/office/drawing/2014/main" id="{00000000-0008-0000-1A00-00001D09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3246" name="Group 162">
                <a:extLst>
                  <a:ext uri="{FF2B5EF4-FFF2-40B4-BE49-F238E27FC236}">
                    <a16:creationId xmlns="" xmlns:a16="http://schemas.microsoft.com/office/drawing/2014/main" id="{00000000-0008-0000-1A00-00001E09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3247" name="Line 163">
                  <a:extLst>
                    <a:ext uri="{FF2B5EF4-FFF2-40B4-BE49-F238E27FC236}">
                      <a16:creationId xmlns="" xmlns:a16="http://schemas.microsoft.com/office/drawing/2014/main" id="{00000000-0008-0000-1A00-00001F09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3248" name="Line 164">
                  <a:extLst>
                    <a:ext uri="{FF2B5EF4-FFF2-40B4-BE49-F238E27FC236}">
                      <a16:creationId xmlns="" xmlns:a16="http://schemas.microsoft.com/office/drawing/2014/main" id="{00000000-0008-0000-1A00-00002009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3228" name="Group 165">
            <a:extLst>
              <a:ext uri="{FF2B5EF4-FFF2-40B4-BE49-F238E27FC236}">
                <a16:creationId xmlns="" xmlns:a16="http://schemas.microsoft.com/office/drawing/2014/main" id="{00000000-0008-0000-1A00-00000C0943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393237" name="Line 166">
              <a:extLst>
                <a:ext uri="{FF2B5EF4-FFF2-40B4-BE49-F238E27FC236}">
                  <a16:creationId xmlns="" xmlns:a16="http://schemas.microsoft.com/office/drawing/2014/main" id="{00000000-0008-0000-1A00-00001509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3238" name="Group 167">
              <a:extLst>
                <a:ext uri="{FF2B5EF4-FFF2-40B4-BE49-F238E27FC236}">
                  <a16:creationId xmlns="" xmlns:a16="http://schemas.microsoft.com/office/drawing/2014/main" id="{00000000-0008-0000-1A00-00001609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3239" name="Line 168">
                <a:extLst>
                  <a:ext uri="{FF2B5EF4-FFF2-40B4-BE49-F238E27FC236}">
                    <a16:creationId xmlns="" xmlns:a16="http://schemas.microsoft.com/office/drawing/2014/main" id="{00000000-0008-0000-1A00-00001709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3240" name="Group 169">
                <a:extLst>
                  <a:ext uri="{FF2B5EF4-FFF2-40B4-BE49-F238E27FC236}">
                    <a16:creationId xmlns="" xmlns:a16="http://schemas.microsoft.com/office/drawing/2014/main" id="{00000000-0008-0000-1A00-00001809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3241" name="Line 170">
                  <a:extLst>
                    <a:ext uri="{FF2B5EF4-FFF2-40B4-BE49-F238E27FC236}">
                      <a16:creationId xmlns="" xmlns:a16="http://schemas.microsoft.com/office/drawing/2014/main" id="{00000000-0008-0000-1A00-00001909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3242" name="Line 171">
                  <a:extLst>
                    <a:ext uri="{FF2B5EF4-FFF2-40B4-BE49-F238E27FC236}">
                      <a16:creationId xmlns="" xmlns:a16="http://schemas.microsoft.com/office/drawing/2014/main" id="{00000000-0008-0000-1A00-00001A09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3229" name="Group 172">
            <a:extLst>
              <a:ext uri="{FF2B5EF4-FFF2-40B4-BE49-F238E27FC236}">
                <a16:creationId xmlns="" xmlns:a16="http://schemas.microsoft.com/office/drawing/2014/main" id="{00000000-0008-0000-1A00-00000D0943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393231" name="Line 173">
              <a:extLst>
                <a:ext uri="{FF2B5EF4-FFF2-40B4-BE49-F238E27FC236}">
                  <a16:creationId xmlns="" xmlns:a16="http://schemas.microsoft.com/office/drawing/2014/main" id="{00000000-0008-0000-1A00-00000F09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3232" name="Group 174">
              <a:extLst>
                <a:ext uri="{FF2B5EF4-FFF2-40B4-BE49-F238E27FC236}">
                  <a16:creationId xmlns="" xmlns:a16="http://schemas.microsoft.com/office/drawing/2014/main" id="{00000000-0008-0000-1A00-00001009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3233" name="Line 175">
                <a:extLst>
                  <a:ext uri="{FF2B5EF4-FFF2-40B4-BE49-F238E27FC236}">
                    <a16:creationId xmlns="" xmlns:a16="http://schemas.microsoft.com/office/drawing/2014/main" id="{00000000-0008-0000-1A00-00001109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3234" name="Group 176">
                <a:extLst>
                  <a:ext uri="{FF2B5EF4-FFF2-40B4-BE49-F238E27FC236}">
                    <a16:creationId xmlns="" xmlns:a16="http://schemas.microsoft.com/office/drawing/2014/main" id="{00000000-0008-0000-1A00-00001209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3235" name="Line 177">
                  <a:extLst>
                    <a:ext uri="{FF2B5EF4-FFF2-40B4-BE49-F238E27FC236}">
                      <a16:creationId xmlns="" xmlns:a16="http://schemas.microsoft.com/office/drawing/2014/main" id="{00000000-0008-0000-1A00-00001309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3236" name="Line 178">
                  <a:extLst>
                    <a:ext uri="{FF2B5EF4-FFF2-40B4-BE49-F238E27FC236}">
                      <a16:creationId xmlns="" xmlns:a16="http://schemas.microsoft.com/office/drawing/2014/main" id="{00000000-0008-0000-1A00-00001409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93230" name="Line 179">
            <a:extLst>
              <a:ext uri="{FF2B5EF4-FFF2-40B4-BE49-F238E27FC236}">
                <a16:creationId xmlns="" xmlns:a16="http://schemas.microsoft.com/office/drawing/2014/main" id="{00000000-0008-0000-1A00-00000E0943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0</xdr:row>
      <xdr:rowOff>133350</xdr:rowOff>
    </xdr:from>
    <xdr:to>
      <xdr:col>21</xdr:col>
      <xdr:colOff>1314450</xdr:colOff>
      <xdr:row>2</xdr:row>
      <xdr:rowOff>28575</xdr:rowOff>
    </xdr:to>
    <xdr:sp macro="" textlink="">
      <xdr:nvSpPr>
        <xdr:cNvPr id="4331134" name="Rectangle 250">
          <a:extLst>
            <a:ext uri="{FF2B5EF4-FFF2-40B4-BE49-F238E27FC236}">
              <a16:creationId xmlns="" xmlns:a16="http://schemas.microsoft.com/office/drawing/2014/main" id="{00000000-0008-0000-1A00-00007E164200}"/>
            </a:ext>
          </a:extLst>
        </xdr:cNvPr>
        <xdr:cNvSpPr>
          <a:spLocks noChangeArrowheads="1"/>
        </xdr:cNvSpPr>
      </xdr:nvSpPr>
      <xdr:spPr bwMode="auto">
        <a:xfrm>
          <a:off x="2324100" y="133350"/>
          <a:ext cx="17506950" cy="5524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  <xdr:txBody>
        <a:bodyPr/>
        <a:lstStyle/>
        <a:p>
          <a:endParaRPr lang="it-IT"/>
        </a:p>
      </xdr:txBody>
    </xdr:sp>
    <xdr:clientData/>
  </xdr:twoCellAnchor>
  <xdr:twoCellAnchor>
    <xdr:from>
      <xdr:col>2</xdr:col>
      <xdr:colOff>0</xdr:colOff>
      <xdr:row>23</xdr:row>
      <xdr:rowOff>95250</xdr:rowOff>
    </xdr:from>
    <xdr:to>
      <xdr:col>10</xdr:col>
      <xdr:colOff>647700</xdr:colOff>
      <xdr:row>34</xdr:row>
      <xdr:rowOff>190500</xdr:rowOff>
    </xdr:to>
    <xdr:grpSp>
      <xdr:nvGrpSpPr>
        <xdr:cNvPr id="4393192" name="Gruppo 254">
          <a:extLst>
            <a:ext uri="{FF2B5EF4-FFF2-40B4-BE49-F238E27FC236}">
              <a16:creationId xmlns="" xmlns:a16="http://schemas.microsoft.com/office/drawing/2014/main" id="{00000000-0008-0000-1A00-0000E8084300}"/>
            </a:ext>
          </a:extLst>
        </xdr:cNvPr>
        <xdr:cNvGrpSpPr>
          <a:grpSpLocks/>
        </xdr:cNvGrpSpPr>
      </xdr:nvGrpSpPr>
      <xdr:grpSpPr bwMode="auto">
        <a:xfrm>
          <a:off x="2643188" y="7977188"/>
          <a:ext cx="8934450" cy="4214812"/>
          <a:chOff x="32032547" y="4916090"/>
          <a:chExt cx="6320731" cy="4069880"/>
        </a:xfrm>
      </xdr:grpSpPr>
      <xdr:sp macro="" textlink="">
        <xdr:nvSpPr>
          <xdr:cNvPr id="4393194" name="Line 181">
            <a:extLst>
              <a:ext uri="{FF2B5EF4-FFF2-40B4-BE49-F238E27FC236}">
                <a16:creationId xmlns="" xmlns:a16="http://schemas.microsoft.com/office/drawing/2014/main" id="{00000000-0008-0000-1A00-0000EA08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039228" y="6007380"/>
            <a:ext cx="48107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3195" name="Line 182">
            <a:extLst>
              <a:ext uri="{FF2B5EF4-FFF2-40B4-BE49-F238E27FC236}">
                <a16:creationId xmlns="" xmlns:a16="http://schemas.microsoft.com/office/drawing/2014/main" id="{00000000-0008-0000-1A00-0000EB084300}"/>
              </a:ext>
            </a:extLst>
          </xdr:cNvPr>
          <xdr:cNvSpPr>
            <a:spLocks noChangeShapeType="1"/>
          </xdr:cNvSpPr>
        </xdr:nvSpPr>
        <xdr:spPr bwMode="auto">
          <a:xfrm>
            <a:off x="32039228" y="5327889"/>
            <a:ext cx="0" cy="365808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3196" name="Line 183">
            <a:extLst>
              <a:ext uri="{FF2B5EF4-FFF2-40B4-BE49-F238E27FC236}">
                <a16:creationId xmlns="" xmlns:a16="http://schemas.microsoft.com/office/drawing/2014/main" id="{00000000-0008-0000-1A00-0000EC084300}"/>
              </a:ext>
            </a:extLst>
          </xdr:cNvPr>
          <xdr:cNvSpPr>
            <a:spLocks noChangeShapeType="1"/>
          </xdr:cNvSpPr>
        </xdr:nvSpPr>
        <xdr:spPr bwMode="auto">
          <a:xfrm>
            <a:off x="32045909" y="6407627"/>
            <a:ext cx="13630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3197" name="Line 184">
            <a:extLst>
              <a:ext uri="{FF2B5EF4-FFF2-40B4-BE49-F238E27FC236}">
                <a16:creationId xmlns="" xmlns:a16="http://schemas.microsoft.com/office/drawing/2014/main" id="{00000000-0008-0000-1A00-0000ED084300}"/>
              </a:ext>
            </a:extLst>
          </xdr:cNvPr>
          <xdr:cNvSpPr>
            <a:spLocks noChangeShapeType="1"/>
          </xdr:cNvSpPr>
        </xdr:nvSpPr>
        <xdr:spPr bwMode="auto">
          <a:xfrm>
            <a:off x="32039228" y="6863724"/>
            <a:ext cx="22316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3198" name="Line 185">
            <a:extLst>
              <a:ext uri="{FF2B5EF4-FFF2-40B4-BE49-F238E27FC236}">
                <a16:creationId xmlns="" xmlns:a16="http://schemas.microsoft.com/office/drawing/2014/main" id="{00000000-0008-0000-1A00-0000EE08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45909" y="7254664"/>
            <a:ext cx="306014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3199" name="Line 186">
            <a:extLst>
              <a:ext uri="{FF2B5EF4-FFF2-40B4-BE49-F238E27FC236}">
                <a16:creationId xmlns="" xmlns:a16="http://schemas.microsoft.com/office/drawing/2014/main" id="{00000000-0008-0000-1A00-0000EF084300}"/>
              </a:ext>
            </a:extLst>
          </xdr:cNvPr>
          <xdr:cNvSpPr>
            <a:spLocks noChangeShapeType="1"/>
          </xdr:cNvSpPr>
        </xdr:nvSpPr>
        <xdr:spPr bwMode="auto">
          <a:xfrm>
            <a:off x="32520299" y="4964873"/>
            <a:ext cx="0" cy="115420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3200" name="Line 187">
            <a:extLst>
              <a:ext uri="{FF2B5EF4-FFF2-40B4-BE49-F238E27FC236}">
                <a16:creationId xmlns="" xmlns:a16="http://schemas.microsoft.com/office/drawing/2014/main" id="{00000000-0008-0000-1A00-0000F0084300}"/>
              </a:ext>
            </a:extLst>
          </xdr:cNvPr>
          <xdr:cNvSpPr>
            <a:spLocks noChangeShapeType="1"/>
          </xdr:cNvSpPr>
        </xdr:nvSpPr>
        <xdr:spPr bwMode="auto">
          <a:xfrm>
            <a:off x="32065954" y="5030029"/>
            <a:ext cx="414255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3201" name="Line 188">
            <a:extLst>
              <a:ext uri="{FF2B5EF4-FFF2-40B4-BE49-F238E27FC236}">
                <a16:creationId xmlns="" xmlns:a16="http://schemas.microsoft.com/office/drawing/2014/main" id="{00000000-0008-0000-1A00-0000F1084300}"/>
              </a:ext>
            </a:extLst>
          </xdr:cNvPr>
          <xdr:cNvSpPr>
            <a:spLocks noChangeShapeType="1"/>
          </xdr:cNvSpPr>
        </xdr:nvSpPr>
        <xdr:spPr bwMode="auto">
          <a:xfrm>
            <a:off x="33408943" y="4955565"/>
            <a:ext cx="0" cy="149860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3202" name="Line 189">
            <a:extLst>
              <a:ext uri="{FF2B5EF4-FFF2-40B4-BE49-F238E27FC236}">
                <a16:creationId xmlns="" xmlns:a16="http://schemas.microsoft.com/office/drawing/2014/main" id="{00000000-0008-0000-1A00-0000F2084300}"/>
              </a:ext>
            </a:extLst>
          </xdr:cNvPr>
          <xdr:cNvSpPr>
            <a:spLocks noChangeShapeType="1"/>
          </xdr:cNvSpPr>
        </xdr:nvSpPr>
        <xdr:spPr bwMode="auto">
          <a:xfrm>
            <a:off x="32841012" y="5039338"/>
            <a:ext cx="88864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3203" name="Line 191">
            <a:extLst>
              <a:ext uri="{FF2B5EF4-FFF2-40B4-BE49-F238E27FC236}">
                <a16:creationId xmlns="" xmlns:a16="http://schemas.microsoft.com/office/drawing/2014/main" id="{00000000-0008-0000-1A00-0000F3084300}"/>
              </a:ext>
            </a:extLst>
          </xdr:cNvPr>
          <xdr:cNvSpPr>
            <a:spLocks noChangeShapeType="1"/>
          </xdr:cNvSpPr>
        </xdr:nvSpPr>
        <xdr:spPr bwMode="auto">
          <a:xfrm>
            <a:off x="34241720" y="5042775"/>
            <a:ext cx="0" cy="209917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3204" name="Rectangle 196">
            <a:extLst>
              <a:ext uri="{FF2B5EF4-FFF2-40B4-BE49-F238E27FC236}">
                <a16:creationId xmlns="" xmlns:a16="http://schemas.microsoft.com/office/drawing/2014/main" id="{00000000-0008-0000-1A00-0000F4084300}"/>
              </a:ext>
            </a:extLst>
          </xdr:cNvPr>
          <xdr:cNvSpPr>
            <a:spLocks noChangeArrowheads="1"/>
          </xdr:cNvSpPr>
        </xdr:nvSpPr>
        <xdr:spPr bwMode="auto">
          <a:xfrm>
            <a:off x="32039227" y="4918332"/>
            <a:ext cx="6314051" cy="363016"/>
          </a:xfrm>
          <a:prstGeom prst="rect">
            <a:avLst/>
          </a:prstGeom>
          <a:noFill/>
          <a:ln w="158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93205" name="Line 197">
            <a:extLst>
              <a:ext uri="{FF2B5EF4-FFF2-40B4-BE49-F238E27FC236}">
                <a16:creationId xmlns="" xmlns:a16="http://schemas.microsoft.com/office/drawing/2014/main" id="{00000000-0008-0000-1A00-0000F5084300}"/>
              </a:ext>
            </a:extLst>
          </xdr:cNvPr>
          <xdr:cNvSpPr>
            <a:spLocks noChangeShapeType="1"/>
          </xdr:cNvSpPr>
        </xdr:nvSpPr>
        <xdr:spPr bwMode="auto">
          <a:xfrm>
            <a:off x="38039246" y="4955565"/>
            <a:ext cx="0" cy="398386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3206" name="Line 199">
            <a:extLst>
              <a:ext uri="{FF2B5EF4-FFF2-40B4-BE49-F238E27FC236}">
                <a16:creationId xmlns="" xmlns:a16="http://schemas.microsoft.com/office/drawing/2014/main" id="{00000000-0008-0000-1A00-0000F608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032547" y="8939429"/>
            <a:ext cx="600001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3207" name="Line 201">
            <a:extLst>
              <a:ext uri="{FF2B5EF4-FFF2-40B4-BE49-F238E27FC236}">
                <a16:creationId xmlns="" xmlns:a16="http://schemas.microsoft.com/office/drawing/2014/main" id="{00000000-0008-0000-1A00-0000F708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5082562" y="5032371"/>
            <a:ext cx="0" cy="2362448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3208" name="Line 202">
            <a:extLst>
              <a:ext uri="{FF2B5EF4-FFF2-40B4-BE49-F238E27FC236}">
                <a16:creationId xmlns="" xmlns:a16="http://schemas.microsoft.com/office/drawing/2014/main" id="{00000000-0008-0000-1A00-0000F808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7758028" y="5032371"/>
            <a:ext cx="8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3209" name="Line 203">
            <a:extLst>
              <a:ext uri="{FF2B5EF4-FFF2-40B4-BE49-F238E27FC236}">
                <a16:creationId xmlns="" xmlns:a16="http://schemas.microsoft.com/office/drawing/2014/main" id="{00000000-0008-0000-1A00-0000F908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7692145"/>
            <a:ext cx="388865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3210" name="Line 204">
            <a:extLst>
              <a:ext uri="{FF2B5EF4-FFF2-40B4-BE49-F238E27FC236}">
                <a16:creationId xmlns="" xmlns:a16="http://schemas.microsoft.com/office/drawing/2014/main" id="{00000000-0008-0000-1A00-0000FA08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8148242"/>
            <a:ext cx="469711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3211" name="Line 205">
            <a:extLst>
              <a:ext uri="{FF2B5EF4-FFF2-40B4-BE49-F238E27FC236}">
                <a16:creationId xmlns="" xmlns:a16="http://schemas.microsoft.com/office/drawing/2014/main" id="{00000000-0008-0000-1A00-0000FB08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8529873"/>
            <a:ext cx="5405362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3212" name="Line 207">
            <a:extLst>
              <a:ext uri="{FF2B5EF4-FFF2-40B4-BE49-F238E27FC236}">
                <a16:creationId xmlns="" xmlns:a16="http://schemas.microsoft.com/office/drawing/2014/main" id="{00000000-0008-0000-1A00-0000FC084300}"/>
              </a:ext>
            </a:extLst>
          </xdr:cNvPr>
          <xdr:cNvSpPr>
            <a:spLocks noChangeShapeType="1"/>
          </xdr:cNvSpPr>
        </xdr:nvSpPr>
        <xdr:spPr bwMode="auto">
          <a:xfrm>
            <a:off x="35903589" y="4964873"/>
            <a:ext cx="0" cy="291533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3213" name="Line 210">
            <a:extLst>
              <a:ext uri="{FF2B5EF4-FFF2-40B4-BE49-F238E27FC236}">
                <a16:creationId xmlns="" xmlns:a16="http://schemas.microsoft.com/office/drawing/2014/main" id="{00000000-0008-0000-1A00-0000FD084300}"/>
              </a:ext>
            </a:extLst>
          </xdr:cNvPr>
          <xdr:cNvSpPr>
            <a:spLocks noChangeShapeType="1"/>
          </xdr:cNvSpPr>
        </xdr:nvSpPr>
        <xdr:spPr bwMode="auto">
          <a:xfrm>
            <a:off x="37410345" y="4985564"/>
            <a:ext cx="0" cy="3620849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3214" name="Line 212">
            <a:extLst>
              <a:ext uri="{FF2B5EF4-FFF2-40B4-BE49-F238E27FC236}">
                <a16:creationId xmlns="" xmlns:a16="http://schemas.microsoft.com/office/drawing/2014/main" id="{00000000-0008-0000-1A00-0000FE084300}"/>
              </a:ext>
            </a:extLst>
          </xdr:cNvPr>
          <xdr:cNvSpPr>
            <a:spLocks noChangeShapeType="1"/>
          </xdr:cNvSpPr>
        </xdr:nvSpPr>
        <xdr:spPr bwMode="auto">
          <a:xfrm>
            <a:off x="37945705" y="5039338"/>
            <a:ext cx="17372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3215" name="Line 210">
            <a:extLst>
              <a:ext uri="{FF2B5EF4-FFF2-40B4-BE49-F238E27FC236}">
                <a16:creationId xmlns="" xmlns:a16="http://schemas.microsoft.com/office/drawing/2014/main" id="{00000000-0008-0000-1A00-0000FF084300}"/>
              </a:ext>
            </a:extLst>
          </xdr:cNvPr>
          <xdr:cNvSpPr>
            <a:spLocks noChangeShapeType="1"/>
          </xdr:cNvSpPr>
        </xdr:nvSpPr>
        <xdr:spPr bwMode="auto">
          <a:xfrm>
            <a:off x="36723957" y="4916090"/>
            <a:ext cx="0" cy="3347106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12</xdr:col>
      <xdr:colOff>219075</xdr:colOff>
      <xdr:row>17</xdr:row>
      <xdr:rowOff>371475</xdr:rowOff>
    </xdr:from>
    <xdr:to>
      <xdr:col>22</xdr:col>
      <xdr:colOff>419100</xdr:colOff>
      <xdr:row>34</xdr:row>
      <xdr:rowOff>209550</xdr:rowOff>
    </xdr:to>
    <xdr:pic>
      <xdr:nvPicPr>
        <xdr:cNvPr id="4393193" name="Picture 69">
          <a:extLst>
            <a:ext uri="{FF2B5EF4-FFF2-40B4-BE49-F238E27FC236}">
              <a16:creationId xmlns="" xmlns:a16="http://schemas.microsoft.com/office/drawing/2014/main" id="{00000000-0008-0000-1A00-0000E9084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2106275" y="6515100"/>
          <a:ext cx="8143875" cy="5781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94107" name="Line 1">
          <a:extLst>
            <a:ext uri="{FF2B5EF4-FFF2-40B4-BE49-F238E27FC236}">
              <a16:creationId xmlns="" xmlns:a16="http://schemas.microsoft.com/office/drawing/2014/main" id="{00000000-0008-0000-1B00-00007B0C4300}"/>
            </a:ext>
          </a:extLst>
        </xdr:cNvPr>
        <xdr:cNvSpPr>
          <a:spLocks noChangeShapeType="1"/>
        </xdr:cNvSpPr>
      </xdr:nvSpPr>
      <xdr:spPr bwMode="auto">
        <a:xfrm flipV="1"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94108" name="Line 2">
          <a:extLst>
            <a:ext uri="{FF2B5EF4-FFF2-40B4-BE49-F238E27FC236}">
              <a16:creationId xmlns="" xmlns:a16="http://schemas.microsoft.com/office/drawing/2014/main" id="{00000000-0008-0000-1B00-00007C0C4300}"/>
            </a:ext>
          </a:extLst>
        </xdr:cNvPr>
        <xdr:cNvSpPr>
          <a:spLocks noChangeShapeType="1"/>
        </xdr:cNvSpPr>
      </xdr:nvSpPr>
      <xdr:spPr bwMode="auto">
        <a:xfrm flipV="1">
          <a:off x="70580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676275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94109" name="Line 3">
          <a:extLst>
            <a:ext uri="{FF2B5EF4-FFF2-40B4-BE49-F238E27FC236}">
              <a16:creationId xmlns="" xmlns:a16="http://schemas.microsoft.com/office/drawing/2014/main" id="{00000000-0008-0000-1B00-00007D0C43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442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95250</xdr:colOff>
      <xdr:row>0</xdr:row>
      <xdr:rowOff>0</xdr:rowOff>
    </xdr:from>
    <xdr:to>
      <xdr:col>6</xdr:col>
      <xdr:colOff>200025</xdr:colOff>
      <xdr:row>0</xdr:row>
      <xdr:rowOff>0</xdr:rowOff>
    </xdr:to>
    <xdr:sp macro="" textlink="">
      <xdr:nvSpPr>
        <xdr:cNvPr id="4394110" name="Line 4">
          <a:extLst>
            <a:ext uri="{FF2B5EF4-FFF2-40B4-BE49-F238E27FC236}">
              <a16:creationId xmlns="" xmlns:a16="http://schemas.microsoft.com/office/drawing/2014/main" id="{00000000-0008-0000-1B00-00007E0C4300}"/>
            </a:ext>
          </a:extLst>
        </xdr:cNvPr>
        <xdr:cNvSpPr>
          <a:spLocks noChangeShapeType="1"/>
        </xdr:cNvSpPr>
      </xdr:nvSpPr>
      <xdr:spPr bwMode="auto">
        <a:xfrm>
          <a:off x="7153275" y="0"/>
          <a:ext cx="1104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104775</xdr:colOff>
      <xdr:row>0</xdr:row>
      <xdr:rowOff>0</xdr:rowOff>
    </xdr:from>
    <xdr:to>
      <xdr:col>6</xdr:col>
      <xdr:colOff>104775</xdr:colOff>
      <xdr:row>0</xdr:row>
      <xdr:rowOff>0</xdr:rowOff>
    </xdr:to>
    <xdr:sp macro="" textlink="">
      <xdr:nvSpPr>
        <xdr:cNvPr id="4394111" name="Line 5">
          <a:extLst>
            <a:ext uri="{FF2B5EF4-FFF2-40B4-BE49-F238E27FC236}">
              <a16:creationId xmlns="" xmlns:a16="http://schemas.microsoft.com/office/drawing/2014/main" id="{00000000-0008-0000-1B00-00007F0C4300}"/>
            </a:ext>
          </a:extLst>
        </xdr:cNvPr>
        <xdr:cNvSpPr>
          <a:spLocks noChangeShapeType="1"/>
        </xdr:cNvSpPr>
      </xdr:nvSpPr>
      <xdr:spPr bwMode="auto">
        <a:xfrm>
          <a:off x="81629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0</xdr:row>
      <xdr:rowOff>0</xdr:rowOff>
    </xdr:from>
    <xdr:to>
      <xdr:col>6</xdr:col>
      <xdr:colOff>114300</xdr:colOff>
      <xdr:row>0</xdr:row>
      <xdr:rowOff>0</xdr:rowOff>
    </xdr:to>
    <xdr:sp macro="" textlink="">
      <xdr:nvSpPr>
        <xdr:cNvPr id="4394112" name="Line 6">
          <a:extLst>
            <a:ext uri="{FF2B5EF4-FFF2-40B4-BE49-F238E27FC236}">
              <a16:creationId xmlns="" xmlns:a16="http://schemas.microsoft.com/office/drawing/2014/main" id="{00000000-0008-0000-1B00-0000800C4300}"/>
            </a:ext>
          </a:extLst>
        </xdr:cNvPr>
        <xdr:cNvSpPr>
          <a:spLocks noChangeShapeType="1"/>
        </xdr:cNvSpPr>
      </xdr:nvSpPr>
      <xdr:spPr bwMode="auto">
        <a:xfrm>
          <a:off x="81724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85725</xdr:colOff>
      <xdr:row>0</xdr:row>
      <xdr:rowOff>0</xdr:rowOff>
    </xdr:from>
    <xdr:to>
      <xdr:col>6</xdr:col>
      <xdr:colOff>228600</xdr:colOff>
      <xdr:row>0</xdr:row>
      <xdr:rowOff>0</xdr:rowOff>
    </xdr:to>
    <xdr:sp macro="" textlink="">
      <xdr:nvSpPr>
        <xdr:cNvPr id="4394113" name="Line 7">
          <a:extLst>
            <a:ext uri="{FF2B5EF4-FFF2-40B4-BE49-F238E27FC236}">
              <a16:creationId xmlns="" xmlns:a16="http://schemas.microsoft.com/office/drawing/2014/main" id="{00000000-0008-0000-1B00-0000810C4300}"/>
            </a:ext>
          </a:extLst>
        </xdr:cNvPr>
        <xdr:cNvSpPr>
          <a:spLocks noChangeShapeType="1"/>
        </xdr:cNvSpPr>
      </xdr:nvSpPr>
      <xdr:spPr bwMode="auto">
        <a:xfrm>
          <a:off x="7143750" y="0"/>
          <a:ext cx="1143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533400</xdr:colOff>
      <xdr:row>0</xdr:row>
      <xdr:rowOff>0</xdr:rowOff>
    </xdr:from>
    <xdr:to>
      <xdr:col>12</xdr:col>
      <xdr:colOff>123825</xdr:colOff>
      <xdr:row>0</xdr:row>
      <xdr:rowOff>0</xdr:rowOff>
    </xdr:to>
    <xdr:sp macro="" textlink="">
      <xdr:nvSpPr>
        <xdr:cNvPr id="4394114" name="Line 8">
          <a:extLst>
            <a:ext uri="{FF2B5EF4-FFF2-40B4-BE49-F238E27FC236}">
              <a16:creationId xmlns="" xmlns:a16="http://schemas.microsoft.com/office/drawing/2014/main" id="{00000000-0008-0000-1B00-0000820C4300}"/>
            </a:ext>
          </a:extLst>
        </xdr:cNvPr>
        <xdr:cNvSpPr>
          <a:spLocks noChangeShapeType="1"/>
        </xdr:cNvSpPr>
      </xdr:nvSpPr>
      <xdr:spPr bwMode="auto">
        <a:xfrm>
          <a:off x="11887200" y="0"/>
          <a:ext cx="12382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12</xdr:col>
      <xdr:colOff>238125</xdr:colOff>
      <xdr:row>0</xdr:row>
      <xdr:rowOff>0</xdr:rowOff>
    </xdr:to>
    <xdr:sp macro="" textlink="">
      <xdr:nvSpPr>
        <xdr:cNvPr id="4394115" name="Line 9">
          <a:extLst>
            <a:ext uri="{FF2B5EF4-FFF2-40B4-BE49-F238E27FC236}">
              <a16:creationId xmlns="" xmlns:a16="http://schemas.microsoft.com/office/drawing/2014/main" id="{00000000-0008-0000-1B00-0000830C4300}"/>
            </a:ext>
          </a:extLst>
        </xdr:cNvPr>
        <xdr:cNvSpPr>
          <a:spLocks noChangeShapeType="1"/>
        </xdr:cNvSpPr>
      </xdr:nvSpPr>
      <xdr:spPr bwMode="auto">
        <a:xfrm flipV="1">
          <a:off x="120110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238125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4116" name="Line 10">
          <a:extLst>
            <a:ext uri="{FF2B5EF4-FFF2-40B4-BE49-F238E27FC236}">
              <a16:creationId xmlns="" xmlns:a16="http://schemas.microsoft.com/office/drawing/2014/main" id="{00000000-0008-0000-1B00-0000840C4300}"/>
            </a:ext>
          </a:extLst>
        </xdr:cNvPr>
        <xdr:cNvSpPr>
          <a:spLocks noChangeShapeType="1"/>
        </xdr:cNvSpPr>
      </xdr:nvSpPr>
      <xdr:spPr bwMode="auto">
        <a:xfrm>
          <a:off x="12125325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361950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4117" name="Line 11">
          <a:extLst>
            <a:ext uri="{FF2B5EF4-FFF2-40B4-BE49-F238E27FC236}">
              <a16:creationId xmlns="" xmlns:a16="http://schemas.microsoft.com/office/drawing/2014/main" id="{00000000-0008-0000-1B00-0000850C4300}"/>
            </a:ext>
          </a:extLst>
        </xdr:cNvPr>
        <xdr:cNvSpPr>
          <a:spLocks noChangeShapeType="1"/>
        </xdr:cNvSpPr>
      </xdr:nvSpPr>
      <xdr:spPr bwMode="auto">
        <a:xfrm flipV="1"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466725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4118" name="Line 12">
          <a:extLst>
            <a:ext uri="{FF2B5EF4-FFF2-40B4-BE49-F238E27FC236}">
              <a16:creationId xmlns="" xmlns:a16="http://schemas.microsoft.com/office/drawing/2014/main" id="{00000000-0008-0000-1B00-0000860C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581025</xdr:colOff>
      <xdr:row>0</xdr:row>
      <xdr:rowOff>0</xdr:rowOff>
    </xdr:from>
    <xdr:to>
      <xdr:col>13</xdr:col>
      <xdr:colOff>0</xdr:colOff>
      <xdr:row>0</xdr:row>
      <xdr:rowOff>0</xdr:rowOff>
    </xdr:to>
    <xdr:sp macro="" textlink="">
      <xdr:nvSpPr>
        <xdr:cNvPr id="4394119" name="Line 13">
          <a:extLst>
            <a:ext uri="{FF2B5EF4-FFF2-40B4-BE49-F238E27FC236}">
              <a16:creationId xmlns="" xmlns:a16="http://schemas.microsoft.com/office/drawing/2014/main" id="{00000000-0008-0000-1B00-0000870C4300}"/>
            </a:ext>
          </a:extLst>
        </xdr:cNvPr>
        <xdr:cNvSpPr>
          <a:spLocks noChangeShapeType="1"/>
        </xdr:cNvSpPr>
      </xdr:nvSpPr>
      <xdr:spPr bwMode="auto">
        <a:xfrm flipV="1"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0</xdr:row>
      <xdr:rowOff>0</xdr:rowOff>
    </xdr:from>
    <xdr:to>
      <xdr:col>13</xdr:col>
      <xdr:colOff>123825</xdr:colOff>
      <xdr:row>0</xdr:row>
      <xdr:rowOff>0</xdr:rowOff>
    </xdr:to>
    <xdr:sp macro="" textlink="">
      <xdr:nvSpPr>
        <xdr:cNvPr id="4394120" name="Line 14">
          <a:extLst>
            <a:ext uri="{FF2B5EF4-FFF2-40B4-BE49-F238E27FC236}">
              <a16:creationId xmlns="" xmlns:a16="http://schemas.microsoft.com/office/drawing/2014/main" id="{00000000-0008-0000-1B00-0000880C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123825</xdr:colOff>
      <xdr:row>0</xdr:row>
      <xdr:rowOff>0</xdr:rowOff>
    </xdr:from>
    <xdr:to>
      <xdr:col>13</xdr:col>
      <xdr:colOff>238125</xdr:colOff>
      <xdr:row>0</xdr:row>
      <xdr:rowOff>0</xdr:rowOff>
    </xdr:to>
    <xdr:sp macro="" textlink="">
      <xdr:nvSpPr>
        <xdr:cNvPr id="4394121" name="Line 15">
          <a:extLst>
            <a:ext uri="{FF2B5EF4-FFF2-40B4-BE49-F238E27FC236}">
              <a16:creationId xmlns="" xmlns:a16="http://schemas.microsoft.com/office/drawing/2014/main" id="{00000000-0008-0000-1B00-0000890C4300}"/>
            </a:ext>
          </a:extLst>
        </xdr:cNvPr>
        <xdr:cNvSpPr>
          <a:spLocks noChangeShapeType="1"/>
        </xdr:cNvSpPr>
      </xdr:nvSpPr>
      <xdr:spPr bwMode="auto">
        <a:xfrm flipV="1">
          <a:off x="122586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238125</xdr:colOff>
      <xdr:row>0</xdr:row>
      <xdr:rowOff>0</xdr:rowOff>
    </xdr:from>
    <xdr:to>
      <xdr:col>13</xdr:col>
      <xdr:colOff>361950</xdr:colOff>
      <xdr:row>0</xdr:row>
      <xdr:rowOff>0</xdr:rowOff>
    </xdr:to>
    <xdr:sp macro="" textlink="">
      <xdr:nvSpPr>
        <xdr:cNvPr id="4394122" name="Line 16">
          <a:extLst>
            <a:ext uri="{FF2B5EF4-FFF2-40B4-BE49-F238E27FC236}">
              <a16:creationId xmlns="" xmlns:a16="http://schemas.microsoft.com/office/drawing/2014/main" id="{00000000-0008-0000-1B00-00008A0C4300}"/>
            </a:ext>
          </a:extLst>
        </xdr:cNvPr>
        <xdr:cNvSpPr>
          <a:spLocks noChangeShapeType="1"/>
        </xdr:cNvSpPr>
      </xdr:nvSpPr>
      <xdr:spPr bwMode="auto">
        <a:xfrm>
          <a:off x="123729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361950</xdr:colOff>
      <xdr:row>0</xdr:row>
      <xdr:rowOff>0</xdr:rowOff>
    </xdr:from>
    <xdr:to>
      <xdr:col>13</xdr:col>
      <xdr:colOff>476250</xdr:colOff>
      <xdr:row>0</xdr:row>
      <xdr:rowOff>0</xdr:rowOff>
    </xdr:to>
    <xdr:sp macro="" textlink="">
      <xdr:nvSpPr>
        <xdr:cNvPr id="4394123" name="Line 17">
          <a:extLst>
            <a:ext uri="{FF2B5EF4-FFF2-40B4-BE49-F238E27FC236}">
              <a16:creationId xmlns="" xmlns:a16="http://schemas.microsoft.com/office/drawing/2014/main" id="{00000000-0008-0000-1B00-00008B0C4300}"/>
            </a:ext>
          </a:extLst>
        </xdr:cNvPr>
        <xdr:cNvSpPr>
          <a:spLocks noChangeShapeType="1"/>
        </xdr:cNvSpPr>
      </xdr:nvSpPr>
      <xdr:spPr bwMode="auto">
        <a:xfrm flipV="1">
          <a:off x="1249680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476250</xdr:colOff>
      <xdr:row>0</xdr:row>
      <xdr:rowOff>0</xdr:rowOff>
    </xdr:from>
    <xdr:to>
      <xdr:col>13</xdr:col>
      <xdr:colOff>609600</xdr:colOff>
      <xdr:row>0</xdr:row>
      <xdr:rowOff>0</xdr:rowOff>
    </xdr:to>
    <xdr:sp macro="" textlink="">
      <xdr:nvSpPr>
        <xdr:cNvPr id="4394124" name="Line 18">
          <a:extLst>
            <a:ext uri="{FF2B5EF4-FFF2-40B4-BE49-F238E27FC236}">
              <a16:creationId xmlns="" xmlns:a16="http://schemas.microsoft.com/office/drawing/2014/main" id="{00000000-0008-0000-1B00-00008C0C4300}"/>
            </a:ext>
          </a:extLst>
        </xdr:cNvPr>
        <xdr:cNvSpPr>
          <a:spLocks noChangeShapeType="1"/>
        </xdr:cNvSpPr>
      </xdr:nvSpPr>
      <xdr:spPr bwMode="auto">
        <a:xfrm>
          <a:off x="12611100" y="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14</xdr:col>
      <xdr:colOff>28575</xdr:colOff>
      <xdr:row>0</xdr:row>
      <xdr:rowOff>0</xdr:rowOff>
    </xdr:to>
    <xdr:sp macro="" textlink="">
      <xdr:nvSpPr>
        <xdr:cNvPr id="4394125" name="Line 19">
          <a:extLst>
            <a:ext uri="{FF2B5EF4-FFF2-40B4-BE49-F238E27FC236}">
              <a16:creationId xmlns="" xmlns:a16="http://schemas.microsoft.com/office/drawing/2014/main" id="{00000000-0008-0000-1B00-00008D0C4300}"/>
            </a:ext>
          </a:extLst>
        </xdr:cNvPr>
        <xdr:cNvSpPr>
          <a:spLocks noChangeShapeType="1"/>
        </xdr:cNvSpPr>
      </xdr:nvSpPr>
      <xdr:spPr bwMode="auto">
        <a:xfrm flipV="1">
          <a:off x="12744450" y="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28575</xdr:colOff>
      <xdr:row>0</xdr:row>
      <xdr:rowOff>0</xdr:rowOff>
    </xdr:from>
    <xdr:to>
      <xdr:col>14</xdr:col>
      <xdr:colOff>152400</xdr:colOff>
      <xdr:row>0</xdr:row>
      <xdr:rowOff>0</xdr:rowOff>
    </xdr:to>
    <xdr:sp macro="" textlink="">
      <xdr:nvSpPr>
        <xdr:cNvPr id="4394126" name="Line 20">
          <a:extLst>
            <a:ext uri="{FF2B5EF4-FFF2-40B4-BE49-F238E27FC236}">
              <a16:creationId xmlns="" xmlns:a16="http://schemas.microsoft.com/office/drawing/2014/main" id="{00000000-0008-0000-1B00-00008E0C4300}"/>
            </a:ext>
          </a:extLst>
        </xdr:cNvPr>
        <xdr:cNvSpPr>
          <a:spLocks noChangeShapeType="1"/>
        </xdr:cNvSpPr>
      </xdr:nvSpPr>
      <xdr:spPr bwMode="auto">
        <a:xfrm>
          <a:off x="133540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152400</xdr:colOff>
      <xdr:row>0</xdr:row>
      <xdr:rowOff>0</xdr:rowOff>
    </xdr:from>
    <xdr:to>
      <xdr:col>14</xdr:col>
      <xdr:colOff>266700</xdr:colOff>
      <xdr:row>0</xdr:row>
      <xdr:rowOff>0</xdr:rowOff>
    </xdr:to>
    <xdr:sp macro="" textlink="">
      <xdr:nvSpPr>
        <xdr:cNvPr id="4394127" name="Line 21">
          <a:extLst>
            <a:ext uri="{FF2B5EF4-FFF2-40B4-BE49-F238E27FC236}">
              <a16:creationId xmlns="" xmlns:a16="http://schemas.microsoft.com/office/drawing/2014/main" id="{00000000-0008-0000-1B00-00008F0C4300}"/>
            </a:ext>
          </a:extLst>
        </xdr:cNvPr>
        <xdr:cNvSpPr>
          <a:spLocks noChangeShapeType="1"/>
        </xdr:cNvSpPr>
      </xdr:nvSpPr>
      <xdr:spPr bwMode="auto">
        <a:xfrm flipV="1">
          <a:off x="134778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266700</xdr:colOff>
      <xdr:row>0</xdr:row>
      <xdr:rowOff>0</xdr:rowOff>
    </xdr:from>
    <xdr:to>
      <xdr:col>14</xdr:col>
      <xdr:colOff>381000</xdr:colOff>
      <xdr:row>0</xdr:row>
      <xdr:rowOff>0</xdr:rowOff>
    </xdr:to>
    <xdr:sp macro="" textlink="">
      <xdr:nvSpPr>
        <xdr:cNvPr id="4394128" name="Line 22">
          <a:extLst>
            <a:ext uri="{FF2B5EF4-FFF2-40B4-BE49-F238E27FC236}">
              <a16:creationId xmlns="" xmlns:a16="http://schemas.microsoft.com/office/drawing/2014/main" id="{00000000-0008-0000-1B00-0000900C4300}"/>
            </a:ext>
          </a:extLst>
        </xdr:cNvPr>
        <xdr:cNvSpPr>
          <a:spLocks noChangeShapeType="1"/>
        </xdr:cNvSpPr>
      </xdr:nvSpPr>
      <xdr:spPr bwMode="auto">
        <a:xfrm>
          <a:off x="135921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381000</xdr:colOff>
      <xdr:row>0</xdr:row>
      <xdr:rowOff>0</xdr:rowOff>
    </xdr:from>
    <xdr:to>
      <xdr:col>14</xdr:col>
      <xdr:colOff>495300</xdr:colOff>
      <xdr:row>0</xdr:row>
      <xdr:rowOff>0</xdr:rowOff>
    </xdr:to>
    <xdr:sp macro="" textlink="">
      <xdr:nvSpPr>
        <xdr:cNvPr id="4394129" name="Line 23">
          <a:extLst>
            <a:ext uri="{FF2B5EF4-FFF2-40B4-BE49-F238E27FC236}">
              <a16:creationId xmlns="" xmlns:a16="http://schemas.microsoft.com/office/drawing/2014/main" id="{00000000-0008-0000-1B00-0000910C4300}"/>
            </a:ext>
          </a:extLst>
        </xdr:cNvPr>
        <xdr:cNvSpPr>
          <a:spLocks noChangeShapeType="1"/>
        </xdr:cNvSpPr>
      </xdr:nvSpPr>
      <xdr:spPr bwMode="auto">
        <a:xfrm flipV="1">
          <a:off x="137064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495300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94130" name="Line 24">
          <a:extLst>
            <a:ext uri="{FF2B5EF4-FFF2-40B4-BE49-F238E27FC236}">
              <a16:creationId xmlns="" xmlns:a16="http://schemas.microsoft.com/office/drawing/2014/main" id="{00000000-0008-0000-1B00-0000920C4300}"/>
            </a:ext>
          </a:extLst>
        </xdr:cNvPr>
        <xdr:cNvSpPr>
          <a:spLocks noChangeShapeType="1"/>
        </xdr:cNvSpPr>
      </xdr:nvSpPr>
      <xdr:spPr bwMode="auto">
        <a:xfrm>
          <a:off x="138207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94131" name="Line 25">
          <a:extLst>
            <a:ext uri="{FF2B5EF4-FFF2-40B4-BE49-F238E27FC236}">
              <a16:creationId xmlns="" xmlns:a16="http://schemas.microsoft.com/office/drawing/2014/main" id="{00000000-0008-0000-1B00-0000930C43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66675</xdr:colOff>
      <xdr:row>0</xdr:row>
      <xdr:rowOff>0</xdr:rowOff>
    </xdr:to>
    <xdr:sp macro="" textlink="">
      <xdr:nvSpPr>
        <xdr:cNvPr id="4394132" name="Line 26">
          <a:extLst>
            <a:ext uri="{FF2B5EF4-FFF2-40B4-BE49-F238E27FC236}">
              <a16:creationId xmlns="" xmlns:a16="http://schemas.microsoft.com/office/drawing/2014/main" id="{00000000-0008-0000-1B00-0000940C4300}"/>
            </a:ext>
          </a:extLst>
        </xdr:cNvPr>
        <xdr:cNvSpPr>
          <a:spLocks noChangeShapeType="1"/>
        </xdr:cNvSpPr>
      </xdr:nvSpPr>
      <xdr:spPr bwMode="auto">
        <a:xfrm flipV="1">
          <a:off x="11953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94133" name="Line 27">
          <a:extLst>
            <a:ext uri="{FF2B5EF4-FFF2-40B4-BE49-F238E27FC236}">
              <a16:creationId xmlns="" xmlns:a16="http://schemas.microsoft.com/office/drawing/2014/main" id="{00000000-0008-0000-1B00-0000950C43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94134" name="Line 28">
          <a:extLst>
            <a:ext uri="{FF2B5EF4-FFF2-40B4-BE49-F238E27FC236}">
              <a16:creationId xmlns="" xmlns:a16="http://schemas.microsoft.com/office/drawing/2014/main" id="{00000000-0008-0000-1B00-0000960C4300}"/>
            </a:ext>
          </a:extLst>
        </xdr:cNvPr>
        <xdr:cNvSpPr>
          <a:spLocks noChangeShapeType="1"/>
        </xdr:cNvSpPr>
      </xdr:nvSpPr>
      <xdr:spPr bwMode="auto">
        <a:xfrm>
          <a:off x="12011025" y="0"/>
          <a:ext cx="1933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352425</xdr:colOff>
      <xdr:row>0</xdr:row>
      <xdr:rowOff>0</xdr:rowOff>
    </xdr:from>
    <xdr:to>
      <xdr:col>2</xdr:col>
      <xdr:colOff>352425</xdr:colOff>
      <xdr:row>0</xdr:row>
      <xdr:rowOff>0</xdr:rowOff>
    </xdr:to>
    <xdr:sp macro="" textlink="">
      <xdr:nvSpPr>
        <xdr:cNvPr id="4394135" name="Line 29">
          <a:extLst>
            <a:ext uri="{FF2B5EF4-FFF2-40B4-BE49-F238E27FC236}">
              <a16:creationId xmlns="" xmlns:a16="http://schemas.microsoft.com/office/drawing/2014/main" id="{00000000-0008-0000-1B00-0000970C4300}"/>
            </a:ext>
          </a:extLst>
        </xdr:cNvPr>
        <xdr:cNvSpPr>
          <a:spLocks noChangeShapeType="1"/>
        </xdr:cNvSpPr>
      </xdr:nvSpPr>
      <xdr:spPr bwMode="auto">
        <a:xfrm>
          <a:off x="2981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152400</xdr:colOff>
      <xdr:row>0</xdr:row>
      <xdr:rowOff>0</xdr:rowOff>
    </xdr:to>
    <xdr:sp macro="" textlink="">
      <xdr:nvSpPr>
        <xdr:cNvPr id="4394136" name="Line 30">
          <a:extLst>
            <a:ext uri="{FF2B5EF4-FFF2-40B4-BE49-F238E27FC236}">
              <a16:creationId xmlns="" xmlns:a16="http://schemas.microsoft.com/office/drawing/2014/main" id="{00000000-0008-0000-1B00-0000980C43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723900</xdr:colOff>
      <xdr:row>0</xdr:row>
      <xdr:rowOff>0</xdr:rowOff>
    </xdr:from>
    <xdr:to>
      <xdr:col>4</xdr:col>
      <xdr:colOff>723900</xdr:colOff>
      <xdr:row>0</xdr:row>
      <xdr:rowOff>0</xdr:rowOff>
    </xdr:to>
    <xdr:sp macro="" textlink="">
      <xdr:nvSpPr>
        <xdr:cNvPr id="4394137" name="Line 31">
          <a:extLst>
            <a:ext uri="{FF2B5EF4-FFF2-40B4-BE49-F238E27FC236}">
              <a16:creationId xmlns="" xmlns:a16="http://schemas.microsoft.com/office/drawing/2014/main" id="{00000000-0008-0000-1B00-0000990C4300}"/>
            </a:ext>
          </a:extLst>
        </xdr:cNvPr>
        <xdr:cNvSpPr>
          <a:spLocks noChangeShapeType="1"/>
        </xdr:cNvSpPr>
      </xdr:nvSpPr>
      <xdr:spPr bwMode="auto">
        <a:xfrm>
          <a:off x="63722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285750</xdr:colOff>
      <xdr:row>0</xdr:row>
      <xdr:rowOff>0</xdr:rowOff>
    </xdr:from>
    <xdr:to>
      <xdr:col>2</xdr:col>
      <xdr:colOff>285750</xdr:colOff>
      <xdr:row>0</xdr:row>
      <xdr:rowOff>0</xdr:rowOff>
    </xdr:to>
    <xdr:sp macro="" textlink="">
      <xdr:nvSpPr>
        <xdr:cNvPr id="4394138" name="Line 32">
          <a:extLst>
            <a:ext uri="{FF2B5EF4-FFF2-40B4-BE49-F238E27FC236}">
              <a16:creationId xmlns="" xmlns:a16="http://schemas.microsoft.com/office/drawing/2014/main" id="{00000000-0008-0000-1B00-00009A0C4300}"/>
            </a:ext>
          </a:extLst>
        </xdr:cNvPr>
        <xdr:cNvSpPr>
          <a:spLocks noChangeShapeType="1"/>
        </xdr:cNvSpPr>
      </xdr:nvSpPr>
      <xdr:spPr bwMode="auto">
        <a:xfrm>
          <a:off x="29146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590550</xdr:colOff>
      <xdr:row>0</xdr:row>
      <xdr:rowOff>0</xdr:rowOff>
    </xdr:from>
    <xdr:to>
      <xdr:col>4</xdr:col>
      <xdr:colOff>590550</xdr:colOff>
      <xdr:row>0</xdr:row>
      <xdr:rowOff>0</xdr:rowOff>
    </xdr:to>
    <xdr:sp macro="" textlink="">
      <xdr:nvSpPr>
        <xdr:cNvPr id="4394139" name="Line 33">
          <a:extLst>
            <a:ext uri="{FF2B5EF4-FFF2-40B4-BE49-F238E27FC236}">
              <a16:creationId xmlns="" xmlns:a16="http://schemas.microsoft.com/office/drawing/2014/main" id="{00000000-0008-0000-1B00-00009B0C4300}"/>
            </a:ext>
          </a:extLst>
        </xdr:cNvPr>
        <xdr:cNvSpPr>
          <a:spLocks noChangeShapeType="1"/>
        </xdr:cNvSpPr>
      </xdr:nvSpPr>
      <xdr:spPr bwMode="auto">
        <a:xfrm flipH="1">
          <a:off x="6238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94140" name="Line 34">
          <a:extLst>
            <a:ext uri="{FF2B5EF4-FFF2-40B4-BE49-F238E27FC236}">
              <a16:creationId xmlns="" xmlns:a16="http://schemas.microsoft.com/office/drawing/2014/main" id="{00000000-0008-0000-1B00-00009C0C43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95250</xdr:colOff>
      <xdr:row>0</xdr:row>
      <xdr:rowOff>0</xdr:rowOff>
    </xdr:to>
    <xdr:grpSp>
      <xdr:nvGrpSpPr>
        <xdr:cNvPr id="4394141" name="Group 35">
          <a:extLst>
            <a:ext uri="{FF2B5EF4-FFF2-40B4-BE49-F238E27FC236}">
              <a16:creationId xmlns="" xmlns:a16="http://schemas.microsoft.com/office/drawing/2014/main" id="{00000000-0008-0000-1B00-00009D0C4300}"/>
            </a:ext>
          </a:extLst>
        </xdr:cNvPr>
        <xdr:cNvGrpSpPr>
          <a:grpSpLocks/>
        </xdr:cNvGrpSpPr>
      </xdr:nvGrpSpPr>
      <xdr:grpSpPr bwMode="auto">
        <a:xfrm>
          <a:off x="9853613" y="0"/>
          <a:ext cx="5600700" cy="0"/>
          <a:chOff x="630" y="359"/>
          <a:chExt cx="361" cy="60"/>
        </a:xfrm>
      </xdr:grpSpPr>
      <xdr:sp macro="" textlink="">
        <xdr:nvSpPr>
          <xdr:cNvPr id="4394309" name="Line 36">
            <a:extLst>
              <a:ext uri="{FF2B5EF4-FFF2-40B4-BE49-F238E27FC236}">
                <a16:creationId xmlns="" xmlns:a16="http://schemas.microsoft.com/office/drawing/2014/main" id="{00000000-0008-0000-1B00-0000450D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0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4310" name="Line 37">
            <a:extLst>
              <a:ext uri="{FF2B5EF4-FFF2-40B4-BE49-F238E27FC236}">
                <a16:creationId xmlns="" xmlns:a16="http://schemas.microsoft.com/office/drawing/2014/main" id="{00000000-0008-0000-1B00-0000460D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91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4311" name="Line 38">
            <a:extLst>
              <a:ext uri="{FF2B5EF4-FFF2-40B4-BE49-F238E27FC236}">
                <a16:creationId xmlns="" xmlns:a16="http://schemas.microsoft.com/office/drawing/2014/main" id="{00000000-0008-0000-1B00-0000470D4300}"/>
              </a:ext>
            </a:extLst>
          </xdr:cNvPr>
          <xdr:cNvSpPr>
            <a:spLocks noChangeShapeType="1"/>
          </xdr:cNvSpPr>
        </xdr:nvSpPr>
        <xdr:spPr bwMode="auto">
          <a:xfrm>
            <a:off x="630" y="381"/>
            <a:ext cx="3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7</xdr:col>
      <xdr:colOff>590550</xdr:colOff>
      <xdr:row>0</xdr:row>
      <xdr:rowOff>0</xdr:rowOff>
    </xdr:to>
    <xdr:sp macro="" textlink="">
      <xdr:nvSpPr>
        <xdr:cNvPr id="4394142" name="Line 39">
          <a:extLst>
            <a:ext uri="{FF2B5EF4-FFF2-40B4-BE49-F238E27FC236}">
              <a16:creationId xmlns="" xmlns:a16="http://schemas.microsoft.com/office/drawing/2014/main" id="{00000000-0008-0000-1B00-00009E0C43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10</xdr:col>
      <xdr:colOff>47625</xdr:colOff>
      <xdr:row>0</xdr:row>
      <xdr:rowOff>0</xdr:rowOff>
    </xdr:to>
    <xdr:sp macro="" textlink="">
      <xdr:nvSpPr>
        <xdr:cNvPr id="4394143" name="Line 40">
          <a:extLst>
            <a:ext uri="{FF2B5EF4-FFF2-40B4-BE49-F238E27FC236}">
              <a16:creationId xmlns="" xmlns:a16="http://schemas.microsoft.com/office/drawing/2014/main" id="{00000000-0008-0000-1B00-00009F0C4300}"/>
            </a:ext>
          </a:extLst>
        </xdr:cNvPr>
        <xdr:cNvSpPr>
          <a:spLocks noChangeShapeType="1"/>
        </xdr:cNvSpPr>
      </xdr:nvSpPr>
      <xdr:spPr bwMode="auto">
        <a:xfrm flipV="1">
          <a:off x="9382125" y="0"/>
          <a:ext cx="1581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10</xdr:col>
      <xdr:colOff>914400</xdr:colOff>
      <xdr:row>0</xdr:row>
      <xdr:rowOff>0</xdr:rowOff>
    </xdr:to>
    <xdr:sp macro="" textlink="">
      <xdr:nvSpPr>
        <xdr:cNvPr id="4394144" name="Line 41">
          <a:extLst>
            <a:ext uri="{FF2B5EF4-FFF2-40B4-BE49-F238E27FC236}">
              <a16:creationId xmlns="" xmlns:a16="http://schemas.microsoft.com/office/drawing/2014/main" id="{00000000-0008-0000-1B00-0000A00C43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1733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28575</xdr:colOff>
      <xdr:row>0</xdr:row>
      <xdr:rowOff>0</xdr:rowOff>
    </xdr:to>
    <xdr:sp macro="" textlink="">
      <xdr:nvSpPr>
        <xdr:cNvPr id="4394145" name="Line 42">
          <a:extLst>
            <a:ext uri="{FF2B5EF4-FFF2-40B4-BE49-F238E27FC236}">
              <a16:creationId xmlns="" xmlns:a16="http://schemas.microsoft.com/office/drawing/2014/main" id="{00000000-0008-0000-1B00-0000A10C43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2076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552450</xdr:colOff>
      <xdr:row>0</xdr:row>
      <xdr:rowOff>0</xdr:rowOff>
    </xdr:from>
    <xdr:to>
      <xdr:col>13</xdr:col>
      <xdr:colOff>400050</xdr:colOff>
      <xdr:row>0</xdr:row>
      <xdr:rowOff>0</xdr:rowOff>
    </xdr:to>
    <xdr:sp macro="" textlink="">
      <xdr:nvSpPr>
        <xdr:cNvPr id="4394146" name="Line 43">
          <a:extLst>
            <a:ext uri="{FF2B5EF4-FFF2-40B4-BE49-F238E27FC236}">
              <a16:creationId xmlns="" xmlns:a16="http://schemas.microsoft.com/office/drawing/2014/main" id="{00000000-0008-0000-1B00-0000A20C4300}"/>
            </a:ext>
          </a:extLst>
        </xdr:cNvPr>
        <xdr:cNvSpPr>
          <a:spLocks noChangeShapeType="1"/>
        </xdr:cNvSpPr>
      </xdr:nvSpPr>
      <xdr:spPr bwMode="auto">
        <a:xfrm flipH="1">
          <a:off x="980122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10</xdr:col>
      <xdr:colOff>57150</xdr:colOff>
      <xdr:row>0</xdr:row>
      <xdr:rowOff>0</xdr:rowOff>
    </xdr:to>
    <xdr:grpSp>
      <xdr:nvGrpSpPr>
        <xdr:cNvPr id="4394147" name="Group 44">
          <a:extLst>
            <a:ext uri="{FF2B5EF4-FFF2-40B4-BE49-F238E27FC236}">
              <a16:creationId xmlns="" xmlns:a16="http://schemas.microsoft.com/office/drawing/2014/main" id="{00000000-0008-0000-1B00-0000A30C4300}"/>
            </a:ext>
          </a:extLst>
        </xdr:cNvPr>
        <xdr:cNvGrpSpPr>
          <a:grpSpLocks/>
        </xdr:cNvGrpSpPr>
      </xdr:nvGrpSpPr>
      <xdr:grpSpPr bwMode="auto">
        <a:xfrm>
          <a:off x="9882188" y="0"/>
          <a:ext cx="1104900" cy="0"/>
          <a:chOff x="554" y="439"/>
          <a:chExt cx="10" cy="76"/>
        </a:xfrm>
      </xdr:grpSpPr>
      <xdr:sp macro="" textlink="">
        <xdr:nvSpPr>
          <xdr:cNvPr id="4394307" name="Line 45">
            <a:extLst>
              <a:ext uri="{FF2B5EF4-FFF2-40B4-BE49-F238E27FC236}">
                <a16:creationId xmlns="" xmlns:a16="http://schemas.microsoft.com/office/drawing/2014/main" id="{00000000-0008-0000-1B00-0000430D4300}"/>
              </a:ext>
            </a:extLst>
          </xdr:cNvPr>
          <xdr:cNvSpPr>
            <a:spLocks noChangeShapeType="1"/>
          </xdr:cNvSpPr>
        </xdr:nvSpPr>
        <xdr:spPr bwMode="auto">
          <a:xfrm>
            <a:off x="558" y="439"/>
            <a:ext cx="0" cy="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4308" name="Line 46">
            <a:extLst>
              <a:ext uri="{FF2B5EF4-FFF2-40B4-BE49-F238E27FC236}">
                <a16:creationId xmlns="" xmlns:a16="http://schemas.microsoft.com/office/drawing/2014/main" id="{00000000-0008-0000-1B00-0000440D4300}"/>
              </a:ext>
            </a:extLst>
          </xdr:cNvPr>
          <xdr:cNvSpPr>
            <a:spLocks noChangeShapeType="1"/>
          </xdr:cNvSpPr>
        </xdr:nvSpPr>
        <xdr:spPr bwMode="auto">
          <a:xfrm>
            <a:off x="554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10</xdr:col>
      <xdr:colOff>628650</xdr:colOff>
      <xdr:row>0</xdr:row>
      <xdr:rowOff>0</xdr:rowOff>
    </xdr:from>
    <xdr:to>
      <xdr:col>11</xdr:col>
      <xdr:colOff>38100</xdr:colOff>
      <xdr:row>0</xdr:row>
      <xdr:rowOff>0</xdr:rowOff>
    </xdr:to>
    <xdr:grpSp>
      <xdr:nvGrpSpPr>
        <xdr:cNvPr id="4394148" name="Group 47">
          <a:extLst>
            <a:ext uri="{FF2B5EF4-FFF2-40B4-BE49-F238E27FC236}">
              <a16:creationId xmlns="" xmlns:a16="http://schemas.microsoft.com/office/drawing/2014/main" id="{00000000-0008-0000-1B00-0000A40C4300}"/>
            </a:ext>
          </a:extLst>
        </xdr:cNvPr>
        <xdr:cNvGrpSpPr>
          <a:grpSpLocks/>
        </xdr:cNvGrpSpPr>
      </xdr:nvGrpSpPr>
      <xdr:grpSpPr bwMode="auto">
        <a:xfrm>
          <a:off x="11558588" y="0"/>
          <a:ext cx="76200" cy="0"/>
          <a:chOff x="680" y="439"/>
          <a:chExt cx="10" cy="98"/>
        </a:xfrm>
      </xdr:grpSpPr>
      <xdr:sp macro="" textlink="">
        <xdr:nvSpPr>
          <xdr:cNvPr id="4394305" name="Line 48">
            <a:extLst>
              <a:ext uri="{FF2B5EF4-FFF2-40B4-BE49-F238E27FC236}">
                <a16:creationId xmlns="" xmlns:a16="http://schemas.microsoft.com/office/drawing/2014/main" id="{00000000-0008-0000-1B00-0000410D4300}"/>
              </a:ext>
            </a:extLst>
          </xdr:cNvPr>
          <xdr:cNvSpPr>
            <a:spLocks noChangeShapeType="1"/>
          </xdr:cNvSpPr>
        </xdr:nvSpPr>
        <xdr:spPr bwMode="auto">
          <a:xfrm>
            <a:off x="685" y="439"/>
            <a:ext cx="0" cy="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4306" name="Line 49">
            <a:extLst>
              <a:ext uri="{FF2B5EF4-FFF2-40B4-BE49-F238E27FC236}">
                <a16:creationId xmlns="" xmlns:a16="http://schemas.microsoft.com/office/drawing/2014/main" id="{00000000-0008-0000-1B00-0000420D4300}"/>
              </a:ext>
            </a:extLst>
          </xdr:cNvPr>
          <xdr:cNvSpPr>
            <a:spLocks noChangeShapeType="1"/>
          </xdr:cNvSpPr>
        </xdr:nvSpPr>
        <xdr:spPr bwMode="auto">
          <a:xfrm>
            <a:off x="680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4394149" name="Group 50">
          <a:extLst>
            <a:ext uri="{FF2B5EF4-FFF2-40B4-BE49-F238E27FC236}">
              <a16:creationId xmlns="" xmlns:a16="http://schemas.microsoft.com/office/drawing/2014/main" id="{00000000-0008-0000-1B00-0000A50C4300}"/>
            </a:ext>
          </a:extLst>
        </xdr:cNvPr>
        <xdr:cNvGrpSpPr>
          <a:grpSpLocks/>
        </xdr:cNvGrpSpPr>
      </xdr:nvGrpSpPr>
      <xdr:grpSpPr bwMode="auto">
        <a:xfrm>
          <a:off x="11906250" y="0"/>
          <a:ext cx="142875" cy="0"/>
          <a:chOff x="759" y="438"/>
          <a:chExt cx="10" cy="121"/>
        </a:xfrm>
      </xdr:grpSpPr>
      <xdr:sp macro="" textlink="">
        <xdr:nvSpPr>
          <xdr:cNvPr id="4394303" name="Line 51">
            <a:extLst>
              <a:ext uri="{FF2B5EF4-FFF2-40B4-BE49-F238E27FC236}">
                <a16:creationId xmlns="" xmlns:a16="http://schemas.microsoft.com/office/drawing/2014/main" id="{00000000-0008-0000-1B00-00003F0D43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4304" name="Line 52">
            <a:extLst>
              <a:ext uri="{FF2B5EF4-FFF2-40B4-BE49-F238E27FC236}">
                <a16:creationId xmlns="" xmlns:a16="http://schemas.microsoft.com/office/drawing/2014/main" id="{00000000-0008-0000-1B00-0000400D43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13</xdr:col>
      <xdr:colOff>76200</xdr:colOff>
      <xdr:row>0</xdr:row>
      <xdr:rowOff>0</xdr:rowOff>
    </xdr:from>
    <xdr:to>
      <xdr:col>13</xdr:col>
      <xdr:colOff>676275</xdr:colOff>
      <xdr:row>0</xdr:row>
      <xdr:rowOff>0</xdr:rowOff>
    </xdr:to>
    <xdr:grpSp>
      <xdr:nvGrpSpPr>
        <xdr:cNvPr id="4394150" name="Group 53">
          <a:extLst>
            <a:ext uri="{FF2B5EF4-FFF2-40B4-BE49-F238E27FC236}">
              <a16:creationId xmlns="" xmlns:a16="http://schemas.microsoft.com/office/drawing/2014/main" id="{00000000-0008-0000-1B00-0000A60C4300}"/>
            </a:ext>
          </a:extLst>
        </xdr:cNvPr>
        <xdr:cNvGrpSpPr>
          <a:grpSpLocks/>
        </xdr:cNvGrpSpPr>
      </xdr:nvGrpSpPr>
      <xdr:grpSpPr bwMode="auto">
        <a:xfrm>
          <a:off x="12220575" y="0"/>
          <a:ext cx="600075" cy="0"/>
          <a:chOff x="842" y="438"/>
          <a:chExt cx="10" cy="147"/>
        </a:xfrm>
      </xdr:grpSpPr>
      <xdr:sp macro="" textlink="">
        <xdr:nvSpPr>
          <xdr:cNvPr id="4394301" name="Line 54">
            <a:extLst>
              <a:ext uri="{FF2B5EF4-FFF2-40B4-BE49-F238E27FC236}">
                <a16:creationId xmlns="" xmlns:a16="http://schemas.microsoft.com/office/drawing/2014/main" id="{00000000-0008-0000-1B00-00003D0D43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4302" name="Line 55">
            <a:extLst>
              <a:ext uri="{FF2B5EF4-FFF2-40B4-BE49-F238E27FC236}">
                <a16:creationId xmlns="" xmlns:a16="http://schemas.microsoft.com/office/drawing/2014/main" id="{00000000-0008-0000-1B00-00003E0D43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76200</xdr:colOff>
      <xdr:row>0</xdr:row>
      <xdr:rowOff>0</xdr:rowOff>
    </xdr:to>
    <xdr:sp macro="" textlink="">
      <xdr:nvSpPr>
        <xdr:cNvPr id="4394151" name="Rectangle 56">
          <a:extLst>
            <a:ext uri="{FF2B5EF4-FFF2-40B4-BE49-F238E27FC236}">
              <a16:creationId xmlns="" xmlns:a16="http://schemas.microsoft.com/office/drawing/2014/main" id="{00000000-0008-0000-1B00-0000A70C4300}"/>
            </a:ext>
          </a:extLst>
        </xdr:cNvPr>
        <xdr:cNvSpPr>
          <a:spLocks noChangeArrowheads="1"/>
        </xdr:cNvSpPr>
      </xdr:nvSpPr>
      <xdr:spPr bwMode="auto">
        <a:xfrm>
          <a:off x="9839325" y="0"/>
          <a:ext cx="55721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4394152" name="Line 57">
          <a:extLst>
            <a:ext uri="{FF2B5EF4-FFF2-40B4-BE49-F238E27FC236}">
              <a16:creationId xmlns="" xmlns:a16="http://schemas.microsoft.com/office/drawing/2014/main" id="{00000000-0008-0000-1B00-0000A80C4300}"/>
            </a:ext>
          </a:extLst>
        </xdr:cNvPr>
        <xdr:cNvSpPr>
          <a:spLocks noChangeShapeType="1"/>
        </xdr:cNvSpPr>
      </xdr:nvSpPr>
      <xdr:spPr bwMode="auto">
        <a:xfrm>
          <a:off x="153352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638175</xdr:colOff>
      <xdr:row>0</xdr:row>
      <xdr:rowOff>0</xdr:rowOff>
    </xdr:from>
    <xdr:to>
      <xdr:col>16</xdr:col>
      <xdr:colOff>47625</xdr:colOff>
      <xdr:row>0</xdr:row>
      <xdr:rowOff>0</xdr:rowOff>
    </xdr:to>
    <xdr:sp macro="" textlink="">
      <xdr:nvSpPr>
        <xdr:cNvPr id="4394153" name="Line 58">
          <a:extLst>
            <a:ext uri="{FF2B5EF4-FFF2-40B4-BE49-F238E27FC236}">
              <a16:creationId xmlns="" xmlns:a16="http://schemas.microsoft.com/office/drawing/2014/main" id="{00000000-0008-0000-1B00-0000A90C4300}"/>
            </a:ext>
          </a:extLst>
        </xdr:cNvPr>
        <xdr:cNvSpPr>
          <a:spLocks noChangeShapeType="1"/>
        </xdr:cNvSpPr>
      </xdr:nvSpPr>
      <xdr:spPr bwMode="auto">
        <a:xfrm>
          <a:off x="14887575" y="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15</xdr:col>
      <xdr:colOff>1181100</xdr:colOff>
      <xdr:row>0</xdr:row>
      <xdr:rowOff>0</xdr:rowOff>
    </xdr:to>
    <xdr:sp macro="" textlink="">
      <xdr:nvSpPr>
        <xdr:cNvPr id="4394154" name="Line 59">
          <a:extLst>
            <a:ext uri="{FF2B5EF4-FFF2-40B4-BE49-F238E27FC236}">
              <a16:creationId xmlns="" xmlns:a16="http://schemas.microsoft.com/office/drawing/2014/main" id="{00000000-0008-0000-1B00-0000AA0C4300}"/>
            </a:ext>
          </a:extLst>
        </xdr:cNvPr>
        <xdr:cNvSpPr>
          <a:spLocks noChangeShapeType="1"/>
        </xdr:cNvSpPr>
      </xdr:nvSpPr>
      <xdr:spPr bwMode="auto">
        <a:xfrm flipV="1">
          <a:off x="9867900" y="0"/>
          <a:ext cx="546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666750</xdr:colOff>
      <xdr:row>0</xdr:row>
      <xdr:rowOff>0</xdr:rowOff>
    </xdr:from>
    <xdr:to>
      <xdr:col>14</xdr:col>
      <xdr:colOff>838200</xdr:colOff>
      <xdr:row>0</xdr:row>
      <xdr:rowOff>0</xdr:rowOff>
    </xdr:to>
    <xdr:grpSp>
      <xdr:nvGrpSpPr>
        <xdr:cNvPr id="4394155" name="Group 60">
          <a:extLst>
            <a:ext uri="{FF2B5EF4-FFF2-40B4-BE49-F238E27FC236}">
              <a16:creationId xmlns="" xmlns:a16="http://schemas.microsoft.com/office/drawing/2014/main" id="{00000000-0008-0000-1B00-0000AB0C4300}"/>
            </a:ext>
          </a:extLst>
        </xdr:cNvPr>
        <xdr:cNvGrpSpPr>
          <a:grpSpLocks/>
        </xdr:cNvGrpSpPr>
      </xdr:nvGrpSpPr>
      <xdr:grpSpPr bwMode="auto">
        <a:xfrm>
          <a:off x="14001750" y="0"/>
          <a:ext cx="171450" cy="0"/>
          <a:chOff x="912" y="438"/>
          <a:chExt cx="11" cy="175"/>
        </a:xfrm>
      </xdr:grpSpPr>
      <xdr:sp macro="" textlink="">
        <xdr:nvSpPr>
          <xdr:cNvPr id="4394299" name="Line 61">
            <a:extLst>
              <a:ext uri="{FF2B5EF4-FFF2-40B4-BE49-F238E27FC236}">
                <a16:creationId xmlns="" xmlns:a16="http://schemas.microsoft.com/office/drawing/2014/main" id="{00000000-0008-0000-1B00-00003B0D43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4300" name="Line 62">
            <a:extLst>
              <a:ext uri="{FF2B5EF4-FFF2-40B4-BE49-F238E27FC236}">
                <a16:creationId xmlns="" xmlns:a16="http://schemas.microsoft.com/office/drawing/2014/main" id="{00000000-0008-0000-1B00-00003C0D43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171450</xdr:colOff>
      <xdr:row>0</xdr:row>
      <xdr:rowOff>0</xdr:rowOff>
    </xdr:from>
    <xdr:to>
      <xdr:col>4</xdr:col>
      <xdr:colOff>542925</xdr:colOff>
      <xdr:row>0</xdr:row>
      <xdr:rowOff>0</xdr:rowOff>
    </xdr:to>
    <xdr:sp macro="" textlink="">
      <xdr:nvSpPr>
        <xdr:cNvPr id="4394156" name="Line 63">
          <a:extLst>
            <a:ext uri="{FF2B5EF4-FFF2-40B4-BE49-F238E27FC236}">
              <a16:creationId xmlns="" xmlns:a16="http://schemas.microsoft.com/office/drawing/2014/main" id="{00000000-0008-0000-1B00-0000AC0C4300}"/>
            </a:ext>
          </a:extLst>
        </xdr:cNvPr>
        <xdr:cNvSpPr>
          <a:spLocks noChangeShapeType="1"/>
        </xdr:cNvSpPr>
      </xdr:nvSpPr>
      <xdr:spPr bwMode="auto">
        <a:xfrm>
          <a:off x="2800350" y="0"/>
          <a:ext cx="3390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190500</xdr:colOff>
      <xdr:row>0</xdr:row>
      <xdr:rowOff>0</xdr:rowOff>
    </xdr:from>
    <xdr:to>
      <xdr:col>4</xdr:col>
      <xdr:colOff>571500</xdr:colOff>
      <xdr:row>0</xdr:row>
      <xdr:rowOff>0</xdr:rowOff>
    </xdr:to>
    <xdr:sp macro="" textlink="">
      <xdr:nvSpPr>
        <xdr:cNvPr id="4394157" name="Line 64">
          <a:extLst>
            <a:ext uri="{FF2B5EF4-FFF2-40B4-BE49-F238E27FC236}">
              <a16:creationId xmlns="" xmlns:a16="http://schemas.microsoft.com/office/drawing/2014/main" id="{00000000-0008-0000-1B00-0000AD0C4300}"/>
            </a:ext>
          </a:extLst>
        </xdr:cNvPr>
        <xdr:cNvSpPr>
          <a:spLocks noChangeShapeType="1"/>
        </xdr:cNvSpPr>
      </xdr:nvSpPr>
      <xdr:spPr bwMode="auto">
        <a:xfrm>
          <a:off x="2819400" y="0"/>
          <a:ext cx="3400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94158" name="Line 65">
          <a:extLst>
            <a:ext uri="{FF2B5EF4-FFF2-40B4-BE49-F238E27FC236}">
              <a16:creationId xmlns="" xmlns:a16="http://schemas.microsoft.com/office/drawing/2014/main" id="{00000000-0008-0000-1B00-0000AE0C43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876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4</xdr:col>
      <xdr:colOff>676275</xdr:colOff>
      <xdr:row>0</xdr:row>
      <xdr:rowOff>0</xdr:rowOff>
    </xdr:to>
    <xdr:sp macro="" textlink="">
      <xdr:nvSpPr>
        <xdr:cNvPr id="4394159" name="Line 66">
          <a:extLst>
            <a:ext uri="{FF2B5EF4-FFF2-40B4-BE49-F238E27FC236}">
              <a16:creationId xmlns="" xmlns:a16="http://schemas.microsoft.com/office/drawing/2014/main" id="{00000000-0008-0000-1B00-0000AF0C43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219075</xdr:colOff>
      <xdr:row>0</xdr:row>
      <xdr:rowOff>0</xdr:rowOff>
    </xdr:from>
    <xdr:to>
      <xdr:col>2</xdr:col>
      <xdr:colOff>219075</xdr:colOff>
      <xdr:row>0</xdr:row>
      <xdr:rowOff>0</xdr:rowOff>
    </xdr:to>
    <xdr:sp macro="" textlink="">
      <xdr:nvSpPr>
        <xdr:cNvPr id="4394160" name="Line 67">
          <a:extLst>
            <a:ext uri="{FF2B5EF4-FFF2-40B4-BE49-F238E27FC236}">
              <a16:creationId xmlns="" xmlns:a16="http://schemas.microsoft.com/office/drawing/2014/main" id="{00000000-0008-0000-1B00-0000B00C4300}"/>
            </a:ext>
          </a:extLst>
        </xdr:cNvPr>
        <xdr:cNvSpPr>
          <a:spLocks noChangeShapeType="1"/>
        </xdr:cNvSpPr>
      </xdr:nvSpPr>
      <xdr:spPr bwMode="auto">
        <a:xfrm>
          <a:off x="28479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266700</xdr:colOff>
      <xdr:row>0</xdr:row>
      <xdr:rowOff>0</xdr:rowOff>
    </xdr:from>
    <xdr:to>
      <xdr:col>2</xdr:col>
      <xdr:colOff>266700</xdr:colOff>
      <xdr:row>0</xdr:row>
      <xdr:rowOff>0</xdr:rowOff>
    </xdr:to>
    <xdr:sp macro="" textlink="">
      <xdr:nvSpPr>
        <xdr:cNvPr id="4394161" name="Line 68">
          <a:extLst>
            <a:ext uri="{FF2B5EF4-FFF2-40B4-BE49-F238E27FC236}">
              <a16:creationId xmlns="" xmlns:a16="http://schemas.microsoft.com/office/drawing/2014/main" id="{00000000-0008-0000-1B00-0000B10C4300}"/>
            </a:ext>
          </a:extLst>
        </xdr:cNvPr>
        <xdr:cNvSpPr>
          <a:spLocks noChangeShapeType="1"/>
        </xdr:cNvSpPr>
      </xdr:nvSpPr>
      <xdr:spPr bwMode="auto">
        <a:xfrm>
          <a:off x="2895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333375</xdr:colOff>
      <xdr:row>0</xdr:row>
      <xdr:rowOff>0</xdr:rowOff>
    </xdr:from>
    <xdr:to>
      <xdr:col>2</xdr:col>
      <xdr:colOff>333375</xdr:colOff>
      <xdr:row>0</xdr:row>
      <xdr:rowOff>0</xdr:rowOff>
    </xdr:to>
    <xdr:sp macro="" textlink="">
      <xdr:nvSpPr>
        <xdr:cNvPr id="4394162" name="Line 69">
          <a:extLst>
            <a:ext uri="{FF2B5EF4-FFF2-40B4-BE49-F238E27FC236}">
              <a16:creationId xmlns="" xmlns:a16="http://schemas.microsoft.com/office/drawing/2014/main" id="{00000000-0008-0000-1B00-0000B20C4300}"/>
            </a:ext>
          </a:extLst>
        </xdr:cNvPr>
        <xdr:cNvSpPr>
          <a:spLocks noChangeShapeType="1"/>
        </xdr:cNvSpPr>
      </xdr:nvSpPr>
      <xdr:spPr bwMode="auto">
        <a:xfrm>
          <a:off x="29622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0</xdr:row>
      <xdr:rowOff>0</xdr:rowOff>
    </xdr:from>
    <xdr:to>
      <xdr:col>2</xdr:col>
      <xdr:colOff>390525</xdr:colOff>
      <xdr:row>0</xdr:row>
      <xdr:rowOff>0</xdr:rowOff>
    </xdr:to>
    <xdr:sp macro="" textlink="">
      <xdr:nvSpPr>
        <xdr:cNvPr id="4394163" name="Line 70">
          <a:extLst>
            <a:ext uri="{FF2B5EF4-FFF2-40B4-BE49-F238E27FC236}">
              <a16:creationId xmlns="" xmlns:a16="http://schemas.microsoft.com/office/drawing/2014/main" id="{00000000-0008-0000-1B00-0000B30C4300}"/>
            </a:ext>
          </a:extLst>
        </xdr:cNvPr>
        <xdr:cNvSpPr>
          <a:spLocks noChangeShapeType="1"/>
        </xdr:cNvSpPr>
      </xdr:nvSpPr>
      <xdr:spPr bwMode="auto">
        <a:xfrm>
          <a:off x="3019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447675</xdr:colOff>
      <xdr:row>0</xdr:row>
      <xdr:rowOff>0</xdr:rowOff>
    </xdr:to>
    <xdr:sp macro="" textlink="">
      <xdr:nvSpPr>
        <xdr:cNvPr id="4394164" name="Line 71">
          <a:extLst>
            <a:ext uri="{FF2B5EF4-FFF2-40B4-BE49-F238E27FC236}">
              <a16:creationId xmlns="" xmlns:a16="http://schemas.microsoft.com/office/drawing/2014/main" id="{00000000-0008-0000-1B00-0000B40C43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4394165" name="Line 72">
          <a:extLst>
            <a:ext uri="{FF2B5EF4-FFF2-40B4-BE49-F238E27FC236}">
              <a16:creationId xmlns="" xmlns:a16="http://schemas.microsoft.com/office/drawing/2014/main" id="{00000000-0008-0000-1B00-0000B50C43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314325</xdr:colOff>
      <xdr:row>0</xdr:row>
      <xdr:rowOff>0</xdr:rowOff>
    </xdr:to>
    <xdr:sp macro="" textlink="">
      <xdr:nvSpPr>
        <xdr:cNvPr id="4394166" name="Line 73">
          <a:extLst>
            <a:ext uri="{FF2B5EF4-FFF2-40B4-BE49-F238E27FC236}">
              <a16:creationId xmlns="" xmlns:a16="http://schemas.microsoft.com/office/drawing/2014/main" id="{00000000-0008-0000-1B00-0000B60C43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657225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94167" name="Line 74">
          <a:extLst>
            <a:ext uri="{FF2B5EF4-FFF2-40B4-BE49-F238E27FC236}">
              <a16:creationId xmlns="" xmlns:a16="http://schemas.microsoft.com/office/drawing/2014/main" id="{00000000-0008-0000-1B00-0000B70C43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266700</xdr:colOff>
      <xdr:row>0</xdr:row>
      <xdr:rowOff>0</xdr:rowOff>
    </xdr:from>
    <xdr:to>
      <xdr:col>11</xdr:col>
      <xdr:colOff>352425</xdr:colOff>
      <xdr:row>0</xdr:row>
      <xdr:rowOff>0</xdr:rowOff>
    </xdr:to>
    <xdr:sp macro="" textlink="">
      <xdr:nvSpPr>
        <xdr:cNvPr id="4394168" name="Text Box 75">
          <a:extLst>
            <a:ext uri="{FF2B5EF4-FFF2-40B4-BE49-F238E27FC236}">
              <a16:creationId xmlns="" xmlns:a16="http://schemas.microsoft.com/office/drawing/2014/main" id="{00000000-0008-0000-1B00-0000B80C4300}"/>
            </a:ext>
          </a:extLst>
        </xdr:cNvPr>
        <xdr:cNvSpPr txBox="1">
          <a:spLocks noChangeArrowheads="1"/>
        </xdr:cNvSpPr>
      </xdr:nvSpPr>
      <xdr:spPr bwMode="auto">
        <a:xfrm>
          <a:off x="11182350" y="0"/>
          <a:ext cx="7048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209550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4394169" name="Line 76">
          <a:extLst>
            <a:ext uri="{FF2B5EF4-FFF2-40B4-BE49-F238E27FC236}">
              <a16:creationId xmlns="" xmlns:a16="http://schemas.microsoft.com/office/drawing/2014/main" id="{00000000-0008-0000-1B00-0000B90C4300}"/>
            </a:ext>
          </a:extLst>
        </xdr:cNvPr>
        <xdr:cNvSpPr>
          <a:spLocks noChangeShapeType="1"/>
        </xdr:cNvSpPr>
      </xdr:nvSpPr>
      <xdr:spPr bwMode="auto">
        <a:xfrm flipV="1">
          <a:off x="7267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819150</xdr:colOff>
      <xdr:row>0</xdr:row>
      <xdr:rowOff>0</xdr:rowOff>
    </xdr:to>
    <xdr:sp macro="" textlink="">
      <xdr:nvSpPr>
        <xdr:cNvPr id="4394170" name="Line 77">
          <a:extLst>
            <a:ext uri="{FF2B5EF4-FFF2-40B4-BE49-F238E27FC236}">
              <a16:creationId xmlns="" xmlns:a16="http://schemas.microsoft.com/office/drawing/2014/main" id="{00000000-0008-0000-1B00-0000BA0C4300}"/>
            </a:ext>
          </a:extLst>
        </xdr:cNvPr>
        <xdr:cNvSpPr>
          <a:spLocks noChangeShapeType="1"/>
        </xdr:cNvSpPr>
      </xdr:nvSpPr>
      <xdr:spPr bwMode="auto">
        <a:xfrm>
          <a:off x="7553325" y="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114300</xdr:colOff>
      <xdr:row>0</xdr:row>
      <xdr:rowOff>0</xdr:rowOff>
    </xdr:from>
    <xdr:to>
      <xdr:col>5</xdr:col>
      <xdr:colOff>323850</xdr:colOff>
      <xdr:row>0</xdr:row>
      <xdr:rowOff>0</xdr:rowOff>
    </xdr:to>
    <xdr:sp macro="" textlink="">
      <xdr:nvSpPr>
        <xdr:cNvPr id="4394171" name="Line 78">
          <a:extLst>
            <a:ext uri="{FF2B5EF4-FFF2-40B4-BE49-F238E27FC236}">
              <a16:creationId xmlns="" xmlns:a16="http://schemas.microsoft.com/office/drawing/2014/main" id="{00000000-0008-0000-1B00-0000BB0C4300}"/>
            </a:ext>
          </a:extLst>
        </xdr:cNvPr>
        <xdr:cNvSpPr>
          <a:spLocks noChangeShapeType="1"/>
        </xdr:cNvSpPr>
      </xdr:nvSpPr>
      <xdr:spPr bwMode="auto">
        <a:xfrm>
          <a:off x="7172325" y="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4172" name="Rectangle 79">
          <a:extLst>
            <a:ext uri="{FF2B5EF4-FFF2-40B4-BE49-F238E27FC236}">
              <a16:creationId xmlns="" xmlns:a16="http://schemas.microsoft.com/office/drawing/2014/main" id="{00000000-0008-0000-1B00-0000BC0C4300}"/>
            </a:ext>
          </a:extLst>
        </xdr:cNvPr>
        <xdr:cNvSpPr>
          <a:spLocks noChangeArrowheads="1"/>
        </xdr:cNvSpPr>
      </xdr:nvSpPr>
      <xdr:spPr bwMode="auto">
        <a:xfrm>
          <a:off x="16573500" y="0"/>
          <a:ext cx="325755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94173" name="Line 80">
          <a:extLst>
            <a:ext uri="{FF2B5EF4-FFF2-40B4-BE49-F238E27FC236}">
              <a16:creationId xmlns="" xmlns:a16="http://schemas.microsoft.com/office/drawing/2014/main" id="{00000000-0008-0000-1B00-0000BD0C4300}"/>
            </a:ext>
          </a:extLst>
        </xdr:cNvPr>
        <xdr:cNvSpPr>
          <a:spLocks noChangeShapeType="1"/>
        </xdr:cNvSpPr>
      </xdr:nvSpPr>
      <xdr:spPr bwMode="auto">
        <a:xfrm flipV="1">
          <a:off x="16725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4174" name="Line 81">
          <a:extLst>
            <a:ext uri="{FF2B5EF4-FFF2-40B4-BE49-F238E27FC236}">
              <a16:creationId xmlns="" xmlns:a16="http://schemas.microsoft.com/office/drawing/2014/main" id="{00000000-0008-0000-1B00-0000BE0C43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94175" name="Line 82">
          <a:extLst>
            <a:ext uri="{FF2B5EF4-FFF2-40B4-BE49-F238E27FC236}">
              <a16:creationId xmlns="" xmlns:a16="http://schemas.microsoft.com/office/drawing/2014/main" id="{00000000-0008-0000-1B00-0000BF0C4300}"/>
            </a:ext>
          </a:extLst>
        </xdr:cNvPr>
        <xdr:cNvSpPr>
          <a:spLocks noChangeShapeType="1"/>
        </xdr:cNvSpPr>
      </xdr:nvSpPr>
      <xdr:spPr bwMode="auto">
        <a:xfrm flipV="1">
          <a:off x="16725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4176" name="Line 83">
          <a:extLst>
            <a:ext uri="{FF2B5EF4-FFF2-40B4-BE49-F238E27FC236}">
              <a16:creationId xmlns="" xmlns:a16="http://schemas.microsoft.com/office/drawing/2014/main" id="{00000000-0008-0000-1B00-0000C00C43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19050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4177" name="Line 84">
          <a:extLst>
            <a:ext uri="{FF2B5EF4-FFF2-40B4-BE49-F238E27FC236}">
              <a16:creationId xmlns="" xmlns:a16="http://schemas.microsoft.com/office/drawing/2014/main" id="{00000000-0008-0000-1B00-0000C10C4300}"/>
            </a:ext>
          </a:extLst>
        </xdr:cNvPr>
        <xdr:cNvSpPr>
          <a:spLocks noChangeShapeType="1"/>
        </xdr:cNvSpPr>
      </xdr:nvSpPr>
      <xdr:spPr bwMode="auto">
        <a:xfrm>
          <a:off x="16744950" y="0"/>
          <a:ext cx="3086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609600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4178" name="Line 85">
          <a:extLst>
            <a:ext uri="{FF2B5EF4-FFF2-40B4-BE49-F238E27FC236}">
              <a16:creationId xmlns="" xmlns:a16="http://schemas.microsoft.com/office/drawing/2014/main" id="{00000000-0008-0000-1B00-0000C20C4300}"/>
            </a:ext>
          </a:extLst>
        </xdr:cNvPr>
        <xdr:cNvSpPr>
          <a:spLocks noChangeShapeType="1"/>
        </xdr:cNvSpPr>
      </xdr:nvSpPr>
      <xdr:spPr bwMode="auto">
        <a:xfrm>
          <a:off x="16592550" y="0"/>
          <a:ext cx="3238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628650</xdr:colOff>
      <xdr:row>0</xdr:row>
      <xdr:rowOff>0</xdr:rowOff>
    </xdr:from>
    <xdr:to>
      <xdr:col>17</xdr:col>
      <xdr:colOff>628650</xdr:colOff>
      <xdr:row>0</xdr:row>
      <xdr:rowOff>0</xdr:rowOff>
    </xdr:to>
    <xdr:sp macro="" textlink="">
      <xdr:nvSpPr>
        <xdr:cNvPr id="4394179" name="Line 86">
          <a:extLst>
            <a:ext uri="{FF2B5EF4-FFF2-40B4-BE49-F238E27FC236}">
              <a16:creationId xmlns="" xmlns:a16="http://schemas.microsoft.com/office/drawing/2014/main" id="{00000000-0008-0000-1B00-0000C30C4300}"/>
            </a:ext>
          </a:extLst>
        </xdr:cNvPr>
        <xdr:cNvSpPr>
          <a:spLocks noChangeShapeType="1"/>
        </xdr:cNvSpPr>
      </xdr:nvSpPr>
      <xdr:spPr bwMode="auto">
        <a:xfrm flipV="1">
          <a:off x="16611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4180" name="Line 87">
          <a:extLst>
            <a:ext uri="{FF2B5EF4-FFF2-40B4-BE49-F238E27FC236}">
              <a16:creationId xmlns="" xmlns:a16="http://schemas.microsoft.com/office/drawing/2014/main" id="{00000000-0008-0000-1B00-0000C40C43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38100</xdr:colOff>
      <xdr:row>0</xdr:row>
      <xdr:rowOff>0</xdr:rowOff>
    </xdr:to>
    <xdr:sp macro="" textlink="">
      <xdr:nvSpPr>
        <xdr:cNvPr id="4394181" name="Rectangle 88">
          <a:extLst>
            <a:ext uri="{FF2B5EF4-FFF2-40B4-BE49-F238E27FC236}">
              <a16:creationId xmlns="" xmlns:a16="http://schemas.microsoft.com/office/drawing/2014/main" id="{00000000-0008-0000-1B00-0000C50C4300}"/>
            </a:ext>
          </a:extLst>
        </xdr:cNvPr>
        <xdr:cNvSpPr>
          <a:spLocks noChangeArrowheads="1"/>
        </xdr:cNvSpPr>
      </xdr:nvSpPr>
      <xdr:spPr bwMode="auto">
        <a:xfrm>
          <a:off x="19831050" y="0"/>
          <a:ext cx="38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4182" name="Line 89">
          <a:extLst>
            <a:ext uri="{FF2B5EF4-FFF2-40B4-BE49-F238E27FC236}">
              <a16:creationId xmlns="" xmlns:a16="http://schemas.microsoft.com/office/drawing/2014/main" id="{00000000-0008-0000-1B00-0000C60C43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4183" name="Line 90">
          <a:extLst>
            <a:ext uri="{FF2B5EF4-FFF2-40B4-BE49-F238E27FC236}">
              <a16:creationId xmlns="" xmlns:a16="http://schemas.microsoft.com/office/drawing/2014/main" id="{00000000-0008-0000-1B00-0000C70C4300}"/>
            </a:ext>
          </a:extLst>
        </xdr:cNvPr>
        <xdr:cNvSpPr>
          <a:spLocks noChangeShapeType="1"/>
        </xdr:cNvSpPr>
      </xdr:nvSpPr>
      <xdr:spPr bwMode="auto">
        <a:xfrm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22</xdr:col>
      <xdr:colOff>19050</xdr:colOff>
      <xdr:row>0</xdr:row>
      <xdr:rowOff>0</xdr:rowOff>
    </xdr:from>
    <xdr:to>
      <xdr:col>22</xdr:col>
      <xdr:colOff>19050</xdr:colOff>
      <xdr:row>0</xdr:row>
      <xdr:rowOff>0</xdr:rowOff>
    </xdr:to>
    <xdr:sp macro="" textlink="">
      <xdr:nvSpPr>
        <xdr:cNvPr id="4394184" name="Line 91">
          <a:extLst>
            <a:ext uri="{FF2B5EF4-FFF2-40B4-BE49-F238E27FC236}">
              <a16:creationId xmlns="" xmlns:a16="http://schemas.microsoft.com/office/drawing/2014/main" id="{00000000-0008-0000-1B00-0000C80C4300}"/>
            </a:ext>
          </a:extLst>
        </xdr:cNvPr>
        <xdr:cNvSpPr>
          <a:spLocks noChangeShapeType="1"/>
        </xdr:cNvSpPr>
      </xdr:nvSpPr>
      <xdr:spPr bwMode="auto">
        <a:xfrm>
          <a:off x="198501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400050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94185" name="Line 92">
          <a:extLst>
            <a:ext uri="{FF2B5EF4-FFF2-40B4-BE49-F238E27FC236}">
              <a16:creationId xmlns="" xmlns:a16="http://schemas.microsoft.com/office/drawing/2014/main" id="{00000000-0008-0000-1B00-0000C90C4300}"/>
            </a:ext>
          </a:extLst>
        </xdr:cNvPr>
        <xdr:cNvSpPr>
          <a:spLocks noChangeShapeType="1"/>
        </xdr:cNvSpPr>
      </xdr:nvSpPr>
      <xdr:spPr bwMode="auto">
        <a:xfrm flipH="1" flipV="1">
          <a:off x="13725525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14</xdr:col>
      <xdr:colOff>781050</xdr:colOff>
      <xdr:row>0</xdr:row>
      <xdr:rowOff>0</xdr:rowOff>
    </xdr:to>
    <xdr:sp macro="" textlink="">
      <xdr:nvSpPr>
        <xdr:cNvPr id="4394186" name="Line 93">
          <a:extLst>
            <a:ext uri="{FF2B5EF4-FFF2-40B4-BE49-F238E27FC236}">
              <a16:creationId xmlns="" xmlns:a16="http://schemas.microsoft.com/office/drawing/2014/main" id="{00000000-0008-0000-1B00-0000CA0C4300}"/>
            </a:ext>
          </a:extLst>
        </xdr:cNvPr>
        <xdr:cNvSpPr>
          <a:spLocks noChangeShapeType="1"/>
        </xdr:cNvSpPr>
      </xdr:nvSpPr>
      <xdr:spPr bwMode="auto">
        <a:xfrm flipH="1">
          <a:off x="9867900" y="0"/>
          <a:ext cx="4238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4</xdr:col>
      <xdr:colOff>704850</xdr:colOff>
      <xdr:row>0</xdr:row>
      <xdr:rowOff>0</xdr:rowOff>
    </xdr:to>
    <xdr:sp macro="" textlink="">
      <xdr:nvSpPr>
        <xdr:cNvPr id="4394187" name="Line 94">
          <a:extLst>
            <a:ext uri="{FF2B5EF4-FFF2-40B4-BE49-F238E27FC236}">
              <a16:creationId xmlns="" xmlns:a16="http://schemas.microsoft.com/office/drawing/2014/main" id="{00000000-0008-0000-1B00-0000CB0C43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3571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94188" name="Line 95">
          <a:extLst>
            <a:ext uri="{FF2B5EF4-FFF2-40B4-BE49-F238E27FC236}">
              <a16:creationId xmlns="" xmlns:a16="http://schemas.microsoft.com/office/drawing/2014/main" id="{00000000-0008-0000-1B00-0000CC0C4300}"/>
            </a:ext>
          </a:extLst>
        </xdr:cNvPr>
        <xdr:cNvSpPr>
          <a:spLocks noChangeShapeType="1"/>
        </xdr:cNvSpPr>
      </xdr:nvSpPr>
      <xdr:spPr bwMode="auto">
        <a:xfrm>
          <a:off x="116681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247650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4189" name="Line 96">
          <a:extLst>
            <a:ext uri="{FF2B5EF4-FFF2-40B4-BE49-F238E27FC236}">
              <a16:creationId xmlns="" xmlns:a16="http://schemas.microsoft.com/office/drawing/2014/main" id="{00000000-0008-0000-1B00-0000CD0C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1047750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4190" name="Line 97">
          <a:extLst>
            <a:ext uri="{FF2B5EF4-FFF2-40B4-BE49-F238E27FC236}">
              <a16:creationId xmlns="" xmlns:a16="http://schemas.microsoft.com/office/drawing/2014/main" id="{00000000-0008-0000-1B00-0000CE0C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571500</xdr:colOff>
      <xdr:row>0</xdr:row>
      <xdr:rowOff>0</xdr:rowOff>
    </xdr:from>
    <xdr:to>
      <xdr:col>13</xdr:col>
      <xdr:colOff>571500</xdr:colOff>
      <xdr:row>0</xdr:row>
      <xdr:rowOff>0</xdr:rowOff>
    </xdr:to>
    <xdr:sp macro="" textlink="">
      <xdr:nvSpPr>
        <xdr:cNvPr id="4394191" name="Line 98">
          <a:extLst>
            <a:ext uri="{FF2B5EF4-FFF2-40B4-BE49-F238E27FC236}">
              <a16:creationId xmlns="" xmlns:a16="http://schemas.microsoft.com/office/drawing/2014/main" id="{00000000-0008-0000-1B00-0000CF0C4300}"/>
            </a:ext>
          </a:extLst>
        </xdr:cNvPr>
        <xdr:cNvSpPr>
          <a:spLocks noChangeShapeType="1"/>
        </xdr:cNvSpPr>
      </xdr:nvSpPr>
      <xdr:spPr bwMode="auto">
        <a:xfrm>
          <a:off x="12706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14</xdr:col>
      <xdr:colOff>457200</xdr:colOff>
      <xdr:row>0</xdr:row>
      <xdr:rowOff>0</xdr:rowOff>
    </xdr:to>
    <xdr:sp macro="" textlink="">
      <xdr:nvSpPr>
        <xdr:cNvPr id="4394192" name="Line 99">
          <a:extLst>
            <a:ext uri="{FF2B5EF4-FFF2-40B4-BE49-F238E27FC236}">
              <a16:creationId xmlns="" xmlns:a16="http://schemas.microsoft.com/office/drawing/2014/main" id="{00000000-0008-0000-1B00-0000D00C4300}"/>
            </a:ext>
          </a:extLst>
        </xdr:cNvPr>
        <xdr:cNvSpPr>
          <a:spLocks noChangeShapeType="1"/>
        </xdr:cNvSpPr>
      </xdr:nvSpPr>
      <xdr:spPr bwMode="auto">
        <a:xfrm>
          <a:off x="137826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323850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94193" name="Line 100">
          <a:extLst>
            <a:ext uri="{FF2B5EF4-FFF2-40B4-BE49-F238E27FC236}">
              <a16:creationId xmlns="" xmlns:a16="http://schemas.microsoft.com/office/drawing/2014/main" id="{00000000-0008-0000-1B00-0000D10C4300}"/>
            </a:ext>
          </a:extLst>
        </xdr:cNvPr>
        <xdr:cNvSpPr>
          <a:spLocks noChangeShapeType="1"/>
        </xdr:cNvSpPr>
      </xdr:nvSpPr>
      <xdr:spPr bwMode="auto">
        <a:xfrm flipH="1">
          <a:off x="9572625" y="0"/>
          <a:ext cx="2095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15</xdr:col>
      <xdr:colOff>161925</xdr:colOff>
      <xdr:row>0</xdr:row>
      <xdr:rowOff>0</xdr:rowOff>
    </xdr:to>
    <xdr:sp macro="" textlink="">
      <xdr:nvSpPr>
        <xdr:cNvPr id="4394194" name="Line 101">
          <a:extLst>
            <a:ext uri="{FF2B5EF4-FFF2-40B4-BE49-F238E27FC236}">
              <a16:creationId xmlns="" xmlns:a16="http://schemas.microsoft.com/office/drawing/2014/main" id="{00000000-0008-0000-1B00-0000D20C4300}"/>
            </a:ext>
          </a:extLst>
        </xdr:cNvPr>
        <xdr:cNvSpPr>
          <a:spLocks noChangeShapeType="1"/>
        </xdr:cNvSpPr>
      </xdr:nvSpPr>
      <xdr:spPr bwMode="auto">
        <a:xfrm>
          <a:off x="13782675" y="0"/>
          <a:ext cx="628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4195" name="Line 102">
          <a:extLst>
            <a:ext uri="{FF2B5EF4-FFF2-40B4-BE49-F238E27FC236}">
              <a16:creationId xmlns="" xmlns:a16="http://schemas.microsoft.com/office/drawing/2014/main" id="{00000000-0008-0000-1B00-0000D30C4300}"/>
            </a:ext>
          </a:extLst>
        </xdr:cNvPr>
        <xdr:cNvSpPr>
          <a:spLocks noChangeShapeType="1"/>
        </xdr:cNvSpPr>
      </xdr:nvSpPr>
      <xdr:spPr bwMode="auto">
        <a:xfrm flipV="1">
          <a:off x="12744450" y="0"/>
          <a:ext cx="165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1066800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4196" name="Line 103">
          <a:extLst>
            <a:ext uri="{FF2B5EF4-FFF2-40B4-BE49-F238E27FC236}">
              <a16:creationId xmlns="" xmlns:a16="http://schemas.microsoft.com/office/drawing/2014/main" id="{00000000-0008-0000-1B00-0000D40C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266700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4197" name="Line 104">
          <a:extLst>
            <a:ext uri="{FF2B5EF4-FFF2-40B4-BE49-F238E27FC236}">
              <a16:creationId xmlns="" xmlns:a16="http://schemas.microsoft.com/office/drawing/2014/main" id="{00000000-0008-0000-1B00-0000D50C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4198" name="Line 105">
          <a:extLst>
            <a:ext uri="{FF2B5EF4-FFF2-40B4-BE49-F238E27FC236}">
              <a16:creationId xmlns="" xmlns:a16="http://schemas.microsoft.com/office/drawing/2014/main" id="{00000000-0008-0000-1B00-0000D60C4300}"/>
            </a:ext>
          </a:extLst>
        </xdr:cNvPr>
        <xdr:cNvSpPr>
          <a:spLocks noChangeShapeType="1"/>
        </xdr:cNvSpPr>
      </xdr:nvSpPr>
      <xdr:spPr bwMode="auto">
        <a:xfrm>
          <a:off x="1166812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495300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4199" name="Line 106">
          <a:extLst>
            <a:ext uri="{FF2B5EF4-FFF2-40B4-BE49-F238E27FC236}">
              <a16:creationId xmlns="" xmlns:a16="http://schemas.microsoft.com/office/drawing/2014/main" id="{00000000-0008-0000-1B00-0000D70C4300}"/>
            </a:ext>
          </a:extLst>
        </xdr:cNvPr>
        <xdr:cNvSpPr>
          <a:spLocks noChangeShapeType="1"/>
        </xdr:cNvSpPr>
      </xdr:nvSpPr>
      <xdr:spPr bwMode="auto">
        <a:xfrm flipH="1">
          <a:off x="9744075" y="0"/>
          <a:ext cx="2390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1028700</xdr:colOff>
      <xdr:row>0</xdr:row>
      <xdr:rowOff>0</xdr:rowOff>
    </xdr:to>
    <xdr:sp macro="" textlink="">
      <xdr:nvSpPr>
        <xdr:cNvPr id="4394200" name="Line 107">
          <a:extLst>
            <a:ext uri="{FF2B5EF4-FFF2-40B4-BE49-F238E27FC236}">
              <a16:creationId xmlns="" xmlns:a16="http://schemas.microsoft.com/office/drawing/2014/main" id="{00000000-0008-0000-1B00-0000D80C4300}"/>
            </a:ext>
          </a:extLst>
        </xdr:cNvPr>
        <xdr:cNvSpPr>
          <a:spLocks noChangeShapeType="1"/>
        </xdr:cNvSpPr>
      </xdr:nvSpPr>
      <xdr:spPr bwMode="auto">
        <a:xfrm flipH="1">
          <a:off x="9839325" y="0"/>
          <a:ext cx="2295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171450</xdr:colOff>
      <xdr:row>0</xdr:row>
      <xdr:rowOff>0</xdr:rowOff>
    </xdr:from>
    <xdr:to>
      <xdr:col>13</xdr:col>
      <xdr:colOff>552450</xdr:colOff>
      <xdr:row>0</xdr:row>
      <xdr:rowOff>0</xdr:rowOff>
    </xdr:to>
    <xdr:sp macro="" textlink="">
      <xdr:nvSpPr>
        <xdr:cNvPr id="4394201" name="Line 108">
          <a:extLst>
            <a:ext uri="{FF2B5EF4-FFF2-40B4-BE49-F238E27FC236}">
              <a16:creationId xmlns="" xmlns:a16="http://schemas.microsoft.com/office/drawing/2014/main" id="{00000000-0008-0000-1B00-0000D90C4300}"/>
            </a:ext>
          </a:extLst>
        </xdr:cNvPr>
        <xdr:cNvSpPr>
          <a:spLocks noChangeShapeType="1"/>
        </xdr:cNvSpPr>
      </xdr:nvSpPr>
      <xdr:spPr bwMode="auto">
        <a:xfrm flipH="1">
          <a:off x="11087100" y="0"/>
          <a:ext cx="1600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457200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94202" name="Line 109">
          <a:extLst>
            <a:ext uri="{FF2B5EF4-FFF2-40B4-BE49-F238E27FC236}">
              <a16:creationId xmlns="" xmlns:a16="http://schemas.microsoft.com/office/drawing/2014/main" id="{00000000-0008-0000-1B00-0000DA0C4300}"/>
            </a:ext>
          </a:extLst>
        </xdr:cNvPr>
        <xdr:cNvSpPr>
          <a:spLocks noChangeShapeType="1"/>
        </xdr:cNvSpPr>
      </xdr:nvSpPr>
      <xdr:spPr bwMode="auto">
        <a:xfrm flipH="1">
          <a:off x="11372850" y="0"/>
          <a:ext cx="2371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1104900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94203" name="Line 110">
          <a:extLst>
            <a:ext uri="{FF2B5EF4-FFF2-40B4-BE49-F238E27FC236}">
              <a16:creationId xmlns="" xmlns:a16="http://schemas.microsoft.com/office/drawing/2014/main" id="{00000000-0008-0000-1B00-0000DB0C4300}"/>
            </a:ext>
          </a:extLst>
        </xdr:cNvPr>
        <xdr:cNvSpPr>
          <a:spLocks noChangeShapeType="1"/>
        </xdr:cNvSpPr>
      </xdr:nvSpPr>
      <xdr:spPr bwMode="auto">
        <a:xfrm>
          <a:off x="1157287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1085850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94204" name="Line 111">
          <a:extLst>
            <a:ext uri="{FF2B5EF4-FFF2-40B4-BE49-F238E27FC236}">
              <a16:creationId xmlns="" xmlns:a16="http://schemas.microsoft.com/office/drawing/2014/main" id="{00000000-0008-0000-1B00-0000DC0C4300}"/>
            </a:ext>
          </a:extLst>
        </xdr:cNvPr>
        <xdr:cNvSpPr>
          <a:spLocks noChangeShapeType="1"/>
        </xdr:cNvSpPr>
      </xdr:nvSpPr>
      <xdr:spPr bwMode="auto">
        <a:xfrm>
          <a:off x="1157287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123825</xdr:colOff>
      <xdr:row>0</xdr:row>
      <xdr:rowOff>0</xdr:rowOff>
    </xdr:from>
    <xdr:to>
      <xdr:col>21</xdr:col>
      <xdr:colOff>438150</xdr:colOff>
      <xdr:row>0</xdr:row>
      <xdr:rowOff>0</xdr:rowOff>
    </xdr:to>
    <xdr:sp macro="" textlink="">
      <xdr:nvSpPr>
        <xdr:cNvPr id="113" name="Text Box 112">
          <a:extLst>
            <a:ext uri="{FF2B5EF4-FFF2-40B4-BE49-F238E27FC236}">
              <a16:creationId xmlns="" xmlns:a16="http://schemas.microsoft.com/office/drawing/2014/main" id="{00000000-0008-0000-1B00-000071000000}"/>
            </a:ext>
          </a:extLst>
        </xdr:cNvPr>
        <xdr:cNvSpPr txBox="1">
          <a:spLocks noChangeArrowheads="1"/>
        </xdr:cNvSpPr>
      </xdr:nvSpPr>
      <xdr:spPr bwMode="auto">
        <a:xfrm>
          <a:off x="19516725" y="0"/>
          <a:ext cx="3143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1°</a:t>
          </a:r>
        </a:p>
      </xdr:txBody>
    </xdr:sp>
    <xdr:clientData/>
  </xdr:twoCellAnchor>
  <xdr:twoCellAnchor>
    <xdr:from>
      <xdr:col>19</xdr:col>
      <xdr:colOff>1285875</xdr:colOff>
      <xdr:row>0</xdr:row>
      <xdr:rowOff>0</xdr:rowOff>
    </xdr:from>
    <xdr:to>
      <xdr:col>21</xdr:col>
      <xdr:colOff>333375</xdr:colOff>
      <xdr:row>0</xdr:row>
      <xdr:rowOff>0</xdr:rowOff>
    </xdr:to>
    <xdr:sp macro="" textlink="">
      <xdr:nvSpPr>
        <xdr:cNvPr id="114" name="Text Box 113">
          <a:extLst>
            <a:ext uri="{FF2B5EF4-FFF2-40B4-BE49-F238E27FC236}">
              <a16:creationId xmlns="" xmlns:a16="http://schemas.microsoft.com/office/drawing/2014/main" id="{00000000-0008-0000-1B00-000072000000}"/>
            </a:ext>
          </a:extLst>
        </xdr:cNvPr>
        <xdr:cNvSpPr txBox="1">
          <a:spLocks noChangeArrowheads="1"/>
        </xdr:cNvSpPr>
      </xdr:nvSpPr>
      <xdr:spPr bwMode="auto">
        <a:xfrm>
          <a:off x="18630900" y="0"/>
          <a:ext cx="10953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3°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5" name="Text Box 114">
          <a:extLst>
            <a:ext uri="{FF2B5EF4-FFF2-40B4-BE49-F238E27FC236}">
              <a16:creationId xmlns="" xmlns:a16="http://schemas.microsoft.com/office/drawing/2014/main" id="{00000000-0008-0000-1B00-000073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21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6" name="Text Box 115">
          <a:extLst>
            <a:ext uri="{FF2B5EF4-FFF2-40B4-BE49-F238E27FC236}">
              <a16:creationId xmlns="" xmlns:a16="http://schemas.microsoft.com/office/drawing/2014/main" id="{00000000-0008-0000-1B00-000074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19</xdr:col>
      <xdr:colOff>819150</xdr:colOff>
      <xdr:row>0</xdr:row>
      <xdr:rowOff>0</xdr:rowOff>
    </xdr:from>
    <xdr:to>
      <xdr:col>19</xdr:col>
      <xdr:colOff>1000125</xdr:colOff>
      <xdr:row>0</xdr:row>
      <xdr:rowOff>0</xdr:rowOff>
    </xdr:to>
    <xdr:sp macro="" textlink="">
      <xdr:nvSpPr>
        <xdr:cNvPr id="117" name="Text Box 116">
          <a:extLst>
            <a:ext uri="{FF2B5EF4-FFF2-40B4-BE49-F238E27FC236}">
              <a16:creationId xmlns="" xmlns:a16="http://schemas.microsoft.com/office/drawing/2014/main" id="{00000000-0008-0000-1B00-000075000000}"/>
            </a:ext>
          </a:extLst>
        </xdr:cNvPr>
        <xdr:cNvSpPr txBox="1">
          <a:spLocks noChangeArrowheads="1"/>
        </xdr:cNvSpPr>
      </xdr:nvSpPr>
      <xdr:spPr bwMode="auto">
        <a:xfrm>
          <a:off x="18183225" y="0"/>
          <a:ext cx="1809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5°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8" name="Text Box 117">
          <a:extLst>
            <a:ext uri="{FF2B5EF4-FFF2-40B4-BE49-F238E27FC236}">
              <a16:creationId xmlns="" xmlns:a16="http://schemas.microsoft.com/office/drawing/2014/main" id="{00000000-0008-0000-1B00-000076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6°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1" i="0" strike="noStrike">
              <a:solidFill>
                <a:srgbClr val="000000"/>
              </a:solidFill>
              <a:latin typeface="Times New Roman"/>
              <a:cs typeface="Times New Roman"/>
            </a:rPr>
            <a:t>6</a:t>
          </a:r>
        </a:p>
      </xdr:txBody>
    </xdr:sp>
    <xdr:clientData/>
  </xdr:twoCellAnchor>
  <xdr:twoCellAnchor>
    <xdr:from>
      <xdr:col>14</xdr:col>
      <xdr:colOff>266700</xdr:colOff>
      <xdr:row>15</xdr:row>
      <xdr:rowOff>38100</xdr:rowOff>
    </xdr:from>
    <xdr:to>
      <xdr:col>15</xdr:col>
      <xdr:colOff>352425</xdr:colOff>
      <xdr:row>16</xdr:row>
      <xdr:rowOff>161925</xdr:rowOff>
    </xdr:to>
    <xdr:sp macro="" textlink="">
      <xdr:nvSpPr>
        <xdr:cNvPr id="4394211" name="Text Box 118">
          <a:extLst>
            <a:ext uri="{FF2B5EF4-FFF2-40B4-BE49-F238E27FC236}">
              <a16:creationId xmlns="" xmlns:a16="http://schemas.microsoft.com/office/drawing/2014/main" id="{00000000-0008-0000-1B00-0000E30C4300}"/>
            </a:ext>
          </a:extLst>
        </xdr:cNvPr>
        <xdr:cNvSpPr txBox="1">
          <a:spLocks noChangeArrowheads="1"/>
        </xdr:cNvSpPr>
      </xdr:nvSpPr>
      <xdr:spPr bwMode="auto">
        <a:xfrm>
          <a:off x="13592175" y="5600700"/>
          <a:ext cx="1009650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361950</xdr:colOff>
      <xdr:row>15</xdr:row>
      <xdr:rowOff>161925</xdr:rowOff>
    </xdr:from>
    <xdr:to>
      <xdr:col>4</xdr:col>
      <xdr:colOff>161925</xdr:colOff>
      <xdr:row>17</xdr:row>
      <xdr:rowOff>533400</xdr:rowOff>
    </xdr:to>
    <xdr:grpSp>
      <xdr:nvGrpSpPr>
        <xdr:cNvPr id="4394213" name="Group 120">
          <a:extLst>
            <a:ext uri="{FF2B5EF4-FFF2-40B4-BE49-F238E27FC236}">
              <a16:creationId xmlns="" xmlns:a16="http://schemas.microsoft.com/office/drawing/2014/main" id="{00000000-0008-0000-1B00-0000E50C4300}"/>
            </a:ext>
          </a:extLst>
        </xdr:cNvPr>
        <xdr:cNvGrpSpPr>
          <a:grpSpLocks/>
        </xdr:cNvGrpSpPr>
      </xdr:nvGrpSpPr>
      <xdr:grpSpPr bwMode="auto">
        <a:xfrm>
          <a:off x="3005138" y="5710238"/>
          <a:ext cx="2824162" cy="942975"/>
          <a:chOff x="358" y="540"/>
          <a:chExt cx="293" cy="139"/>
        </a:xfrm>
      </xdr:grpSpPr>
      <xdr:sp macro="" textlink="">
        <xdr:nvSpPr>
          <xdr:cNvPr id="4394240" name="Line 121">
            <a:extLst>
              <a:ext uri="{FF2B5EF4-FFF2-40B4-BE49-F238E27FC236}">
                <a16:creationId xmlns="" xmlns:a16="http://schemas.microsoft.com/office/drawing/2014/main" id="{00000000-0008-0000-1B00-0000000D43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94241" name="Group 122">
            <a:extLst>
              <a:ext uri="{FF2B5EF4-FFF2-40B4-BE49-F238E27FC236}">
                <a16:creationId xmlns="" xmlns:a16="http://schemas.microsoft.com/office/drawing/2014/main" id="{00000000-0008-0000-1B00-0000010D43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394297" name="Line 123">
              <a:extLst>
                <a:ext uri="{FF2B5EF4-FFF2-40B4-BE49-F238E27FC236}">
                  <a16:creationId xmlns="" xmlns:a16="http://schemas.microsoft.com/office/drawing/2014/main" id="{00000000-0008-0000-1B00-0000390D43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4298" name="Line 124">
              <a:extLst>
                <a:ext uri="{FF2B5EF4-FFF2-40B4-BE49-F238E27FC236}">
                  <a16:creationId xmlns="" xmlns:a16="http://schemas.microsoft.com/office/drawing/2014/main" id="{00000000-0008-0000-1B00-00003A0D43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94242" name="Line 125">
            <a:extLst>
              <a:ext uri="{FF2B5EF4-FFF2-40B4-BE49-F238E27FC236}">
                <a16:creationId xmlns="" xmlns:a16="http://schemas.microsoft.com/office/drawing/2014/main" id="{00000000-0008-0000-1B00-0000020D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4243" name="Line 126">
            <a:extLst>
              <a:ext uri="{FF2B5EF4-FFF2-40B4-BE49-F238E27FC236}">
                <a16:creationId xmlns="" xmlns:a16="http://schemas.microsoft.com/office/drawing/2014/main" id="{00000000-0008-0000-1B00-0000030D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4244" name="Line 127">
            <a:extLst>
              <a:ext uri="{FF2B5EF4-FFF2-40B4-BE49-F238E27FC236}">
                <a16:creationId xmlns="" xmlns:a16="http://schemas.microsoft.com/office/drawing/2014/main" id="{00000000-0008-0000-1B00-0000040D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4245" name="Line 128">
            <a:extLst>
              <a:ext uri="{FF2B5EF4-FFF2-40B4-BE49-F238E27FC236}">
                <a16:creationId xmlns="" xmlns:a16="http://schemas.microsoft.com/office/drawing/2014/main" id="{00000000-0008-0000-1B00-0000050D43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4246" name="Line 129">
            <a:extLst>
              <a:ext uri="{FF2B5EF4-FFF2-40B4-BE49-F238E27FC236}">
                <a16:creationId xmlns="" xmlns:a16="http://schemas.microsoft.com/office/drawing/2014/main" id="{00000000-0008-0000-1B00-0000060D43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94247" name="Group 130">
            <a:extLst>
              <a:ext uri="{FF2B5EF4-FFF2-40B4-BE49-F238E27FC236}">
                <a16:creationId xmlns="" xmlns:a16="http://schemas.microsoft.com/office/drawing/2014/main" id="{00000000-0008-0000-1B00-0000070D43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394291" name="Line 131">
              <a:extLst>
                <a:ext uri="{FF2B5EF4-FFF2-40B4-BE49-F238E27FC236}">
                  <a16:creationId xmlns="" xmlns:a16="http://schemas.microsoft.com/office/drawing/2014/main" id="{00000000-0008-0000-1B00-0000330D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4292" name="Group 132">
              <a:extLst>
                <a:ext uri="{FF2B5EF4-FFF2-40B4-BE49-F238E27FC236}">
                  <a16:creationId xmlns="" xmlns:a16="http://schemas.microsoft.com/office/drawing/2014/main" id="{00000000-0008-0000-1B00-0000340D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4293" name="Line 133">
                <a:extLst>
                  <a:ext uri="{FF2B5EF4-FFF2-40B4-BE49-F238E27FC236}">
                    <a16:creationId xmlns="" xmlns:a16="http://schemas.microsoft.com/office/drawing/2014/main" id="{00000000-0008-0000-1B00-0000350D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4294" name="Group 134">
                <a:extLst>
                  <a:ext uri="{FF2B5EF4-FFF2-40B4-BE49-F238E27FC236}">
                    <a16:creationId xmlns="" xmlns:a16="http://schemas.microsoft.com/office/drawing/2014/main" id="{00000000-0008-0000-1B00-0000360D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4295" name="Line 135">
                  <a:extLst>
                    <a:ext uri="{FF2B5EF4-FFF2-40B4-BE49-F238E27FC236}">
                      <a16:creationId xmlns="" xmlns:a16="http://schemas.microsoft.com/office/drawing/2014/main" id="{00000000-0008-0000-1B00-0000370D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4296" name="Line 136">
                  <a:extLst>
                    <a:ext uri="{FF2B5EF4-FFF2-40B4-BE49-F238E27FC236}">
                      <a16:creationId xmlns="" xmlns:a16="http://schemas.microsoft.com/office/drawing/2014/main" id="{00000000-0008-0000-1B00-0000380D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4248" name="Group 137">
            <a:extLst>
              <a:ext uri="{FF2B5EF4-FFF2-40B4-BE49-F238E27FC236}">
                <a16:creationId xmlns="" xmlns:a16="http://schemas.microsoft.com/office/drawing/2014/main" id="{00000000-0008-0000-1B00-0000080D43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394285" name="Line 138">
              <a:extLst>
                <a:ext uri="{FF2B5EF4-FFF2-40B4-BE49-F238E27FC236}">
                  <a16:creationId xmlns="" xmlns:a16="http://schemas.microsoft.com/office/drawing/2014/main" id="{00000000-0008-0000-1B00-00002D0D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4286" name="Group 139">
              <a:extLst>
                <a:ext uri="{FF2B5EF4-FFF2-40B4-BE49-F238E27FC236}">
                  <a16:creationId xmlns="" xmlns:a16="http://schemas.microsoft.com/office/drawing/2014/main" id="{00000000-0008-0000-1B00-00002E0D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4287" name="Line 140">
                <a:extLst>
                  <a:ext uri="{FF2B5EF4-FFF2-40B4-BE49-F238E27FC236}">
                    <a16:creationId xmlns="" xmlns:a16="http://schemas.microsoft.com/office/drawing/2014/main" id="{00000000-0008-0000-1B00-00002F0D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4288" name="Group 141">
                <a:extLst>
                  <a:ext uri="{FF2B5EF4-FFF2-40B4-BE49-F238E27FC236}">
                    <a16:creationId xmlns="" xmlns:a16="http://schemas.microsoft.com/office/drawing/2014/main" id="{00000000-0008-0000-1B00-0000300D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4289" name="Line 142">
                  <a:extLst>
                    <a:ext uri="{FF2B5EF4-FFF2-40B4-BE49-F238E27FC236}">
                      <a16:creationId xmlns="" xmlns:a16="http://schemas.microsoft.com/office/drawing/2014/main" id="{00000000-0008-0000-1B00-0000310D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4290" name="Line 143">
                  <a:extLst>
                    <a:ext uri="{FF2B5EF4-FFF2-40B4-BE49-F238E27FC236}">
                      <a16:creationId xmlns="" xmlns:a16="http://schemas.microsoft.com/office/drawing/2014/main" id="{00000000-0008-0000-1B00-0000320D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4249" name="Group 144">
            <a:extLst>
              <a:ext uri="{FF2B5EF4-FFF2-40B4-BE49-F238E27FC236}">
                <a16:creationId xmlns="" xmlns:a16="http://schemas.microsoft.com/office/drawing/2014/main" id="{00000000-0008-0000-1B00-0000090D43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394279" name="Line 145">
              <a:extLst>
                <a:ext uri="{FF2B5EF4-FFF2-40B4-BE49-F238E27FC236}">
                  <a16:creationId xmlns="" xmlns:a16="http://schemas.microsoft.com/office/drawing/2014/main" id="{00000000-0008-0000-1B00-0000270D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4280" name="Group 146">
              <a:extLst>
                <a:ext uri="{FF2B5EF4-FFF2-40B4-BE49-F238E27FC236}">
                  <a16:creationId xmlns="" xmlns:a16="http://schemas.microsoft.com/office/drawing/2014/main" id="{00000000-0008-0000-1B00-0000280D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4281" name="Line 147">
                <a:extLst>
                  <a:ext uri="{FF2B5EF4-FFF2-40B4-BE49-F238E27FC236}">
                    <a16:creationId xmlns="" xmlns:a16="http://schemas.microsoft.com/office/drawing/2014/main" id="{00000000-0008-0000-1B00-0000290D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4282" name="Group 148">
                <a:extLst>
                  <a:ext uri="{FF2B5EF4-FFF2-40B4-BE49-F238E27FC236}">
                    <a16:creationId xmlns="" xmlns:a16="http://schemas.microsoft.com/office/drawing/2014/main" id="{00000000-0008-0000-1B00-00002A0D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4283" name="Line 149">
                  <a:extLst>
                    <a:ext uri="{FF2B5EF4-FFF2-40B4-BE49-F238E27FC236}">
                      <a16:creationId xmlns="" xmlns:a16="http://schemas.microsoft.com/office/drawing/2014/main" id="{00000000-0008-0000-1B00-00002B0D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4284" name="Line 150">
                  <a:extLst>
                    <a:ext uri="{FF2B5EF4-FFF2-40B4-BE49-F238E27FC236}">
                      <a16:creationId xmlns="" xmlns:a16="http://schemas.microsoft.com/office/drawing/2014/main" id="{00000000-0008-0000-1B00-00002C0D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4250" name="Group 151">
            <a:extLst>
              <a:ext uri="{FF2B5EF4-FFF2-40B4-BE49-F238E27FC236}">
                <a16:creationId xmlns="" xmlns:a16="http://schemas.microsoft.com/office/drawing/2014/main" id="{00000000-0008-0000-1B00-00000A0D43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394273" name="Line 152">
              <a:extLst>
                <a:ext uri="{FF2B5EF4-FFF2-40B4-BE49-F238E27FC236}">
                  <a16:creationId xmlns="" xmlns:a16="http://schemas.microsoft.com/office/drawing/2014/main" id="{00000000-0008-0000-1B00-0000210D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4274" name="Group 153">
              <a:extLst>
                <a:ext uri="{FF2B5EF4-FFF2-40B4-BE49-F238E27FC236}">
                  <a16:creationId xmlns="" xmlns:a16="http://schemas.microsoft.com/office/drawing/2014/main" id="{00000000-0008-0000-1B00-0000220D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4275" name="Line 154">
                <a:extLst>
                  <a:ext uri="{FF2B5EF4-FFF2-40B4-BE49-F238E27FC236}">
                    <a16:creationId xmlns="" xmlns:a16="http://schemas.microsoft.com/office/drawing/2014/main" id="{00000000-0008-0000-1B00-0000230D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4276" name="Group 155">
                <a:extLst>
                  <a:ext uri="{FF2B5EF4-FFF2-40B4-BE49-F238E27FC236}">
                    <a16:creationId xmlns="" xmlns:a16="http://schemas.microsoft.com/office/drawing/2014/main" id="{00000000-0008-0000-1B00-0000240D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4277" name="Line 156">
                  <a:extLst>
                    <a:ext uri="{FF2B5EF4-FFF2-40B4-BE49-F238E27FC236}">
                      <a16:creationId xmlns="" xmlns:a16="http://schemas.microsoft.com/office/drawing/2014/main" id="{00000000-0008-0000-1B00-0000250D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4278" name="Line 157">
                  <a:extLst>
                    <a:ext uri="{FF2B5EF4-FFF2-40B4-BE49-F238E27FC236}">
                      <a16:creationId xmlns="" xmlns:a16="http://schemas.microsoft.com/office/drawing/2014/main" id="{00000000-0008-0000-1B00-0000260D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4251" name="Group 158">
            <a:extLst>
              <a:ext uri="{FF2B5EF4-FFF2-40B4-BE49-F238E27FC236}">
                <a16:creationId xmlns="" xmlns:a16="http://schemas.microsoft.com/office/drawing/2014/main" id="{00000000-0008-0000-1B00-00000B0D43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394267" name="Line 159">
              <a:extLst>
                <a:ext uri="{FF2B5EF4-FFF2-40B4-BE49-F238E27FC236}">
                  <a16:creationId xmlns="" xmlns:a16="http://schemas.microsoft.com/office/drawing/2014/main" id="{00000000-0008-0000-1B00-00001B0D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4268" name="Group 160">
              <a:extLst>
                <a:ext uri="{FF2B5EF4-FFF2-40B4-BE49-F238E27FC236}">
                  <a16:creationId xmlns="" xmlns:a16="http://schemas.microsoft.com/office/drawing/2014/main" id="{00000000-0008-0000-1B00-00001C0D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4269" name="Line 161">
                <a:extLst>
                  <a:ext uri="{FF2B5EF4-FFF2-40B4-BE49-F238E27FC236}">
                    <a16:creationId xmlns="" xmlns:a16="http://schemas.microsoft.com/office/drawing/2014/main" id="{00000000-0008-0000-1B00-00001D0D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4270" name="Group 162">
                <a:extLst>
                  <a:ext uri="{FF2B5EF4-FFF2-40B4-BE49-F238E27FC236}">
                    <a16:creationId xmlns="" xmlns:a16="http://schemas.microsoft.com/office/drawing/2014/main" id="{00000000-0008-0000-1B00-00001E0D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4271" name="Line 163">
                  <a:extLst>
                    <a:ext uri="{FF2B5EF4-FFF2-40B4-BE49-F238E27FC236}">
                      <a16:creationId xmlns="" xmlns:a16="http://schemas.microsoft.com/office/drawing/2014/main" id="{00000000-0008-0000-1B00-00001F0D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4272" name="Line 164">
                  <a:extLst>
                    <a:ext uri="{FF2B5EF4-FFF2-40B4-BE49-F238E27FC236}">
                      <a16:creationId xmlns="" xmlns:a16="http://schemas.microsoft.com/office/drawing/2014/main" id="{00000000-0008-0000-1B00-0000200D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4252" name="Group 165">
            <a:extLst>
              <a:ext uri="{FF2B5EF4-FFF2-40B4-BE49-F238E27FC236}">
                <a16:creationId xmlns="" xmlns:a16="http://schemas.microsoft.com/office/drawing/2014/main" id="{00000000-0008-0000-1B00-00000C0D43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394261" name="Line 166">
              <a:extLst>
                <a:ext uri="{FF2B5EF4-FFF2-40B4-BE49-F238E27FC236}">
                  <a16:creationId xmlns="" xmlns:a16="http://schemas.microsoft.com/office/drawing/2014/main" id="{00000000-0008-0000-1B00-0000150D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4262" name="Group 167">
              <a:extLst>
                <a:ext uri="{FF2B5EF4-FFF2-40B4-BE49-F238E27FC236}">
                  <a16:creationId xmlns="" xmlns:a16="http://schemas.microsoft.com/office/drawing/2014/main" id="{00000000-0008-0000-1B00-0000160D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4263" name="Line 168">
                <a:extLst>
                  <a:ext uri="{FF2B5EF4-FFF2-40B4-BE49-F238E27FC236}">
                    <a16:creationId xmlns="" xmlns:a16="http://schemas.microsoft.com/office/drawing/2014/main" id="{00000000-0008-0000-1B00-0000170D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4264" name="Group 169">
                <a:extLst>
                  <a:ext uri="{FF2B5EF4-FFF2-40B4-BE49-F238E27FC236}">
                    <a16:creationId xmlns="" xmlns:a16="http://schemas.microsoft.com/office/drawing/2014/main" id="{00000000-0008-0000-1B00-0000180D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4265" name="Line 170">
                  <a:extLst>
                    <a:ext uri="{FF2B5EF4-FFF2-40B4-BE49-F238E27FC236}">
                      <a16:creationId xmlns="" xmlns:a16="http://schemas.microsoft.com/office/drawing/2014/main" id="{00000000-0008-0000-1B00-0000190D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4266" name="Line 171">
                  <a:extLst>
                    <a:ext uri="{FF2B5EF4-FFF2-40B4-BE49-F238E27FC236}">
                      <a16:creationId xmlns="" xmlns:a16="http://schemas.microsoft.com/office/drawing/2014/main" id="{00000000-0008-0000-1B00-00001A0D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4253" name="Group 172">
            <a:extLst>
              <a:ext uri="{FF2B5EF4-FFF2-40B4-BE49-F238E27FC236}">
                <a16:creationId xmlns="" xmlns:a16="http://schemas.microsoft.com/office/drawing/2014/main" id="{00000000-0008-0000-1B00-00000D0D43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394255" name="Line 173">
              <a:extLst>
                <a:ext uri="{FF2B5EF4-FFF2-40B4-BE49-F238E27FC236}">
                  <a16:creationId xmlns="" xmlns:a16="http://schemas.microsoft.com/office/drawing/2014/main" id="{00000000-0008-0000-1B00-00000F0D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4256" name="Group 174">
              <a:extLst>
                <a:ext uri="{FF2B5EF4-FFF2-40B4-BE49-F238E27FC236}">
                  <a16:creationId xmlns="" xmlns:a16="http://schemas.microsoft.com/office/drawing/2014/main" id="{00000000-0008-0000-1B00-0000100D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4257" name="Line 175">
                <a:extLst>
                  <a:ext uri="{FF2B5EF4-FFF2-40B4-BE49-F238E27FC236}">
                    <a16:creationId xmlns="" xmlns:a16="http://schemas.microsoft.com/office/drawing/2014/main" id="{00000000-0008-0000-1B00-0000110D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4258" name="Group 176">
                <a:extLst>
                  <a:ext uri="{FF2B5EF4-FFF2-40B4-BE49-F238E27FC236}">
                    <a16:creationId xmlns="" xmlns:a16="http://schemas.microsoft.com/office/drawing/2014/main" id="{00000000-0008-0000-1B00-0000120D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4259" name="Line 177">
                  <a:extLst>
                    <a:ext uri="{FF2B5EF4-FFF2-40B4-BE49-F238E27FC236}">
                      <a16:creationId xmlns="" xmlns:a16="http://schemas.microsoft.com/office/drawing/2014/main" id="{00000000-0008-0000-1B00-0000130D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4260" name="Line 178">
                  <a:extLst>
                    <a:ext uri="{FF2B5EF4-FFF2-40B4-BE49-F238E27FC236}">
                      <a16:creationId xmlns="" xmlns:a16="http://schemas.microsoft.com/office/drawing/2014/main" id="{00000000-0008-0000-1B00-0000140D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94254" name="Line 179">
            <a:extLst>
              <a:ext uri="{FF2B5EF4-FFF2-40B4-BE49-F238E27FC236}">
                <a16:creationId xmlns="" xmlns:a16="http://schemas.microsoft.com/office/drawing/2014/main" id="{00000000-0008-0000-1B00-00000E0D43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0</xdr:row>
      <xdr:rowOff>133350</xdr:rowOff>
    </xdr:from>
    <xdr:to>
      <xdr:col>21</xdr:col>
      <xdr:colOff>1314450</xdr:colOff>
      <xdr:row>2</xdr:row>
      <xdr:rowOff>28575</xdr:rowOff>
    </xdr:to>
    <xdr:sp macro="" textlink="">
      <xdr:nvSpPr>
        <xdr:cNvPr id="4332158" name="Rectangle 250">
          <a:extLst>
            <a:ext uri="{FF2B5EF4-FFF2-40B4-BE49-F238E27FC236}">
              <a16:creationId xmlns="" xmlns:a16="http://schemas.microsoft.com/office/drawing/2014/main" id="{00000000-0008-0000-1B00-00007E1A4200}"/>
            </a:ext>
          </a:extLst>
        </xdr:cNvPr>
        <xdr:cNvSpPr>
          <a:spLocks noChangeArrowheads="1"/>
        </xdr:cNvSpPr>
      </xdr:nvSpPr>
      <xdr:spPr bwMode="auto">
        <a:xfrm>
          <a:off x="2324100" y="133350"/>
          <a:ext cx="17506950" cy="5524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  <xdr:txBody>
        <a:bodyPr/>
        <a:lstStyle/>
        <a:p>
          <a:endParaRPr lang="it-IT"/>
        </a:p>
      </xdr:txBody>
    </xdr:sp>
    <xdr:clientData/>
  </xdr:twoCellAnchor>
  <xdr:twoCellAnchor>
    <xdr:from>
      <xdr:col>2</xdr:col>
      <xdr:colOff>19050</xdr:colOff>
      <xdr:row>22</xdr:row>
      <xdr:rowOff>95250</xdr:rowOff>
    </xdr:from>
    <xdr:to>
      <xdr:col>11</xdr:col>
      <xdr:colOff>9525</xdr:colOff>
      <xdr:row>34</xdr:row>
      <xdr:rowOff>0</xdr:rowOff>
    </xdr:to>
    <xdr:grpSp>
      <xdr:nvGrpSpPr>
        <xdr:cNvPr id="4394216" name="Gruppo 254">
          <a:extLst>
            <a:ext uri="{FF2B5EF4-FFF2-40B4-BE49-F238E27FC236}">
              <a16:creationId xmlns="" xmlns:a16="http://schemas.microsoft.com/office/drawing/2014/main" id="{00000000-0008-0000-1B00-0000E80C4300}"/>
            </a:ext>
          </a:extLst>
        </xdr:cNvPr>
        <xdr:cNvGrpSpPr>
          <a:grpSpLocks/>
        </xdr:cNvGrpSpPr>
      </xdr:nvGrpSpPr>
      <xdr:grpSpPr bwMode="auto">
        <a:xfrm>
          <a:off x="2662238" y="7786688"/>
          <a:ext cx="8943975" cy="4214812"/>
          <a:chOff x="32032547" y="4916090"/>
          <a:chExt cx="6320731" cy="4069880"/>
        </a:xfrm>
      </xdr:grpSpPr>
      <xdr:sp macro="" textlink="">
        <xdr:nvSpPr>
          <xdr:cNvPr id="4394218" name="Line 181">
            <a:extLst>
              <a:ext uri="{FF2B5EF4-FFF2-40B4-BE49-F238E27FC236}">
                <a16:creationId xmlns="" xmlns:a16="http://schemas.microsoft.com/office/drawing/2014/main" id="{00000000-0008-0000-1B00-0000EA0C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039228" y="6007380"/>
            <a:ext cx="48107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4219" name="Line 182">
            <a:extLst>
              <a:ext uri="{FF2B5EF4-FFF2-40B4-BE49-F238E27FC236}">
                <a16:creationId xmlns="" xmlns:a16="http://schemas.microsoft.com/office/drawing/2014/main" id="{00000000-0008-0000-1B00-0000EB0C4300}"/>
              </a:ext>
            </a:extLst>
          </xdr:cNvPr>
          <xdr:cNvSpPr>
            <a:spLocks noChangeShapeType="1"/>
          </xdr:cNvSpPr>
        </xdr:nvSpPr>
        <xdr:spPr bwMode="auto">
          <a:xfrm>
            <a:off x="32039228" y="5327889"/>
            <a:ext cx="0" cy="365808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4220" name="Line 183">
            <a:extLst>
              <a:ext uri="{FF2B5EF4-FFF2-40B4-BE49-F238E27FC236}">
                <a16:creationId xmlns="" xmlns:a16="http://schemas.microsoft.com/office/drawing/2014/main" id="{00000000-0008-0000-1B00-0000EC0C4300}"/>
              </a:ext>
            </a:extLst>
          </xdr:cNvPr>
          <xdr:cNvSpPr>
            <a:spLocks noChangeShapeType="1"/>
          </xdr:cNvSpPr>
        </xdr:nvSpPr>
        <xdr:spPr bwMode="auto">
          <a:xfrm>
            <a:off x="32045909" y="6407627"/>
            <a:ext cx="13630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4221" name="Line 184">
            <a:extLst>
              <a:ext uri="{FF2B5EF4-FFF2-40B4-BE49-F238E27FC236}">
                <a16:creationId xmlns="" xmlns:a16="http://schemas.microsoft.com/office/drawing/2014/main" id="{00000000-0008-0000-1B00-0000ED0C4300}"/>
              </a:ext>
            </a:extLst>
          </xdr:cNvPr>
          <xdr:cNvSpPr>
            <a:spLocks noChangeShapeType="1"/>
          </xdr:cNvSpPr>
        </xdr:nvSpPr>
        <xdr:spPr bwMode="auto">
          <a:xfrm>
            <a:off x="32039228" y="6863724"/>
            <a:ext cx="22316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4222" name="Line 185">
            <a:extLst>
              <a:ext uri="{FF2B5EF4-FFF2-40B4-BE49-F238E27FC236}">
                <a16:creationId xmlns="" xmlns:a16="http://schemas.microsoft.com/office/drawing/2014/main" id="{00000000-0008-0000-1B00-0000EE0C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45909" y="7254664"/>
            <a:ext cx="306014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4223" name="Line 186">
            <a:extLst>
              <a:ext uri="{FF2B5EF4-FFF2-40B4-BE49-F238E27FC236}">
                <a16:creationId xmlns="" xmlns:a16="http://schemas.microsoft.com/office/drawing/2014/main" id="{00000000-0008-0000-1B00-0000EF0C4300}"/>
              </a:ext>
            </a:extLst>
          </xdr:cNvPr>
          <xdr:cNvSpPr>
            <a:spLocks noChangeShapeType="1"/>
          </xdr:cNvSpPr>
        </xdr:nvSpPr>
        <xdr:spPr bwMode="auto">
          <a:xfrm>
            <a:off x="32520299" y="4964873"/>
            <a:ext cx="0" cy="115420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4224" name="Line 187">
            <a:extLst>
              <a:ext uri="{FF2B5EF4-FFF2-40B4-BE49-F238E27FC236}">
                <a16:creationId xmlns="" xmlns:a16="http://schemas.microsoft.com/office/drawing/2014/main" id="{00000000-0008-0000-1B00-0000F00C4300}"/>
              </a:ext>
            </a:extLst>
          </xdr:cNvPr>
          <xdr:cNvSpPr>
            <a:spLocks noChangeShapeType="1"/>
          </xdr:cNvSpPr>
        </xdr:nvSpPr>
        <xdr:spPr bwMode="auto">
          <a:xfrm>
            <a:off x="32065954" y="5030029"/>
            <a:ext cx="414255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4225" name="Line 188">
            <a:extLst>
              <a:ext uri="{FF2B5EF4-FFF2-40B4-BE49-F238E27FC236}">
                <a16:creationId xmlns="" xmlns:a16="http://schemas.microsoft.com/office/drawing/2014/main" id="{00000000-0008-0000-1B00-0000F10C4300}"/>
              </a:ext>
            </a:extLst>
          </xdr:cNvPr>
          <xdr:cNvSpPr>
            <a:spLocks noChangeShapeType="1"/>
          </xdr:cNvSpPr>
        </xdr:nvSpPr>
        <xdr:spPr bwMode="auto">
          <a:xfrm>
            <a:off x="33408943" y="4955565"/>
            <a:ext cx="0" cy="149860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4226" name="Line 189">
            <a:extLst>
              <a:ext uri="{FF2B5EF4-FFF2-40B4-BE49-F238E27FC236}">
                <a16:creationId xmlns="" xmlns:a16="http://schemas.microsoft.com/office/drawing/2014/main" id="{00000000-0008-0000-1B00-0000F20C4300}"/>
              </a:ext>
            </a:extLst>
          </xdr:cNvPr>
          <xdr:cNvSpPr>
            <a:spLocks noChangeShapeType="1"/>
          </xdr:cNvSpPr>
        </xdr:nvSpPr>
        <xdr:spPr bwMode="auto">
          <a:xfrm>
            <a:off x="32841012" y="5039338"/>
            <a:ext cx="88864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4227" name="Line 191">
            <a:extLst>
              <a:ext uri="{FF2B5EF4-FFF2-40B4-BE49-F238E27FC236}">
                <a16:creationId xmlns="" xmlns:a16="http://schemas.microsoft.com/office/drawing/2014/main" id="{00000000-0008-0000-1B00-0000F30C4300}"/>
              </a:ext>
            </a:extLst>
          </xdr:cNvPr>
          <xdr:cNvSpPr>
            <a:spLocks noChangeShapeType="1"/>
          </xdr:cNvSpPr>
        </xdr:nvSpPr>
        <xdr:spPr bwMode="auto">
          <a:xfrm>
            <a:off x="34241720" y="5042775"/>
            <a:ext cx="0" cy="209917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4228" name="Rectangle 196">
            <a:extLst>
              <a:ext uri="{FF2B5EF4-FFF2-40B4-BE49-F238E27FC236}">
                <a16:creationId xmlns="" xmlns:a16="http://schemas.microsoft.com/office/drawing/2014/main" id="{00000000-0008-0000-1B00-0000F40C4300}"/>
              </a:ext>
            </a:extLst>
          </xdr:cNvPr>
          <xdr:cNvSpPr>
            <a:spLocks noChangeArrowheads="1"/>
          </xdr:cNvSpPr>
        </xdr:nvSpPr>
        <xdr:spPr bwMode="auto">
          <a:xfrm>
            <a:off x="32039227" y="4918332"/>
            <a:ext cx="6314051" cy="363016"/>
          </a:xfrm>
          <a:prstGeom prst="rect">
            <a:avLst/>
          </a:prstGeom>
          <a:noFill/>
          <a:ln w="158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94229" name="Line 197">
            <a:extLst>
              <a:ext uri="{FF2B5EF4-FFF2-40B4-BE49-F238E27FC236}">
                <a16:creationId xmlns="" xmlns:a16="http://schemas.microsoft.com/office/drawing/2014/main" id="{00000000-0008-0000-1B00-0000F50C4300}"/>
              </a:ext>
            </a:extLst>
          </xdr:cNvPr>
          <xdr:cNvSpPr>
            <a:spLocks noChangeShapeType="1"/>
          </xdr:cNvSpPr>
        </xdr:nvSpPr>
        <xdr:spPr bwMode="auto">
          <a:xfrm>
            <a:off x="38039246" y="4955565"/>
            <a:ext cx="0" cy="398386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4230" name="Line 199">
            <a:extLst>
              <a:ext uri="{FF2B5EF4-FFF2-40B4-BE49-F238E27FC236}">
                <a16:creationId xmlns="" xmlns:a16="http://schemas.microsoft.com/office/drawing/2014/main" id="{00000000-0008-0000-1B00-0000F60C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032547" y="8939429"/>
            <a:ext cx="600001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4231" name="Line 201">
            <a:extLst>
              <a:ext uri="{FF2B5EF4-FFF2-40B4-BE49-F238E27FC236}">
                <a16:creationId xmlns="" xmlns:a16="http://schemas.microsoft.com/office/drawing/2014/main" id="{00000000-0008-0000-1B00-0000F70C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5082562" y="5032371"/>
            <a:ext cx="0" cy="2362448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4232" name="Line 202">
            <a:extLst>
              <a:ext uri="{FF2B5EF4-FFF2-40B4-BE49-F238E27FC236}">
                <a16:creationId xmlns="" xmlns:a16="http://schemas.microsoft.com/office/drawing/2014/main" id="{00000000-0008-0000-1B00-0000F80C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7758028" y="5032371"/>
            <a:ext cx="8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4233" name="Line 203">
            <a:extLst>
              <a:ext uri="{FF2B5EF4-FFF2-40B4-BE49-F238E27FC236}">
                <a16:creationId xmlns="" xmlns:a16="http://schemas.microsoft.com/office/drawing/2014/main" id="{00000000-0008-0000-1B00-0000F90C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7692145"/>
            <a:ext cx="388865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4234" name="Line 204">
            <a:extLst>
              <a:ext uri="{FF2B5EF4-FFF2-40B4-BE49-F238E27FC236}">
                <a16:creationId xmlns="" xmlns:a16="http://schemas.microsoft.com/office/drawing/2014/main" id="{00000000-0008-0000-1B00-0000FA0C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8148242"/>
            <a:ext cx="469711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4235" name="Line 205">
            <a:extLst>
              <a:ext uri="{FF2B5EF4-FFF2-40B4-BE49-F238E27FC236}">
                <a16:creationId xmlns="" xmlns:a16="http://schemas.microsoft.com/office/drawing/2014/main" id="{00000000-0008-0000-1B00-0000FB0C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8529873"/>
            <a:ext cx="5405362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4236" name="Line 207">
            <a:extLst>
              <a:ext uri="{FF2B5EF4-FFF2-40B4-BE49-F238E27FC236}">
                <a16:creationId xmlns="" xmlns:a16="http://schemas.microsoft.com/office/drawing/2014/main" id="{00000000-0008-0000-1B00-0000FC0C4300}"/>
              </a:ext>
            </a:extLst>
          </xdr:cNvPr>
          <xdr:cNvSpPr>
            <a:spLocks noChangeShapeType="1"/>
          </xdr:cNvSpPr>
        </xdr:nvSpPr>
        <xdr:spPr bwMode="auto">
          <a:xfrm>
            <a:off x="35903589" y="4964873"/>
            <a:ext cx="0" cy="291533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4237" name="Line 210">
            <a:extLst>
              <a:ext uri="{FF2B5EF4-FFF2-40B4-BE49-F238E27FC236}">
                <a16:creationId xmlns="" xmlns:a16="http://schemas.microsoft.com/office/drawing/2014/main" id="{00000000-0008-0000-1B00-0000FD0C4300}"/>
              </a:ext>
            </a:extLst>
          </xdr:cNvPr>
          <xdr:cNvSpPr>
            <a:spLocks noChangeShapeType="1"/>
          </xdr:cNvSpPr>
        </xdr:nvSpPr>
        <xdr:spPr bwMode="auto">
          <a:xfrm>
            <a:off x="37410345" y="4985564"/>
            <a:ext cx="0" cy="3620849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4238" name="Line 212">
            <a:extLst>
              <a:ext uri="{FF2B5EF4-FFF2-40B4-BE49-F238E27FC236}">
                <a16:creationId xmlns="" xmlns:a16="http://schemas.microsoft.com/office/drawing/2014/main" id="{00000000-0008-0000-1B00-0000FE0C4300}"/>
              </a:ext>
            </a:extLst>
          </xdr:cNvPr>
          <xdr:cNvSpPr>
            <a:spLocks noChangeShapeType="1"/>
          </xdr:cNvSpPr>
        </xdr:nvSpPr>
        <xdr:spPr bwMode="auto">
          <a:xfrm>
            <a:off x="37945705" y="5039338"/>
            <a:ext cx="17372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4239" name="Line 210">
            <a:extLst>
              <a:ext uri="{FF2B5EF4-FFF2-40B4-BE49-F238E27FC236}">
                <a16:creationId xmlns="" xmlns:a16="http://schemas.microsoft.com/office/drawing/2014/main" id="{00000000-0008-0000-1B00-0000FF0C4300}"/>
              </a:ext>
            </a:extLst>
          </xdr:cNvPr>
          <xdr:cNvSpPr>
            <a:spLocks noChangeShapeType="1"/>
          </xdr:cNvSpPr>
        </xdr:nvSpPr>
        <xdr:spPr bwMode="auto">
          <a:xfrm>
            <a:off x="36723957" y="4916090"/>
            <a:ext cx="0" cy="3347106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11</xdr:col>
      <xdr:colOff>257175</xdr:colOff>
      <xdr:row>21</xdr:row>
      <xdr:rowOff>9525</xdr:rowOff>
    </xdr:from>
    <xdr:to>
      <xdr:col>21</xdr:col>
      <xdr:colOff>342900</xdr:colOff>
      <xdr:row>31</xdr:row>
      <xdr:rowOff>142875</xdr:rowOff>
    </xdr:to>
    <xdr:pic>
      <xdr:nvPicPr>
        <xdr:cNvPr id="4394217" name="Picture 70">
          <a:extLst>
            <a:ext uri="{FF2B5EF4-FFF2-40B4-BE49-F238E27FC236}">
              <a16:creationId xmlns="" xmlns:a16="http://schemas.microsoft.com/office/drawing/2014/main" id="{00000000-0008-0000-1B00-0000E90C4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1830050" y="7353300"/>
          <a:ext cx="7905750" cy="3505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95131" name="Line 1">
          <a:extLst>
            <a:ext uri="{FF2B5EF4-FFF2-40B4-BE49-F238E27FC236}">
              <a16:creationId xmlns="" xmlns:a16="http://schemas.microsoft.com/office/drawing/2014/main" id="{00000000-0008-0000-1C00-00007B104300}"/>
            </a:ext>
          </a:extLst>
        </xdr:cNvPr>
        <xdr:cNvSpPr>
          <a:spLocks noChangeShapeType="1"/>
        </xdr:cNvSpPr>
      </xdr:nvSpPr>
      <xdr:spPr bwMode="auto">
        <a:xfrm flipV="1"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95132" name="Line 2">
          <a:extLst>
            <a:ext uri="{FF2B5EF4-FFF2-40B4-BE49-F238E27FC236}">
              <a16:creationId xmlns="" xmlns:a16="http://schemas.microsoft.com/office/drawing/2014/main" id="{00000000-0008-0000-1C00-00007C104300}"/>
            </a:ext>
          </a:extLst>
        </xdr:cNvPr>
        <xdr:cNvSpPr>
          <a:spLocks noChangeShapeType="1"/>
        </xdr:cNvSpPr>
      </xdr:nvSpPr>
      <xdr:spPr bwMode="auto">
        <a:xfrm flipV="1">
          <a:off x="70580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676275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95133" name="Line 3">
          <a:extLst>
            <a:ext uri="{FF2B5EF4-FFF2-40B4-BE49-F238E27FC236}">
              <a16:creationId xmlns="" xmlns:a16="http://schemas.microsoft.com/office/drawing/2014/main" id="{00000000-0008-0000-1C00-00007D1043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442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95250</xdr:colOff>
      <xdr:row>0</xdr:row>
      <xdr:rowOff>0</xdr:rowOff>
    </xdr:from>
    <xdr:to>
      <xdr:col>6</xdr:col>
      <xdr:colOff>200025</xdr:colOff>
      <xdr:row>0</xdr:row>
      <xdr:rowOff>0</xdr:rowOff>
    </xdr:to>
    <xdr:sp macro="" textlink="">
      <xdr:nvSpPr>
        <xdr:cNvPr id="4395134" name="Line 4">
          <a:extLst>
            <a:ext uri="{FF2B5EF4-FFF2-40B4-BE49-F238E27FC236}">
              <a16:creationId xmlns="" xmlns:a16="http://schemas.microsoft.com/office/drawing/2014/main" id="{00000000-0008-0000-1C00-00007E104300}"/>
            </a:ext>
          </a:extLst>
        </xdr:cNvPr>
        <xdr:cNvSpPr>
          <a:spLocks noChangeShapeType="1"/>
        </xdr:cNvSpPr>
      </xdr:nvSpPr>
      <xdr:spPr bwMode="auto">
        <a:xfrm>
          <a:off x="7153275" y="0"/>
          <a:ext cx="1104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104775</xdr:colOff>
      <xdr:row>0</xdr:row>
      <xdr:rowOff>0</xdr:rowOff>
    </xdr:from>
    <xdr:to>
      <xdr:col>6</xdr:col>
      <xdr:colOff>104775</xdr:colOff>
      <xdr:row>0</xdr:row>
      <xdr:rowOff>0</xdr:rowOff>
    </xdr:to>
    <xdr:sp macro="" textlink="">
      <xdr:nvSpPr>
        <xdr:cNvPr id="4395135" name="Line 5">
          <a:extLst>
            <a:ext uri="{FF2B5EF4-FFF2-40B4-BE49-F238E27FC236}">
              <a16:creationId xmlns="" xmlns:a16="http://schemas.microsoft.com/office/drawing/2014/main" id="{00000000-0008-0000-1C00-00007F104300}"/>
            </a:ext>
          </a:extLst>
        </xdr:cNvPr>
        <xdr:cNvSpPr>
          <a:spLocks noChangeShapeType="1"/>
        </xdr:cNvSpPr>
      </xdr:nvSpPr>
      <xdr:spPr bwMode="auto">
        <a:xfrm>
          <a:off x="81629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0</xdr:row>
      <xdr:rowOff>0</xdr:rowOff>
    </xdr:from>
    <xdr:to>
      <xdr:col>6</xdr:col>
      <xdr:colOff>114300</xdr:colOff>
      <xdr:row>0</xdr:row>
      <xdr:rowOff>0</xdr:rowOff>
    </xdr:to>
    <xdr:sp macro="" textlink="">
      <xdr:nvSpPr>
        <xdr:cNvPr id="4395136" name="Line 6">
          <a:extLst>
            <a:ext uri="{FF2B5EF4-FFF2-40B4-BE49-F238E27FC236}">
              <a16:creationId xmlns="" xmlns:a16="http://schemas.microsoft.com/office/drawing/2014/main" id="{00000000-0008-0000-1C00-000080104300}"/>
            </a:ext>
          </a:extLst>
        </xdr:cNvPr>
        <xdr:cNvSpPr>
          <a:spLocks noChangeShapeType="1"/>
        </xdr:cNvSpPr>
      </xdr:nvSpPr>
      <xdr:spPr bwMode="auto">
        <a:xfrm>
          <a:off x="81724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85725</xdr:colOff>
      <xdr:row>0</xdr:row>
      <xdr:rowOff>0</xdr:rowOff>
    </xdr:from>
    <xdr:to>
      <xdr:col>6</xdr:col>
      <xdr:colOff>228600</xdr:colOff>
      <xdr:row>0</xdr:row>
      <xdr:rowOff>0</xdr:rowOff>
    </xdr:to>
    <xdr:sp macro="" textlink="">
      <xdr:nvSpPr>
        <xdr:cNvPr id="4395137" name="Line 7">
          <a:extLst>
            <a:ext uri="{FF2B5EF4-FFF2-40B4-BE49-F238E27FC236}">
              <a16:creationId xmlns="" xmlns:a16="http://schemas.microsoft.com/office/drawing/2014/main" id="{00000000-0008-0000-1C00-000081104300}"/>
            </a:ext>
          </a:extLst>
        </xdr:cNvPr>
        <xdr:cNvSpPr>
          <a:spLocks noChangeShapeType="1"/>
        </xdr:cNvSpPr>
      </xdr:nvSpPr>
      <xdr:spPr bwMode="auto">
        <a:xfrm>
          <a:off x="7143750" y="0"/>
          <a:ext cx="1143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533400</xdr:colOff>
      <xdr:row>0</xdr:row>
      <xdr:rowOff>0</xdr:rowOff>
    </xdr:from>
    <xdr:to>
      <xdr:col>12</xdr:col>
      <xdr:colOff>123825</xdr:colOff>
      <xdr:row>0</xdr:row>
      <xdr:rowOff>0</xdr:rowOff>
    </xdr:to>
    <xdr:sp macro="" textlink="">
      <xdr:nvSpPr>
        <xdr:cNvPr id="4395138" name="Line 8">
          <a:extLst>
            <a:ext uri="{FF2B5EF4-FFF2-40B4-BE49-F238E27FC236}">
              <a16:creationId xmlns="" xmlns:a16="http://schemas.microsoft.com/office/drawing/2014/main" id="{00000000-0008-0000-1C00-000082104300}"/>
            </a:ext>
          </a:extLst>
        </xdr:cNvPr>
        <xdr:cNvSpPr>
          <a:spLocks noChangeShapeType="1"/>
        </xdr:cNvSpPr>
      </xdr:nvSpPr>
      <xdr:spPr bwMode="auto">
        <a:xfrm>
          <a:off x="11887200" y="0"/>
          <a:ext cx="12382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12</xdr:col>
      <xdr:colOff>238125</xdr:colOff>
      <xdr:row>0</xdr:row>
      <xdr:rowOff>0</xdr:rowOff>
    </xdr:to>
    <xdr:sp macro="" textlink="">
      <xdr:nvSpPr>
        <xdr:cNvPr id="4395139" name="Line 9">
          <a:extLst>
            <a:ext uri="{FF2B5EF4-FFF2-40B4-BE49-F238E27FC236}">
              <a16:creationId xmlns="" xmlns:a16="http://schemas.microsoft.com/office/drawing/2014/main" id="{00000000-0008-0000-1C00-000083104300}"/>
            </a:ext>
          </a:extLst>
        </xdr:cNvPr>
        <xdr:cNvSpPr>
          <a:spLocks noChangeShapeType="1"/>
        </xdr:cNvSpPr>
      </xdr:nvSpPr>
      <xdr:spPr bwMode="auto">
        <a:xfrm flipV="1">
          <a:off x="120110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238125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5140" name="Line 10">
          <a:extLst>
            <a:ext uri="{FF2B5EF4-FFF2-40B4-BE49-F238E27FC236}">
              <a16:creationId xmlns="" xmlns:a16="http://schemas.microsoft.com/office/drawing/2014/main" id="{00000000-0008-0000-1C00-000084104300}"/>
            </a:ext>
          </a:extLst>
        </xdr:cNvPr>
        <xdr:cNvSpPr>
          <a:spLocks noChangeShapeType="1"/>
        </xdr:cNvSpPr>
      </xdr:nvSpPr>
      <xdr:spPr bwMode="auto">
        <a:xfrm>
          <a:off x="12125325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361950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5141" name="Line 11">
          <a:extLst>
            <a:ext uri="{FF2B5EF4-FFF2-40B4-BE49-F238E27FC236}">
              <a16:creationId xmlns="" xmlns:a16="http://schemas.microsoft.com/office/drawing/2014/main" id="{00000000-0008-0000-1C00-000085104300}"/>
            </a:ext>
          </a:extLst>
        </xdr:cNvPr>
        <xdr:cNvSpPr>
          <a:spLocks noChangeShapeType="1"/>
        </xdr:cNvSpPr>
      </xdr:nvSpPr>
      <xdr:spPr bwMode="auto">
        <a:xfrm flipV="1"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466725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5142" name="Line 12">
          <a:extLst>
            <a:ext uri="{FF2B5EF4-FFF2-40B4-BE49-F238E27FC236}">
              <a16:creationId xmlns="" xmlns:a16="http://schemas.microsoft.com/office/drawing/2014/main" id="{00000000-0008-0000-1C00-00008610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581025</xdr:colOff>
      <xdr:row>0</xdr:row>
      <xdr:rowOff>0</xdr:rowOff>
    </xdr:from>
    <xdr:to>
      <xdr:col>13</xdr:col>
      <xdr:colOff>0</xdr:colOff>
      <xdr:row>0</xdr:row>
      <xdr:rowOff>0</xdr:rowOff>
    </xdr:to>
    <xdr:sp macro="" textlink="">
      <xdr:nvSpPr>
        <xdr:cNvPr id="4395143" name="Line 13">
          <a:extLst>
            <a:ext uri="{FF2B5EF4-FFF2-40B4-BE49-F238E27FC236}">
              <a16:creationId xmlns="" xmlns:a16="http://schemas.microsoft.com/office/drawing/2014/main" id="{00000000-0008-0000-1C00-000087104300}"/>
            </a:ext>
          </a:extLst>
        </xdr:cNvPr>
        <xdr:cNvSpPr>
          <a:spLocks noChangeShapeType="1"/>
        </xdr:cNvSpPr>
      </xdr:nvSpPr>
      <xdr:spPr bwMode="auto">
        <a:xfrm flipV="1"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0</xdr:row>
      <xdr:rowOff>0</xdr:rowOff>
    </xdr:from>
    <xdr:to>
      <xdr:col>13</xdr:col>
      <xdr:colOff>123825</xdr:colOff>
      <xdr:row>0</xdr:row>
      <xdr:rowOff>0</xdr:rowOff>
    </xdr:to>
    <xdr:sp macro="" textlink="">
      <xdr:nvSpPr>
        <xdr:cNvPr id="4395144" name="Line 14">
          <a:extLst>
            <a:ext uri="{FF2B5EF4-FFF2-40B4-BE49-F238E27FC236}">
              <a16:creationId xmlns="" xmlns:a16="http://schemas.microsoft.com/office/drawing/2014/main" id="{00000000-0008-0000-1C00-00008810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123825</xdr:colOff>
      <xdr:row>0</xdr:row>
      <xdr:rowOff>0</xdr:rowOff>
    </xdr:from>
    <xdr:to>
      <xdr:col>13</xdr:col>
      <xdr:colOff>238125</xdr:colOff>
      <xdr:row>0</xdr:row>
      <xdr:rowOff>0</xdr:rowOff>
    </xdr:to>
    <xdr:sp macro="" textlink="">
      <xdr:nvSpPr>
        <xdr:cNvPr id="4395145" name="Line 15">
          <a:extLst>
            <a:ext uri="{FF2B5EF4-FFF2-40B4-BE49-F238E27FC236}">
              <a16:creationId xmlns="" xmlns:a16="http://schemas.microsoft.com/office/drawing/2014/main" id="{00000000-0008-0000-1C00-000089104300}"/>
            </a:ext>
          </a:extLst>
        </xdr:cNvPr>
        <xdr:cNvSpPr>
          <a:spLocks noChangeShapeType="1"/>
        </xdr:cNvSpPr>
      </xdr:nvSpPr>
      <xdr:spPr bwMode="auto">
        <a:xfrm flipV="1">
          <a:off x="122586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238125</xdr:colOff>
      <xdr:row>0</xdr:row>
      <xdr:rowOff>0</xdr:rowOff>
    </xdr:from>
    <xdr:to>
      <xdr:col>13</xdr:col>
      <xdr:colOff>361950</xdr:colOff>
      <xdr:row>0</xdr:row>
      <xdr:rowOff>0</xdr:rowOff>
    </xdr:to>
    <xdr:sp macro="" textlink="">
      <xdr:nvSpPr>
        <xdr:cNvPr id="4395146" name="Line 16">
          <a:extLst>
            <a:ext uri="{FF2B5EF4-FFF2-40B4-BE49-F238E27FC236}">
              <a16:creationId xmlns="" xmlns:a16="http://schemas.microsoft.com/office/drawing/2014/main" id="{00000000-0008-0000-1C00-00008A104300}"/>
            </a:ext>
          </a:extLst>
        </xdr:cNvPr>
        <xdr:cNvSpPr>
          <a:spLocks noChangeShapeType="1"/>
        </xdr:cNvSpPr>
      </xdr:nvSpPr>
      <xdr:spPr bwMode="auto">
        <a:xfrm>
          <a:off x="123729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361950</xdr:colOff>
      <xdr:row>0</xdr:row>
      <xdr:rowOff>0</xdr:rowOff>
    </xdr:from>
    <xdr:to>
      <xdr:col>13</xdr:col>
      <xdr:colOff>476250</xdr:colOff>
      <xdr:row>0</xdr:row>
      <xdr:rowOff>0</xdr:rowOff>
    </xdr:to>
    <xdr:sp macro="" textlink="">
      <xdr:nvSpPr>
        <xdr:cNvPr id="4395147" name="Line 17">
          <a:extLst>
            <a:ext uri="{FF2B5EF4-FFF2-40B4-BE49-F238E27FC236}">
              <a16:creationId xmlns="" xmlns:a16="http://schemas.microsoft.com/office/drawing/2014/main" id="{00000000-0008-0000-1C00-00008B104300}"/>
            </a:ext>
          </a:extLst>
        </xdr:cNvPr>
        <xdr:cNvSpPr>
          <a:spLocks noChangeShapeType="1"/>
        </xdr:cNvSpPr>
      </xdr:nvSpPr>
      <xdr:spPr bwMode="auto">
        <a:xfrm flipV="1">
          <a:off x="1249680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476250</xdr:colOff>
      <xdr:row>0</xdr:row>
      <xdr:rowOff>0</xdr:rowOff>
    </xdr:from>
    <xdr:to>
      <xdr:col>13</xdr:col>
      <xdr:colOff>609600</xdr:colOff>
      <xdr:row>0</xdr:row>
      <xdr:rowOff>0</xdr:rowOff>
    </xdr:to>
    <xdr:sp macro="" textlink="">
      <xdr:nvSpPr>
        <xdr:cNvPr id="4395148" name="Line 18">
          <a:extLst>
            <a:ext uri="{FF2B5EF4-FFF2-40B4-BE49-F238E27FC236}">
              <a16:creationId xmlns="" xmlns:a16="http://schemas.microsoft.com/office/drawing/2014/main" id="{00000000-0008-0000-1C00-00008C104300}"/>
            </a:ext>
          </a:extLst>
        </xdr:cNvPr>
        <xdr:cNvSpPr>
          <a:spLocks noChangeShapeType="1"/>
        </xdr:cNvSpPr>
      </xdr:nvSpPr>
      <xdr:spPr bwMode="auto">
        <a:xfrm>
          <a:off x="12611100" y="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14</xdr:col>
      <xdr:colOff>28575</xdr:colOff>
      <xdr:row>0</xdr:row>
      <xdr:rowOff>0</xdr:rowOff>
    </xdr:to>
    <xdr:sp macro="" textlink="">
      <xdr:nvSpPr>
        <xdr:cNvPr id="4395149" name="Line 19">
          <a:extLst>
            <a:ext uri="{FF2B5EF4-FFF2-40B4-BE49-F238E27FC236}">
              <a16:creationId xmlns="" xmlns:a16="http://schemas.microsoft.com/office/drawing/2014/main" id="{00000000-0008-0000-1C00-00008D104300}"/>
            </a:ext>
          </a:extLst>
        </xdr:cNvPr>
        <xdr:cNvSpPr>
          <a:spLocks noChangeShapeType="1"/>
        </xdr:cNvSpPr>
      </xdr:nvSpPr>
      <xdr:spPr bwMode="auto">
        <a:xfrm flipV="1">
          <a:off x="12744450" y="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28575</xdr:colOff>
      <xdr:row>0</xdr:row>
      <xdr:rowOff>0</xdr:rowOff>
    </xdr:from>
    <xdr:to>
      <xdr:col>14</xdr:col>
      <xdr:colOff>152400</xdr:colOff>
      <xdr:row>0</xdr:row>
      <xdr:rowOff>0</xdr:rowOff>
    </xdr:to>
    <xdr:sp macro="" textlink="">
      <xdr:nvSpPr>
        <xdr:cNvPr id="4395150" name="Line 20">
          <a:extLst>
            <a:ext uri="{FF2B5EF4-FFF2-40B4-BE49-F238E27FC236}">
              <a16:creationId xmlns="" xmlns:a16="http://schemas.microsoft.com/office/drawing/2014/main" id="{00000000-0008-0000-1C00-00008E104300}"/>
            </a:ext>
          </a:extLst>
        </xdr:cNvPr>
        <xdr:cNvSpPr>
          <a:spLocks noChangeShapeType="1"/>
        </xdr:cNvSpPr>
      </xdr:nvSpPr>
      <xdr:spPr bwMode="auto">
        <a:xfrm>
          <a:off x="133540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152400</xdr:colOff>
      <xdr:row>0</xdr:row>
      <xdr:rowOff>0</xdr:rowOff>
    </xdr:from>
    <xdr:to>
      <xdr:col>14</xdr:col>
      <xdr:colOff>266700</xdr:colOff>
      <xdr:row>0</xdr:row>
      <xdr:rowOff>0</xdr:rowOff>
    </xdr:to>
    <xdr:sp macro="" textlink="">
      <xdr:nvSpPr>
        <xdr:cNvPr id="4395151" name="Line 21">
          <a:extLst>
            <a:ext uri="{FF2B5EF4-FFF2-40B4-BE49-F238E27FC236}">
              <a16:creationId xmlns="" xmlns:a16="http://schemas.microsoft.com/office/drawing/2014/main" id="{00000000-0008-0000-1C00-00008F104300}"/>
            </a:ext>
          </a:extLst>
        </xdr:cNvPr>
        <xdr:cNvSpPr>
          <a:spLocks noChangeShapeType="1"/>
        </xdr:cNvSpPr>
      </xdr:nvSpPr>
      <xdr:spPr bwMode="auto">
        <a:xfrm flipV="1">
          <a:off x="134778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266700</xdr:colOff>
      <xdr:row>0</xdr:row>
      <xdr:rowOff>0</xdr:rowOff>
    </xdr:from>
    <xdr:to>
      <xdr:col>14</xdr:col>
      <xdr:colOff>381000</xdr:colOff>
      <xdr:row>0</xdr:row>
      <xdr:rowOff>0</xdr:rowOff>
    </xdr:to>
    <xdr:sp macro="" textlink="">
      <xdr:nvSpPr>
        <xdr:cNvPr id="4395152" name="Line 22">
          <a:extLst>
            <a:ext uri="{FF2B5EF4-FFF2-40B4-BE49-F238E27FC236}">
              <a16:creationId xmlns="" xmlns:a16="http://schemas.microsoft.com/office/drawing/2014/main" id="{00000000-0008-0000-1C00-000090104300}"/>
            </a:ext>
          </a:extLst>
        </xdr:cNvPr>
        <xdr:cNvSpPr>
          <a:spLocks noChangeShapeType="1"/>
        </xdr:cNvSpPr>
      </xdr:nvSpPr>
      <xdr:spPr bwMode="auto">
        <a:xfrm>
          <a:off x="135921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381000</xdr:colOff>
      <xdr:row>0</xdr:row>
      <xdr:rowOff>0</xdr:rowOff>
    </xdr:from>
    <xdr:to>
      <xdr:col>14</xdr:col>
      <xdr:colOff>495300</xdr:colOff>
      <xdr:row>0</xdr:row>
      <xdr:rowOff>0</xdr:rowOff>
    </xdr:to>
    <xdr:sp macro="" textlink="">
      <xdr:nvSpPr>
        <xdr:cNvPr id="4395153" name="Line 23">
          <a:extLst>
            <a:ext uri="{FF2B5EF4-FFF2-40B4-BE49-F238E27FC236}">
              <a16:creationId xmlns="" xmlns:a16="http://schemas.microsoft.com/office/drawing/2014/main" id="{00000000-0008-0000-1C00-000091104300}"/>
            </a:ext>
          </a:extLst>
        </xdr:cNvPr>
        <xdr:cNvSpPr>
          <a:spLocks noChangeShapeType="1"/>
        </xdr:cNvSpPr>
      </xdr:nvSpPr>
      <xdr:spPr bwMode="auto">
        <a:xfrm flipV="1">
          <a:off x="137064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495300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95154" name="Line 24">
          <a:extLst>
            <a:ext uri="{FF2B5EF4-FFF2-40B4-BE49-F238E27FC236}">
              <a16:creationId xmlns="" xmlns:a16="http://schemas.microsoft.com/office/drawing/2014/main" id="{00000000-0008-0000-1C00-000092104300}"/>
            </a:ext>
          </a:extLst>
        </xdr:cNvPr>
        <xdr:cNvSpPr>
          <a:spLocks noChangeShapeType="1"/>
        </xdr:cNvSpPr>
      </xdr:nvSpPr>
      <xdr:spPr bwMode="auto">
        <a:xfrm>
          <a:off x="138207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95155" name="Line 25">
          <a:extLst>
            <a:ext uri="{FF2B5EF4-FFF2-40B4-BE49-F238E27FC236}">
              <a16:creationId xmlns="" xmlns:a16="http://schemas.microsoft.com/office/drawing/2014/main" id="{00000000-0008-0000-1C00-0000931043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66675</xdr:colOff>
      <xdr:row>0</xdr:row>
      <xdr:rowOff>0</xdr:rowOff>
    </xdr:to>
    <xdr:sp macro="" textlink="">
      <xdr:nvSpPr>
        <xdr:cNvPr id="4395156" name="Line 26">
          <a:extLst>
            <a:ext uri="{FF2B5EF4-FFF2-40B4-BE49-F238E27FC236}">
              <a16:creationId xmlns="" xmlns:a16="http://schemas.microsoft.com/office/drawing/2014/main" id="{00000000-0008-0000-1C00-000094104300}"/>
            </a:ext>
          </a:extLst>
        </xdr:cNvPr>
        <xdr:cNvSpPr>
          <a:spLocks noChangeShapeType="1"/>
        </xdr:cNvSpPr>
      </xdr:nvSpPr>
      <xdr:spPr bwMode="auto">
        <a:xfrm flipV="1">
          <a:off x="11953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95157" name="Line 27">
          <a:extLst>
            <a:ext uri="{FF2B5EF4-FFF2-40B4-BE49-F238E27FC236}">
              <a16:creationId xmlns="" xmlns:a16="http://schemas.microsoft.com/office/drawing/2014/main" id="{00000000-0008-0000-1C00-0000951043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95158" name="Line 28">
          <a:extLst>
            <a:ext uri="{FF2B5EF4-FFF2-40B4-BE49-F238E27FC236}">
              <a16:creationId xmlns="" xmlns:a16="http://schemas.microsoft.com/office/drawing/2014/main" id="{00000000-0008-0000-1C00-000096104300}"/>
            </a:ext>
          </a:extLst>
        </xdr:cNvPr>
        <xdr:cNvSpPr>
          <a:spLocks noChangeShapeType="1"/>
        </xdr:cNvSpPr>
      </xdr:nvSpPr>
      <xdr:spPr bwMode="auto">
        <a:xfrm>
          <a:off x="12011025" y="0"/>
          <a:ext cx="1933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352425</xdr:colOff>
      <xdr:row>0</xdr:row>
      <xdr:rowOff>0</xdr:rowOff>
    </xdr:from>
    <xdr:to>
      <xdr:col>2</xdr:col>
      <xdr:colOff>352425</xdr:colOff>
      <xdr:row>0</xdr:row>
      <xdr:rowOff>0</xdr:rowOff>
    </xdr:to>
    <xdr:sp macro="" textlink="">
      <xdr:nvSpPr>
        <xdr:cNvPr id="4395159" name="Line 29">
          <a:extLst>
            <a:ext uri="{FF2B5EF4-FFF2-40B4-BE49-F238E27FC236}">
              <a16:creationId xmlns="" xmlns:a16="http://schemas.microsoft.com/office/drawing/2014/main" id="{00000000-0008-0000-1C00-000097104300}"/>
            </a:ext>
          </a:extLst>
        </xdr:cNvPr>
        <xdr:cNvSpPr>
          <a:spLocks noChangeShapeType="1"/>
        </xdr:cNvSpPr>
      </xdr:nvSpPr>
      <xdr:spPr bwMode="auto">
        <a:xfrm>
          <a:off x="2981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152400</xdr:colOff>
      <xdr:row>0</xdr:row>
      <xdr:rowOff>0</xdr:rowOff>
    </xdr:to>
    <xdr:sp macro="" textlink="">
      <xdr:nvSpPr>
        <xdr:cNvPr id="4395160" name="Line 30">
          <a:extLst>
            <a:ext uri="{FF2B5EF4-FFF2-40B4-BE49-F238E27FC236}">
              <a16:creationId xmlns="" xmlns:a16="http://schemas.microsoft.com/office/drawing/2014/main" id="{00000000-0008-0000-1C00-0000981043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723900</xdr:colOff>
      <xdr:row>0</xdr:row>
      <xdr:rowOff>0</xdr:rowOff>
    </xdr:from>
    <xdr:to>
      <xdr:col>4</xdr:col>
      <xdr:colOff>723900</xdr:colOff>
      <xdr:row>0</xdr:row>
      <xdr:rowOff>0</xdr:rowOff>
    </xdr:to>
    <xdr:sp macro="" textlink="">
      <xdr:nvSpPr>
        <xdr:cNvPr id="4395161" name="Line 31">
          <a:extLst>
            <a:ext uri="{FF2B5EF4-FFF2-40B4-BE49-F238E27FC236}">
              <a16:creationId xmlns="" xmlns:a16="http://schemas.microsoft.com/office/drawing/2014/main" id="{00000000-0008-0000-1C00-000099104300}"/>
            </a:ext>
          </a:extLst>
        </xdr:cNvPr>
        <xdr:cNvSpPr>
          <a:spLocks noChangeShapeType="1"/>
        </xdr:cNvSpPr>
      </xdr:nvSpPr>
      <xdr:spPr bwMode="auto">
        <a:xfrm>
          <a:off x="63722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285750</xdr:colOff>
      <xdr:row>0</xdr:row>
      <xdr:rowOff>0</xdr:rowOff>
    </xdr:from>
    <xdr:to>
      <xdr:col>2</xdr:col>
      <xdr:colOff>285750</xdr:colOff>
      <xdr:row>0</xdr:row>
      <xdr:rowOff>0</xdr:rowOff>
    </xdr:to>
    <xdr:sp macro="" textlink="">
      <xdr:nvSpPr>
        <xdr:cNvPr id="4395162" name="Line 32">
          <a:extLst>
            <a:ext uri="{FF2B5EF4-FFF2-40B4-BE49-F238E27FC236}">
              <a16:creationId xmlns="" xmlns:a16="http://schemas.microsoft.com/office/drawing/2014/main" id="{00000000-0008-0000-1C00-00009A104300}"/>
            </a:ext>
          </a:extLst>
        </xdr:cNvPr>
        <xdr:cNvSpPr>
          <a:spLocks noChangeShapeType="1"/>
        </xdr:cNvSpPr>
      </xdr:nvSpPr>
      <xdr:spPr bwMode="auto">
        <a:xfrm>
          <a:off x="29146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590550</xdr:colOff>
      <xdr:row>0</xdr:row>
      <xdr:rowOff>0</xdr:rowOff>
    </xdr:from>
    <xdr:to>
      <xdr:col>4</xdr:col>
      <xdr:colOff>590550</xdr:colOff>
      <xdr:row>0</xdr:row>
      <xdr:rowOff>0</xdr:rowOff>
    </xdr:to>
    <xdr:sp macro="" textlink="">
      <xdr:nvSpPr>
        <xdr:cNvPr id="4395163" name="Line 33">
          <a:extLst>
            <a:ext uri="{FF2B5EF4-FFF2-40B4-BE49-F238E27FC236}">
              <a16:creationId xmlns="" xmlns:a16="http://schemas.microsoft.com/office/drawing/2014/main" id="{00000000-0008-0000-1C00-00009B104300}"/>
            </a:ext>
          </a:extLst>
        </xdr:cNvPr>
        <xdr:cNvSpPr>
          <a:spLocks noChangeShapeType="1"/>
        </xdr:cNvSpPr>
      </xdr:nvSpPr>
      <xdr:spPr bwMode="auto">
        <a:xfrm flipH="1">
          <a:off x="6238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95164" name="Line 34">
          <a:extLst>
            <a:ext uri="{FF2B5EF4-FFF2-40B4-BE49-F238E27FC236}">
              <a16:creationId xmlns="" xmlns:a16="http://schemas.microsoft.com/office/drawing/2014/main" id="{00000000-0008-0000-1C00-00009C1043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95250</xdr:colOff>
      <xdr:row>0</xdr:row>
      <xdr:rowOff>0</xdr:rowOff>
    </xdr:to>
    <xdr:grpSp>
      <xdr:nvGrpSpPr>
        <xdr:cNvPr id="4395165" name="Group 35">
          <a:extLst>
            <a:ext uri="{FF2B5EF4-FFF2-40B4-BE49-F238E27FC236}">
              <a16:creationId xmlns="" xmlns:a16="http://schemas.microsoft.com/office/drawing/2014/main" id="{00000000-0008-0000-1C00-00009D104300}"/>
            </a:ext>
          </a:extLst>
        </xdr:cNvPr>
        <xdr:cNvGrpSpPr>
          <a:grpSpLocks/>
        </xdr:cNvGrpSpPr>
      </xdr:nvGrpSpPr>
      <xdr:grpSpPr bwMode="auto">
        <a:xfrm>
          <a:off x="9853613" y="0"/>
          <a:ext cx="5600700" cy="0"/>
          <a:chOff x="630" y="359"/>
          <a:chExt cx="361" cy="60"/>
        </a:xfrm>
      </xdr:grpSpPr>
      <xdr:sp macro="" textlink="">
        <xdr:nvSpPr>
          <xdr:cNvPr id="4395333" name="Line 36">
            <a:extLst>
              <a:ext uri="{FF2B5EF4-FFF2-40B4-BE49-F238E27FC236}">
                <a16:creationId xmlns="" xmlns:a16="http://schemas.microsoft.com/office/drawing/2014/main" id="{00000000-0008-0000-1C00-00004511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0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5334" name="Line 37">
            <a:extLst>
              <a:ext uri="{FF2B5EF4-FFF2-40B4-BE49-F238E27FC236}">
                <a16:creationId xmlns="" xmlns:a16="http://schemas.microsoft.com/office/drawing/2014/main" id="{00000000-0008-0000-1C00-00004611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91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5335" name="Line 38">
            <a:extLst>
              <a:ext uri="{FF2B5EF4-FFF2-40B4-BE49-F238E27FC236}">
                <a16:creationId xmlns="" xmlns:a16="http://schemas.microsoft.com/office/drawing/2014/main" id="{00000000-0008-0000-1C00-000047114300}"/>
              </a:ext>
            </a:extLst>
          </xdr:cNvPr>
          <xdr:cNvSpPr>
            <a:spLocks noChangeShapeType="1"/>
          </xdr:cNvSpPr>
        </xdr:nvSpPr>
        <xdr:spPr bwMode="auto">
          <a:xfrm>
            <a:off x="630" y="381"/>
            <a:ext cx="3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7</xdr:col>
      <xdr:colOff>590550</xdr:colOff>
      <xdr:row>0</xdr:row>
      <xdr:rowOff>0</xdr:rowOff>
    </xdr:to>
    <xdr:sp macro="" textlink="">
      <xdr:nvSpPr>
        <xdr:cNvPr id="4395166" name="Line 39">
          <a:extLst>
            <a:ext uri="{FF2B5EF4-FFF2-40B4-BE49-F238E27FC236}">
              <a16:creationId xmlns="" xmlns:a16="http://schemas.microsoft.com/office/drawing/2014/main" id="{00000000-0008-0000-1C00-00009E1043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10</xdr:col>
      <xdr:colOff>47625</xdr:colOff>
      <xdr:row>0</xdr:row>
      <xdr:rowOff>0</xdr:rowOff>
    </xdr:to>
    <xdr:sp macro="" textlink="">
      <xdr:nvSpPr>
        <xdr:cNvPr id="4395167" name="Line 40">
          <a:extLst>
            <a:ext uri="{FF2B5EF4-FFF2-40B4-BE49-F238E27FC236}">
              <a16:creationId xmlns="" xmlns:a16="http://schemas.microsoft.com/office/drawing/2014/main" id="{00000000-0008-0000-1C00-00009F104300}"/>
            </a:ext>
          </a:extLst>
        </xdr:cNvPr>
        <xdr:cNvSpPr>
          <a:spLocks noChangeShapeType="1"/>
        </xdr:cNvSpPr>
      </xdr:nvSpPr>
      <xdr:spPr bwMode="auto">
        <a:xfrm flipV="1">
          <a:off x="9382125" y="0"/>
          <a:ext cx="1581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10</xdr:col>
      <xdr:colOff>914400</xdr:colOff>
      <xdr:row>0</xdr:row>
      <xdr:rowOff>0</xdr:rowOff>
    </xdr:to>
    <xdr:sp macro="" textlink="">
      <xdr:nvSpPr>
        <xdr:cNvPr id="4395168" name="Line 41">
          <a:extLst>
            <a:ext uri="{FF2B5EF4-FFF2-40B4-BE49-F238E27FC236}">
              <a16:creationId xmlns="" xmlns:a16="http://schemas.microsoft.com/office/drawing/2014/main" id="{00000000-0008-0000-1C00-0000A01043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1733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28575</xdr:colOff>
      <xdr:row>0</xdr:row>
      <xdr:rowOff>0</xdr:rowOff>
    </xdr:to>
    <xdr:sp macro="" textlink="">
      <xdr:nvSpPr>
        <xdr:cNvPr id="4395169" name="Line 42">
          <a:extLst>
            <a:ext uri="{FF2B5EF4-FFF2-40B4-BE49-F238E27FC236}">
              <a16:creationId xmlns="" xmlns:a16="http://schemas.microsoft.com/office/drawing/2014/main" id="{00000000-0008-0000-1C00-0000A11043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2076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552450</xdr:colOff>
      <xdr:row>0</xdr:row>
      <xdr:rowOff>0</xdr:rowOff>
    </xdr:from>
    <xdr:to>
      <xdr:col>13</xdr:col>
      <xdr:colOff>400050</xdr:colOff>
      <xdr:row>0</xdr:row>
      <xdr:rowOff>0</xdr:rowOff>
    </xdr:to>
    <xdr:sp macro="" textlink="">
      <xdr:nvSpPr>
        <xdr:cNvPr id="4395170" name="Line 43">
          <a:extLst>
            <a:ext uri="{FF2B5EF4-FFF2-40B4-BE49-F238E27FC236}">
              <a16:creationId xmlns="" xmlns:a16="http://schemas.microsoft.com/office/drawing/2014/main" id="{00000000-0008-0000-1C00-0000A2104300}"/>
            </a:ext>
          </a:extLst>
        </xdr:cNvPr>
        <xdr:cNvSpPr>
          <a:spLocks noChangeShapeType="1"/>
        </xdr:cNvSpPr>
      </xdr:nvSpPr>
      <xdr:spPr bwMode="auto">
        <a:xfrm flipH="1">
          <a:off x="980122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10</xdr:col>
      <xdr:colOff>57150</xdr:colOff>
      <xdr:row>0</xdr:row>
      <xdr:rowOff>0</xdr:rowOff>
    </xdr:to>
    <xdr:grpSp>
      <xdr:nvGrpSpPr>
        <xdr:cNvPr id="4395171" name="Group 44">
          <a:extLst>
            <a:ext uri="{FF2B5EF4-FFF2-40B4-BE49-F238E27FC236}">
              <a16:creationId xmlns="" xmlns:a16="http://schemas.microsoft.com/office/drawing/2014/main" id="{00000000-0008-0000-1C00-0000A3104300}"/>
            </a:ext>
          </a:extLst>
        </xdr:cNvPr>
        <xdr:cNvGrpSpPr>
          <a:grpSpLocks/>
        </xdr:cNvGrpSpPr>
      </xdr:nvGrpSpPr>
      <xdr:grpSpPr bwMode="auto">
        <a:xfrm>
          <a:off x="9882188" y="0"/>
          <a:ext cx="1104900" cy="0"/>
          <a:chOff x="554" y="439"/>
          <a:chExt cx="10" cy="76"/>
        </a:xfrm>
      </xdr:grpSpPr>
      <xdr:sp macro="" textlink="">
        <xdr:nvSpPr>
          <xdr:cNvPr id="4395331" name="Line 45">
            <a:extLst>
              <a:ext uri="{FF2B5EF4-FFF2-40B4-BE49-F238E27FC236}">
                <a16:creationId xmlns="" xmlns:a16="http://schemas.microsoft.com/office/drawing/2014/main" id="{00000000-0008-0000-1C00-000043114300}"/>
              </a:ext>
            </a:extLst>
          </xdr:cNvPr>
          <xdr:cNvSpPr>
            <a:spLocks noChangeShapeType="1"/>
          </xdr:cNvSpPr>
        </xdr:nvSpPr>
        <xdr:spPr bwMode="auto">
          <a:xfrm>
            <a:off x="558" y="439"/>
            <a:ext cx="0" cy="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5332" name="Line 46">
            <a:extLst>
              <a:ext uri="{FF2B5EF4-FFF2-40B4-BE49-F238E27FC236}">
                <a16:creationId xmlns="" xmlns:a16="http://schemas.microsoft.com/office/drawing/2014/main" id="{00000000-0008-0000-1C00-000044114300}"/>
              </a:ext>
            </a:extLst>
          </xdr:cNvPr>
          <xdr:cNvSpPr>
            <a:spLocks noChangeShapeType="1"/>
          </xdr:cNvSpPr>
        </xdr:nvSpPr>
        <xdr:spPr bwMode="auto">
          <a:xfrm>
            <a:off x="554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10</xdr:col>
      <xdr:colOff>628650</xdr:colOff>
      <xdr:row>0</xdr:row>
      <xdr:rowOff>0</xdr:rowOff>
    </xdr:from>
    <xdr:to>
      <xdr:col>11</xdr:col>
      <xdr:colOff>38100</xdr:colOff>
      <xdr:row>0</xdr:row>
      <xdr:rowOff>0</xdr:rowOff>
    </xdr:to>
    <xdr:grpSp>
      <xdr:nvGrpSpPr>
        <xdr:cNvPr id="4395172" name="Group 47">
          <a:extLst>
            <a:ext uri="{FF2B5EF4-FFF2-40B4-BE49-F238E27FC236}">
              <a16:creationId xmlns="" xmlns:a16="http://schemas.microsoft.com/office/drawing/2014/main" id="{00000000-0008-0000-1C00-0000A4104300}"/>
            </a:ext>
          </a:extLst>
        </xdr:cNvPr>
        <xdr:cNvGrpSpPr>
          <a:grpSpLocks/>
        </xdr:cNvGrpSpPr>
      </xdr:nvGrpSpPr>
      <xdr:grpSpPr bwMode="auto">
        <a:xfrm>
          <a:off x="11558588" y="0"/>
          <a:ext cx="76200" cy="0"/>
          <a:chOff x="680" y="439"/>
          <a:chExt cx="10" cy="98"/>
        </a:xfrm>
      </xdr:grpSpPr>
      <xdr:sp macro="" textlink="">
        <xdr:nvSpPr>
          <xdr:cNvPr id="4395329" name="Line 48">
            <a:extLst>
              <a:ext uri="{FF2B5EF4-FFF2-40B4-BE49-F238E27FC236}">
                <a16:creationId xmlns="" xmlns:a16="http://schemas.microsoft.com/office/drawing/2014/main" id="{00000000-0008-0000-1C00-000041114300}"/>
              </a:ext>
            </a:extLst>
          </xdr:cNvPr>
          <xdr:cNvSpPr>
            <a:spLocks noChangeShapeType="1"/>
          </xdr:cNvSpPr>
        </xdr:nvSpPr>
        <xdr:spPr bwMode="auto">
          <a:xfrm>
            <a:off x="685" y="439"/>
            <a:ext cx="0" cy="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5330" name="Line 49">
            <a:extLst>
              <a:ext uri="{FF2B5EF4-FFF2-40B4-BE49-F238E27FC236}">
                <a16:creationId xmlns="" xmlns:a16="http://schemas.microsoft.com/office/drawing/2014/main" id="{00000000-0008-0000-1C00-000042114300}"/>
              </a:ext>
            </a:extLst>
          </xdr:cNvPr>
          <xdr:cNvSpPr>
            <a:spLocks noChangeShapeType="1"/>
          </xdr:cNvSpPr>
        </xdr:nvSpPr>
        <xdr:spPr bwMode="auto">
          <a:xfrm>
            <a:off x="680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4395173" name="Group 50">
          <a:extLst>
            <a:ext uri="{FF2B5EF4-FFF2-40B4-BE49-F238E27FC236}">
              <a16:creationId xmlns="" xmlns:a16="http://schemas.microsoft.com/office/drawing/2014/main" id="{00000000-0008-0000-1C00-0000A5104300}"/>
            </a:ext>
          </a:extLst>
        </xdr:cNvPr>
        <xdr:cNvGrpSpPr>
          <a:grpSpLocks/>
        </xdr:cNvGrpSpPr>
      </xdr:nvGrpSpPr>
      <xdr:grpSpPr bwMode="auto">
        <a:xfrm>
          <a:off x="11906250" y="0"/>
          <a:ext cx="142875" cy="0"/>
          <a:chOff x="759" y="438"/>
          <a:chExt cx="10" cy="121"/>
        </a:xfrm>
      </xdr:grpSpPr>
      <xdr:sp macro="" textlink="">
        <xdr:nvSpPr>
          <xdr:cNvPr id="4395327" name="Line 51">
            <a:extLst>
              <a:ext uri="{FF2B5EF4-FFF2-40B4-BE49-F238E27FC236}">
                <a16:creationId xmlns="" xmlns:a16="http://schemas.microsoft.com/office/drawing/2014/main" id="{00000000-0008-0000-1C00-00003F1143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5328" name="Line 52">
            <a:extLst>
              <a:ext uri="{FF2B5EF4-FFF2-40B4-BE49-F238E27FC236}">
                <a16:creationId xmlns="" xmlns:a16="http://schemas.microsoft.com/office/drawing/2014/main" id="{00000000-0008-0000-1C00-0000401143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13</xdr:col>
      <xdr:colOff>76200</xdr:colOff>
      <xdr:row>0</xdr:row>
      <xdr:rowOff>0</xdr:rowOff>
    </xdr:from>
    <xdr:to>
      <xdr:col>13</xdr:col>
      <xdr:colOff>676275</xdr:colOff>
      <xdr:row>0</xdr:row>
      <xdr:rowOff>0</xdr:rowOff>
    </xdr:to>
    <xdr:grpSp>
      <xdr:nvGrpSpPr>
        <xdr:cNvPr id="4395174" name="Group 53">
          <a:extLst>
            <a:ext uri="{FF2B5EF4-FFF2-40B4-BE49-F238E27FC236}">
              <a16:creationId xmlns="" xmlns:a16="http://schemas.microsoft.com/office/drawing/2014/main" id="{00000000-0008-0000-1C00-0000A6104300}"/>
            </a:ext>
          </a:extLst>
        </xdr:cNvPr>
        <xdr:cNvGrpSpPr>
          <a:grpSpLocks/>
        </xdr:cNvGrpSpPr>
      </xdr:nvGrpSpPr>
      <xdr:grpSpPr bwMode="auto">
        <a:xfrm>
          <a:off x="12220575" y="0"/>
          <a:ext cx="600075" cy="0"/>
          <a:chOff x="842" y="438"/>
          <a:chExt cx="10" cy="147"/>
        </a:xfrm>
      </xdr:grpSpPr>
      <xdr:sp macro="" textlink="">
        <xdr:nvSpPr>
          <xdr:cNvPr id="4395325" name="Line 54">
            <a:extLst>
              <a:ext uri="{FF2B5EF4-FFF2-40B4-BE49-F238E27FC236}">
                <a16:creationId xmlns="" xmlns:a16="http://schemas.microsoft.com/office/drawing/2014/main" id="{00000000-0008-0000-1C00-00003D1143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5326" name="Line 55">
            <a:extLst>
              <a:ext uri="{FF2B5EF4-FFF2-40B4-BE49-F238E27FC236}">
                <a16:creationId xmlns="" xmlns:a16="http://schemas.microsoft.com/office/drawing/2014/main" id="{00000000-0008-0000-1C00-00003E1143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76200</xdr:colOff>
      <xdr:row>0</xdr:row>
      <xdr:rowOff>0</xdr:rowOff>
    </xdr:to>
    <xdr:sp macro="" textlink="">
      <xdr:nvSpPr>
        <xdr:cNvPr id="4395175" name="Rectangle 56">
          <a:extLst>
            <a:ext uri="{FF2B5EF4-FFF2-40B4-BE49-F238E27FC236}">
              <a16:creationId xmlns="" xmlns:a16="http://schemas.microsoft.com/office/drawing/2014/main" id="{00000000-0008-0000-1C00-0000A7104300}"/>
            </a:ext>
          </a:extLst>
        </xdr:cNvPr>
        <xdr:cNvSpPr>
          <a:spLocks noChangeArrowheads="1"/>
        </xdr:cNvSpPr>
      </xdr:nvSpPr>
      <xdr:spPr bwMode="auto">
        <a:xfrm>
          <a:off x="9839325" y="0"/>
          <a:ext cx="55721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4395176" name="Line 57">
          <a:extLst>
            <a:ext uri="{FF2B5EF4-FFF2-40B4-BE49-F238E27FC236}">
              <a16:creationId xmlns="" xmlns:a16="http://schemas.microsoft.com/office/drawing/2014/main" id="{00000000-0008-0000-1C00-0000A8104300}"/>
            </a:ext>
          </a:extLst>
        </xdr:cNvPr>
        <xdr:cNvSpPr>
          <a:spLocks noChangeShapeType="1"/>
        </xdr:cNvSpPr>
      </xdr:nvSpPr>
      <xdr:spPr bwMode="auto">
        <a:xfrm>
          <a:off x="153352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638175</xdr:colOff>
      <xdr:row>0</xdr:row>
      <xdr:rowOff>0</xdr:rowOff>
    </xdr:from>
    <xdr:to>
      <xdr:col>16</xdr:col>
      <xdr:colOff>47625</xdr:colOff>
      <xdr:row>0</xdr:row>
      <xdr:rowOff>0</xdr:rowOff>
    </xdr:to>
    <xdr:sp macro="" textlink="">
      <xdr:nvSpPr>
        <xdr:cNvPr id="4395177" name="Line 58">
          <a:extLst>
            <a:ext uri="{FF2B5EF4-FFF2-40B4-BE49-F238E27FC236}">
              <a16:creationId xmlns="" xmlns:a16="http://schemas.microsoft.com/office/drawing/2014/main" id="{00000000-0008-0000-1C00-0000A9104300}"/>
            </a:ext>
          </a:extLst>
        </xdr:cNvPr>
        <xdr:cNvSpPr>
          <a:spLocks noChangeShapeType="1"/>
        </xdr:cNvSpPr>
      </xdr:nvSpPr>
      <xdr:spPr bwMode="auto">
        <a:xfrm>
          <a:off x="14887575" y="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15</xdr:col>
      <xdr:colOff>1181100</xdr:colOff>
      <xdr:row>0</xdr:row>
      <xdr:rowOff>0</xdr:rowOff>
    </xdr:to>
    <xdr:sp macro="" textlink="">
      <xdr:nvSpPr>
        <xdr:cNvPr id="4395178" name="Line 59">
          <a:extLst>
            <a:ext uri="{FF2B5EF4-FFF2-40B4-BE49-F238E27FC236}">
              <a16:creationId xmlns="" xmlns:a16="http://schemas.microsoft.com/office/drawing/2014/main" id="{00000000-0008-0000-1C00-0000AA104300}"/>
            </a:ext>
          </a:extLst>
        </xdr:cNvPr>
        <xdr:cNvSpPr>
          <a:spLocks noChangeShapeType="1"/>
        </xdr:cNvSpPr>
      </xdr:nvSpPr>
      <xdr:spPr bwMode="auto">
        <a:xfrm flipV="1">
          <a:off x="9867900" y="0"/>
          <a:ext cx="546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666750</xdr:colOff>
      <xdr:row>0</xdr:row>
      <xdr:rowOff>0</xdr:rowOff>
    </xdr:from>
    <xdr:to>
      <xdr:col>14</xdr:col>
      <xdr:colOff>838200</xdr:colOff>
      <xdr:row>0</xdr:row>
      <xdr:rowOff>0</xdr:rowOff>
    </xdr:to>
    <xdr:grpSp>
      <xdr:nvGrpSpPr>
        <xdr:cNvPr id="4395179" name="Group 60">
          <a:extLst>
            <a:ext uri="{FF2B5EF4-FFF2-40B4-BE49-F238E27FC236}">
              <a16:creationId xmlns="" xmlns:a16="http://schemas.microsoft.com/office/drawing/2014/main" id="{00000000-0008-0000-1C00-0000AB104300}"/>
            </a:ext>
          </a:extLst>
        </xdr:cNvPr>
        <xdr:cNvGrpSpPr>
          <a:grpSpLocks/>
        </xdr:cNvGrpSpPr>
      </xdr:nvGrpSpPr>
      <xdr:grpSpPr bwMode="auto">
        <a:xfrm>
          <a:off x="14001750" y="0"/>
          <a:ext cx="171450" cy="0"/>
          <a:chOff x="912" y="438"/>
          <a:chExt cx="11" cy="175"/>
        </a:xfrm>
      </xdr:grpSpPr>
      <xdr:sp macro="" textlink="">
        <xdr:nvSpPr>
          <xdr:cNvPr id="4395323" name="Line 61">
            <a:extLst>
              <a:ext uri="{FF2B5EF4-FFF2-40B4-BE49-F238E27FC236}">
                <a16:creationId xmlns="" xmlns:a16="http://schemas.microsoft.com/office/drawing/2014/main" id="{00000000-0008-0000-1C00-00003B1143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5324" name="Line 62">
            <a:extLst>
              <a:ext uri="{FF2B5EF4-FFF2-40B4-BE49-F238E27FC236}">
                <a16:creationId xmlns="" xmlns:a16="http://schemas.microsoft.com/office/drawing/2014/main" id="{00000000-0008-0000-1C00-00003C1143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171450</xdr:colOff>
      <xdr:row>0</xdr:row>
      <xdr:rowOff>0</xdr:rowOff>
    </xdr:from>
    <xdr:to>
      <xdr:col>4</xdr:col>
      <xdr:colOff>542925</xdr:colOff>
      <xdr:row>0</xdr:row>
      <xdr:rowOff>0</xdr:rowOff>
    </xdr:to>
    <xdr:sp macro="" textlink="">
      <xdr:nvSpPr>
        <xdr:cNvPr id="4395180" name="Line 63">
          <a:extLst>
            <a:ext uri="{FF2B5EF4-FFF2-40B4-BE49-F238E27FC236}">
              <a16:creationId xmlns="" xmlns:a16="http://schemas.microsoft.com/office/drawing/2014/main" id="{00000000-0008-0000-1C00-0000AC104300}"/>
            </a:ext>
          </a:extLst>
        </xdr:cNvPr>
        <xdr:cNvSpPr>
          <a:spLocks noChangeShapeType="1"/>
        </xdr:cNvSpPr>
      </xdr:nvSpPr>
      <xdr:spPr bwMode="auto">
        <a:xfrm>
          <a:off x="2800350" y="0"/>
          <a:ext cx="3390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190500</xdr:colOff>
      <xdr:row>0</xdr:row>
      <xdr:rowOff>0</xdr:rowOff>
    </xdr:from>
    <xdr:to>
      <xdr:col>4</xdr:col>
      <xdr:colOff>571500</xdr:colOff>
      <xdr:row>0</xdr:row>
      <xdr:rowOff>0</xdr:rowOff>
    </xdr:to>
    <xdr:sp macro="" textlink="">
      <xdr:nvSpPr>
        <xdr:cNvPr id="4395181" name="Line 64">
          <a:extLst>
            <a:ext uri="{FF2B5EF4-FFF2-40B4-BE49-F238E27FC236}">
              <a16:creationId xmlns="" xmlns:a16="http://schemas.microsoft.com/office/drawing/2014/main" id="{00000000-0008-0000-1C00-0000AD104300}"/>
            </a:ext>
          </a:extLst>
        </xdr:cNvPr>
        <xdr:cNvSpPr>
          <a:spLocks noChangeShapeType="1"/>
        </xdr:cNvSpPr>
      </xdr:nvSpPr>
      <xdr:spPr bwMode="auto">
        <a:xfrm>
          <a:off x="2819400" y="0"/>
          <a:ext cx="3400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95182" name="Line 65">
          <a:extLst>
            <a:ext uri="{FF2B5EF4-FFF2-40B4-BE49-F238E27FC236}">
              <a16:creationId xmlns="" xmlns:a16="http://schemas.microsoft.com/office/drawing/2014/main" id="{00000000-0008-0000-1C00-0000AE1043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876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4</xdr:col>
      <xdr:colOff>676275</xdr:colOff>
      <xdr:row>0</xdr:row>
      <xdr:rowOff>0</xdr:rowOff>
    </xdr:to>
    <xdr:sp macro="" textlink="">
      <xdr:nvSpPr>
        <xdr:cNvPr id="4395183" name="Line 66">
          <a:extLst>
            <a:ext uri="{FF2B5EF4-FFF2-40B4-BE49-F238E27FC236}">
              <a16:creationId xmlns="" xmlns:a16="http://schemas.microsoft.com/office/drawing/2014/main" id="{00000000-0008-0000-1C00-0000AF1043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219075</xdr:colOff>
      <xdr:row>0</xdr:row>
      <xdr:rowOff>0</xdr:rowOff>
    </xdr:from>
    <xdr:to>
      <xdr:col>2</xdr:col>
      <xdr:colOff>219075</xdr:colOff>
      <xdr:row>0</xdr:row>
      <xdr:rowOff>0</xdr:rowOff>
    </xdr:to>
    <xdr:sp macro="" textlink="">
      <xdr:nvSpPr>
        <xdr:cNvPr id="4395184" name="Line 67">
          <a:extLst>
            <a:ext uri="{FF2B5EF4-FFF2-40B4-BE49-F238E27FC236}">
              <a16:creationId xmlns="" xmlns:a16="http://schemas.microsoft.com/office/drawing/2014/main" id="{00000000-0008-0000-1C00-0000B0104300}"/>
            </a:ext>
          </a:extLst>
        </xdr:cNvPr>
        <xdr:cNvSpPr>
          <a:spLocks noChangeShapeType="1"/>
        </xdr:cNvSpPr>
      </xdr:nvSpPr>
      <xdr:spPr bwMode="auto">
        <a:xfrm>
          <a:off x="28479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266700</xdr:colOff>
      <xdr:row>0</xdr:row>
      <xdr:rowOff>0</xdr:rowOff>
    </xdr:from>
    <xdr:to>
      <xdr:col>2</xdr:col>
      <xdr:colOff>266700</xdr:colOff>
      <xdr:row>0</xdr:row>
      <xdr:rowOff>0</xdr:rowOff>
    </xdr:to>
    <xdr:sp macro="" textlink="">
      <xdr:nvSpPr>
        <xdr:cNvPr id="4395185" name="Line 68">
          <a:extLst>
            <a:ext uri="{FF2B5EF4-FFF2-40B4-BE49-F238E27FC236}">
              <a16:creationId xmlns="" xmlns:a16="http://schemas.microsoft.com/office/drawing/2014/main" id="{00000000-0008-0000-1C00-0000B1104300}"/>
            </a:ext>
          </a:extLst>
        </xdr:cNvPr>
        <xdr:cNvSpPr>
          <a:spLocks noChangeShapeType="1"/>
        </xdr:cNvSpPr>
      </xdr:nvSpPr>
      <xdr:spPr bwMode="auto">
        <a:xfrm>
          <a:off x="2895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333375</xdr:colOff>
      <xdr:row>0</xdr:row>
      <xdr:rowOff>0</xdr:rowOff>
    </xdr:from>
    <xdr:to>
      <xdr:col>2</xdr:col>
      <xdr:colOff>333375</xdr:colOff>
      <xdr:row>0</xdr:row>
      <xdr:rowOff>0</xdr:rowOff>
    </xdr:to>
    <xdr:sp macro="" textlink="">
      <xdr:nvSpPr>
        <xdr:cNvPr id="4395186" name="Line 69">
          <a:extLst>
            <a:ext uri="{FF2B5EF4-FFF2-40B4-BE49-F238E27FC236}">
              <a16:creationId xmlns="" xmlns:a16="http://schemas.microsoft.com/office/drawing/2014/main" id="{00000000-0008-0000-1C00-0000B2104300}"/>
            </a:ext>
          </a:extLst>
        </xdr:cNvPr>
        <xdr:cNvSpPr>
          <a:spLocks noChangeShapeType="1"/>
        </xdr:cNvSpPr>
      </xdr:nvSpPr>
      <xdr:spPr bwMode="auto">
        <a:xfrm>
          <a:off x="29622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0</xdr:row>
      <xdr:rowOff>0</xdr:rowOff>
    </xdr:from>
    <xdr:to>
      <xdr:col>2</xdr:col>
      <xdr:colOff>390525</xdr:colOff>
      <xdr:row>0</xdr:row>
      <xdr:rowOff>0</xdr:rowOff>
    </xdr:to>
    <xdr:sp macro="" textlink="">
      <xdr:nvSpPr>
        <xdr:cNvPr id="4395187" name="Line 70">
          <a:extLst>
            <a:ext uri="{FF2B5EF4-FFF2-40B4-BE49-F238E27FC236}">
              <a16:creationId xmlns="" xmlns:a16="http://schemas.microsoft.com/office/drawing/2014/main" id="{00000000-0008-0000-1C00-0000B3104300}"/>
            </a:ext>
          </a:extLst>
        </xdr:cNvPr>
        <xdr:cNvSpPr>
          <a:spLocks noChangeShapeType="1"/>
        </xdr:cNvSpPr>
      </xdr:nvSpPr>
      <xdr:spPr bwMode="auto">
        <a:xfrm>
          <a:off x="3019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447675</xdr:colOff>
      <xdr:row>0</xdr:row>
      <xdr:rowOff>0</xdr:rowOff>
    </xdr:to>
    <xdr:sp macro="" textlink="">
      <xdr:nvSpPr>
        <xdr:cNvPr id="4395188" name="Line 71">
          <a:extLst>
            <a:ext uri="{FF2B5EF4-FFF2-40B4-BE49-F238E27FC236}">
              <a16:creationId xmlns="" xmlns:a16="http://schemas.microsoft.com/office/drawing/2014/main" id="{00000000-0008-0000-1C00-0000B41043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4395189" name="Line 72">
          <a:extLst>
            <a:ext uri="{FF2B5EF4-FFF2-40B4-BE49-F238E27FC236}">
              <a16:creationId xmlns="" xmlns:a16="http://schemas.microsoft.com/office/drawing/2014/main" id="{00000000-0008-0000-1C00-0000B51043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314325</xdr:colOff>
      <xdr:row>0</xdr:row>
      <xdr:rowOff>0</xdr:rowOff>
    </xdr:to>
    <xdr:sp macro="" textlink="">
      <xdr:nvSpPr>
        <xdr:cNvPr id="4395190" name="Line 73">
          <a:extLst>
            <a:ext uri="{FF2B5EF4-FFF2-40B4-BE49-F238E27FC236}">
              <a16:creationId xmlns="" xmlns:a16="http://schemas.microsoft.com/office/drawing/2014/main" id="{00000000-0008-0000-1C00-0000B61043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657225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95191" name="Line 74">
          <a:extLst>
            <a:ext uri="{FF2B5EF4-FFF2-40B4-BE49-F238E27FC236}">
              <a16:creationId xmlns="" xmlns:a16="http://schemas.microsoft.com/office/drawing/2014/main" id="{00000000-0008-0000-1C00-0000B71043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266700</xdr:colOff>
      <xdr:row>0</xdr:row>
      <xdr:rowOff>0</xdr:rowOff>
    </xdr:from>
    <xdr:to>
      <xdr:col>11</xdr:col>
      <xdr:colOff>352425</xdr:colOff>
      <xdr:row>0</xdr:row>
      <xdr:rowOff>0</xdr:rowOff>
    </xdr:to>
    <xdr:sp macro="" textlink="">
      <xdr:nvSpPr>
        <xdr:cNvPr id="4395192" name="Text Box 75">
          <a:extLst>
            <a:ext uri="{FF2B5EF4-FFF2-40B4-BE49-F238E27FC236}">
              <a16:creationId xmlns="" xmlns:a16="http://schemas.microsoft.com/office/drawing/2014/main" id="{00000000-0008-0000-1C00-0000B8104300}"/>
            </a:ext>
          </a:extLst>
        </xdr:cNvPr>
        <xdr:cNvSpPr txBox="1">
          <a:spLocks noChangeArrowheads="1"/>
        </xdr:cNvSpPr>
      </xdr:nvSpPr>
      <xdr:spPr bwMode="auto">
        <a:xfrm>
          <a:off x="11182350" y="0"/>
          <a:ext cx="7048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209550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4395193" name="Line 76">
          <a:extLst>
            <a:ext uri="{FF2B5EF4-FFF2-40B4-BE49-F238E27FC236}">
              <a16:creationId xmlns="" xmlns:a16="http://schemas.microsoft.com/office/drawing/2014/main" id="{00000000-0008-0000-1C00-0000B9104300}"/>
            </a:ext>
          </a:extLst>
        </xdr:cNvPr>
        <xdr:cNvSpPr>
          <a:spLocks noChangeShapeType="1"/>
        </xdr:cNvSpPr>
      </xdr:nvSpPr>
      <xdr:spPr bwMode="auto">
        <a:xfrm flipV="1">
          <a:off x="7267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819150</xdr:colOff>
      <xdr:row>0</xdr:row>
      <xdr:rowOff>0</xdr:rowOff>
    </xdr:to>
    <xdr:sp macro="" textlink="">
      <xdr:nvSpPr>
        <xdr:cNvPr id="4395194" name="Line 77">
          <a:extLst>
            <a:ext uri="{FF2B5EF4-FFF2-40B4-BE49-F238E27FC236}">
              <a16:creationId xmlns="" xmlns:a16="http://schemas.microsoft.com/office/drawing/2014/main" id="{00000000-0008-0000-1C00-0000BA104300}"/>
            </a:ext>
          </a:extLst>
        </xdr:cNvPr>
        <xdr:cNvSpPr>
          <a:spLocks noChangeShapeType="1"/>
        </xdr:cNvSpPr>
      </xdr:nvSpPr>
      <xdr:spPr bwMode="auto">
        <a:xfrm>
          <a:off x="7553325" y="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114300</xdr:colOff>
      <xdr:row>0</xdr:row>
      <xdr:rowOff>0</xdr:rowOff>
    </xdr:from>
    <xdr:to>
      <xdr:col>5</xdr:col>
      <xdr:colOff>323850</xdr:colOff>
      <xdr:row>0</xdr:row>
      <xdr:rowOff>0</xdr:rowOff>
    </xdr:to>
    <xdr:sp macro="" textlink="">
      <xdr:nvSpPr>
        <xdr:cNvPr id="4395195" name="Line 78">
          <a:extLst>
            <a:ext uri="{FF2B5EF4-FFF2-40B4-BE49-F238E27FC236}">
              <a16:creationId xmlns="" xmlns:a16="http://schemas.microsoft.com/office/drawing/2014/main" id="{00000000-0008-0000-1C00-0000BB104300}"/>
            </a:ext>
          </a:extLst>
        </xdr:cNvPr>
        <xdr:cNvSpPr>
          <a:spLocks noChangeShapeType="1"/>
        </xdr:cNvSpPr>
      </xdr:nvSpPr>
      <xdr:spPr bwMode="auto">
        <a:xfrm>
          <a:off x="7172325" y="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5196" name="Rectangle 79">
          <a:extLst>
            <a:ext uri="{FF2B5EF4-FFF2-40B4-BE49-F238E27FC236}">
              <a16:creationId xmlns="" xmlns:a16="http://schemas.microsoft.com/office/drawing/2014/main" id="{00000000-0008-0000-1C00-0000BC104300}"/>
            </a:ext>
          </a:extLst>
        </xdr:cNvPr>
        <xdr:cNvSpPr>
          <a:spLocks noChangeArrowheads="1"/>
        </xdr:cNvSpPr>
      </xdr:nvSpPr>
      <xdr:spPr bwMode="auto">
        <a:xfrm>
          <a:off x="16573500" y="0"/>
          <a:ext cx="325755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95197" name="Line 80">
          <a:extLst>
            <a:ext uri="{FF2B5EF4-FFF2-40B4-BE49-F238E27FC236}">
              <a16:creationId xmlns="" xmlns:a16="http://schemas.microsoft.com/office/drawing/2014/main" id="{00000000-0008-0000-1C00-0000BD104300}"/>
            </a:ext>
          </a:extLst>
        </xdr:cNvPr>
        <xdr:cNvSpPr>
          <a:spLocks noChangeShapeType="1"/>
        </xdr:cNvSpPr>
      </xdr:nvSpPr>
      <xdr:spPr bwMode="auto">
        <a:xfrm flipV="1">
          <a:off x="16725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5198" name="Line 81">
          <a:extLst>
            <a:ext uri="{FF2B5EF4-FFF2-40B4-BE49-F238E27FC236}">
              <a16:creationId xmlns="" xmlns:a16="http://schemas.microsoft.com/office/drawing/2014/main" id="{00000000-0008-0000-1C00-0000BE1043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95199" name="Line 82">
          <a:extLst>
            <a:ext uri="{FF2B5EF4-FFF2-40B4-BE49-F238E27FC236}">
              <a16:creationId xmlns="" xmlns:a16="http://schemas.microsoft.com/office/drawing/2014/main" id="{00000000-0008-0000-1C00-0000BF104300}"/>
            </a:ext>
          </a:extLst>
        </xdr:cNvPr>
        <xdr:cNvSpPr>
          <a:spLocks noChangeShapeType="1"/>
        </xdr:cNvSpPr>
      </xdr:nvSpPr>
      <xdr:spPr bwMode="auto">
        <a:xfrm flipV="1">
          <a:off x="16725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5200" name="Line 83">
          <a:extLst>
            <a:ext uri="{FF2B5EF4-FFF2-40B4-BE49-F238E27FC236}">
              <a16:creationId xmlns="" xmlns:a16="http://schemas.microsoft.com/office/drawing/2014/main" id="{00000000-0008-0000-1C00-0000C01043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19050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5201" name="Line 84">
          <a:extLst>
            <a:ext uri="{FF2B5EF4-FFF2-40B4-BE49-F238E27FC236}">
              <a16:creationId xmlns="" xmlns:a16="http://schemas.microsoft.com/office/drawing/2014/main" id="{00000000-0008-0000-1C00-0000C1104300}"/>
            </a:ext>
          </a:extLst>
        </xdr:cNvPr>
        <xdr:cNvSpPr>
          <a:spLocks noChangeShapeType="1"/>
        </xdr:cNvSpPr>
      </xdr:nvSpPr>
      <xdr:spPr bwMode="auto">
        <a:xfrm>
          <a:off x="16744950" y="0"/>
          <a:ext cx="3086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609600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5202" name="Line 85">
          <a:extLst>
            <a:ext uri="{FF2B5EF4-FFF2-40B4-BE49-F238E27FC236}">
              <a16:creationId xmlns="" xmlns:a16="http://schemas.microsoft.com/office/drawing/2014/main" id="{00000000-0008-0000-1C00-0000C2104300}"/>
            </a:ext>
          </a:extLst>
        </xdr:cNvPr>
        <xdr:cNvSpPr>
          <a:spLocks noChangeShapeType="1"/>
        </xdr:cNvSpPr>
      </xdr:nvSpPr>
      <xdr:spPr bwMode="auto">
        <a:xfrm>
          <a:off x="16592550" y="0"/>
          <a:ext cx="3238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628650</xdr:colOff>
      <xdr:row>0</xdr:row>
      <xdr:rowOff>0</xdr:rowOff>
    </xdr:from>
    <xdr:to>
      <xdr:col>17</xdr:col>
      <xdr:colOff>628650</xdr:colOff>
      <xdr:row>0</xdr:row>
      <xdr:rowOff>0</xdr:rowOff>
    </xdr:to>
    <xdr:sp macro="" textlink="">
      <xdr:nvSpPr>
        <xdr:cNvPr id="4395203" name="Line 86">
          <a:extLst>
            <a:ext uri="{FF2B5EF4-FFF2-40B4-BE49-F238E27FC236}">
              <a16:creationId xmlns="" xmlns:a16="http://schemas.microsoft.com/office/drawing/2014/main" id="{00000000-0008-0000-1C00-0000C3104300}"/>
            </a:ext>
          </a:extLst>
        </xdr:cNvPr>
        <xdr:cNvSpPr>
          <a:spLocks noChangeShapeType="1"/>
        </xdr:cNvSpPr>
      </xdr:nvSpPr>
      <xdr:spPr bwMode="auto">
        <a:xfrm flipV="1">
          <a:off x="16611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5204" name="Line 87">
          <a:extLst>
            <a:ext uri="{FF2B5EF4-FFF2-40B4-BE49-F238E27FC236}">
              <a16:creationId xmlns="" xmlns:a16="http://schemas.microsoft.com/office/drawing/2014/main" id="{00000000-0008-0000-1C00-0000C41043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38100</xdr:colOff>
      <xdr:row>0</xdr:row>
      <xdr:rowOff>0</xdr:rowOff>
    </xdr:to>
    <xdr:sp macro="" textlink="">
      <xdr:nvSpPr>
        <xdr:cNvPr id="4395205" name="Rectangle 88">
          <a:extLst>
            <a:ext uri="{FF2B5EF4-FFF2-40B4-BE49-F238E27FC236}">
              <a16:creationId xmlns="" xmlns:a16="http://schemas.microsoft.com/office/drawing/2014/main" id="{00000000-0008-0000-1C00-0000C5104300}"/>
            </a:ext>
          </a:extLst>
        </xdr:cNvPr>
        <xdr:cNvSpPr>
          <a:spLocks noChangeArrowheads="1"/>
        </xdr:cNvSpPr>
      </xdr:nvSpPr>
      <xdr:spPr bwMode="auto">
        <a:xfrm>
          <a:off x="19831050" y="0"/>
          <a:ext cx="38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5206" name="Line 89">
          <a:extLst>
            <a:ext uri="{FF2B5EF4-FFF2-40B4-BE49-F238E27FC236}">
              <a16:creationId xmlns="" xmlns:a16="http://schemas.microsoft.com/office/drawing/2014/main" id="{00000000-0008-0000-1C00-0000C61043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5207" name="Line 90">
          <a:extLst>
            <a:ext uri="{FF2B5EF4-FFF2-40B4-BE49-F238E27FC236}">
              <a16:creationId xmlns="" xmlns:a16="http://schemas.microsoft.com/office/drawing/2014/main" id="{00000000-0008-0000-1C00-0000C7104300}"/>
            </a:ext>
          </a:extLst>
        </xdr:cNvPr>
        <xdr:cNvSpPr>
          <a:spLocks noChangeShapeType="1"/>
        </xdr:cNvSpPr>
      </xdr:nvSpPr>
      <xdr:spPr bwMode="auto">
        <a:xfrm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22</xdr:col>
      <xdr:colOff>19050</xdr:colOff>
      <xdr:row>0</xdr:row>
      <xdr:rowOff>0</xdr:rowOff>
    </xdr:from>
    <xdr:to>
      <xdr:col>22</xdr:col>
      <xdr:colOff>19050</xdr:colOff>
      <xdr:row>0</xdr:row>
      <xdr:rowOff>0</xdr:rowOff>
    </xdr:to>
    <xdr:sp macro="" textlink="">
      <xdr:nvSpPr>
        <xdr:cNvPr id="4395208" name="Line 91">
          <a:extLst>
            <a:ext uri="{FF2B5EF4-FFF2-40B4-BE49-F238E27FC236}">
              <a16:creationId xmlns="" xmlns:a16="http://schemas.microsoft.com/office/drawing/2014/main" id="{00000000-0008-0000-1C00-0000C8104300}"/>
            </a:ext>
          </a:extLst>
        </xdr:cNvPr>
        <xdr:cNvSpPr>
          <a:spLocks noChangeShapeType="1"/>
        </xdr:cNvSpPr>
      </xdr:nvSpPr>
      <xdr:spPr bwMode="auto">
        <a:xfrm>
          <a:off x="198501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400050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95209" name="Line 92">
          <a:extLst>
            <a:ext uri="{FF2B5EF4-FFF2-40B4-BE49-F238E27FC236}">
              <a16:creationId xmlns="" xmlns:a16="http://schemas.microsoft.com/office/drawing/2014/main" id="{00000000-0008-0000-1C00-0000C9104300}"/>
            </a:ext>
          </a:extLst>
        </xdr:cNvPr>
        <xdr:cNvSpPr>
          <a:spLocks noChangeShapeType="1"/>
        </xdr:cNvSpPr>
      </xdr:nvSpPr>
      <xdr:spPr bwMode="auto">
        <a:xfrm flipH="1" flipV="1">
          <a:off x="13725525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14</xdr:col>
      <xdr:colOff>781050</xdr:colOff>
      <xdr:row>0</xdr:row>
      <xdr:rowOff>0</xdr:rowOff>
    </xdr:to>
    <xdr:sp macro="" textlink="">
      <xdr:nvSpPr>
        <xdr:cNvPr id="4395210" name="Line 93">
          <a:extLst>
            <a:ext uri="{FF2B5EF4-FFF2-40B4-BE49-F238E27FC236}">
              <a16:creationId xmlns="" xmlns:a16="http://schemas.microsoft.com/office/drawing/2014/main" id="{00000000-0008-0000-1C00-0000CA104300}"/>
            </a:ext>
          </a:extLst>
        </xdr:cNvPr>
        <xdr:cNvSpPr>
          <a:spLocks noChangeShapeType="1"/>
        </xdr:cNvSpPr>
      </xdr:nvSpPr>
      <xdr:spPr bwMode="auto">
        <a:xfrm flipH="1">
          <a:off x="9867900" y="0"/>
          <a:ext cx="4238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4</xdr:col>
      <xdr:colOff>704850</xdr:colOff>
      <xdr:row>0</xdr:row>
      <xdr:rowOff>0</xdr:rowOff>
    </xdr:to>
    <xdr:sp macro="" textlink="">
      <xdr:nvSpPr>
        <xdr:cNvPr id="4395211" name="Line 94">
          <a:extLst>
            <a:ext uri="{FF2B5EF4-FFF2-40B4-BE49-F238E27FC236}">
              <a16:creationId xmlns="" xmlns:a16="http://schemas.microsoft.com/office/drawing/2014/main" id="{00000000-0008-0000-1C00-0000CB1043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3571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95212" name="Line 95">
          <a:extLst>
            <a:ext uri="{FF2B5EF4-FFF2-40B4-BE49-F238E27FC236}">
              <a16:creationId xmlns="" xmlns:a16="http://schemas.microsoft.com/office/drawing/2014/main" id="{00000000-0008-0000-1C00-0000CC104300}"/>
            </a:ext>
          </a:extLst>
        </xdr:cNvPr>
        <xdr:cNvSpPr>
          <a:spLocks noChangeShapeType="1"/>
        </xdr:cNvSpPr>
      </xdr:nvSpPr>
      <xdr:spPr bwMode="auto">
        <a:xfrm>
          <a:off x="116681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247650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5213" name="Line 96">
          <a:extLst>
            <a:ext uri="{FF2B5EF4-FFF2-40B4-BE49-F238E27FC236}">
              <a16:creationId xmlns="" xmlns:a16="http://schemas.microsoft.com/office/drawing/2014/main" id="{00000000-0008-0000-1C00-0000CD10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1047750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5214" name="Line 97">
          <a:extLst>
            <a:ext uri="{FF2B5EF4-FFF2-40B4-BE49-F238E27FC236}">
              <a16:creationId xmlns="" xmlns:a16="http://schemas.microsoft.com/office/drawing/2014/main" id="{00000000-0008-0000-1C00-0000CE10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571500</xdr:colOff>
      <xdr:row>0</xdr:row>
      <xdr:rowOff>0</xdr:rowOff>
    </xdr:from>
    <xdr:to>
      <xdr:col>13</xdr:col>
      <xdr:colOff>571500</xdr:colOff>
      <xdr:row>0</xdr:row>
      <xdr:rowOff>0</xdr:rowOff>
    </xdr:to>
    <xdr:sp macro="" textlink="">
      <xdr:nvSpPr>
        <xdr:cNvPr id="4395215" name="Line 98">
          <a:extLst>
            <a:ext uri="{FF2B5EF4-FFF2-40B4-BE49-F238E27FC236}">
              <a16:creationId xmlns="" xmlns:a16="http://schemas.microsoft.com/office/drawing/2014/main" id="{00000000-0008-0000-1C00-0000CF104300}"/>
            </a:ext>
          </a:extLst>
        </xdr:cNvPr>
        <xdr:cNvSpPr>
          <a:spLocks noChangeShapeType="1"/>
        </xdr:cNvSpPr>
      </xdr:nvSpPr>
      <xdr:spPr bwMode="auto">
        <a:xfrm>
          <a:off x="12706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14</xdr:col>
      <xdr:colOff>457200</xdr:colOff>
      <xdr:row>0</xdr:row>
      <xdr:rowOff>0</xdr:rowOff>
    </xdr:to>
    <xdr:sp macro="" textlink="">
      <xdr:nvSpPr>
        <xdr:cNvPr id="4395216" name="Line 99">
          <a:extLst>
            <a:ext uri="{FF2B5EF4-FFF2-40B4-BE49-F238E27FC236}">
              <a16:creationId xmlns="" xmlns:a16="http://schemas.microsoft.com/office/drawing/2014/main" id="{00000000-0008-0000-1C00-0000D0104300}"/>
            </a:ext>
          </a:extLst>
        </xdr:cNvPr>
        <xdr:cNvSpPr>
          <a:spLocks noChangeShapeType="1"/>
        </xdr:cNvSpPr>
      </xdr:nvSpPr>
      <xdr:spPr bwMode="auto">
        <a:xfrm>
          <a:off x="137826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323850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95217" name="Line 100">
          <a:extLst>
            <a:ext uri="{FF2B5EF4-FFF2-40B4-BE49-F238E27FC236}">
              <a16:creationId xmlns="" xmlns:a16="http://schemas.microsoft.com/office/drawing/2014/main" id="{00000000-0008-0000-1C00-0000D1104300}"/>
            </a:ext>
          </a:extLst>
        </xdr:cNvPr>
        <xdr:cNvSpPr>
          <a:spLocks noChangeShapeType="1"/>
        </xdr:cNvSpPr>
      </xdr:nvSpPr>
      <xdr:spPr bwMode="auto">
        <a:xfrm flipH="1">
          <a:off x="9572625" y="0"/>
          <a:ext cx="2095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15</xdr:col>
      <xdr:colOff>161925</xdr:colOff>
      <xdr:row>0</xdr:row>
      <xdr:rowOff>0</xdr:rowOff>
    </xdr:to>
    <xdr:sp macro="" textlink="">
      <xdr:nvSpPr>
        <xdr:cNvPr id="4395218" name="Line 101">
          <a:extLst>
            <a:ext uri="{FF2B5EF4-FFF2-40B4-BE49-F238E27FC236}">
              <a16:creationId xmlns="" xmlns:a16="http://schemas.microsoft.com/office/drawing/2014/main" id="{00000000-0008-0000-1C00-0000D2104300}"/>
            </a:ext>
          </a:extLst>
        </xdr:cNvPr>
        <xdr:cNvSpPr>
          <a:spLocks noChangeShapeType="1"/>
        </xdr:cNvSpPr>
      </xdr:nvSpPr>
      <xdr:spPr bwMode="auto">
        <a:xfrm>
          <a:off x="13782675" y="0"/>
          <a:ext cx="628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5219" name="Line 102">
          <a:extLst>
            <a:ext uri="{FF2B5EF4-FFF2-40B4-BE49-F238E27FC236}">
              <a16:creationId xmlns="" xmlns:a16="http://schemas.microsoft.com/office/drawing/2014/main" id="{00000000-0008-0000-1C00-0000D3104300}"/>
            </a:ext>
          </a:extLst>
        </xdr:cNvPr>
        <xdr:cNvSpPr>
          <a:spLocks noChangeShapeType="1"/>
        </xdr:cNvSpPr>
      </xdr:nvSpPr>
      <xdr:spPr bwMode="auto">
        <a:xfrm flipV="1">
          <a:off x="12744450" y="0"/>
          <a:ext cx="165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1066800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5220" name="Line 103">
          <a:extLst>
            <a:ext uri="{FF2B5EF4-FFF2-40B4-BE49-F238E27FC236}">
              <a16:creationId xmlns="" xmlns:a16="http://schemas.microsoft.com/office/drawing/2014/main" id="{00000000-0008-0000-1C00-0000D410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266700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5221" name="Line 104">
          <a:extLst>
            <a:ext uri="{FF2B5EF4-FFF2-40B4-BE49-F238E27FC236}">
              <a16:creationId xmlns="" xmlns:a16="http://schemas.microsoft.com/office/drawing/2014/main" id="{00000000-0008-0000-1C00-0000D510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5222" name="Line 105">
          <a:extLst>
            <a:ext uri="{FF2B5EF4-FFF2-40B4-BE49-F238E27FC236}">
              <a16:creationId xmlns="" xmlns:a16="http://schemas.microsoft.com/office/drawing/2014/main" id="{00000000-0008-0000-1C00-0000D6104300}"/>
            </a:ext>
          </a:extLst>
        </xdr:cNvPr>
        <xdr:cNvSpPr>
          <a:spLocks noChangeShapeType="1"/>
        </xdr:cNvSpPr>
      </xdr:nvSpPr>
      <xdr:spPr bwMode="auto">
        <a:xfrm>
          <a:off x="1166812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495300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5223" name="Line 106">
          <a:extLst>
            <a:ext uri="{FF2B5EF4-FFF2-40B4-BE49-F238E27FC236}">
              <a16:creationId xmlns="" xmlns:a16="http://schemas.microsoft.com/office/drawing/2014/main" id="{00000000-0008-0000-1C00-0000D7104300}"/>
            </a:ext>
          </a:extLst>
        </xdr:cNvPr>
        <xdr:cNvSpPr>
          <a:spLocks noChangeShapeType="1"/>
        </xdr:cNvSpPr>
      </xdr:nvSpPr>
      <xdr:spPr bwMode="auto">
        <a:xfrm flipH="1">
          <a:off x="9744075" y="0"/>
          <a:ext cx="2390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1028700</xdr:colOff>
      <xdr:row>0</xdr:row>
      <xdr:rowOff>0</xdr:rowOff>
    </xdr:to>
    <xdr:sp macro="" textlink="">
      <xdr:nvSpPr>
        <xdr:cNvPr id="4395224" name="Line 107">
          <a:extLst>
            <a:ext uri="{FF2B5EF4-FFF2-40B4-BE49-F238E27FC236}">
              <a16:creationId xmlns="" xmlns:a16="http://schemas.microsoft.com/office/drawing/2014/main" id="{00000000-0008-0000-1C00-0000D8104300}"/>
            </a:ext>
          </a:extLst>
        </xdr:cNvPr>
        <xdr:cNvSpPr>
          <a:spLocks noChangeShapeType="1"/>
        </xdr:cNvSpPr>
      </xdr:nvSpPr>
      <xdr:spPr bwMode="auto">
        <a:xfrm flipH="1">
          <a:off x="9839325" y="0"/>
          <a:ext cx="2295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171450</xdr:colOff>
      <xdr:row>0</xdr:row>
      <xdr:rowOff>0</xdr:rowOff>
    </xdr:from>
    <xdr:to>
      <xdr:col>13</xdr:col>
      <xdr:colOff>552450</xdr:colOff>
      <xdr:row>0</xdr:row>
      <xdr:rowOff>0</xdr:rowOff>
    </xdr:to>
    <xdr:sp macro="" textlink="">
      <xdr:nvSpPr>
        <xdr:cNvPr id="4395225" name="Line 108">
          <a:extLst>
            <a:ext uri="{FF2B5EF4-FFF2-40B4-BE49-F238E27FC236}">
              <a16:creationId xmlns="" xmlns:a16="http://schemas.microsoft.com/office/drawing/2014/main" id="{00000000-0008-0000-1C00-0000D9104300}"/>
            </a:ext>
          </a:extLst>
        </xdr:cNvPr>
        <xdr:cNvSpPr>
          <a:spLocks noChangeShapeType="1"/>
        </xdr:cNvSpPr>
      </xdr:nvSpPr>
      <xdr:spPr bwMode="auto">
        <a:xfrm flipH="1">
          <a:off x="11087100" y="0"/>
          <a:ext cx="1600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457200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95226" name="Line 109">
          <a:extLst>
            <a:ext uri="{FF2B5EF4-FFF2-40B4-BE49-F238E27FC236}">
              <a16:creationId xmlns="" xmlns:a16="http://schemas.microsoft.com/office/drawing/2014/main" id="{00000000-0008-0000-1C00-0000DA104300}"/>
            </a:ext>
          </a:extLst>
        </xdr:cNvPr>
        <xdr:cNvSpPr>
          <a:spLocks noChangeShapeType="1"/>
        </xdr:cNvSpPr>
      </xdr:nvSpPr>
      <xdr:spPr bwMode="auto">
        <a:xfrm flipH="1">
          <a:off x="11372850" y="0"/>
          <a:ext cx="2371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1104900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95227" name="Line 110">
          <a:extLst>
            <a:ext uri="{FF2B5EF4-FFF2-40B4-BE49-F238E27FC236}">
              <a16:creationId xmlns="" xmlns:a16="http://schemas.microsoft.com/office/drawing/2014/main" id="{00000000-0008-0000-1C00-0000DB104300}"/>
            </a:ext>
          </a:extLst>
        </xdr:cNvPr>
        <xdr:cNvSpPr>
          <a:spLocks noChangeShapeType="1"/>
        </xdr:cNvSpPr>
      </xdr:nvSpPr>
      <xdr:spPr bwMode="auto">
        <a:xfrm>
          <a:off x="1157287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1085850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95228" name="Line 111">
          <a:extLst>
            <a:ext uri="{FF2B5EF4-FFF2-40B4-BE49-F238E27FC236}">
              <a16:creationId xmlns="" xmlns:a16="http://schemas.microsoft.com/office/drawing/2014/main" id="{00000000-0008-0000-1C00-0000DC104300}"/>
            </a:ext>
          </a:extLst>
        </xdr:cNvPr>
        <xdr:cNvSpPr>
          <a:spLocks noChangeShapeType="1"/>
        </xdr:cNvSpPr>
      </xdr:nvSpPr>
      <xdr:spPr bwMode="auto">
        <a:xfrm>
          <a:off x="1157287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123825</xdr:colOff>
      <xdr:row>0</xdr:row>
      <xdr:rowOff>0</xdr:rowOff>
    </xdr:from>
    <xdr:to>
      <xdr:col>21</xdr:col>
      <xdr:colOff>438150</xdr:colOff>
      <xdr:row>0</xdr:row>
      <xdr:rowOff>0</xdr:rowOff>
    </xdr:to>
    <xdr:sp macro="" textlink="">
      <xdr:nvSpPr>
        <xdr:cNvPr id="113" name="Text Box 112">
          <a:extLst>
            <a:ext uri="{FF2B5EF4-FFF2-40B4-BE49-F238E27FC236}">
              <a16:creationId xmlns="" xmlns:a16="http://schemas.microsoft.com/office/drawing/2014/main" id="{00000000-0008-0000-1C00-000071000000}"/>
            </a:ext>
          </a:extLst>
        </xdr:cNvPr>
        <xdr:cNvSpPr txBox="1">
          <a:spLocks noChangeArrowheads="1"/>
        </xdr:cNvSpPr>
      </xdr:nvSpPr>
      <xdr:spPr bwMode="auto">
        <a:xfrm>
          <a:off x="19516725" y="0"/>
          <a:ext cx="3143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1°</a:t>
          </a:r>
        </a:p>
      </xdr:txBody>
    </xdr:sp>
    <xdr:clientData/>
  </xdr:twoCellAnchor>
  <xdr:twoCellAnchor>
    <xdr:from>
      <xdr:col>19</xdr:col>
      <xdr:colOff>1285875</xdr:colOff>
      <xdr:row>0</xdr:row>
      <xdr:rowOff>0</xdr:rowOff>
    </xdr:from>
    <xdr:to>
      <xdr:col>21</xdr:col>
      <xdr:colOff>333375</xdr:colOff>
      <xdr:row>0</xdr:row>
      <xdr:rowOff>0</xdr:rowOff>
    </xdr:to>
    <xdr:sp macro="" textlink="">
      <xdr:nvSpPr>
        <xdr:cNvPr id="114" name="Text Box 113">
          <a:extLst>
            <a:ext uri="{FF2B5EF4-FFF2-40B4-BE49-F238E27FC236}">
              <a16:creationId xmlns="" xmlns:a16="http://schemas.microsoft.com/office/drawing/2014/main" id="{00000000-0008-0000-1C00-000072000000}"/>
            </a:ext>
          </a:extLst>
        </xdr:cNvPr>
        <xdr:cNvSpPr txBox="1">
          <a:spLocks noChangeArrowheads="1"/>
        </xdr:cNvSpPr>
      </xdr:nvSpPr>
      <xdr:spPr bwMode="auto">
        <a:xfrm>
          <a:off x="18630900" y="0"/>
          <a:ext cx="10953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3°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5" name="Text Box 114">
          <a:extLst>
            <a:ext uri="{FF2B5EF4-FFF2-40B4-BE49-F238E27FC236}">
              <a16:creationId xmlns="" xmlns:a16="http://schemas.microsoft.com/office/drawing/2014/main" id="{00000000-0008-0000-1C00-000073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21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6" name="Text Box 115">
          <a:extLst>
            <a:ext uri="{FF2B5EF4-FFF2-40B4-BE49-F238E27FC236}">
              <a16:creationId xmlns="" xmlns:a16="http://schemas.microsoft.com/office/drawing/2014/main" id="{00000000-0008-0000-1C00-000074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19</xdr:col>
      <xdr:colOff>819150</xdr:colOff>
      <xdr:row>0</xdr:row>
      <xdr:rowOff>0</xdr:rowOff>
    </xdr:from>
    <xdr:to>
      <xdr:col>19</xdr:col>
      <xdr:colOff>1000125</xdr:colOff>
      <xdr:row>0</xdr:row>
      <xdr:rowOff>0</xdr:rowOff>
    </xdr:to>
    <xdr:sp macro="" textlink="">
      <xdr:nvSpPr>
        <xdr:cNvPr id="117" name="Text Box 116">
          <a:extLst>
            <a:ext uri="{FF2B5EF4-FFF2-40B4-BE49-F238E27FC236}">
              <a16:creationId xmlns="" xmlns:a16="http://schemas.microsoft.com/office/drawing/2014/main" id="{00000000-0008-0000-1C00-000075000000}"/>
            </a:ext>
          </a:extLst>
        </xdr:cNvPr>
        <xdr:cNvSpPr txBox="1">
          <a:spLocks noChangeArrowheads="1"/>
        </xdr:cNvSpPr>
      </xdr:nvSpPr>
      <xdr:spPr bwMode="auto">
        <a:xfrm>
          <a:off x="18183225" y="0"/>
          <a:ext cx="1809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5°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8" name="Text Box 117">
          <a:extLst>
            <a:ext uri="{FF2B5EF4-FFF2-40B4-BE49-F238E27FC236}">
              <a16:creationId xmlns="" xmlns:a16="http://schemas.microsoft.com/office/drawing/2014/main" id="{00000000-0008-0000-1C00-000076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6°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1" i="0" strike="noStrike">
              <a:solidFill>
                <a:srgbClr val="000000"/>
              </a:solidFill>
              <a:latin typeface="Times New Roman"/>
              <a:cs typeface="Times New Roman"/>
            </a:rPr>
            <a:t>6</a:t>
          </a:r>
        </a:p>
      </xdr:txBody>
    </xdr:sp>
    <xdr:clientData/>
  </xdr:twoCellAnchor>
  <xdr:twoCellAnchor>
    <xdr:from>
      <xdr:col>14</xdr:col>
      <xdr:colOff>266700</xdr:colOff>
      <xdr:row>15</xdr:row>
      <xdr:rowOff>38100</xdr:rowOff>
    </xdr:from>
    <xdr:to>
      <xdr:col>15</xdr:col>
      <xdr:colOff>352425</xdr:colOff>
      <xdr:row>16</xdr:row>
      <xdr:rowOff>161925</xdr:rowOff>
    </xdr:to>
    <xdr:sp macro="" textlink="">
      <xdr:nvSpPr>
        <xdr:cNvPr id="4395235" name="Text Box 118">
          <a:extLst>
            <a:ext uri="{FF2B5EF4-FFF2-40B4-BE49-F238E27FC236}">
              <a16:creationId xmlns="" xmlns:a16="http://schemas.microsoft.com/office/drawing/2014/main" id="{00000000-0008-0000-1C00-0000E3104300}"/>
            </a:ext>
          </a:extLst>
        </xdr:cNvPr>
        <xdr:cNvSpPr txBox="1">
          <a:spLocks noChangeArrowheads="1"/>
        </xdr:cNvSpPr>
      </xdr:nvSpPr>
      <xdr:spPr bwMode="auto">
        <a:xfrm>
          <a:off x="13592175" y="5600700"/>
          <a:ext cx="1009650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190500</xdr:colOff>
      <xdr:row>15</xdr:row>
      <xdr:rowOff>142875</xdr:rowOff>
    </xdr:from>
    <xdr:to>
      <xdr:col>4</xdr:col>
      <xdr:colOff>161925</xdr:colOff>
      <xdr:row>19</xdr:row>
      <xdr:rowOff>66675</xdr:rowOff>
    </xdr:to>
    <xdr:grpSp>
      <xdr:nvGrpSpPr>
        <xdr:cNvPr id="4395237" name="Group 120">
          <a:extLst>
            <a:ext uri="{FF2B5EF4-FFF2-40B4-BE49-F238E27FC236}">
              <a16:creationId xmlns="" xmlns:a16="http://schemas.microsoft.com/office/drawing/2014/main" id="{00000000-0008-0000-1C00-0000E5104300}"/>
            </a:ext>
          </a:extLst>
        </xdr:cNvPr>
        <xdr:cNvGrpSpPr>
          <a:grpSpLocks/>
        </xdr:cNvGrpSpPr>
      </xdr:nvGrpSpPr>
      <xdr:grpSpPr bwMode="auto">
        <a:xfrm>
          <a:off x="2833688" y="5691188"/>
          <a:ext cx="2995612" cy="1304925"/>
          <a:chOff x="358" y="540"/>
          <a:chExt cx="293" cy="139"/>
        </a:xfrm>
      </xdr:grpSpPr>
      <xdr:sp macro="" textlink="">
        <xdr:nvSpPr>
          <xdr:cNvPr id="4395264" name="Line 121">
            <a:extLst>
              <a:ext uri="{FF2B5EF4-FFF2-40B4-BE49-F238E27FC236}">
                <a16:creationId xmlns="" xmlns:a16="http://schemas.microsoft.com/office/drawing/2014/main" id="{00000000-0008-0000-1C00-0000001143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95265" name="Group 122">
            <a:extLst>
              <a:ext uri="{FF2B5EF4-FFF2-40B4-BE49-F238E27FC236}">
                <a16:creationId xmlns="" xmlns:a16="http://schemas.microsoft.com/office/drawing/2014/main" id="{00000000-0008-0000-1C00-0000011143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395321" name="Line 123">
              <a:extLst>
                <a:ext uri="{FF2B5EF4-FFF2-40B4-BE49-F238E27FC236}">
                  <a16:creationId xmlns="" xmlns:a16="http://schemas.microsoft.com/office/drawing/2014/main" id="{00000000-0008-0000-1C00-0000391143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5322" name="Line 124">
              <a:extLst>
                <a:ext uri="{FF2B5EF4-FFF2-40B4-BE49-F238E27FC236}">
                  <a16:creationId xmlns="" xmlns:a16="http://schemas.microsoft.com/office/drawing/2014/main" id="{00000000-0008-0000-1C00-00003A1143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95266" name="Line 125">
            <a:extLst>
              <a:ext uri="{FF2B5EF4-FFF2-40B4-BE49-F238E27FC236}">
                <a16:creationId xmlns="" xmlns:a16="http://schemas.microsoft.com/office/drawing/2014/main" id="{00000000-0008-0000-1C00-00000211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5267" name="Line 126">
            <a:extLst>
              <a:ext uri="{FF2B5EF4-FFF2-40B4-BE49-F238E27FC236}">
                <a16:creationId xmlns="" xmlns:a16="http://schemas.microsoft.com/office/drawing/2014/main" id="{00000000-0008-0000-1C00-00000311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5268" name="Line 127">
            <a:extLst>
              <a:ext uri="{FF2B5EF4-FFF2-40B4-BE49-F238E27FC236}">
                <a16:creationId xmlns="" xmlns:a16="http://schemas.microsoft.com/office/drawing/2014/main" id="{00000000-0008-0000-1C00-00000411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5269" name="Line 128">
            <a:extLst>
              <a:ext uri="{FF2B5EF4-FFF2-40B4-BE49-F238E27FC236}">
                <a16:creationId xmlns="" xmlns:a16="http://schemas.microsoft.com/office/drawing/2014/main" id="{00000000-0008-0000-1C00-0000051143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5270" name="Line 129">
            <a:extLst>
              <a:ext uri="{FF2B5EF4-FFF2-40B4-BE49-F238E27FC236}">
                <a16:creationId xmlns="" xmlns:a16="http://schemas.microsoft.com/office/drawing/2014/main" id="{00000000-0008-0000-1C00-0000061143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95271" name="Group 130">
            <a:extLst>
              <a:ext uri="{FF2B5EF4-FFF2-40B4-BE49-F238E27FC236}">
                <a16:creationId xmlns="" xmlns:a16="http://schemas.microsoft.com/office/drawing/2014/main" id="{00000000-0008-0000-1C00-0000071143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395315" name="Line 131">
              <a:extLst>
                <a:ext uri="{FF2B5EF4-FFF2-40B4-BE49-F238E27FC236}">
                  <a16:creationId xmlns="" xmlns:a16="http://schemas.microsoft.com/office/drawing/2014/main" id="{00000000-0008-0000-1C00-0000331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5316" name="Group 132">
              <a:extLst>
                <a:ext uri="{FF2B5EF4-FFF2-40B4-BE49-F238E27FC236}">
                  <a16:creationId xmlns="" xmlns:a16="http://schemas.microsoft.com/office/drawing/2014/main" id="{00000000-0008-0000-1C00-00003411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5317" name="Line 133">
                <a:extLst>
                  <a:ext uri="{FF2B5EF4-FFF2-40B4-BE49-F238E27FC236}">
                    <a16:creationId xmlns="" xmlns:a16="http://schemas.microsoft.com/office/drawing/2014/main" id="{00000000-0008-0000-1C00-00003511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5318" name="Group 134">
                <a:extLst>
                  <a:ext uri="{FF2B5EF4-FFF2-40B4-BE49-F238E27FC236}">
                    <a16:creationId xmlns="" xmlns:a16="http://schemas.microsoft.com/office/drawing/2014/main" id="{00000000-0008-0000-1C00-00003611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5319" name="Line 135">
                  <a:extLst>
                    <a:ext uri="{FF2B5EF4-FFF2-40B4-BE49-F238E27FC236}">
                      <a16:creationId xmlns="" xmlns:a16="http://schemas.microsoft.com/office/drawing/2014/main" id="{00000000-0008-0000-1C00-0000371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5320" name="Line 136">
                  <a:extLst>
                    <a:ext uri="{FF2B5EF4-FFF2-40B4-BE49-F238E27FC236}">
                      <a16:creationId xmlns="" xmlns:a16="http://schemas.microsoft.com/office/drawing/2014/main" id="{00000000-0008-0000-1C00-0000381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5272" name="Group 137">
            <a:extLst>
              <a:ext uri="{FF2B5EF4-FFF2-40B4-BE49-F238E27FC236}">
                <a16:creationId xmlns="" xmlns:a16="http://schemas.microsoft.com/office/drawing/2014/main" id="{00000000-0008-0000-1C00-0000081143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395309" name="Line 138">
              <a:extLst>
                <a:ext uri="{FF2B5EF4-FFF2-40B4-BE49-F238E27FC236}">
                  <a16:creationId xmlns="" xmlns:a16="http://schemas.microsoft.com/office/drawing/2014/main" id="{00000000-0008-0000-1C00-00002D1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5310" name="Group 139">
              <a:extLst>
                <a:ext uri="{FF2B5EF4-FFF2-40B4-BE49-F238E27FC236}">
                  <a16:creationId xmlns="" xmlns:a16="http://schemas.microsoft.com/office/drawing/2014/main" id="{00000000-0008-0000-1C00-00002E11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5311" name="Line 140">
                <a:extLst>
                  <a:ext uri="{FF2B5EF4-FFF2-40B4-BE49-F238E27FC236}">
                    <a16:creationId xmlns="" xmlns:a16="http://schemas.microsoft.com/office/drawing/2014/main" id="{00000000-0008-0000-1C00-00002F11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5312" name="Group 141">
                <a:extLst>
                  <a:ext uri="{FF2B5EF4-FFF2-40B4-BE49-F238E27FC236}">
                    <a16:creationId xmlns="" xmlns:a16="http://schemas.microsoft.com/office/drawing/2014/main" id="{00000000-0008-0000-1C00-00003011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5313" name="Line 142">
                  <a:extLst>
                    <a:ext uri="{FF2B5EF4-FFF2-40B4-BE49-F238E27FC236}">
                      <a16:creationId xmlns="" xmlns:a16="http://schemas.microsoft.com/office/drawing/2014/main" id="{00000000-0008-0000-1C00-0000311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5314" name="Line 143">
                  <a:extLst>
                    <a:ext uri="{FF2B5EF4-FFF2-40B4-BE49-F238E27FC236}">
                      <a16:creationId xmlns="" xmlns:a16="http://schemas.microsoft.com/office/drawing/2014/main" id="{00000000-0008-0000-1C00-0000321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5273" name="Group 144">
            <a:extLst>
              <a:ext uri="{FF2B5EF4-FFF2-40B4-BE49-F238E27FC236}">
                <a16:creationId xmlns="" xmlns:a16="http://schemas.microsoft.com/office/drawing/2014/main" id="{00000000-0008-0000-1C00-0000091143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395303" name="Line 145">
              <a:extLst>
                <a:ext uri="{FF2B5EF4-FFF2-40B4-BE49-F238E27FC236}">
                  <a16:creationId xmlns="" xmlns:a16="http://schemas.microsoft.com/office/drawing/2014/main" id="{00000000-0008-0000-1C00-0000271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5304" name="Group 146">
              <a:extLst>
                <a:ext uri="{FF2B5EF4-FFF2-40B4-BE49-F238E27FC236}">
                  <a16:creationId xmlns="" xmlns:a16="http://schemas.microsoft.com/office/drawing/2014/main" id="{00000000-0008-0000-1C00-00002811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5305" name="Line 147">
                <a:extLst>
                  <a:ext uri="{FF2B5EF4-FFF2-40B4-BE49-F238E27FC236}">
                    <a16:creationId xmlns="" xmlns:a16="http://schemas.microsoft.com/office/drawing/2014/main" id="{00000000-0008-0000-1C00-00002911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5306" name="Group 148">
                <a:extLst>
                  <a:ext uri="{FF2B5EF4-FFF2-40B4-BE49-F238E27FC236}">
                    <a16:creationId xmlns="" xmlns:a16="http://schemas.microsoft.com/office/drawing/2014/main" id="{00000000-0008-0000-1C00-00002A11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5307" name="Line 149">
                  <a:extLst>
                    <a:ext uri="{FF2B5EF4-FFF2-40B4-BE49-F238E27FC236}">
                      <a16:creationId xmlns="" xmlns:a16="http://schemas.microsoft.com/office/drawing/2014/main" id="{00000000-0008-0000-1C00-00002B1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5308" name="Line 150">
                  <a:extLst>
                    <a:ext uri="{FF2B5EF4-FFF2-40B4-BE49-F238E27FC236}">
                      <a16:creationId xmlns="" xmlns:a16="http://schemas.microsoft.com/office/drawing/2014/main" id="{00000000-0008-0000-1C00-00002C1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5274" name="Group 151">
            <a:extLst>
              <a:ext uri="{FF2B5EF4-FFF2-40B4-BE49-F238E27FC236}">
                <a16:creationId xmlns="" xmlns:a16="http://schemas.microsoft.com/office/drawing/2014/main" id="{00000000-0008-0000-1C00-00000A1143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395297" name="Line 152">
              <a:extLst>
                <a:ext uri="{FF2B5EF4-FFF2-40B4-BE49-F238E27FC236}">
                  <a16:creationId xmlns="" xmlns:a16="http://schemas.microsoft.com/office/drawing/2014/main" id="{00000000-0008-0000-1C00-0000211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5298" name="Group 153">
              <a:extLst>
                <a:ext uri="{FF2B5EF4-FFF2-40B4-BE49-F238E27FC236}">
                  <a16:creationId xmlns="" xmlns:a16="http://schemas.microsoft.com/office/drawing/2014/main" id="{00000000-0008-0000-1C00-00002211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5299" name="Line 154">
                <a:extLst>
                  <a:ext uri="{FF2B5EF4-FFF2-40B4-BE49-F238E27FC236}">
                    <a16:creationId xmlns="" xmlns:a16="http://schemas.microsoft.com/office/drawing/2014/main" id="{00000000-0008-0000-1C00-00002311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5300" name="Group 155">
                <a:extLst>
                  <a:ext uri="{FF2B5EF4-FFF2-40B4-BE49-F238E27FC236}">
                    <a16:creationId xmlns="" xmlns:a16="http://schemas.microsoft.com/office/drawing/2014/main" id="{00000000-0008-0000-1C00-00002411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5301" name="Line 156">
                  <a:extLst>
                    <a:ext uri="{FF2B5EF4-FFF2-40B4-BE49-F238E27FC236}">
                      <a16:creationId xmlns="" xmlns:a16="http://schemas.microsoft.com/office/drawing/2014/main" id="{00000000-0008-0000-1C00-0000251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5302" name="Line 157">
                  <a:extLst>
                    <a:ext uri="{FF2B5EF4-FFF2-40B4-BE49-F238E27FC236}">
                      <a16:creationId xmlns="" xmlns:a16="http://schemas.microsoft.com/office/drawing/2014/main" id="{00000000-0008-0000-1C00-0000261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5275" name="Group 158">
            <a:extLst>
              <a:ext uri="{FF2B5EF4-FFF2-40B4-BE49-F238E27FC236}">
                <a16:creationId xmlns="" xmlns:a16="http://schemas.microsoft.com/office/drawing/2014/main" id="{00000000-0008-0000-1C00-00000B1143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395291" name="Line 159">
              <a:extLst>
                <a:ext uri="{FF2B5EF4-FFF2-40B4-BE49-F238E27FC236}">
                  <a16:creationId xmlns="" xmlns:a16="http://schemas.microsoft.com/office/drawing/2014/main" id="{00000000-0008-0000-1C00-00001B1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5292" name="Group 160">
              <a:extLst>
                <a:ext uri="{FF2B5EF4-FFF2-40B4-BE49-F238E27FC236}">
                  <a16:creationId xmlns="" xmlns:a16="http://schemas.microsoft.com/office/drawing/2014/main" id="{00000000-0008-0000-1C00-00001C11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5293" name="Line 161">
                <a:extLst>
                  <a:ext uri="{FF2B5EF4-FFF2-40B4-BE49-F238E27FC236}">
                    <a16:creationId xmlns="" xmlns:a16="http://schemas.microsoft.com/office/drawing/2014/main" id="{00000000-0008-0000-1C00-00001D11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5294" name="Group 162">
                <a:extLst>
                  <a:ext uri="{FF2B5EF4-FFF2-40B4-BE49-F238E27FC236}">
                    <a16:creationId xmlns="" xmlns:a16="http://schemas.microsoft.com/office/drawing/2014/main" id="{00000000-0008-0000-1C00-00001E11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5295" name="Line 163">
                  <a:extLst>
                    <a:ext uri="{FF2B5EF4-FFF2-40B4-BE49-F238E27FC236}">
                      <a16:creationId xmlns="" xmlns:a16="http://schemas.microsoft.com/office/drawing/2014/main" id="{00000000-0008-0000-1C00-00001F1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5296" name="Line 164">
                  <a:extLst>
                    <a:ext uri="{FF2B5EF4-FFF2-40B4-BE49-F238E27FC236}">
                      <a16:creationId xmlns="" xmlns:a16="http://schemas.microsoft.com/office/drawing/2014/main" id="{00000000-0008-0000-1C00-0000201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5276" name="Group 165">
            <a:extLst>
              <a:ext uri="{FF2B5EF4-FFF2-40B4-BE49-F238E27FC236}">
                <a16:creationId xmlns="" xmlns:a16="http://schemas.microsoft.com/office/drawing/2014/main" id="{00000000-0008-0000-1C00-00000C1143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395285" name="Line 166">
              <a:extLst>
                <a:ext uri="{FF2B5EF4-FFF2-40B4-BE49-F238E27FC236}">
                  <a16:creationId xmlns="" xmlns:a16="http://schemas.microsoft.com/office/drawing/2014/main" id="{00000000-0008-0000-1C00-0000151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5286" name="Group 167">
              <a:extLst>
                <a:ext uri="{FF2B5EF4-FFF2-40B4-BE49-F238E27FC236}">
                  <a16:creationId xmlns="" xmlns:a16="http://schemas.microsoft.com/office/drawing/2014/main" id="{00000000-0008-0000-1C00-00001611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5287" name="Line 168">
                <a:extLst>
                  <a:ext uri="{FF2B5EF4-FFF2-40B4-BE49-F238E27FC236}">
                    <a16:creationId xmlns="" xmlns:a16="http://schemas.microsoft.com/office/drawing/2014/main" id="{00000000-0008-0000-1C00-00001711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5288" name="Group 169">
                <a:extLst>
                  <a:ext uri="{FF2B5EF4-FFF2-40B4-BE49-F238E27FC236}">
                    <a16:creationId xmlns="" xmlns:a16="http://schemas.microsoft.com/office/drawing/2014/main" id="{00000000-0008-0000-1C00-00001811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5289" name="Line 170">
                  <a:extLst>
                    <a:ext uri="{FF2B5EF4-FFF2-40B4-BE49-F238E27FC236}">
                      <a16:creationId xmlns="" xmlns:a16="http://schemas.microsoft.com/office/drawing/2014/main" id="{00000000-0008-0000-1C00-0000191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5290" name="Line 171">
                  <a:extLst>
                    <a:ext uri="{FF2B5EF4-FFF2-40B4-BE49-F238E27FC236}">
                      <a16:creationId xmlns="" xmlns:a16="http://schemas.microsoft.com/office/drawing/2014/main" id="{00000000-0008-0000-1C00-00001A1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5277" name="Group 172">
            <a:extLst>
              <a:ext uri="{FF2B5EF4-FFF2-40B4-BE49-F238E27FC236}">
                <a16:creationId xmlns="" xmlns:a16="http://schemas.microsoft.com/office/drawing/2014/main" id="{00000000-0008-0000-1C00-00000D1143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395279" name="Line 173">
              <a:extLst>
                <a:ext uri="{FF2B5EF4-FFF2-40B4-BE49-F238E27FC236}">
                  <a16:creationId xmlns="" xmlns:a16="http://schemas.microsoft.com/office/drawing/2014/main" id="{00000000-0008-0000-1C00-00000F11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5280" name="Group 174">
              <a:extLst>
                <a:ext uri="{FF2B5EF4-FFF2-40B4-BE49-F238E27FC236}">
                  <a16:creationId xmlns="" xmlns:a16="http://schemas.microsoft.com/office/drawing/2014/main" id="{00000000-0008-0000-1C00-00001011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5281" name="Line 175">
                <a:extLst>
                  <a:ext uri="{FF2B5EF4-FFF2-40B4-BE49-F238E27FC236}">
                    <a16:creationId xmlns="" xmlns:a16="http://schemas.microsoft.com/office/drawing/2014/main" id="{00000000-0008-0000-1C00-00001111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5282" name="Group 176">
                <a:extLst>
                  <a:ext uri="{FF2B5EF4-FFF2-40B4-BE49-F238E27FC236}">
                    <a16:creationId xmlns="" xmlns:a16="http://schemas.microsoft.com/office/drawing/2014/main" id="{00000000-0008-0000-1C00-00001211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5283" name="Line 177">
                  <a:extLst>
                    <a:ext uri="{FF2B5EF4-FFF2-40B4-BE49-F238E27FC236}">
                      <a16:creationId xmlns="" xmlns:a16="http://schemas.microsoft.com/office/drawing/2014/main" id="{00000000-0008-0000-1C00-0000131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5284" name="Line 178">
                  <a:extLst>
                    <a:ext uri="{FF2B5EF4-FFF2-40B4-BE49-F238E27FC236}">
                      <a16:creationId xmlns="" xmlns:a16="http://schemas.microsoft.com/office/drawing/2014/main" id="{00000000-0008-0000-1C00-00001411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95278" name="Line 179">
            <a:extLst>
              <a:ext uri="{FF2B5EF4-FFF2-40B4-BE49-F238E27FC236}">
                <a16:creationId xmlns="" xmlns:a16="http://schemas.microsoft.com/office/drawing/2014/main" id="{00000000-0008-0000-1C00-00000E1143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0</xdr:row>
      <xdr:rowOff>133350</xdr:rowOff>
    </xdr:from>
    <xdr:to>
      <xdr:col>21</xdr:col>
      <xdr:colOff>1314450</xdr:colOff>
      <xdr:row>2</xdr:row>
      <xdr:rowOff>28575</xdr:rowOff>
    </xdr:to>
    <xdr:sp macro="" textlink="">
      <xdr:nvSpPr>
        <xdr:cNvPr id="4333182" name="Rectangle 250">
          <a:extLst>
            <a:ext uri="{FF2B5EF4-FFF2-40B4-BE49-F238E27FC236}">
              <a16:creationId xmlns="" xmlns:a16="http://schemas.microsoft.com/office/drawing/2014/main" id="{00000000-0008-0000-1C00-00007E1E4200}"/>
            </a:ext>
          </a:extLst>
        </xdr:cNvPr>
        <xdr:cNvSpPr>
          <a:spLocks noChangeArrowheads="1"/>
        </xdr:cNvSpPr>
      </xdr:nvSpPr>
      <xdr:spPr bwMode="auto">
        <a:xfrm>
          <a:off x="2324100" y="133350"/>
          <a:ext cx="17506950" cy="5524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  <xdr:txBody>
        <a:bodyPr/>
        <a:lstStyle/>
        <a:p>
          <a:endParaRPr lang="it-IT"/>
        </a:p>
      </xdr:txBody>
    </xdr:sp>
    <xdr:clientData/>
  </xdr:twoCellAnchor>
  <xdr:twoCellAnchor>
    <xdr:from>
      <xdr:col>1</xdr:col>
      <xdr:colOff>285750</xdr:colOff>
      <xdr:row>22</xdr:row>
      <xdr:rowOff>95250</xdr:rowOff>
    </xdr:from>
    <xdr:to>
      <xdr:col>11</xdr:col>
      <xdr:colOff>9525</xdr:colOff>
      <xdr:row>34</xdr:row>
      <xdr:rowOff>171450</xdr:rowOff>
    </xdr:to>
    <xdr:grpSp>
      <xdr:nvGrpSpPr>
        <xdr:cNvPr id="4395240" name="Gruppo 254">
          <a:extLst>
            <a:ext uri="{FF2B5EF4-FFF2-40B4-BE49-F238E27FC236}">
              <a16:creationId xmlns="" xmlns:a16="http://schemas.microsoft.com/office/drawing/2014/main" id="{00000000-0008-0000-1C00-0000E8104300}"/>
            </a:ext>
          </a:extLst>
        </xdr:cNvPr>
        <xdr:cNvGrpSpPr>
          <a:grpSpLocks/>
        </xdr:cNvGrpSpPr>
      </xdr:nvGrpSpPr>
      <xdr:grpSpPr bwMode="auto">
        <a:xfrm>
          <a:off x="2619375" y="7786688"/>
          <a:ext cx="8986838" cy="4386262"/>
          <a:chOff x="32032547" y="4916090"/>
          <a:chExt cx="6320731" cy="4069880"/>
        </a:xfrm>
      </xdr:grpSpPr>
      <xdr:sp macro="" textlink="">
        <xdr:nvSpPr>
          <xdr:cNvPr id="4395242" name="Line 181">
            <a:extLst>
              <a:ext uri="{FF2B5EF4-FFF2-40B4-BE49-F238E27FC236}">
                <a16:creationId xmlns="" xmlns:a16="http://schemas.microsoft.com/office/drawing/2014/main" id="{00000000-0008-0000-1C00-0000EA10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039228" y="6007380"/>
            <a:ext cx="48107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5243" name="Line 182">
            <a:extLst>
              <a:ext uri="{FF2B5EF4-FFF2-40B4-BE49-F238E27FC236}">
                <a16:creationId xmlns="" xmlns:a16="http://schemas.microsoft.com/office/drawing/2014/main" id="{00000000-0008-0000-1C00-0000EB104300}"/>
              </a:ext>
            </a:extLst>
          </xdr:cNvPr>
          <xdr:cNvSpPr>
            <a:spLocks noChangeShapeType="1"/>
          </xdr:cNvSpPr>
        </xdr:nvSpPr>
        <xdr:spPr bwMode="auto">
          <a:xfrm>
            <a:off x="32039228" y="5327889"/>
            <a:ext cx="0" cy="365808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5244" name="Line 183">
            <a:extLst>
              <a:ext uri="{FF2B5EF4-FFF2-40B4-BE49-F238E27FC236}">
                <a16:creationId xmlns="" xmlns:a16="http://schemas.microsoft.com/office/drawing/2014/main" id="{00000000-0008-0000-1C00-0000EC104300}"/>
              </a:ext>
            </a:extLst>
          </xdr:cNvPr>
          <xdr:cNvSpPr>
            <a:spLocks noChangeShapeType="1"/>
          </xdr:cNvSpPr>
        </xdr:nvSpPr>
        <xdr:spPr bwMode="auto">
          <a:xfrm>
            <a:off x="32045909" y="6407627"/>
            <a:ext cx="13630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5245" name="Line 184">
            <a:extLst>
              <a:ext uri="{FF2B5EF4-FFF2-40B4-BE49-F238E27FC236}">
                <a16:creationId xmlns="" xmlns:a16="http://schemas.microsoft.com/office/drawing/2014/main" id="{00000000-0008-0000-1C00-0000ED104300}"/>
              </a:ext>
            </a:extLst>
          </xdr:cNvPr>
          <xdr:cNvSpPr>
            <a:spLocks noChangeShapeType="1"/>
          </xdr:cNvSpPr>
        </xdr:nvSpPr>
        <xdr:spPr bwMode="auto">
          <a:xfrm>
            <a:off x="32039228" y="6863724"/>
            <a:ext cx="22316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5246" name="Line 185">
            <a:extLst>
              <a:ext uri="{FF2B5EF4-FFF2-40B4-BE49-F238E27FC236}">
                <a16:creationId xmlns="" xmlns:a16="http://schemas.microsoft.com/office/drawing/2014/main" id="{00000000-0008-0000-1C00-0000EE10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45909" y="7254664"/>
            <a:ext cx="306014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5247" name="Line 186">
            <a:extLst>
              <a:ext uri="{FF2B5EF4-FFF2-40B4-BE49-F238E27FC236}">
                <a16:creationId xmlns="" xmlns:a16="http://schemas.microsoft.com/office/drawing/2014/main" id="{00000000-0008-0000-1C00-0000EF104300}"/>
              </a:ext>
            </a:extLst>
          </xdr:cNvPr>
          <xdr:cNvSpPr>
            <a:spLocks noChangeShapeType="1"/>
          </xdr:cNvSpPr>
        </xdr:nvSpPr>
        <xdr:spPr bwMode="auto">
          <a:xfrm>
            <a:off x="32520299" y="4964873"/>
            <a:ext cx="0" cy="115420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5248" name="Line 187">
            <a:extLst>
              <a:ext uri="{FF2B5EF4-FFF2-40B4-BE49-F238E27FC236}">
                <a16:creationId xmlns="" xmlns:a16="http://schemas.microsoft.com/office/drawing/2014/main" id="{00000000-0008-0000-1C00-0000F0104300}"/>
              </a:ext>
            </a:extLst>
          </xdr:cNvPr>
          <xdr:cNvSpPr>
            <a:spLocks noChangeShapeType="1"/>
          </xdr:cNvSpPr>
        </xdr:nvSpPr>
        <xdr:spPr bwMode="auto">
          <a:xfrm>
            <a:off x="32065954" y="5030029"/>
            <a:ext cx="414255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5249" name="Line 188">
            <a:extLst>
              <a:ext uri="{FF2B5EF4-FFF2-40B4-BE49-F238E27FC236}">
                <a16:creationId xmlns="" xmlns:a16="http://schemas.microsoft.com/office/drawing/2014/main" id="{00000000-0008-0000-1C00-0000F1104300}"/>
              </a:ext>
            </a:extLst>
          </xdr:cNvPr>
          <xdr:cNvSpPr>
            <a:spLocks noChangeShapeType="1"/>
          </xdr:cNvSpPr>
        </xdr:nvSpPr>
        <xdr:spPr bwMode="auto">
          <a:xfrm>
            <a:off x="33408943" y="4955565"/>
            <a:ext cx="0" cy="149860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5250" name="Line 189">
            <a:extLst>
              <a:ext uri="{FF2B5EF4-FFF2-40B4-BE49-F238E27FC236}">
                <a16:creationId xmlns="" xmlns:a16="http://schemas.microsoft.com/office/drawing/2014/main" id="{00000000-0008-0000-1C00-0000F2104300}"/>
              </a:ext>
            </a:extLst>
          </xdr:cNvPr>
          <xdr:cNvSpPr>
            <a:spLocks noChangeShapeType="1"/>
          </xdr:cNvSpPr>
        </xdr:nvSpPr>
        <xdr:spPr bwMode="auto">
          <a:xfrm>
            <a:off x="32841012" y="5039338"/>
            <a:ext cx="88864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5251" name="Line 191">
            <a:extLst>
              <a:ext uri="{FF2B5EF4-FFF2-40B4-BE49-F238E27FC236}">
                <a16:creationId xmlns="" xmlns:a16="http://schemas.microsoft.com/office/drawing/2014/main" id="{00000000-0008-0000-1C00-0000F3104300}"/>
              </a:ext>
            </a:extLst>
          </xdr:cNvPr>
          <xdr:cNvSpPr>
            <a:spLocks noChangeShapeType="1"/>
          </xdr:cNvSpPr>
        </xdr:nvSpPr>
        <xdr:spPr bwMode="auto">
          <a:xfrm>
            <a:off x="34241720" y="5042775"/>
            <a:ext cx="0" cy="209917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5252" name="Rectangle 196">
            <a:extLst>
              <a:ext uri="{FF2B5EF4-FFF2-40B4-BE49-F238E27FC236}">
                <a16:creationId xmlns="" xmlns:a16="http://schemas.microsoft.com/office/drawing/2014/main" id="{00000000-0008-0000-1C00-0000F4104300}"/>
              </a:ext>
            </a:extLst>
          </xdr:cNvPr>
          <xdr:cNvSpPr>
            <a:spLocks noChangeArrowheads="1"/>
          </xdr:cNvSpPr>
        </xdr:nvSpPr>
        <xdr:spPr bwMode="auto">
          <a:xfrm>
            <a:off x="32039227" y="4918332"/>
            <a:ext cx="6314051" cy="363016"/>
          </a:xfrm>
          <a:prstGeom prst="rect">
            <a:avLst/>
          </a:prstGeom>
          <a:noFill/>
          <a:ln w="158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95253" name="Line 197">
            <a:extLst>
              <a:ext uri="{FF2B5EF4-FFF2-40B4-BE49-F238E27FC236}">
                <a16:creationId xmlns="" xmlns:a16="http://schemas.microsoft.com/office/drawing/2014/main" id="{00000000-0008-0000-1C00-0000F5104300}"/>
              </a:ext>
            </a:extLst>
          </xdr:cNvPr>
          <xdr:cNvSpPr>
            <a:spLocks noChangeShapeType="1"/>
          </xdr:cNvSpPr>
        </xdr:nvSpPr>
        <xdr:spPr bwMode="auto">
          <a:xfrm>
            <a:off x="38039246" y="4955565"/>
            <a:ext cx="0" cy="398386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5254" name="Line 199">
            <a:extLst>
              <a:ext uri="{FF2B5EF4-FFF2-40B4-BE49-F238E27FC236}">
                <a16:creationId xmlns="" xmlns:a16="http://schemas.microsoft.com/office/drawing/2014/main" id="{00000000-0008-0000-1C00-0000F610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032547" y="8939429"/>
            <a:ext cx="600001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5255" name="Line 201">
            <a:extLst>
              <a:ext uri="{FF2B5EF4-FFF2-40B4-BE49-F238E27FC236}">
                <a16:creationId xmlns="" xmlns:a16="http://schemas.microsoft.com/office/drawing/2014/main" id="{00000000-0008-0000-1C00-0000F710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5082562" y="5032371"/>
            <a:ext cx="0" cy="2362448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5256" name="Line 202">
            <a:extLst>
              <a:ext uri="{FF2B5EF4-FFF2-40B4-BE49-F238E27FC236}">
                <a16:creationId xmlns="" xmlns:a16="http://schemas.microsoft.com/office/drawing/2014/main" id="{00000000-0008-0000-1C00-0000F810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7758028" y="5032371"/>
            <a:ext cx="8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5257" name="Line 203">
            <a:extLst>
              <a:ext uri="{FF2B5EF4-FFF2-40B4-BE49-F238E27FC236}">
                <a16:creationId xmlns="" xmlns:a16="http://schemas.microsoft.com/office/drawing/2014/main" id="{00000000-0008-0000-1C00-0000F910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7692145"/>
            <a:ext cx="388865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5258" name="Line 204">
            <a:extLst>
              <a:ext uri="{FF2B5EF4-FFF2-40B4-BE49-F238E27FC236}">
                <a16:creationId xmlns="" xmlns:a16="http://schemas.microsoft.com/office/drawing/2014/main" id="{00000000-0008-0000-1C00-0000FA10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8148242"/>
            <a:ext cx="469711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5259" name="Line 205">
            <a:extLst>
              <a:ext uri="{FF2B5EF4-FFF2-40B4-BE49-F238E27FC236}">
                <a16:creationId xmlns="" xmlns:a16="http://schemas.microsoft.com/office/drawing/2014/main" id="{00000000-0008-0000-1C00-0000FB10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8529873"/>
            <a:ext cx="5405362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5260" name="Line 207">
            <a:extLst>
              <a:ext uri="{FF2B5EF4-FFF2-40B4-BE49-F238E27FC236}">
                <a16:creationId xmlns="" xmlns:a16="http://schemas.microsoft.com/office/drawing/2014/main" id="{00000000-0008-0000-1C00-0000FC104300}"/>
              </a:ext>
            </a:extLst>
          </xdr:cNvPr>
          <xdr:cNvSpPr>
            <a:spLocks noChangeShapeType="1"/>
          </xdr:cNvSpPr>
        </xdr:nvSpPr>
        <xdr:spPr bwMode="auto">
          <a:xfrm>
            <a:off x="35903589" y="4964873"/>
            <a:ext cx="0" cy="291533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5261" name="Line 210">
            <a:extLst>
              <a:ext uri="{FF2B5EF4-FFF2-40B4-BE49-F238E27FC236}">
                <a16:creationId xmlns="" xmlns:a16="http://schemas.microsoft.com/office/drawing/2014/main" id="{00000000-0008-0000-1C00-0000FD104300}"/>
              </a:ext>
            </a:extLst>
          </xdr:cNvPr>
          <xdr:cNvSpPr>
            <a:spLocks noChangeShapeType="1"/>
          </xdr:cNvSpPr>
        </xdr:nvSpPr>
        <xdr:spPr bwMode="auto">
          <a:xfrm>
            <a:off x="37410345" y="4985564"/>
            <a:ext cx="0" cy="3620849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5262" name="Line 212">
            <a:extLst>
              <a:ext uri="{FF2B5EF4-FFF2-40B4-BE49-F238E27FC236}">
                <a16:creationId xmlns="" xmlns:a16="http://schemas.microsoft.com/office/drawing/2014/main" id="{00000000-0008-0000-1C00-0000FE104300}"/>
              </a:ext>
            </a:extLst>
          </xdr:cNvPr>
          <xdr:cNvSpPr>
            <a:spLocks noChangeShapeType="1"/>
          </xdr:cNvSpPr>
        </xdr:nvSpPr>
        <xdr:spPr bwMode="auto">
          <a:xfrm>
            <a:off x="37945705" y="5039338"/>
            <a:ext cx="17372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5263" name="Line 210">
            <a:extLst>
              <a:ext uri="{FF2B5EF4-FFF2-40B4-BE49-F238E27FC236}">
                <a16:creationId xmlns="" xmlns:a16="http://schemas.microsoft.com/office/drawing/2014/main" id="{00000000-0008-0000-1C00-0000FF104300}"/>
              </a:ext>
            </a:extLst>
          </xdr:cNvPr>
          <xdr:cNvSpPr>
            <a:spLocks noChangeShapeType="1"/>
          </xdr:cNvSpPr>
        </xdr:nvSpPr>
        <xdr:spPr bwMode="auto">
          <a:xfrm>
            <a:off x="36723957" y="4916090"/>
            <a:ext cx="0" cy="3347106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12</xdr:col>
      <xdr:colOff>190500</xdr:colOff>
      <xdr:row>17</xdr:row>
      <xdr:rowOff>200025</xdr:rowOff>
    </xdr:from>
    <xdr:to>
      <xdr:col>21</xdr:col>
      <xdr:colOff>209550</xdr:colOff>
      <xdr:row>29</xdr:row>
      <xdr:rowOff>361950</xdr:rowOff>
    </xdr:to>
    <xdr:pic>
      <xdr:nvPicPr>
        <xdr:cNvPr id="4395241" name="Picture 103">
          <a:extLst>
            <a:ext uri="{FF2B5EF4-FFF2-40B4-BE49-F238E27FC236}">
              <a16:creationId xmlns="" xmlns:a16="http://schemas.microsoft.com/office/drawing/2014/main" id="{00000000-0008-0000-1C00-0000E9104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2077700" y="6343650"/>
          <a:ext cx="7524750" cy="381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74289" name="Line 1">
          <a:extLst>
            <a:ext uri="{FF2B5EF4-FFF2-40B4-BE49-F238E27FC236}">
              <a16:creationId xmlns="" xmlns:a16="http://schemas.microsoft.com/office/drawing/2014/main" id="{00000000-0008-0000-1D00-000011BF4200}"/>
            </a:ext>
          </a:extLst>
        </xdr:cNvPr>
        <xdr:cNvSpPr>
          <a:spLocks noChangeShapeType="1"/>
        </xdr:cNvSpPr>
      </xdr:nvSpPr>
      <xdr:spPr bwMode="auto">
        <a:xfrm flipV="1"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74290" name="Line 2">
          <a:extLst>
            <a:ext uri="{FF2B5EF4-FFF2-40B4-BE49-F238E27FC236}">
              <a16:creationId xmlns="" xmlns:a16="http://schemas.microsoft.com/office/drawing/2014/main" id="{00000000-0008-0000-1D00-000012BF4200}"/>
            </a:ext>
          </a:extLst>
        </xdr:cNvPr>
        <xdr:cNvSpPr>
          <a:spLocks noChangeShapeType="1"/>
        </xdr:cNvSpPr>
      </xdr:nvSpPr>
      <xdr:spPr bwMode="auto">
        <a:xfrm flipV="1">
          <a:off x="81819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676275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74291" name="Line 3">
          <a:extLst>
            <a:ext uri="{FF2B5EF4-FFF2-40B4-BE49-F238E27FC236}">
              <a16:creationId xmlns="" xmlns:a16="http://schemas.microsoft.com/office/drawing/2014/main" id="{00000000-0008-0000-1D00-000013BF42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5553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95250</xdr:colOff>
      <xdr:row>0</xdr:row>
      <xdr:rowOff>0</xdr:rowOff>
    </xdr:from>
    <xdr:to>
      <xdr:col>6</xdr:col>
      <xdr:colOff>200025</xdr:colOff>
      <xdr:row>0</xdr:row>
      <xdr:rowOff>0</xdr:rowOff>
    </xdr:to>
    <xdr:sp macro="" textlink="">
      <xdr:nvSpPr>
        <xdr:cNvPr id="4374292" name="Line 4">
          <a:extLst>
            <a:ext uri="{FF2B5EF4-FFF2-40B4-BE49-F238E27FC236}">
              <a16:creationId xmlns="" xmlns:a16="http://schemas.microsoft.com/office/drawing/2014/main" id="{00000000-0008-0000-1D00-000014BF4200}"/>
            </a:ext>
          </a:extLst>
        </xdr:cNvPr>
        <xdr:cNvSpPr>
          <a:spLocks noChangeShapeType="1"/>
        </xdr:cNvSpPr>
      </xdr:nvSpPr>
      <xdr:spPr bwMode="auto">
        <a:xfrm>
          <a:off x="8277225" y="0"/>
          <a:ext cx="1104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104775</xdr:colOff>
      <xdr:row>0</xdr:row>
      <xdr:rowOff>0</xdr:rowOff>
    </xdr:from>
    <xdr:to>
      <xdr:col>6</xdr:col>
      <xdr:colOff>104775</xdr:colOff>
      <xdr:row>0</xdr:row>
      <xdr:rowOff>0</xdr:rowOff>
    </xdr:to>
    <xdr:sp macro="" textlink="">
      <xdr:nvSpPr>
        <xdr:cNvPr id="4374293" name="Line 5">
          <a:extLst>
            <a:ext uri="{FF2B5EF4-FFF2-40B4-BE49-F238E27FC236}">
              <a16:creationId xmlns="" xmlns:a16="http://schemas.microsoft.com/office/drawing/2014/main" id="{00000000-0008-0000-1D00-000015BF4200}"/>
            </a:ext>
          </a:extLst>
        </xdr:cNvPr>
        <xdr:cNvSpPr>
          <a:spLocks noChangeShapeType="1"/>
        </xdr:cNvSpPr>
      </xdr:nvSpPr>
      <xdr:spPr bwMode="auto">
        <a:xfrm>
          <a:off x="9286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0</xdr:row>
      <xdr:rowOff>0</xdr:rowOff>
    </xdr:from>
    <xdr:to>
      <xdr:col>6</xdr:col>
      <xdr:colOff>114300</xdr:colOff>
      <xdr:row>0</xdr:row>
      <xdr:rowOff>0</xdr:rowOff>
    </xdr:to>
    <xdr:sp macro="" textlink="">
      <xdr:nvSpPr>
        <xdr:cNvPr id="4374294" name="Line 6">
          <a:extLst>
            <a:ext uri="{FF2B5EF4-FFF2-40B4-BE49-F238E27FC236}">
              <a16:creationId xmlns="" xmlns:a16="http://schemas.microsoft.com/office/drawing/2014/main" id="{00000000-0008-0000-1D00-000016BF4200}"/>
            </a:ext>
          </a:extLst>
        </xdr:cNvPr>
        <xdr:cNvSpPr>
          <a:spLocks noChangeShapeType="1"/>
        </xdr:cNvSpPr>
      </xdr:nvSpPr>
      <xdr:spPr bwMode="auto">
        <a:xfrm>
          <a:off x="92964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85725</xdr:colOff>
      <xdr:row>0</xdr:row>
      <xdr:rowOff>0</xdr:rowOff>
    </xdr:from>
    <xdr:to>
      <xdr:col>6</xdr:col>
      <xdr:colOff>228600</xdr:colOff>
      <xdr:row>0</xdr:row>
      <xdr:rowOff>0</xdr:rowOff>
    </xdr:to>
    <xdr:sp macro="" textlink="">
      <xdr:nvSpPr>
        <xdr:cNvPr id="4374295" name="Line 7">
          <a:extLst>
            <a:ext uri="{FF2B5EF4-FFF2-40B4-BE49-F238E27FC236}">
              <a16:creationId xmlns="" xmlns:a16="http://schemas.microsoft.com/office/drawing/2014/main" id="{00000000-0008-0000-1D00-000017BF4200}"/>
            </a:ext>
          </a:extLst>
        </xdr:cNvPr>
        <xdr:cNvSpPr>
          <a:spLocks noChangeShapeType="1"/>
        </xdr:cNvSpPr>
      </xdr:nvSpPr>
      <xdr:spPr bwMode="auto">
        <a:xfrm>
          <a:off x="8267700" y="0"/>
          <a:ext cx="1143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533400</xdr:colOff>
      <xdr:row>0</xdr:row>
      <xdr:rowOff>0</xdr:rowOff>
    </xdr:from>
    <xdr:to>
      <xdr:col>12</xdr:col>
      <xdr:colOff>123825</xdr:colOff>
      <xdr:row>0</xdr:row>
      <xdr:rowOff>0</xdr:rowOff>
    </xdr:to>
    <xdr:sp macro="" textlink="">
      <xdr:nvSpPr>
        <xdr:cNvPr id="4374296" name="Line 8">
          <a:extLst>
            <a:ext uri="{FF2B5EF4-FFF2-40B4-BE49-F238E27FC236}">
              <a16:creationId xmlns="" xmlns:a16="http://schemas.microsoft.com/office/drawing/2014/main" id="{00000000-0008-0000-1D00-000018BF4200}"/>
            </a:ext>
          </a:extLst>
        </xdr:cNvPr>
        <xdr:cNvSpPr>
          <a:spLocks noChangeShapeType="1"/>
        </xdr:cNvSpPr>
      </xdr:nvSpPr>
      <xdr:spPr bwMode="auto">
        <a:xfrm>
          <a:off x="13011150" y="0"/>
          <a:ext cx="12382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12</xdr:col>
      <xdr:colOff>238125</xdr:colOff>
      <xdr:row>0</xdr:row>
      <xdr:rowOff>0</xdr:rowOff>
    </xdr:to>
    <xdr:sp macro="" textlink="">
      <xdr:nvSpPr>
        <xdr:cNvPr id="4374297" name="Line 9">
          <a:extLst>
            <a:ext uri="{FF2B5EF4-FFF2-40B4-BE49-F238E27FC236}">
              <a16:creationId xmlns="" xmlns:a16="http://schemas.microsoft.com/office/drawing/2014/main" id="{00000000-0008-0000-1D00-000019BF4200}"/>
            </a:ext>
          </a:extLst>
        </xdr:cNvPr>
        <xdr:cNvSpPr>
          <a:spLocks noChangeShapeType="1"/>
        </xdr:cNvSpPr>
      </xdr:nvSpPr>
      <xdr:spPr bwMode="auto">
        <a:xfrm flipV="1">
          <a:off x="131349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238125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74298" name="Line 10">
          <a:extLst>
            <a:ext uri="{FF2B5EF4-FFF2-40B4-BE49-F238E27FC236}">
              <a16:creationId xmlns="" xmlns:a16="http://schemas.microsoft.com/office/drawing/2014/main" id="{00000000-0008-0000-1D00-00001ABF4200}"/>
            </a:ext>
          </a:extLst>
        </xdr:cNvPr>
        <xdr:cNvSpPr>
          <a:spLocks noChangeShapeType="1"/>
        </xdr:cNvSpPr>
      </xdr:nvSpPr>
      <xdr:spPr bwMode="auto">
        <a:xfrm>
          <a:off x="13249275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361950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74299" name="Line 11">
          <a:extLst>
            <a:ext uri="{FF2B5EF4-FFF2-40B4-BE49-F238E27FC236}">
              <a16:creationId xmlns="" xmlns:a16="http://schemas.microsoft.com/office/drawing/2014/main" id="{00000000-0008-0000-1D00-00001BBF4200}"/>
            </a:ext>
          </a:extLst>
        </xdr:cNvPr>
        <xdr:cNvSpPr>
          <a:spLocks noChangeShapeType="1"/>
        </xdr:cNvSpPr>
      </xdr:nvSpPr>
      <xdr:spPr bwMode="auto">
        <a:xfrm flipV="1">
          <a:off x="132588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466725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74300" name="Line 12">
          <a:extLst>
            <a:ext uri="{FF2B5EF4-FFF2-40B4-BE49-F238E27FC236}">
              <a16:creationId xmlns="" xmlns:a16="http://schemas.microsoft.com/office/drawing/2014/main" id="{00000000-0008-0000-1D00-00001CBF4200}"/>
            </a:ext>
          </a:extLst>
        </xdr:cNvPr>
        <xdr:cNvSpPr>
          <a:spLocks noChangeShapeType="1"/>
        </xdr:cNvSpPr>
      </xdr:nvSpPr>
      <xdr:spPr bwMode="auto">
        <a:xfrm>
          <a:off x="132588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581025</xdr:colOff>
      <xdr:row>0</xdr:row>
      <xdr:rowOff>0</xdr:rowOff>
    </xdr:from>
    <xdr:to>
      <xdr:col>13</xdr:col>
      <xdr:colOff>0</xdr:colOff>
      <xdr:row>0</xdr:row>
      <xdr:rowOff>0</xdr:rowOff>
    </xdr:to>
    <xdr:sp macro="" textlink="">
      <xdr:nvSpPr>
        <xdr:cNvPr id="4374301" name="Line 13">
          <a:extLst>
            <a:ext uri="{FF2B5EF4-FFF2-40B4-BE49-F238E27FC236}">
              <a16:creationId xmlns="" xmlns:a16="http://schemas.microsoft.com/office/drawing/2014/main" id="{00000000-0008-0000-1D00-00001DBF4200}"/>
            </a:ext>
          </a:extLst>
        </xdr:cNvPr>
        <xdr:cNvSpPr>
          <a:spLocks noChangeShapeType="1"/>
        </xdr:cNvSpPr>
      </xdr:nvSpPr>
      <xdr:spPr bwMode="auto">
        <a:xfrm flipV="1">
          <a:off x="132588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0</xdr:row>
      <xdr:rowOff>0</xdr:rowOff>
    </xdr:from>
    <xdr:to>
      <xdr:col>13</xdr:col>
      <xdr:colOff>123825</xdr:colOff>
      <xdr:row>0</xdr:row>
      <xdr:rowOff>0</xdr:rowOff>
    </xdr:to>
    <xdr:sp macro="" textlink="">
      <xdr:nvSpPr>
        <xdr:cNvPr id="4374302" name="Line 14">
          <a:extLst>
            <a:ext uri="{FF2B5EF4-FFF2-40B4-BE49-F238E27FC236}">
              <a16:creationId xmlns="" xmlns:a16="http://schemas.microsoft.com/office/drawing/2014/main" id="{00000000-0008-0000-1D00-00001EBF4200}"/>
            </a:ext>
          </a:extLst>
        </xdr:cNvPr>
        <xdr:cNvSpPr>
          <a:spLocks noChangeShapeType="1"/>
        </xdr:cNvSpPr>
      </xdr:nvSpPr>
      <xdr:spPr bwMode="auto">
        <a:xfrm>
          <a:off x="1325880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123825</xdr:colOff>
      <xdr:row>0</xdr:row>
      <xdr:rowOff>0</xdr:rowOff>
    </xdr:from>
    <xdr:to>
      <xdr:col>13</xdr:col>
      <xdr:colOff>238125</xdr:colOff>
      <xdr:row>0</xdr:row>
      <xdr:rowOff>0</xdr:rowOff>
    </xdr:to>
    <xdr:sp macro="" textlink="">
      <xdr:nvSpPr>
        <xdr:cNvPr id="4374303" name="Line 15">
          <a:extLst>
            <a:ext uri="{FF2B5EF4-FFF2-40B4-BE49-F238E27FC236}">
              <a16:creationId xmlns="" xmlns:a16="http://schemas.microsoft.com/office/drawing/2014/main" id="{00000000-0008-0000-1D00-00001FBF4200}"/>
            </a:ext>
          </a:extLst>
        </xdr:cNvPr>
        <xdr:cNvSpPr>
          <a:spLocks noChangeShapeType="1"/>
        </xdr:cNvSpPr>
      </xdr:nvSpPr>
      <xdr:spPr bwMode="auto">
        <a:xfrm flipV="1">
          <a:off x="133826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238125</xdr:colOff>
      <xdr:row>0</xdr:row>
      <xdr:rowOff>0</xdr:rowOff>
    </xdr:from>
    <xdr:to>
      <xdr:col>13</xdr:col>
      <xdr:colOff>361950</xdr:colOff>
      <xdr:row>0</xdr:row>
      <xdr:rowOff>0</xdr:rowOff>
    </xdr:to>
    <xdr:sp macro="" textlink="">
      <xdr:nvSpPr>
        <xdr:cNvPr id="4374304" name="Line 16">
          <a:extLst>
            <a:ext uri="{FF2B5EF4-FFF2-40B4-BE49-F238E27FC236}">
              <a16:creationId xmlns="" xmlns:a16="http://schemas.microsoft.com/office/drawing/2014/main" id="{00000000-0008-0000-1D00-000020BF4200}"/>
            </a:ext>
          </a:extLst>
        </xdr:cNvPr>
        <xdr:cNvSpPr>
          <a:spLocks noChangeShapeType="1"/>
        </xdr:cNvSpPr>
      </xdr:nvSpPr>
      <xdr:spPr bwMode="auto">
        <a:xfrm>
          <a:off x="1349692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361950</xdr:colOff>
      <xdr:row>0</xdr:row>
      <xdr:rowOff>0</xdr:rowOff>
    </xdr:from>
    <xdr:to>
      <xdr:col>13</xdr:col>
      <xdr:colOff>476250</xdr:colOff>
      <xdr:row>0</xdr:row>
      <xdr:rowOff>0</xdr:rowOff>
    </xdr:to>
    <xdr:sp macro="" textlink="">
      <xdr:nvSpPr>
        <xdr:cNvPr id="4374305" name="Line 17">
          <a:extLst>
            <a:ext uri="{FF2B5EF4-FFF2-40B4-BE49-F238E27FC236}">
              <a16:creationId xmlns="" xmlns:a16="http://schemas.microsoft.com/office/drawing/2014/main" id="{00000000-0008-0000-1D00-000021BF4200}"/>
            </a:ext>
          </a:extLst>
        </xdr:cNvPr>
        <xdr:cNvSpPr>
          <a:spLocks noChangeShapeType="1"/>
        </xdr:cNvSpPr>
      </xdr:nvSpPr>
      <xdr:spPr bwMode="auto">
        <a:xfrm flipV="1">
          <a:off x="1362075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476250</xdr:colOff>
      <xdr:row>0</xdr:row>
      <xdr:rowOff>0</xdr:rowOff>
    </xdr:from>
    <xdr:to>
      <xdr:col>13</xdr:col>
      <xdr:colOff>609600</xdr:colOff>
      <xdr:row>0</xdr:row>
      <xdr:rowOff>0</xdr:rowOff>
    </xdr:to>
    <xdr:sp macro="" textlink="">
      <xdr:nvSpPr>
        <xdr:cNvPr id="4374306" name="Line 18">
          <a:extLst>
            <a:ext uri="{FF2B5EF4-FFF2-40B4-BE49-F238E27FC236}">
              <a16:creationId xmlns="" xmlns:a16="http://schemas.microsoft.com/office/drawing/2014/main" id="{00000000-0008-0000-1D00-000022BF4200}"/>
            </a:ext>
          </a:extLst>
        </xdr:cNvPr>
        <xdr:cNvSpPr>
          <a:spLocks noChangeShapeType="1"/>
        </xdr:cNvSpPr>
      </xdr:nvSpPr>
      <xdr:spPr bwMode="auto">
        <a:xfrm>
          <a:off x="13735050" y="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14</xdr:col>
      <xdr:colOff>28575</xdr:colOff>
      <xdr:row>0</xdr:row>
      <xdr:rowOff>0</xdr:rowOff>
    </xdr:to>
    <xdr:sp macro="" textlink="">
      <xdr:nvSpPr>
        <xdr:cNvPr id="4374307" name="Line 19">
          <a:extLst>
            <a:ext uri="{FF2B5EF4-FFF2-40B4-BE49-F238E27FC236}">
              <a16:creationId xmlns="" xmlns:a16="http://schemas.microsoft.com/office/drawing/2014/main" id="{00000000-0008-0000-1D00-000023BF4200}"/>
            </a:ext>
          </a:extLst>
        </xdr:cNvPr>
        <xdr:cNvSpPr>
          <a:spLocks noChangeShapeType="1"/>
        </xdr:cNvSpPr>
      </xdr:nvSpPr>
      <xdr:spPr bwMode="auto">
        <a:xfrm flipV="1">
          <a:off x="13868400" y="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28575</xdr:colOff>
      <xdr:row>0</xdr:row>
      <xdr:rowOff>0</xdr:rowOff>
    </xdr:from>
    <xdr:to>
      <xdr:col>14</xdr:col>
      <xdr:colOff>152400</xdr:colOff>
      <xdr:row>0</xdr:row>
      <xdr:rowOff>0</xdr:rowOff>
    </xdr:to>
    <xdr:sp macro="" textlink="">
      <xdr:nvSpPr>
        <xdr:cNvPr id="4374308" name="Line 20">
          <a:extLst>
            <a:ext uri="{FF2B5EF4-FFF2-40B4-BE49-F238E27FC236}">
              <a16:creationId xmlns="" xmlns:a16="http://schemas.microsoft.com/office/drawing/2014/main" id="{00000000-0008-0000-1D00-000024BF4200}"/>
            </a:ext>
          </a:extLst>
        </xdr:cNvPr>
        <xdr:cNvSpPr>
          <a:spLocks noChangeShapeType="1"/>
        </xdr:cNvSpPr>
      </xdr:nvSpPr>
      <xdr:spPr bwMode="auto">
        <a:xfrm>
          <a:off x="1447800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152400</xdr:colOff>
      <xdr:row>0</xdr:row>
      <xdr:rowOff>0</xdr:rowOff>
    </xdr:from>
    <xdr:to>
      <xdr:col>14</xdr:col>
      <xdr:colOff>266700</xdr:colOff>
      <xdr:row>0</xdr:row>
      <xdr:rowOff>0</xdr:rowOff>
    </xdr:to>
    <xdr:sp macro="" textlink="">
      <xdr:nvSpPr>
        <xdr:cNvPr id="4374309" name="Line 21">
          <a:extLst>
            <a:ext uri="{FF2B5EF4-FFF2-40B4-BE49-F238E27FC236}">
              <a16:creationId xmlns="" xmlns:a16="http://schemas.microsoft.com/office/drawing/2014/main" id="{00000000-0008-0000-1D00-000025BF4200}"/>
            </a:ext>
          </a:extLst>
        </xdr:cNvPr>
        <xdr:cNvSpPr>
          <a:spLocks noChangeShapeType="1"/>
        </xdr:cNvSpPr>
      </xdr:nvSpPr>
      <xdr:spPr bwMode="auto">
        <a:xfrm flipV="1">
          <a:off x="146018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266700</xdr:colOff>
      <xdr:row>0</xdr:row>
      <xdr:rowOff>0</xdr:rowOff>
    </xdr:from>
    <xdr:to>
      <xdr:col>14</xdr:col>
      <xdr:colOff>381000</xdr:colOff>
      <xdr:row>0</xdr:row>
      <xdr:rowOff>0</xdr:rowOff>
    </xdr:to>
    <xdr:sp macro="" textlink="">
      <xdr:nvSpPr>
        <xdr:cNvPr id="4374310" name="Line 22">
          <a:extLst>
            <a:ext uri="{FF2B5EF4-FFF2-40B4-BE49-F238E27FC236}">
              <a16:creationId xmlns="" xmlns:a16="http://schemas.microsoft.com/office/drawing/2014/main" id="{00000000-0008-0000-1D00-000026BF4200}"/>
            </a:ext>
          </a:extLst>
        </xdr:cNvPr>
        <xdr:cNvSpPr>
          <a:spLocks noChangeShapeType="1"/>
        </xdr:cNvSpPr>
      </xdr:nvSpPr>
      <xdr:spPr bwMode="auto">
        <a:xfrm>
          <a:off x="147161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381000</xdr:colOff>
      <xdr:row>0</xdr:row>
      <xdr:rowOff>0</xdr:rowOff>
    </xdr:from>
    <xdr:to>
      <xdr:col>14</xdr:col>
      <xdr:colOff>495300</xdr:colOff>
      <xdr:row>0</xdr:row>
      <xdr:rowOff>0</xdr:rowOff>
    </xdr:to>
    <xdr:sp macro="" textlink="">
      <xdr:nvSpPr>
        <xdr:cNvPr id="4374311" name="Line 23">
          <a:extLst>
            <a:ext uri="{FF2B5EF4-FFF2-40B4-BE49-F238E27FC236}">
              <a16:creationId xmlns="" xmlns:a16="http://schemas.microsoft.com/office/drawing/2014/main" id="{00000000-0008-0000-1D00-000027BF4200}"/>
            </a:ext>
          </a:extLst>
        </xdr:cNvPr>
        <xdr:cNvSpPr>
          <a:spLocks noChangeShapeType="1"/>
        </xdr:cNvSpPr>
      </xdr:nvSpPr>
      <xdr:spPr bwMode="auto">
        <a:xfrm flipV="1">
          <a:off x="148304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495300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74312" name="Line 24">
          <a:extLst>
            <a:ext uri="{FF2B5EF4-FFF2-40B4-BE49-F238E27FC236}">
              <a16:creationId xmlns="" xmlns:a16="http://schemas.microsoft.com/office/drawing/2014/main" id="{00000000-0008-0000-1D00-000028BF4200}"/>
            </a:ext>
          </a:extLst>
        </xdr:cNvPr>
        <xdr:cNvSpPr>
          <a:spLocks noChangeShapeType="1"/>
        </xdr:cNvSpPr>
      </xdr:nvSpPr>
      <xdr:spPr bwMode="auto">
        <a:xfrm>
          <a:off x="1494472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74313" name="Line 25">
          <a:extLst>
            <a:ext uri="{FF2B5EF4-FFF2-40B4-BE49-F238E27FC236}">
              <a16:creationId xmlns="" xmlns:a16="http://schemas.microsoft.com/office/drawing/2014/main" id="{00000000-0008-0000-1D00-000029BF4200}"/>
            </a:ext>
          </a:extLst>
        </xdr:cNvPr>
        <xdr:cNvSpPr>
          <a:spLocks noChangeShapeType="1"/>
        </xdr:cNvSpPr>
      </xdr:nvSpPr>
      <xdr:spPr bwMode="auto">
        <a:xfrm flipV="1">
          <a:off x="1506855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66675</xdr:colOff>
      <xdr:row>0</xdr:row>
      <xdr:rowOff>0</xdr:rowOff>
    </xdr:to>
    <xdr:sp macro="" textlink="">
      <xdr:nvSpPr>
        <xdr:cNvPr id="4374314" name="Line 26">
          <a:extLst>
            <a:ext uri="{FF2B5EF4-FFF2-40B4-BE49-F238E27FC236}">
              <a16:creationId xmlns="" xmlns:a16="http://schemas.microsoft.com/office/drawing/2014/main" id="{00000000-0008-0000-1D00-00002ABF4200}"/>
            </a:ext>
          </a:extLst>
        </xdr:cNvPr>
        <xdr:cNvSpPr>
          <a:spLocks noChangeShapeType="1"/>
        </xdr:cNvSpPr>
      </xdr:nvSpPr>
      <xdr:spPr bwMode="auto">
        <a:xfrm flipV="1">
          <a:off x="130778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74315" name="Line 27">
          <a:extLst>
            <a:ext uri="{FF2B5EF4-FFF2-40B4-BE49-F238E27FC236}">
              <a16:creationId xmlns="" xmlns:a16="http://schemas.microsoft.com/office/drawing/2014/main" id="{00000000-0008-0000-1D00-00002BBF4200}"/>
            </a:ext>
          </a:extLst>
        </xdr:cNvPr>
        <xdr:cNvSpPr>
          <a:spLocks noChangeShapeType="1"/>
        </xdr:cNvSpPr>
      </xdr:nvSpPr>
      <xdr:spPr bwMode="auto">
        <a:xfrm flipV="1">
          <a:off x="150685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74316" name="Line 28">
          <a:extLst>
            <a:ext uri="{FF2B5EF4-FFF2-40B4-BE49-F238E27FC236}">
              <a16:creationId xmlns="" xmlns:a16="http://schemas.microsoft.com/office/drawing/2014/main" id="{00000000-0008-0000-1D00-00002CBF4200}"/>
            </a:ext>
          </a:extLst>
        </xdr:cNvPr>
        <xdr:cNvSpPr>
          <a:spLocks noChangeShapeType="1"/>
        </xdr:cNvSpPr>
      </xdr:nvSpPr>
      <xdr:spPr bwMode="auto">
        <a:xfrm>
          <a:off x="13134975" y="0"/>
          <a:ext cx="1933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352425</xdr:colOff>
      <xdr:row>0</xdr:row>
      <xdr:rowOff>0</xdr:rowOff>
    </xdr:from>
    <xdr:to>
      <xdr:col>2</xdr:col>
      <xdr:colOff>352425</xdr:colOff>
      <xdr:row>0</xdr:row>
      <xdr:rowOff>0</xdr:rowOff>
    </xdr:to>
    <xdr:sp macro="" textlink="">
      <xdr:nvSpPr>
        <xdr:cNvPr id="4374317" name="Line 29">
          <a:extLst>
            <a:ext uri="{FF2B5EF4-FFF2-40B4-BE49-F238E27FC236}">
              <a16:creationId xmlns="" xmlns:a16="http://schemas.microsoft.com/office/drawing/2014/main" id="{00000000-0008-0000-1D00-00002DBF4200}"/>
            </a:ext>
          </a:extLst>
        </xdr:cNvPr>
        <xdr:cNvSpPr>
          <a:spLocks noChangeShapeType="1"/>
        </xdr:cNvSpPr>
      </xdr:nvSpPr>
      <xdr:spPr bwMode="auto">
        <a:xfrm>
          <a:off x="2981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152400</xdr:colOff>
      <xdr:row>0</xdr:row>
      <xdr:rowOff>0</xdr:rowOff>
    </xdr:to>
    <xdr:sp macro="" textlink="">
      <xdr:nvSpPr>
        <xdr:cNvPr id="4374318" name="Line 30">
          <a:extLst>
            <a:ext uri="{FF2B5EF4-FFF2-40B4-BE49-F238E27FC236}">
              <a16:creationId xmlns="" xmlns:a16="http://schemas.microsoft.com/office/drawing/2014/main" id="{00000000-0008-0000-1D00-00002EBF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723900</xdr:colOff>
      <xdr:row>0</xdr:row>
      <xdr:rowOff>0</xdr:rowOff>
    </xdr:from>
    <xdr:to>
      <xdr:col>4</xdr:col>
      <xdr:colOff>723900</xdr:colOff>
      <xdr:row>0</xdr:row>
      <xdr:rowOff>0</xdr:rowOff>
    </xdr:to>
    <xdr:sp macro="" textlink="">
      <xdr:nvSpPr>
        <xdr:cNvPr id="4374319" name="Line 31">
          <a:extLst>
            <a:ext uri="{FF2B5EF4-FFF2-40B4-BE49-F238E27FC236}">
              <a16:creationId xmlns="" xmlns:a16="http://schemas.microsoft.com/office/drawing/2014/main" id="{00000000-0008-0000-1D00-00002FBF4200}"/>
            </a:ext>
          </a:extLst>
        </xdr:cNvPr>
        <xdr:cNvSpPr>
          <a:spLocks noChangeShapeType="1"/>
        </xdr:cNvSpPr>
      </xdr:nvSpPr>
      <xdr:spPr bwMode="auto">
        <a:xfrm>
          <a:off x="7496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285750</xdr:colOff>
      <xdr:row>0</xdr:row>
      <xdr:rowOff>0</xdr:rowOff>
    </xdr:from>
    <xdr:to>
      <xdr:col>2</xdr:col>
      <xdr:colOff>285750</xdr:colOff>
      <xdr:row>0</xdr:row>
      <xdr:rowOff>0</xdr:rowOff>
    </xdr:to>
    <xdr:sp macro="" textlink="">
      <xdr:nvSpPr>
        <xdr:cNvPr id="4374320" name="Line 32">
          <a:extLst>
            <a:ext uri="{FF2B5EF4-FFF2-40B4-BE49-F238E27FC236}">
              <a16:creationId xmlns="" xmlns:a16="http://schemas.microsoft.com/office/drawing/2014/main" id="{00000000-0008-0000-1D00-000030BF4200}"/>
            </a:ext>
          </a:extLst>
        </xdr:cNvPr>
        <xdr:cNvSpPr>
          <a:spLocks noChangeShapeType="1"/>
        </xdr:cNvSpPr>
      </xdr:nvSpPr>
      <xdr:spPr bwMode="auto">
        <a:xfrm>
          <a:off x="29146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590550</xdr:colOff>
      <xdr:row>0</xdr:row>
      <xdr:rowOff>0</xdr:rowOff>
    </xdr:from>
    <xdr:to>
      <xdr:col>4</xdr:col>
      <xdr:colOff>590550</xdr:colOff>
      <xdr:row>0</xdr:row>
      <xdr:rowOff>0</xdr:rowOff>
    </xdr:to>
    <xdr:sp macro="" textlink="">
      <xdr:nvSpPr>
        <xdr:cNvPr id="4374321" name="Line 33">
          <a:extLst>
            <a:ext uri="{FF2B5EF4-FFF2-40B4-BE49-F238E27FC236}">
              <a16:creationId xmlns="" xmlns:a16="http://schemas.microsoft.com/office/drawing/2014/main" id="{00000000-0008-0000-1D00-000031BF4200}"/>
            </a:ext>
          </a:extLst>
        </xdr:cNvPr>
        <xdr:cNvSpPr>
          <a:spLocks noChangeShapeType="1"/>
        </xdr:cNvSpPr>
      </xdr:nvSpPr>
      <xdr:spPr bwMode="auto">
        <a:xfrm flipH="1">
          <a:off x="73628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74322" name="Line 34">
          <a:extLst>
            <a:ext uri="{FF2B5EF4-FFF2-40B4-BE49-F238E27FC236}">
              <a16:creationId xmlns="" xmlns:a16="http://schemas.microsoft.com/office/drawing/2014/main" id="{00000000-0008-0000-1D00-000032BF4200}"/>
            </a:ext>
          </a:extLst>
        </xdr:cNvPr>
        <xdr:cNvSpPr>
          <a:spLocks noChangeShapeType="1"/>
        </xdr:cNvSpPr>
      </xdr:nvSpPr>
      <xdr:spPr bwMode="auto">
        <a:xfrm flipV="1">
          <a:off x="1506855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95250</xdr:colOff>
      <xdr:row>0</xdr:row>
      <xdr:rowOff>0</xdr:rowOff>
    </xdr:to>
    <xdr:grpSp>
      <xdr:nvGrpSpPr>
        <xdr:cNvPr id="4374323" name="Group 35">
          <a:extLst>
            <a:ext uri="{FF2B5EF4-FFF2-40B4-BE49-F238E27FC236}">
              <a16:creationId xmlns="" xmlns:a16="http://schemas.microsoft.com/office/drawing/2014/main" id="{00000000-0008-0000-1D00-000033BF4200}"/>
            </a:ext>
          </a:extLst>
        </xdr:cNvPr>
        <xdr:cNvGrpSpPr>
          <a:grpSpLocks/>
        </xdr:cNvGrpSpPr>
      </xdr:nvGrpSpPr>
      <xdr:grpSpPr bwMode="auto">
        <a:xfrm>
          <a:off x="10972800" y="0"/>
          <a:ext cx="5600700" cy="0"/>
          <a:chOff x="630" y="359"/>
          <a:chExt cx="361" cy="60"/>
        </a:xfrm>
      </xdr:grpSpPr>
      <xdr:sp macro="" textlink="">
        <xdr:nvSpPr>
          <xdr:cNvPr id="4374494" name="Line 36">
            <a:extLst>
              <a:ext uri="{FF2B5EF4-FFF2-40B4-BE49-F238E27FC236}">
                <a16:creationId xmlns="" xmlns:a16="http://schemas.microsoft.com/office/drawing/2014/main" id="{00000000-0008-0000-1D00-0000DEBF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0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4495" name="Line 37">
            <a:extLst>
              <a:ext uri="{FF2B5EF4-FFF2-40B4-BE49-F238E27FC236}">
                <a16:creationId xmlns="" xmlns:a16="http://schemas.microsoft.com/office/drawing/2014/main" id="{00000000-0008-0000-1D00-0000DFBF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91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4496" name="Line 38">
            <a:extLst>
              <a:ext uri="{FF2B5EF4-FFF2-40B4-BE49-F238E27FC236}">
                <a16:creationId xmlns="" xmlns:a16="http://schemas.microsoft.com/office/drawing/2014/main" id="{00000000-0008-0000-1D00-0000E0BF4200}"/>
              </a:ext>
            </a:extLst>
          </xdr:cNvPr>
          <xdr:cNvSpPr>
            <a:spLocks noChangeShapeType="1"/>
          </xdr:cNvSpPr>
        </xdr:nvSpPr>
        <xdr:spPr bwMode="auto">
          <a:xfrm>
            <a:off x="630" y="381"/>
            <a:ext cx="3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7</xdr:col>
      <xdr:colOff>590550</xdr:colOff>
      <xdr:row>0</xdr:row>
      <xdr:rowOff>0</xdr:rowOff>
    </xdr:to>
    <xdr:sp macro="" textlink="">
      <xdr:nvSpPr>
        <xdr:cNvPr id="4374324" name="Line 39">
          <a:extLst>
            <a:ext uri="{FF2B5EF4-FFF2-40B4-BE49-F238E27FC236}">
              <a16:creationId xmlns="" xmlns:a16="http://schemas.microsoft.com/office/drawing/2014/main" id="{00000000-0008-0000-1D00-000034BF4200}"/>
            </a:ext>
          </a:extLst>
        </xdr:cNvPr>
        <xdr:cNvSpPr>
          <a:spLocks noChangeShapeType="1"/>
        </xdr:cNvSpPr>
      </xdr:nvSpPr>
      <xdr:spPr bwMode="auto">
        <a:xfrm>
          <a:off x="109632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10</xdr:col>
      <xdr:colOff>47625</xdr:colOff>
      <xdr:row>0</xdr:row>
      <xdr:rowOff>0</xdr:rowOff>
    </xdr:to>
    <xdr:sp macro="" textlink="">
      <xdr:nvSpPr>
        <xdr:cNvPr id="4374325" name="Line 40">
          <a:extLst>
            <a:ext uri="{FF2B5EF4-FFF2-40B4-BE49-F238E27FC236}">
              <a16:creationId xmlns="" xmlns:a16="http://schemas.microsoft.com/office/drawing/2014/main" id="{00000000-0008-0000-1D00-000035BF4200}"/>
            </a:ext>
          </a:extLst>
        </xdr:cNvPr>
        <xdr:cNvSpPr>
          <a:spLocks noChangeShapeType="1"/>
        </xdr:cNvSpPr>
      </xdr:nvSpPr>
      <xdr:spPr bwMode="auto">
        <a:xfrm flipV="1">
          <a:off x="10506075" y="0"/>
          <a:ext cx="1581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10</xdr:col>
      <xdr:colOff>914400</xdr:colOff>
      <xdr:row>0</xdr:row>
      <xdr:rowOff>0</xdr:rowOff>
    </xdr:to>
    <xdr:sp macro="" textlink="">
      <xdr:nvSpPr>
        <xdr:cNvPr id="4374326" name="Line 41">
          <a:extLst>
            <a:ext uri="{FF2B5EF4-FFF2-40B4-BE49-F238E27FC236}">
              <a16:creationId xmlns="" xmlns:a16="http://schemas.microsoft.com/office/drawing/2014/main" id="{00000000-0008-0000-1D00-000036BF4200}"/>
            </a:ext>
          </a:extLst>
        </xdr:cNvPr>
        <xdr:cNvSpPr>
          <a:spLocks noChangeShapeType="1"/>
        </xdr:cNvSpPr>
      </xdr:nvSpPr>
      <xdr:spPr bwMode="auto">
        <a:xfrm>
          <a:off x="10963275" y="0"/>
          <a:ext cx="1733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28575</xdr:colOff>
      <xdr:row>0</xdr:row>
      <xdr:rowOff>0</xdr:rowOff>
    </xdr:to>
    <xdr:sp macro="" textlink="">
      <xdr:nvSpPr>
        <xdr:cNvPr id="4374327" name="Line 42">
          <a:extLst>
            <a:ext uri="{FF2B5EF4-FFF2-40B4-BE49-F238E27FC236}">
              <a16:creationId xmlns="" xmlns:a16="http://schemas.microsoft.com/office/drawing/2014/main" id="{00000000-0008-0000-1D00-000037BF4200}"/>
            </a:ext>
          </a:extLst>
        </xdr:cNvPr>
        <xdr:cNvSpPr>
          <a:spLocks noChangeShapeType="1"/>
        </xdr:cNvSpPr>
      </xdr:nvSpPr>
      <xdr:spPr bwMode="auto">
        <a:xfrm>
          <a:off x="10963275" y="0"/>
          <a:ext cx="2076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552450</xdr:colOff>
      <xdr:row>0</xdr:row>
      <xdr:rowOff>0</xdr:rowOff>
    </xdr:from>
    <xdr:to>
      <xdr:col>13</xdr:col>
      <xdr:colOff>400050</xdr:colOff>
      <xdr:row>0</xdr:row>
      <xdr:rowOff>0</xdr:rowOff>
    </xdr:to>
    <xdr:sp macro="" textlink="">
      <xdr:nvSpPr>
        <xdr:cNvPr id="4374328" name="Line 43">
          <a:extLst>
            <a:ext uri="{FF2B5EF4-FFF2-40B4-BE49-F238E27FC236}">
              <a16:creationId xmlns="" xmlns:a16="http://schemas.microsoft.com/office/drawing/2014/main" id="{00000000-0008-0000-1D00-000038BF4200}"/>
            </a:ext>
          </a:extLst>
        </xdr:cNvPr>
        <xdr:cNvSpPr>
          <a:spLocks noChangeShapeType="1"/>
        </xdr:cNvSpPr>
      </xdr:nvSpPr>
      <xdr:spPr bwMode="auto">
        <a:xfrm flipH="1">
          <a:off x="1092517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10</xdr:col>
      <xdr:colOff>57150</xdr:colOff>
      <xdr:row>0</xdr:row>
      <xdr:rowOff>0</xdr:rowOff>
    </xdr:to>
    <xdr:grpSp>
      <xdr:nvGrpSpPr>
        <xdr:cNvPr id="4374329" name="Group 44">
          <a:extLst>
            <a:ext uri="{FF2B5EF4-FFF2-40B4-BE49-F238E27FC236}">
              <a16:creationId xmlns="" xmlns:a16="http://schemas.microsoft.com/office/drawing/2014/main" id="{00000000-0008-0000-1D00-000039BF4200}"/>
            </a:ext>
          </a:extLst>
        </xdr:cNvPr>
        <xdr:cNvGrpSpPr>
          <a:grpSpLocks/>
        </xdr:cNvGrpSpPr>
      </xdr:nvGrpSpPr>
      <xdr:grpSpPr bwMode="auto">
        <a:xfrm>
          <a:off x="11001375" y="0"/>
          <a:ext cx="1104900" cy="0"/>
          <a:chOff x="554" y="439"/>
          <a:chExt cx="10" cy="76"/>
        </a:xfrm>
      </xdr:grpSpPr>
      <xdr:sp macro="" textlink="">
        <xdr:nvSpPr>
          <xdr:cNvPr id="4374492" name="Line 45">
            <a:extLst>
              <a:ext uri="{FF2B5EF4-FFF2-40B4-BE49-F238E27FC236}">
                <a16:creationId xmlns="" xmlns:a16="http://schemas.microsoft.com/office/drawing/2014/main" id="{00000000-0008-0000-1D00-0000DCBF4200}"/>
              </a:ext>
            </a:extLst>
          </xdr:cNvPr>
          <xdr:cNvSpPr>
            <a:spLocks noChangeShapeType="1"/>
          </xdr:cNvSpPr>
        </xdr:nvSpPr>
        <xdr:spPr bwMode="auto">
          <a:xfrm>
            <a:off x="558" y="439"/>
            <a:ext cx="0" cy="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4493" name="Line 46">
            <a:extLst>
              <a:ext uri="{FF2B5EF4-FFF2-40B4-BE49-F238E27FC236}">
                <a16:creationId xmlns="" xmlns:a16="http://schemas.microsoft.com/office/drawing/2014/main" id="{00000000-0008-0000-1D00-0000DDBF4200}"/>
              </a:ext>
            </a:extLst>
          </xdr:cNvPr>
          <xdr:cNvSpPr>
            <a:spLocks noChangeShapeType="1"/>
          </xdr:cNvSpPr>
        </xdr:nvSpPr>
        <xdr:spPr bwMode="auto">
          <a:xfrm>
            <a:off x="554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10</xdr:col>
      <xdr:colOff>628650</xdr:colOff>
      <xdr:row>0</xdr:row>
      <xdr:rowOff>0</xdr:rowOff>
    </xdr:from>
    <xdr:to>
      <xdr:col>11</xdr:col>
      <xdr:colOff>38100</xdr:colOff>
      <xdr:row>0</xdr:row>
      <xdr:rowOff>0</xdr:rowOff>
    </xdr:to>
    <xdr:grpSp>
      <xdr:nvGrpSpPr>
        <xdr:cNvPr id="4374330" name="Group 47">
          <a:extLst>
            <a:ext uri="{FF2B5EF4-FFF2-40B4-BE49-F238E27FC236}">
              <a16:creationId xmlns="" xmlns:a16="http://schemas.microsoft.com/office/drawing/2014/main" id="{00000000-0008-0000-1D00-00003ABF4200}"/>
            </a:ext>
          </a:extLst>
        </xdr:cNvPr>
        <xdr:cNvGrpSpPr>
          <a:grpSpLocks/>
        </xdr:cNvGrpSpPr>
      </xdr:nvGrpSpPr>
      <xdr:grpSpPr bwMode="auto">
        <a:xfrm>
          <a:off x="12677775" y="0"/>
          <a:ext cx="76200" cy="0"/>
          <a:chOff x="680" y="439"/>
          <a:chExt cx="10" cy="98"/>
        </a:xfrm>
      </xdr:grpSpPr>
      <xdr:sp macro="" textlink="">
        <xdr:nvSpPr>
          <xdr:cNvPr id="4374490" name="Line 48">
            <a:extLst>
              <a:ext uri="{FF2B5EF4-FFF2-40B4-BE49-F238E27FC236}">
                <a16:creationId xmlns="" xmlns:a16="http://schemas.microsoft.com/office/drawing/2014/main" id="{00000000-0008-0000-1D00-0000DABF4200}"/>
              </a:ext>
            </a:extLst>
          </xdr:cNvPr>
          <xdr:cNvSpPr>
            <a:spLocks noChangeShapeType="1"/>
          </xdr:cNvSpPr>
        </xdr:nvSpPr>
        <xdr:spPr bwMode="auto">
          <a:xfrm>
            <a:off x="685" y="439"/>
            <a:ext cx="0" cy="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4491" name="Line 49">
            <a:extLst>
              <a:ext uri="{FF2B5EF4-FFF2-40B4-BE49-F238E27FC236}">
                <a16:creationId xmlns="" xmlns:a16="http://schemas.microsoft.com/office/drawing/2014/main" id="{00000000-0008-0000-1D00-0000DBBF4200}"/>
              </a:ext>
            </a:extLst>
          </xdr:cNvPr>
          <xdr:cNvSpPr>
            <a:spLocks noChangeShapeType="1"/>
          </xdr:cNvSpPr>
        </xdr:nvSpPr>
        <xdr:spPr bwMode="auto">
          <a:xfrm>
            <a:off x="680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4374331" name="Group 50">
          <a:extLst>
            <a:ext uri="{FF2B5EF4-FFF2-40B4-BE49-F238E27FC236}">
              <a16:creationId xmlns="" xmlns:a16="http://schemas.microsoft.com/office/drawing/2014/main" id="{00000000-0008-0000-1D00-00003BBF4200}"/>
            </a:ext>
          </a:extLst>
        </xdr:cNvPr>
        <xdr:cNvGrpSpPr>
          <a:grpSpLocks/>
        </xdr:cNvGrpSpPr>
      </xdr:nvGrpSpPr>
      <xdr:grpSpPr bwMode="auto">
        <a:xfrm>
          <a:off x="13025438" y="0"/>
          <a:ext cx="142875" cy="0"/>
          <a:chOff x="759" y="438"/>
          <a:chExt cx="10" cy="121"/>
        </a:xfrm>
      </xdr:grpSpPr>
      <xdr:sp macro="" textlink="">
        <xdr:nvSpPr>
          <xdr:cNvPr id="4374488" name="Line 51">
            <a:extLst>
              <a:ext uri="{FF2B5EF4-FFF2-40B4-BE49-F238E27FC236}">
                <a16:creationId xmlns="" xmlns:a16="http://schemas.microsoft.com/office/drawing/2014/main" id="{00000000-0008-0000-1D00-0000D8BF42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4489" name="Line 52">
            <a:extLst>
              <a:ext uri="{FF2B5EF4-FFF2-40B4-BE49-F238E27FC236}">
                <a16:creationId xmlns="" xmlns:a16="http://schemas.microsoft.com/office/drawing/2014/main" id="{00000000-0008-0000-1D00-0000D9BF42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13</xdr:col>
      <xdr:colOff>76200</xdr:colOff>
      <xdr:row>0</xdr:row>
      <xdr:rowOff>0</xdr:rowOff>
    </xdr:from>
    <xdr:to>
      <xdr:col>13</xdr:col>
      <xdr:colOff>676275</xdr:colOff>
      <xdr:row>0</xdr:row>
      <xdr:rowOff>0</xdr:rowOff>
    </xdr:to>
    <xdr:grpSp>
      <xdr:nvGrpSpPr>
        <xdr:cNvPr id="4374332" name="Group 53">
          <a:extLst>
            <a:ext uri="{FF2B5EF4-FFF2-40B4-BE49-F238E27FC236}">
              <a16:creationId xmlns="" xmlns:a16="http://schemas.microsoft.com/office/drawing/2014/main" id="{00000000-0008-0000-1D00-00003CBF4200}"/>
            </a:ext>
          </a:extLst>
        </xdr:cNvPr>
        <xdr:cNvGrpSpPr>
          <a:grpSpLocks/>
        </xdr:cNvGrpSpPr>
      </xdr:nvGrpSpPr>
      <xdr:grpSpPr bwMode="auto">
        <a:xfrm>
          <a:off x="13339763" y="0"/>
          <a:ext cx="600075" cy="0"/>
          <a:chOff x="842" y="438"/>
          <a:chExt cx="10" cy="147"/>
        </a:xfrm>
      </xdr:grpSpPr>
      <xdr:sp macro="" textlink="">
        <xdr:nvSpPr>
          <xdr:cNvPr id="4374486" name="Line 54">
            <a:extLst>
              <a:ext uri="{FF2B5EF4-FFF2-40B4-BE49-F238E27FC236}">
                <a16:creationId xmlns="" xmlns:a16="http://schemas.microsoft.com/office/drawing/2014/main" id="{00000000-0008-0000-1D00-0000D6BF42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4487" name="Line 55">
            <a:extLst>
              <a:ext uri="{FF2B5EF4-FFF2-40B4-BE49-F238E27FC236}">
                <a16:creationId xmlns="" xmlns:a16="http://schemas.microsoft.com/office/drawing/2014/main" id="{00000000-0008-0000-1D00-0000D7BF42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76200</xdr:colOff>
      <xdr:row>0</xdr:row>
      <xdr:rowOff>0</xdr:rowOff>
    </xdr:to>
    <xdr:sp macro="" textlink="">
      <xdr:nvSpPr>
        <xdr:cNvPr id="4374333" name="Rectangle 56">
          <a:extLst>
            <a:ext uri="{FF2B5EF4-FFF2-40B4-BE49-F238E27FC236}">
              <a16:creationId xmlns="" xmlns:a16="http://schemas.microsoft.com/office/drawing/2014/main" id="{00000000-0008-0000-1D00-00003DBF4200}"/>
            </a:ext>
          </a:extLst>
        </xdr:cNvPr>
        <xdr:cNvSpPr>
          <a:spLocks noChangeArrowheads="1"/>
        </xdr:cNvSpPr>
      </xdr:nvSpPr>
      <xdr:spPr bwMode="auto">
        <a:xfrm>
          <a:off x="10963275" y="0"/>
          <a:ext cx="55721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4374334" name="Line 57">
          <a:extLst>
            <a:ext uri="{FF2B5EF4-FFF2-40B4-BE49-F238E27FC236}">
              <a16:creationId xmlns="" xmlns:a16="http://schemas.microsoft.com/office/drawing/2014/main" id="{00000000-0008-0000-1D00-00003EBF4200}"/>
            </a:ext>
          </a:extLst>
        </xdr:cNvPr>
        <xdr:cNvSpPr>
          <a:spLocks noChangeShapeType="1"/>
        </xdr:cNvSpPr>
      </xdr:nvSpPr>
      <xdr:spPr bwMode="auto">
        <a:xfrm>
          <a:off x="164592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638175</xdr:colOff>
      <xdr:row>0</xdr:row>
      <xdr:rowOff>0</xdr:rowOff>
    </xdr:from>
    <xdr:to>
      <xdr:col>16</xdr:col>
      <xdr:colOff>47625</xdr:colOff>
      <xdr:row>0</xdr:row>
      <xdr:rowOff>0</xdr:rowOff>
    </xdr:to>
    <xdr:sp macro="" textlink="">
      <xdr:nvSpPr>
        <xdr:cNvPr id="4374335" name="Line 58">
          <a:extLst>
            <a:ext uri="{FF2B5EF4-FFF2-40B4-BE49-F238E27FC236}">
              <a16:creationId xmlns="" xmlns:a16="http://schemas.microsoft.com/office/drawing/2014/main" id="{00000000-0008-0000-1D00-00003FBF4200}"/>
            </a:ext>
          </a:extLst>
        </xdr:cNvPr>
        <xdr:cNvSpPr>
          <a:spLocks noChangeShapeType="1"/>
        </xdr:cNvSpPr>
      </xdr:nvSpPr>
      <xdr:spPr bwMode="auto">
        <a:xfrm>
          <a:off x="16011525" y="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15</xdr:col>
      <xdr:colOff>1181100</xdr:colOff>
      <xdr:row>0</xdr:row>
      <xdr:rowOff>0</xdr:rowOff>
    </xdr:to>
    <xdr:sp macro="" textlink="">
      <xdr:nvSpPr>
        <xdr:cNvPr id="4374336" name="Line 59">
          <a:extLst>
            <a:ext uri="{FF2B5EF4-FFF2-40B4-BE49-F238E27FC236}">
              <a16:creationId xmlns="" xmlns:a16="http://schemas.microsoft.com/office/drawing/2014/main" id="{00000000-0008-0000-1D00-000040BF4200}"/>
            </a:ext>
          </a:extLst>
        </xdr:cNvPr>
        <xdr:cNvSpPr>
          <a:spLocks noChangeShapeType="1"/>
        </xdr:cNvSpPr>
      </xdr:nvSpPr>
      <xdr:spPr bwMode="auto">
        <a:xfrm flipV="1">
          <a:off x="10991850" y="0"/>
          <a:ext cx="546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666750</xdr:colOff>
      <xdr:row>0</xdr:row>
      <xdr:rowOff>0</xdr:rowOff>
    </xdr:from>
    <xdr:to>
      <xdr:col>14</xdr:col>
      <xdr:colOff>838200</xdr:colOff>
      <xdr:row>0</xdr:row>
      <xdr:rowOff>0</xdr:rowOff>
    </xdr:to>
    <xdr:grpSp>
      <xdr:nvGrpSpPr>
        <xdr:cNvPr id="4374337" name="Group 60">
          <a:extLst>
            <a:ext uri="{FF2B5EF4-FFF2-40B4-BE49-F238E27FC236}">
              <a16:creationId xmlns="" xmlns:a16="http://schemas.microsoft.com/office/drawing/2014/main" id="{00000000-0008-0000-1D00-000041BF4200}"/>
            </a:ext>
          </a:extLst>
        </xdr:cNvPr>
        <xdr:cNvGrpSpPr>
          <a:grpSpLocks/>
        </xdr:cNvGrpSpPr>
      </xdr:nvGrpSpPr>
      <xdr:grpSpPr bwMode="auto">
        <a:xfrm>
          <a:off x="15120938" y="0"/>
          <a:ext cx="171450" cy="0"/>
          <a:chOff x="912" y="438"/>
          <a:chExt cx="11" cy="175"/>
        </a:xfrm>
      </xdr:grpSpPr>
      <xdr:sp macro="" textlink="">
        <xdr:nvSpPr>
          <xdr:cNvPr id="4374484" name="Line 61">
            <a:extLst>
              <a:ext uri="{FF2B5EF4-FFF2-40B4-BE49-F238E27FC236}">
                <a16:creationId xmlns="" xmlns:a16="http://schemas.microsoft.com/office/drawing/2014/main" id="{00000000-0008-0000-1D00-0000D4BF42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4485" name="Line 62">
            <a:extLst>
              <a:ext uri="{FF2B5EF4-FFF2-40B4-BE49-F238E27FC236}">
                <a16:creationId xmlns="" xmlns:a16="http://schemas.microsoft.com/office/drawing/2014/main" id="{00000000-0008-0000-1D00-0000D5BF42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171450</xdr:colOff>
      <xdr:row>0</xdr:row>
      <xdr:rowOff>0</xdr:rowOff>
    </xdr:from>
    <xdr:to>
      <xdr:col>4</xdr:col>
      <xdr:colOff>542925</xdr:colOff>
      <xdr:row>0</xdr:row>
      <xdr:rowOff>0</xdr:rowOff>
    </xdr:to>
    <xdr:sp macro="" textlink="">
      <xdr:nvSpPr>
        <xdr:cNvPr id="4374338" name="Line 63">
          <a:extLst>
            <a:ext uri="{FF2B5EF4-FFF2-40B4-BE49-F238E27FC236}">
              <a16:creationId xmlns="" xmlns:a16="http://schemas.microsoft.com/office/drawing/2014/main" id="{00000000-0008-0000-1D00-000042BF4200}"/>
            </a:ext>
          </a:extLst>
        </xdr:cNvPr>
        <xdr:cNvSpPr>
          <a:spLocks noChangeShapeType="1"/>
        </xdr:cNvSpPr>
      </xdr:nvSpPr>
      <xdr:spPr bwMode="auto">
        <a:xfrm>
          <a:off x="2800350" y="0"/>
          <a:ext cx="4514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190500</xdr:colOff>
      <xdr:row>0</xdr:row>
      <xdr:rowOff>0</xdr:rowOff>
    </xdr:from>
    <xdr:to>
      <xdr:col>4</xdr:col>
      <xdr:colOff>571500</xdr:colOff>
      <xdr:row>0</xdr:row>
      <xdr:rowOff>0</xdr:rowOff>
    </xdr:to>
    <xdr:sp macro="" textlink="">
      <xdr:nvSpPr>
        <xdr:cNvPr id="4374339" name="Line 64">
          <a:extLst>
            <a:ext uri="{FF2B5EF4-FFF2-40B4-BE49-F238E27FC236}">
              <a16:creationId xmlns="" xmlns:a16="http://schemas.microsoft.com/office/drawing/2014/main" id="{00000000-0008-0000-1D00-000043BF4200}"/>
            </a:ext>
          </a:extLst>
        </xdr:cNvPr>
        <xdr:cNvSpPr>
          <a:spLocks noChangeShapeType="1"/>
        </xdr:cNvSpPr>
      </xdr:nvSpPr>
      <xdr:spPr bwMode="auto">
        <a:xfrm>
          <a:off x="2819400" y="0"/>
          <a:ext cx="452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74340" name="Line 65">
          <a:extLst>
            <a:ext uri="{FF2B5EF4-FFF2-40B4-BE49-F238E27FC236}">
              <a16:creationId xmlns="" xmlns:a16="http://schemas.microsoft.com/office/drawing/2014/main" id="{00000000-0008-0000-1D00-000044BF4200}"/>
            </a:ext>
          </a:extLst>
        </xdr:cNvPr>
        <xdr:cNvSpPr>
          <a:spLocks noChangeShapeType="1"/>
        </xdr:cNvSpPr>
      </xdr:nvSpPr>
      <xdr:spPr bwMode="auto">
        <a:xfrm>
          <a:off x="7305675" y="0"/>
          <a:ext cx="876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4</xdr:col>
      <xdr:colOff>676275</xdr:colOff>
      <xdr:row>0</xdr:row>
      <xdr:rowOff>0</xdr:rowOff>
    </xdr:to>
    <xdr:sp macro="" textlink="">
      <xdr:nvSpPr>
        <xdr:cNvPr id="4374341" name="Line 66">
          <a:extLst>
            <a:ext uri="{FF2B5EF4-FFF2-40B4-BE49-F238E27FC236}">
              <a16:creationId xmlns="" xmlns:a16="http://schemas.microsoft.com/office/drawing/2014/main" id="{00000000-0008-0000-1D00-000045BF4200}"/>
            </a:ext>
          </a:extLst>
        </xdr:cNvPr>
        <xdr:cNvSpPr>
          <a:spLocks noChangeShapeType="1"/>
        </xdr:cNvSpPr>
      </xdr:nvSpPr>
      <xdr:spPr bwMode="auto">
        <a:xfrm>
          <a:off x="7305675" y="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219075</xdr:colOff>
      <xdr:row>0</xdr:row>
      <xdr:rowOff>0</xdr:rowOff>
    </xdr:from>
    <xdr:to>
      <xdr:col>2</xdr:col>
      <xdr:colOff>219075</xdr:colOff>
      <xdr:row>0</xdr:row>
      <xdr:rowOff>0</xdr:rowOff>
    </xdr:to>
    <xdr:sp macro="" textlink="">
      <xdr:nvSpPr>
        <xdr:cNvPr id="4374342" name="Line 67">
          <a:extLst>
            <a:ext uri="{FF2B5EF4-FFF2-40B4-BE49-F238E27FC236}">
              <a16:creationId xmlns="" xmlns:a16="http://schemas.microsoft.com/office/drawing/2014/main" id="{00000000-0008-0000-1D00-000046BF4200}"/>
            </a:ext>
          </a:extLst>
        </xdr:cNvPr>
        <xdr:cNvSpPr>
          <a:spLocks noChangeShapeType="1"/>
        </xdr:cNvSpPr>
      </xdr:nvSpPr>
      <xdr:spPr bwMode="auto">
        <a:xfrm>
          <a:off x="28479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266700</xdr:colOff>
      <xdr:row>0</xdr:row>
      <xdr:rowOff>0</xdr:rowOff>
    </xdr:from>
    <xdr:to>
      <xdr:col>2</xdr:col>
      <xdr:colOff>266700</xdr:colOff>
      <xdr:row>0</xdr:row>
      <xdr:rowOff>0</xdr:rowOff>
    </xdr:to>
    <xdr:sp macro="" textlink="">
      <xdr:nvSpPr>
        <xdr:cNvPr id="4374343" name="Line 68">
          <a:extLst>
            <a:ext uri="{FF2B5EF4-FFF2-40B4-BE49-F238E27FC236}">
              <a16:creationId xmlns="" xmlns:a16="http://schemas.microsoft.com/office/drawing/2014/main" id="{00000000-0008-0000-1D00-000047BF4200}"/>
            </a:ext>
          </a:extLst>
        </xdr:cNvPr>
        <xdr:cNvSpPr>
          <a:spLocks noChangeShapeType="1"/>
        </xdr:cNvSpPr>
      </xdr:nvSpPr>
      <xdr:spPr bwMode="auto">
        <a:xfrm>
          <a:off x="2895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333375</xdr:colOff>
      <xdr:row>0</xdr:row>
      <xdr:rowOff>0</xdr:rowOff>
    </xdr:from>
    <xdr:to>
      <xdr:col>2</xdr:col>
      <xdr:colOff>333375</xdr:colOff>
      <xdr:row>0</xdr:row>
      <xdr:rowOff>0</xdr:rowOff>
    </xdr:to>
    <xdr:sp macro="" textlink="">
      <xdr:nvSpPr>
        <xdr:cNvPr id="4374344" name="Line 69">
          <a:extLst>
            <a:ext uri="{FF2B5EF4-FFF2-40B4-BE49-F238E27FC236}">
              <a16:creationId xmlns="" xmlns:a16="http://schemas.microsoft.com/office/drawing/2014/main" id="{00000000-0008-0000-1D00-000048BF4200}"/>
            </a:ext>
          </a:extLst>
        </xdr:cNvPr>
        <xdr:cNvSpPr>
          <a:spLocks noChangeShapeType="1"/>
        </xdr:cNvSpPr>
      </xdr:nvSpPr>
      <xdr:spPr bwMode="auto">
        <a:xfrm>
          <a:off x="29622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0</xdr:row>
      <xdr:rowOff>0</xdr:rowOff>
    </xdr:from>
    <xdr:to>
      <xdr:col>2</xdr:col>
      <xdr:colOff>390525</xdr:colOff>
      <xdr:row>0</xdr:row>
      <xdr:rowOff>0</xdr:rowOff>
    </xdr:to>
    <xdr:sp macro="" textlink="">
      <xdr:nvSpPr>
        <xdr:cNvPr id="4374345" name="Line 70">
          <a:extLst>
            <a:ext uri="{FF2B5EF4-FFF2-40B4-BE49-F238E27FC236}">
              <a16:creationId xmlns="" xmlns:a16="http://schemas.microsoft.com/office/drawing/2014/main" id="{00000000-0008-0000-1D00-000049BF4200}"/>
            </a:ext>
          </a:extLst>
        </xdr:cNvPr>
        <xdr:cNvSpPr>
          <a:spLocks noChangeShapeType="1"/>
        </xdr:cNvSpPr>
      </xdr:nvSpPr>
      <xdr:spPr bwMode="auto">
        <a:xfrm>
          <a:off x="3019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447675</xdr:colOff>
      <xdr:row>0</xdr:row>
      <xdr:rowOff>0</xdr:rowOff>
    </xdr:to>
    <xdr:sp macro="" textlink="">
      <xdr:nvSpPr>
        <xdr:cNvPr id="4374346" name="Line 71">
          <a:extLst>
            <a:ext uri="{FF2B5EF4-FFF2-40B4-BE49-F238E27FC236}">
              <a16:creationId xmlns="" xmlns:a16="http://schemas.microsoft.com/office/drawing/2014/main" id="{00000000-0008-0000-1D00-00004ABF42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4374347" name="Line 72">
          <a:extLst>
            <a:ext uri="{FF2B5EF4-FFF2-40B4-BE49-F238E27FC236}">
              <a16:creationId xmlns="" xmlns:a16="http://schemas.microsoft.com/office/drawing/2014/main" id="{00000000-0008-0000-1D00-00004BBF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314325</xdr:colOff>
      <xdr:row>0</xdr:row>
      <xdr:rowOff>0</xdr:rowOff>
    </xdr:to>
    <xdr:sp macro="" textlink="">
      <xdr:nvSpPr>
        <xdr:cNvPr id="4374348" name="Line 73">
          <a:extLst>
            <a:ext uri="{FF2B5EF4-FFF2-40B4-BE49-F238E27FC236}">
              <a16:creationId xmlns="" xmlns:a16="http://schemas.microsoft.com/office/drawing/2014/main" id="{00000000-0008-0000-1D00-00004CBF42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657225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74349" name="Line 74">
          <a:extLst>
            <a:ext uri="{FF2B5EF4-FFF2-40B4-BE49-F238E27FC236}">
              <a16:creationId xmlns="" xmlns:a16="http://schemas.microsoft.com/office/drawing/2014/main" id="{00000000-0008-0000-1D00-00004DBF42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266700</xdr:colOff>
      <xdr:row>0</xdr:row>
      <xdr:rowOff>0</xdr:rowOff>
    </xdr:from>
    <xdr:to>
      <xdr:col>11</xdr:col>
      <xdr:colOff>352425</xdr:colOff>
      <xdr:row>0</xdr:row>
      <xdr:rowOff>0</xdr:rowOff>
    </xdr:to>
    <xdr:sp macro="" textlink="">
      <xdr:nvSpPr>
        <xdr:cNvPr id="4374350" name="Text Box 75">
          <a:extLst>
            <a:ext uri="{FF2B5EF4-FFF2-40B4-BE49-F238E27FC236}">
              <a16:creationId xmlns="" xmlns:a16="http://schemas.microsoft.com/office/drawing/2014/main" id="{00000000-0008-0000-1D00-00004EBF4200}"/>
            </a:ext>
          </a:extLst>
        </xdr:cNvPr>
        <xdr:cNvSpPr txBox="1">
          <a:spLocks noChangeArrowheads="1"/>
        </xdr:cNvSpPr>
      </xdr:nvSpPr>
      <xdr:spPr bwMode="auto">
        <a:xfrm>
          <a:off x="12306300" y="0"/>
          <a:ext cx="7048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209550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4374351" name="Line 76">
          <a:extLst>
            <a:ext uri="{FF2B5EF4-FFF2-40B4-BE49-F238E27FC236}">
              <a16:creationId xmlns="" xmlns:a16="http://schemas.microsoft.com/office/drawing/2014/main" id="{00000000-0008-0000-1D00-00004FBF4200}"/>
            </a:ext>
          </a:extLst>
        </xdr:cNvPr>
        <xdr:cNvSpPr>
          <a:spLocks noChangeShapeType="1"/>
        </xdr:cNvSpPr>
      </xdr:nvSpPr>
      <xdr:spPr bwMode="auto">
        <a:xfrm flipV="1">
          <a:off x="83915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819150</xdr:colOff>
      <xdr:row>0</xdr:row>
      <xdr:rowOff>0</xdr:rowOff>
    </xdr:to>
    <xdr:sp macro="" textlink="">
      <xdr:nvSpPr>
        <xdr:cNvPr id="4374352" name="Line 77">
          <a:extLst>
            <a:ext uri="{FF2B5EF4-FFF2-40B4-BE49-F238E27FC236}">
              <a16:creationId xmlns="" xmlns:a16="http://schemas.microsoft.com/office/drawing/2014/main" id="{00000000-0008-0000-1D00-000050BF4200}"/>
            </a:ext>
          </a:extLst>
        </xdr:cNvPr>
        <xdr:cNvSpPr>
          <a:spLocks noChangeShapeType="1"/>
        </xdr:cNvSpPr>
      </xdr:nvSpPr>
      <xdr:spPr bwMode="auto">
        <a:xfrm>
          <a:off x="8677275" y="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114300</xdr:colOff>
      <xdr:row>0</xdr:row>
      <xdr:rowOff>0</xdr:rowOff>
    </xdr:from>
    <xdr:to>
      <xdr:col>5</xdr:col>
      <xdr:colOff>323850</xdr:colOff>
      <xdr:row>0</xdr:row>
      <xdr:rowOff>0</xdr:rowOff>
    </xdr:to>
    <xdr:sp macro="" textlink="">
      <xdr:nvSpPr>
        <xdr:cNvPr id="4374353" name="Line 78">
          <a:extLst>
            <a:ext uri="{FF2B5EF4-FFF2-40B4-BE49-F238E27FC236}">
              <a16:creationId xmlns="" xmlns:a16="http://schemas.microsoft.com/office/drawing/2014/main" id="{00000000-0008-0000-1D00-000051BF4200}"/>
            </a:ext>
          </a:extLst>
        </xdr:cNvPr>
        <xdr:cNvSpPr>
          <a:spLocks noChangeShapeType="1"/>
        </xdr:cNvSpPr>
      </xdr:nvSpPr>
      <xdr:spPr bwMode="auto">
        <a:xfrm>
          <a:off x="8296275" y="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4354" name="Rectangle 79">
          <a:extLst>
            <a:ext uri="{FF2B5EF4-FFF2-40B4-BE49-F238E27FC236}">
              <a16:creationId xmlns="" xmlns:a16="http://schemas.microsoft.com/office/drawing/2014/main" id="{00000000-0008-0000-1D00-000052BF4200}"/>
            </a:ext>
          </a:extLst>
        </xdr:cNvPr>
        <xdr:cNvSpPr>
          <a:spLocks noChangeArrowheads="1"/>
        </xdr:cNvSpPr>
      </xdr:nvSpPr>
      <xdr:spPr bwMode="auto">
        <a:xfrm>
          <a:off x="17697450" y="0"/>
          <a:ext cx="325755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74355" name="Line 80">
          <a:extLst>
            <a:ext uri="{FF2B5EF4-FFF2-40B4-BE49-F238E27FC236}">
              <a16:creationId xmlns="" xmlns:a16="http://schemas.microsoft.com/office/drawing/2014/main" id="{00000000-0008-0000-1D00-000053BF4200}"/>
            </a:ext>
          </a:extLst>
        </xdr:cNvPr>
        <xdr:cNvSpPr>
          <a:spLocks noChangeShapeType="1"/>
        </xdr:cNvSpPr>
      </xdr:nvSpPr>
      <xdr:spPr bwMode="auto">
        <a:xfrm flipV="1">
          <a:off x="17849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4356" name="Line 81">
          <a:extLst>
            <a:ext uri="{FF2B5EF4-FFF2-40B4-BE49-F238E27FC236}">
              <a16:creationId xmlns="" xmlns:a16="http://schemas.microsoft.com/office/drawing/2014/main" id="{00000000-0008-0000-1D00-000054BF4200}"/>
            </a:ext>
          </a:extLst>
        </xdr:cNvPr>
        <xdr:cNvSpPr>
          <a:spLocks noChangeShapeType="1"/>
        </xdr:cNvSpPr>
      </xdr:nvSpPr>
      <xdr:spPr bwMode="auto">
        <a:xfrm flipV="1">
          <a:off x="20955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74357" name="Line 82">
          <a:extLst>
            <a:ext uri="{FF2B5EF4-FFF2-40B4-BE49-F238E27FC236}">
              <a16:creationId xmlns="" xmlns:a16="http://schemas.microsoft.com/office/drawing/2014/main" id="{00000000-0008-0000-1D00-000055BF4200}"/>
            </a:ext>
          </a:extLst>
        </xdr:cNvPr>
        <xdr:cNvSpPr>
          <a:spLocks noChangeShapeType="1"/>
        </xdr:cNvSpPr>
      </xdr:nvSpPr>
      <xdr:spPr bwMode="auto">
        <a:xfrm flipV="1">
          <a:off x="17849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4358" name="Line 83">
          <a:extLst>
            <a:ext uri="{FF2B5EF4-FFF2-40B4-BE49-F238E27FC236}">
              <a16:creationId xmlns="" xmlns:a16="http://schemas.microsoft.com/office/drawing/2014/main" id="{00000000-0008-0000-1D00-000056BF4200}"/>
            </a:ext>
          </a:extLst>
        </xdr:cNvPr>
        <xdr:cNvSpPr>
          <a:spLocks noChangeShapeType="1"/>
        </xdr:cNvSpPr>
      </xdr:nvSpPr>
      <xdr:spPr bwMode="auto">
        <a:xfrm flipV="1">
          <a:off x="20955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19050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4359" name="Line 84">
          <a:extLst>
            <a:ext uri="{FF2B5EF4-FFF2-40B4-BE49-F238E27FC236}">
              <a16:creationId xmlns="" xmlns:a16="http://schemas.microsoft.com/office/drawing/2014/main" id="{00000000-0008-0000-1D00-000057BF4200}"/>
            </a:ext>
          </a:extLst>
        </xdr:cNvPr>
        <xdr:cNvSpPr>
          <a:spLocks noChangeShapeType="1"/>
        </xdr:cNvSpPr>
      </xdr:nvSpPr>
      <xdr:spPr bwMode="auto">
        <a:xfrm>
          <a:off x="17868900" y="0"/>
          <a:ext cx="3086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609600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4360" name="Line 85">
          <a:extLst>
            <a:ext uri="{FF2B5EF4-FFF2-40B4-BE49-F238E27FC236}">
              <a16:creationId xmlns="" xmlns:a16="http://schemas.microsoft.com/office/drawing/2014/main" id="{00000000-0008-0000-1D00-000058BF4200}"/>
            </a:ext>
          </a:extLst>
        </xdr:cNvPr>
        <xdr:cNvSpPr>
          <a:spLocks noChangeShapeType="1"/>
        </xdr:cNvSpPr>
      </xdr:nvSpPr>
      <xdr:spPr bwMode="auto">
        <a:xfrm>
          <a:off x="17716500" y="0"/>
          <a:ext cx="3238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628650</xdr:colOff>
      <xdr:row>0</xdr:row>
      <xdr:rowOff>0</xdr:rowOff>
    </xdr:from>
    <xdr:to>
      <xdr:col>17</xdr:col>
      <xdr:colOff>628650</xdr:colOff>
      <xdr:row>0</xdr:row>
      <xdr:rowOff>0</xdr:rowOff>
    </xdr:to>
    <xdr:sp macro="" textlink="">
      <xdr:nvSpPr>
        <xdr:cNvPr id="4374361" name="Line 86">
          <a:extLst>
            <a:ext uri="{FF2B5EF4-FFF2-40B4-BE49-F238E27FC236}">
              <a16:creationId xmlns="" xmlns:a16="http://schemas.microsoft.com/office/drawing/2014/main" id="{00000000-0008-0000-1D00-000059BF4200}"/>
            </a:ext>
          </a:extLst>
        </xdr:cNvPr>
        <xdr:cNvSpPr>
          <a:spLocks noChangeShapeType="1"/>
        </xdr:cNvSpPr>
      </xdr:nvSpPr>
      <xdr:spPr bwMode="auto">
        <a:xfrm flipV="1">
          <a:off x="177355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4362" name="Line 87">
          <a:extLst>
            <a:ext uri="{FF2B5EF4-FFF2-40B4-BE49-F238E27FC236}">
              <a16:creationId xmlns="" xmlns:a16="http://schemas.microsoft.com/office/drawing/2014/main" id="{00000000-0008-0000-1D00-00005ABF4200}"/>
            </a:ext>
          </a:extLst>
        </xdr:cNvPr>
        <xdr:cNvSpPr>
          <a:spLocks noChangeShapeType="1"/>
        </xdr:cNvSpPr>
      </xdr:nvSpPr>
      <xdr:spPr bwMode="auto">
        <a:xfrm flipV="1">
          <a:off x="20955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38100</xdr:colOff>
      <xdr:row>0</xdr:row>
      <xdr:rowOff>0</xdr:rowOff>
    </xdr:to>
    <xdr:sp macro="" textlink="">
      <xdr:nvSpPr>
        <xdr:cNvPr id="4374363" name="Rectangle 88">
          <a:extLst>
            <a:ext uri="{FF2B5EF4-FFF2-40B4-BE49-F238E27FC236}">
              <a16:creationId xmlns="" xmlns:a16="http://schemas.microsoft.com/office/drawing/2014/main" id="{00000000-0008-0000-1D00-00005BBF4200}"/>
            </a:ext>
          </a:extLst>
        </xdr:cNvPr>
        <xdr:cNvSpPr>
          <a:spLocks noChangeArrowheads="1"/>
        </xdr:cNvSpPr>
      </xdr:nvSpPr>
      <xdr:spPr bwMode="auto">
        <a:xfrm>
          <a:off x="20955000" y="0"/>
          <a:ext cx="14097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74364" name="Line 89">
          <a:extLst>
            <a:ext uri="{FF2B5EF4-FFF2-40B4-BE49-F238E27FC236}">
              <a16:creationId xmlns="" xmlns:a16="http://schemas.microsoft.com/office/drawing/2014/main" id="{00000000-0008-0000-1D00-00005CBF4200}"/>
            </a:ext>
          </a:extLst>
        </xdr:cNvPr>
        <xdr:cNvSpPr>
          <a:spLocks noChangeShapeType="1"/>
        </xdr:cNvSpPr>
      </xdr:nvSpPr>
      <xdr:spPr bwMode="auto">
        <a:xfrm flipV="1">
          <a:off x="20955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0</xdr:colOff>
      <xdr:row>0</xdr:row>
      <xdr:rowOff>0</xdr:rowOff>
    </xdr:to>
    <xdr:sp macro="" textlink="">
      <xdr:nvSpPr>
        <xdr:cNvPr id="4374365" name="Line 90">
          <a:extLst>
            <a:ext uri="{FF2B5EF4-FFF2-40B4-BE49-F238E27FC236}">
              <a16:creationId xmlns="" xmlns:a16="http://schemas.microsoft.com/office/drawing/2014/main" id="{00000000-0008-0000-1D00-00005DBF4200}"/>
            </a:ext>
          </a:extLst>
        </xdr:cNvPr>
        <xdr:cNvSpPr>
          <a:spLocks noChangeShapeType="1"/>
        </xdr:cNvSpPr>
      </xdr:nvSpPr>
      <xdr:spPr bwMode="auto">
        <a:xfrm>
          <a:off x="20955000" y="0"/>
          <a:ext cx="1371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24</xdr:col>
      <xdr:colOff>19050</xdr:colOff>
      <xdr:row>0</xdr:row>
      <xdr:rowOff>0</xdr:rowOff>
    </xdr:from>
    <xdr:to>
      <xdr:col>24</xdr:col>
      <xdr:colOff>19050</xdr:colOff>
      <xdr:row>0</xdr:row>
      <xdr:rowOff>0</xdr:rowOff>
    </xdr:to>
    <xdr:sp macro="" textlink="">
      <xdr:nvSpPr>
        <xdr:cNvPr id="4374366" name="Line 91">
          <a:extLst>
            <a:ext uri="{FF2B5EF4-FFF2-40B4-BE49-F238E27FC236}">
              <a16:creationId xmlns="" xmlns:a16="http://schemas.microsoft.com/office/drawing/2014/main" id="{00000000-0008-0000-1D00-00005EBF4200}"/>
            </a:ext>
          </a:extLst>
        </xdr:cNvPr>
        <xdr:cNvSpPr>
          <a:spLocks noChangeShapeType="1"/>
        </xdr:cNvSpPr>
      </xdr:nvSpPr>
      <xdr:spPr bwMode="auto">
        <a:xfrm>
          <a:off x="223456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400050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74367" name="Line 92">
          <a:extLst>
            <a:ext uri="{FF2B5EF4-FFF2-40B4-BE49-F238E27FC236}">
              <a16:creationId xmlns="" xmlns:a16="http://schemas.microsoft.com/office/drawing/2014/main" id="{00000000-0008-0000-1D00-00005FBF4200}"/>
            </a:ext>
          </a:extLst>
        </xdr:cNvPr>
        <xdr:cNvSpPr>
          <a:spLocks noChangeShapeType="1"/>
        </xdr:cNvSpPr>
      </xdr:nvSpPr>
      <xdr:spPr bwMode="auto">
        <a:xfrm flipH="1" flipV="1">
          <a:off x="14849475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14</xdr:col>
      <xdr:colOff>781050</xdr:colOff>
      <xdr:row>0</xdr:row>
      <xdr:rowOff>0</xdr:rowOff>
    </xdr:to>
    <xdr:sp macro="" textlink="">
      <xdr:nvSpPr>
        <xdr:cNvPr id="4374368" name="Line 93">
          <a:extLst>
            <a:ext uri="{FF2B5EF4-FFF2-40B4-BE49-F238E27FC236}">
              <a16:creationId xmlns="" xmlns:a16="http://schemas.microsoft.com/office/drawing/2014/main" id="{00000000-0008-0000-1D00-000060BF4200}"/>
            </a:ext>
          </a:extLst>
        </xdr:cNvPr>
        <xdr:cNvSpPr>
          <a:spLocks noChangeShapeType="1"/>
        </xdr:cNvSpPr>
      </xdr:nvSpPr>
      <xdr:spPr bwMode="auto">
        <a:xfrm flipH="1">
          <a:off x="10991850" y="0"/>
          <a:ext cx="4238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4</xdr:col>
      <xdr:colOff>704850</xdr:colOff>
      <xdr:row>0</xdr:row>
      <xdr:rowOff>0</xdr:rowOff>
    </xdr:to>
    <xdr:sp macro="" textlink="">
      <xdr:nvSpPr>
        <xdr:cNvPr id="4374369" name="Line 94">
          <a:extLst>
            <a:ext uri="{FF2B5EF4-FFF2-40B4-BE49-F238E27FC236}">
              <a16:creationId xmlns="" xmlns:a16="http://schemas.microsoft.com/office/drawing/2014/main" id="{00000000-0008-0000-1D00-000061BF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4695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74370" name="Line 95">
          <a:extLst>
            <a:ext uri="{FF2B5EF4-FFF2-40B4-BE49-F238E27FC236}">
              <a16:creationId xmlns="" xmlns:a16="http://schemas.microsoft.com/office/drawing/2014/main" id="{00000000-0008-0000-1D00-000062BF4200}"/>
            </a:ext>
          </a:extLst>
        </xdr:cNvPr>
        <xdr:cNvSpPr>
          <a:spLocks noChangeShapeType="1"/>
        </xdr:cNvSpPr>
      </xdr:nvSpPr>
      <xdr:spPr bwMode="auto">
        <a:xfrm>
          <a:off x="127920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247650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74371" name="Line 96">
          <a:extLst>
            <a:ext uri="{FF2B5EF4-FFF2-40B4-BE49-F238E27FC236}">
              <a16:creationId xmlns="" xmlns:a16="http://schemas.microsoft.com/office/drawing/2014/main" id="{00000000-0008-0000-1D00-000063BF4200}"/>
            </a:ext>
          </a:extLst>
        </xdr:cNvPr>
        <xdr:cNvSpPr>
          <a:spLocks noChangeShapeType="1"/>
        </xdr:cNvSpPr>
      </xdr:nvSpPr>
      <xdr:spPr bwMode="auto">
        <a:xfrm>
          <a:off x="132588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1047750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74372" name="Line 97">
          <a:extLst>
            <a:ext uri="{FF2B5EF4-FFF2-40B4-BE49-F238E27FC236}">
              <a16:creationId xmlns="" xmlns:a16="http://schemas.microsoft.com/office/drawing/2014/main" id="{00000000-0008-0000-1D00-000064BF4200}"/>
            </a:ext>
          </a:extLst>
        </xdr:cNvPr>
        <xdr:cNvSpPr>
          <a:spLocks noChangeShapeType="1"/>
        </xdr:cNvSpPr>
      </xdr:nvSpPr>
      <xdr:spPr bwMode="auto">
        <a:xfrm>
          <a:off x="132588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571500</xdr:colOff>
      <xdr:row>0</xdr:row>
      <xdr:rowOff>0</xdr:rowOff>
    </xdr:from>
    <xdr:to>
      <xdr:col>13</xdr:col>
      <xdr:colOff>571500</xdr:colOff>
      <xdr:row>0</xdr:row>
      <xdr:rowOff>0</xdr:rowOff>
    </xdr:to>
    <xdr:sp macro="" textlink="">
      <xdr:nvSpPr>
        <xdr:cNvPr id="4374373" name="Line 98">
          <a:extLst>
            <a:ext uri="{FF2B5EF4-FFF2-40B4-BE49-F238E27FC236}">
              <a16:creationId xmlns="" xmlns:a16="http://schemas.microsoft.com/office/drawing/2014/main" id="{00000000-0008-0000-1D00-000065BF4200}"/>
            </a:ext>
          </a:extLst>
        </xdr:cNvPr>
        <xdr:cNvSpPr>
          <a:spLocks noChangeShapeType="1"/>
        </xdr:cNvSpPr>
      </xdr:nvSpPr>
      <xdr:spPr bwMode="auto">
        <a:xfrm>
          <a:off x="138303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14</xdr:col>
      <xdr:colOff>457200</xdr:colOff>
      <xdr:row>0</xdr:row>
      <xdr:rowOff>0</xdr:rowOff>
    </xdr:to>
    <xdr:sp macro="" textlink="">
      <xdr:nvSpPr>
        <xdr:cNvPr id="4374374" name="Line 99">
          <a:extLst>
            <a:ext uri="{FF2B5EF4-FFF2-40B4-BE49-F238E27FC236}">
              <a16:creationId xmlns="" xmlns:a16="http://schemas.microsoft.com/office/drawing/2014/main" id="{00000000-0008-0000-1D00-000066BF4200}"/>
            </a:ext>
          </a:extLst>
        </xdr:cNvPr>
        <xdr:cNvSpPr>
          <a:spLocks noChangeShapeType="1"/>
        </xdr:cNvSpPr>
      </xdr:nvSpPr>
      <xdr:spPr bwMode="auto">
        <a:xfrm>
          <a:off x="149066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323850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74375" name="Line 100">
          <a:extLst>
            <a:ext uri="{FF2B5EF4-FFF2-40B4-BE49-F238E27FC236}">
              <a16:creationId xmlns="" xmlns:a16="http://schemas.microsoft.com/office/drawing/2014/main" id="{00000000-0008-0000-1D00-000067BF4200}"/>
            </a:ext>
          </a:extLst>
        </xdr:cNvPr>
        <xdr:cNvSpPr>
          <a:spLocks noChangeShapeType="1"/>
        </xdr:cNvSpPr>
      </xdr:nvSpPr>
      <xdr:spPr bwMode="auto">
        <a:xfrm flipH="1">
          <a:off x="10696575" y="0"/>
          <a:ext cx="2095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15</xdr:col>
      <xdr:colOff>161925</xdr:colOff>
      <xdr:row>0</xdr:row>
      <xdr:rowOff>0</xdr:rowOff>
    </xdr:to>
    <xdr:sp macro="" textlink="">
      <xdr:nvSpPr>
        <xdr:cNvPr id="4374376" name="Line 101">
          <a:extLst>
            <a:ext uri="{FF2B5EF4-FFF2-40B4-BE49-F238E27FC236}">
              <a16:creationId xmlns="" xmlns:a16="http://schemas.microsoft.com/office/drawing/2014/main" id="{00000000-0008-0000-1D00-000068BF4200}"/>
            </a:ext>
          </a:extLst>
        </xdr:cNvPr>
        <xdr:cNvSpPr>
          <a:spLocks noChangeShapeType="1"/>
        </xdr:cNvSpPr>
      </xdr:nvSpPr>
      <xdr:spPr bwMode="auto">
        <a:xfrm>
          <a:off x="14906625" y="0"/>
          <a:ext cx="628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74377" name="Line 102">
          <a:extLst>
            <a:ext uri="{FF2B5EF4-FFF2-40B4-BE49-F238E27FC236}">
              <a16:creationId xmlns="" xmlns:a16="http://schemas.microsoft.com/office/drawing/2014/main" id="{00000000-0008-0000-1D00-000069BF4200}"/>
            </a:ext>
          </a:extLst>
        </xdr:cNvPr>
        <xdr:cNvSpPr>
          <a:spLocks noChangeShapeType="1"/>
        </xdr:cNvSpPr>
      </xdr:nvSpPr>
      <xdr:spPr bwMode="auto">
        <a:xfrm flipV="1">
          <a:off x="13868400" y="0"/>
          <a:ext cx="165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1066800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74378" name="Line 103">
          <a:extLst>
            <a:ext uri="{FF2B5EF4-FFF2-40B4-BE49-F238E27FC236}">
              <a16:creationId xmlns="" xmlns:a16="http://schemas.microsoft.com/office/drawing/2014/main" id="{00000000-0008-0000-1D00-00006ABF4200}"/>
            </a:ext>
          </a:extLst>
        </xdr:cNvPr>
        <xdr:cNvSpPr>
          <a:spLocks noChangeShapeType="1"/>
        </xdr:cNvSpPr>
      </xdr:nvSpPr>
      <xdr:spPr bwMode="auto">
        <a:xfrm>
          <a:off x="1325880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266700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74379" name="Line 104">
          <a:extLst>
            <a:ext uri="{FF2B5EF4-FFF2-40B4-BE49-F238E27FC236}">
              <a16:creationId xmlns="" xmlns:a16="http://schemas.microsoft.com/office/drawing/2014/main" id="{00000000-0008-0000-1D00-00006BBF4200}"/>
            </a:ext>
          </a:extLst>
        </xdr:cNvPr>
        <xdr:cNvSpPr>
          <a:spLocks noChangeShapeType="1"/>
        </xdr:cNvSpPr>
      </xdr:nvSpPr>
      <xdr:spPr bwMode="auto">
        <a:xfrm>
          <a:off x="1325880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74380" name="Line 105">
          <a:extLst>
            <a:ext uri="{FF2B5EF4-FFF2-40B4-BE49-F238E27FC236}">
              <a16:creationId xmlns="" xmlns:a16="http://schemas.microsoft.com/office/drawing/2014/main" id="{00000000-0008-0000-1D00-00006CBF4200}"/>
            </a:ext>
          </a:extLst>
        </xdr:cNvPr>
        <xdr:cNvSpPr>
          <a:spLocks noChangeShapeType="1"/>
        </xdr:cNvSpPr>
      </xdr:nvSpPr>
      <xdr:spPr bwMode="auto">
        <a:xfrm>
          <a:off x="1279207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495300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74381" name="Line 106">
          <a:extLst>
            <a:ext uri="{FF2B5EF4-FFF2-40B4-BE49-F238E27FC236}">
              <a16:creationId xmlns="" xmlns:a16="http://schemas.microsoft.com/office/drawing/2014/main" id="{00000000-0008-0000-1D00-00006DBF4200}"/>
            </a:ext>
          </a:extLst>
        </xdr:cNvPr>
        <xdr:cNvSpPr>
          <a:spLocks noChangeShapeType="1"/>
        </xdr:cNvSpPr>
      </xdr:nvSpPr>
      <xdr:spPr bwMode="auto">
        <a:xfrm flipH="1">
          <a:off x="10868025" y="0"/>
          <a:ext cx="2390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1028700</xdr:colOff>
      <xdr:row>0</xdr:row>
      <xdr:rowOff>0</xdr:rowOff>
    </xdr:to>
    <xdr:sp macro="" textlink="">
      <xdr:nvSpPr>
        <xdr:cNvPr id="4374382" name="Line 107">
          <a:extLst>
            <a:ext uri="{FF2B5EF4-FFF2-40B4-BE49-F238E27FC236}">
              <a16:creationId xmlns="" xmlns:a16="http://schemas.microsoft.com/office/drawing/2014/main" id="{00000000-0008-0000-1D00-00006EBF4200}"/>
            </a:ext>
          </a:extLst>
        </xdr:cNvPr>
        <xdr:cNvSpPr>
          <a:spLocks noChangeShapeType="1"/>
        </xdr:cNvSpPr>
      </xdr:nvSpPr>
      <xdr:spPr bwMode="auto">
        <a:xfrm flipH="1">
          <a:off x="10963275" y="0"/>
          <a:ext cx="2295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171450</xdr:colOff>
      <xdr:row>0</xdr:row>
      <xdr:rowOff>0</xdr:rowOff>
    </xdr:from>
    <xdr:to>
      <xdr:col>13</xdr:col>
      <xdr:colOff>552450</xdr:colOff>
      <xdr:row>0</xdr:row>
      <xdr:rowOff>0</xdr:rowOff>
    </xdr:to>
    <xdr:sp macro="" textlink="">
      <xdr:nvSpPr>
        <xdr:cNvPr id="4374383" name="Line 108">
          <a:extLst>
            <a:ext uri="{FF2B5EF4-FFF2-40B4-BE49-F238E27FC236}">
              <a16:creationId xmlns="" xmlns:a16="http://schemas.microsoft.com/office/drawing/2014/main" id="{00000000-0008-0000-1D00-00006FBF4200}"/>
            </a:ext>
          </a:extLst>
        </xdr:cNvPr>
        <xdr:cNvSpPr>
          <a:spLocks noChangeShapeType="1"/>
        </xdr:cNvSpPr>
      </xdr:nvSpPr>
      <xdr:spPr bwMode="auto">
        <a:xfrm flipH="1">
          <a:off x="12211050" y="0"/>
          <a:ext cx="1600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457200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74384" name="Line 109">
          <a:extLst>
            <a:ext uri="{FF2B5EF4-FFF2-40B4-BE49-F238E27FC236}">
              <a16:creationId xmlns="" xmlns:a16="http://schemas.microsoft.com/office/drawing/2014/main" id="{00000000-0008-0000-1D00-000070BF4200}"/>
            </a:ext>
          </a:extLst>
        </xdr:cNvPr>
        <xdr:cNvSpPr>
          <a:spLocks noChangeShapeType="1"/>
        </xdr:cNvSpPr>
      </xdr:nvSpPr>
      <xdr:spPr bwMode="auto">
        <a:xfrm flipH="1">
          <a:off x="12496800" y="0"/>
          <a:ext cx="2371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1104900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74385" name="Line 110">
          <a:extLst>
            <a:ext uri="{FF2B5EF4-FFF2-40B4-BE49-F238E27FC236}">
              <a16:creationId xmlns="" xmlns:a16="http://schemas.microsoft.com/office/drawing/2014/main" id="{00000000-0008-0000-1D00-000071BF4200}"/>
            </a:ext>
          </a:extLst>
        </xdr:cNvPr>
        <xdr:cNvSpPr>
          <a:spLocks noChangeShapeType="1"/>
        </xdr:cNvSpPr>
      </xdr:nvSpPr>
      <xdr:spPr bwMode="auto">
        <a:xfrm>
          <a:off x="1269682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1085850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74386" name="Line 111">
          <a:extLst>
            <a:ext uri="{FF2B5EF4-FFF2-40B4-BE49-F238E27FC236}">
              <a16:creationId xmlns="" xmlns:a16="http://schemas.microsoft.com/office/drawing/2014/main" id="{00000000-0008-0000-1D00-000072BF4200}"/>
            </a:ext>
          </a:extLst>
        </xdr:cNvPr>
        <xdr:cNvSpPr>
          <a:spLocks noChangeShapeType="1"/>
        </xdr:cNvSpPr>
      </xdr:nvSpPr>
      <xdr:spPr bwMode="auto">
        <a:xfrm>
          <a:off x="1269682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123825</xdr:colOff>
      <xdr:row>0</xdr:row>
      <xdr:rowOff>0</xdr:rowOff>
    </xdr:from>
    <xdr:to>
      <xdr:col>21</xdr:col>
      <xdr:colOff>438150</xdr:colOff>
      <xdr:row>0</xdr:row>
      <xdr:rowOff>0</xdr:rowOff>
    </xdr:to>
    <xdr:sp macro="" textlink="">
      <xdr:nvSpPr>
        <xdr:cNvPr id="113" name="Text Box 112">
          <a:extLst>
            <a:ext uri="{FF2B5EF4-FFF2-40B4-BE49-F238E27FC236}">
              <a16:creationId xmlns="" xmlns:a16="http://schemas.microsoft.com/office/drawing/2014/main" id="{00000000-0008-0000-1D00-000071000000}"/>
            </a:ext>
          </a:extLst>
        </xdr:cNvPr>
        <xdr:cNvSpPr txBox="1">
          <a:spLocks noChangeArrowheads="1"/>
        </xdr:cNvSpPr>
      </xdr:nvSpPr>
      <xdr:spPr bwMode="auto">
        <a:xfrm>
          <a:off x="20640675" y="0"/>
          <a:ext cx="3143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1°</a:t>
          </a:r>
        </a:p>
      </xdr:txBody>
    </xdr:sp>
    <xdr:clientData/>
  </xdr:twoCellAnchor>
  <xdr:twoCellAnchor>
    <xdr:from>
      <xdr:col>19</xdr:col>
      <xdr:colOff>1285875</xdr:colOff>
      <xdr:row>0</xdr:row>
      <xdr:rowOff>0</xdr:rowOff>
    </xdr:from>
    <xdr:to>
      <xdr:col>21</xdr:col>
      <xdr:colOff>333375</xdr:colOff>
      <xdr:row>0</xdr:row>
      <xdr:rowOff>0</xdr:rowOff>
    </xdr:to>
    <xdr:sp macro="" textlink="">
      <xdr:nvSpPr>
        <xdr:cNvPr id="114" name="Text Box 113">
          <a:extLst>
            <a:ext uri="{FF2B5EF4-FFF2-40B4-BE49-F238E27FC236}">
              <a16:creationId xmlns="" xmlns:a16="http://schemas.microsoft.com/office/drawing/2014/main" id="{00000000-0008-0000-1D00-000072000000}"/>
            </a:ext>
          </a:extLst>
        </xdr:cNvPr>
        <xdr:cNvSpPr txBox="1">
          <a:spLocks noChangeArrowheads="1"/>
        </xdr:cNvSpPr>
      </xdr:nvSpPr>
      <xdr:spPr bwMode="auto">
        <a:xfrm>
          <a:off x="19754850" y="0"/>
          <a:ext cx="10953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3°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5" name="Text Box 114">
          <a:extLst>
            <a:ext uri="{FF2B5EF4-FFF2-40B4-BE49-F238E27FC236}">
              <a16:creationId xmlns="" xmlns:a16="http://schemas.microsoft.com/office/drawing/2014/main" id="{00000000-0008-0000-1D00-000073000000}"/>
            </a:ext>
          </a:extLst>
        </xdr:cNvPr>
        <xdr:cNvSpPr txBox="1">
          <a:spLocks noChangeArrowheads="1"/>
        </xdr:cNvSpPr>
      </xdr:nvSpPr>
      <xdr:spPr bwMode="auto">
        <a:xfrm>
          <a:off x="2095500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21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6" name="Text Box 115">
          <a:extLst>
            <a:ext uri="{FF2B5EF4-FFF2-40B4-BE49-F238E27FC236}">
              <a16:creationId xmlns="" xmlns:a16="http://schemas.microsoft.com/office/drawing/2014/main" id="{00000000-0008-0000-1D00-000074000000}"/>
            </a:ext>
          </a:extLst>
        </xdr:cNvPr>
        <xdr:cNvSpPr txBox="1">
          <a:spLocks noChangeArrowheads="1"/>
        </xdr:cNvSpPr>
      </xdr:nvSpPr>
      <xdr:spPr bwMode="auto">
        <a:xfrm>
          <a:off x="2095500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19</xdr:col>
      <xdr:colOff>819150</xdr:colOff>
      <xdr:row>0</xdr:row>
      <xdr:rowOff>0</xdr:rowOff>
    </xdr:from>
    <xdr:to>
      <xdr:col>19</xdr:col>
      <xdr:colOff>1000125</xdr:colOff>
      <xdr:row>0</xdr:row>
      <xdr:rowOff>0</xdr:rowOff>
    </xdr:to>
    <xdr:sp macro="" textlink="">
      <xdr:nvSpPr>
        <xdr:cNvPr id="117" name="Text Box 116">
          <a:extLst>
            <a:ext uri="{FF2B5EF4-FFF2-40B4-BE49-F238E27FC236}">
              <a16:creationId xmlns="" xmlns:a16="http://schemas.microsoft.com/office/drawing/2014/main" id="{00000000-0008-0000-1D00-000075000000}"/>
            </a:ext>
          </a:extLst>
        </xdr:cNvPr>
        <xdr:cNvSpPr txBox="1">
          <a:spLocks noChangeArrowheads="1"/>
        </xdr:cNvSpPr>
      </xdr:nvSpPr>
      <xdr:spPr bwMode="auto">
        <a:xfrm>
          <a:off x="19307175" y="0"/>
          <a:ext cx="1809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5°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8" name="Text Box 117">
          <a:extLst>
            <a:ext uri="{FF2B5EF4-FFF2-40B4-BE49-F238E27FC236}">
              <a16:creationId xmlns="" xmlns:a16="http://schemas.microsoft.com/office/drawing/2014/main" id="{00000000-0008-0000-1D00-000076000000}"/>
            </a:ext>
          </a:extLst>
        </xdr:cNvPr>
        <xdr:cNvSpPr txBox="1">
          <a:spLocks noChangeArrowheads="1"/>
        </xdr:cNvSpPr>
      </xdr:nvSpPr>
      <xdr:spPr bwMode="auto">
        <a:xfrm>
          <a:off x="2095500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6°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1" i="0" strike="noStrike">
              <a:solidFill>
                <a:srgbClr val="000000"/>
              </a:solidFill>
              <a:latin typeface="Times New Roman"/>
              <a:cs typeface="Times New Roman"/>
            </a:rPr>
            <a:t>6</a:t>
          </a:r>
        </a:p>
      </xdr:txBody>
    </xdr:sp>
    <xdr:clientData/>
  </xdr:twoCellAnchor>
  <xdr:twoCellAnchor>
    <xdr:from>
      <xdr:col>14</xdr:col>
      <xdr:colOff>266700</xdr:colOff>
      <xdr:row>15</xdr:row>
      <xdr:rowOff>38100</xdr:rowOff>
    </xdr:from>
    <xdr:to>
      <xdr:col>15</xdr:col>
      <xdr:colOff>352425</xdr:colOff>
      <xdr:row>16</xdr:row>
      <xdr:rowOff>161925</xdr:rowOff>
    </xdr:to>
    <xdr:sp macro="" textlink="">
      <xdr:nvSpPr>
        <xdr:cNvPr id="4374393" name="Text Box 118">
          <a:extLst>
            <a:ext uri="{FF2B5EF4-FFF2-40B4-BE49-F238E27FC236}">
              <a16:creationId xmlns="" xmlns:a16="http://schemas.microsoft.com/office/drawing/2014/main" id="{00000000-0008-0000-1D00-000079BF4200}"/>
            </a:ext>
          </a:extLst>
        </xdr:cNvPr>
        <xdr:cNvSpPr txBox="1">
          <a:spLocks noChangeArrowheads="1"/>
        </xdr:cNvSpPr>
      </xdr:nvSpPr>
      <xdr:spPr bwMode="auto">
        <a:xfrm>
          <a:off x="14716125" y="5638800"/>
          <a:ext cx="1009650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190500</xdr:colOff>
      <xdr:row>15</xdr:row>
      <xdr:rowOff>142875</xdr:rowOff>
    </xdr:from>
    <xdr:to>
      <xdr:col>3</xdr:col>
      <xdr:colOff>1038225</xdr:colOff>
      <xdr:row>19</xdr:row>
      <xdr:rowOff>66675</xdr:rowOff>
    </xdr:to>
    <xdr:grpSp>
      <xdr:nvGrpSpPr>
        <xdr:cNvPr id="4374395" name="Group 120">
          <a:extLst>
            <a:ext uri="{FF2B5EF4-FFF2-40B4-BE49-F238E27FC236}">
              <a16:creationId xmlns="" xmlns:a16="http://schemas.microsoft.com/office/drawing/2014/main" id="{00000000-0008-0000-1D00-00007BBF4200}"/>
            </a:ext>
          </a:extLst>
        </xdr:cNvPr>
        <xdr:cNvGrpSpPr>
          <a:grpSpLocks/>
        </xdr:cNvGrpSpPr>
      </xdr:nvGrpSpPr>
      <xdr:grpSpPr bwMode="auto">
        <a:xfrm>
          <a:off x="2833688" y="5738813"/>
          <a:ext cx="2990850" cy="1304925"/>
          <a:chOff x="358" y="540"/>
          <a:chExt cx="293" cy="139"/>
        </a:xfrm>
      </xdr:grpSpPr>
      <xdr:sp macro="" textlink="">
        <xdr:nvSpPr>
          <xdr:cNvPr id="4374425" name="Line 121">
            <a:extLst>
              <a:ext uri="{FF2B5EF4-FFF2-40B4-BE49-F238E27FC236}">
                <a16:creationId xmlns="" xmlns:a16="http://schemas.microsoft.com/office/drawing/2014/main" id="{00000000-0008-0000-1D00-000099BF42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74426" name="Group 122">
            <a:extLst>
              <a:ext uri="{FF2B5EF4-FFF2-40B4-BE49-F238E27FC236}">
                <a16:creationId xmlns="" xmlns:a16="http://schemas.microsoft.com/office/drawing/2014/main" id="{00000000-0008-0000-1D00-00009ABF42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374482" name="Line 123">
              <a:extLst>
                <a:ext uri="{FF2B5EF4-FFF2-40B4-BE49-F238E27FC236}">
                  <a16:creationId xmlns="" xmlns:a16="http://schemas.microsoft.com/office/drawing/2014/main" id="{00000000-0008-0000-1D00-0000D2BF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4483" name="Line 124">
              <a:extLst>
                <a:ext uri="{FF2B5EF4-FFF2-40B4-BE49-F238E27FC236}">
                  <a16:creationId xmlns="" xmlns:a16="http://schemas.microsoft.com/office/drawing/2014/main" id="{00000000-0008-0000-1D00-0000D3BF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74427" name="Line 125">
            <a:extLst>
              <a:ext uri="{FF2B5EF4-FFF2-40B4-BE49-F238E27FC236}">
                <a16:creationId xmlns="" xmlns:a16="http://schemas.microsoft.com/office/drawing/2014/main" id="{00000000-0008-0000-1D00-00009BBF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74428" name="Line 126">
            <a:extLst>
              <a:ext uri="{FF2B5EF4-FFF2-40B4-BE49-F238E27FC236}">
                <a16:creationId xmlns="" xmlns:a16="http://schemas.microsoft.com/office/drawing/2014/main" id="{00000000-0008-0000-1D00-00009CBF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4429" name="Line 127">
            <a:extLst>
              <a:ext uri="{FF2B5EF4-FFF2-40B4-BE49-F238E27FC236}">
                <a16:creationId xmlns="" xmlns:a16="http://schemas.microsoft.com/office/drawing/2014/main" id="{00000000-0008-0000-1D00-00009DBF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4430" name="Line 128">
            <a:extLst>
              <a:ext uri="{FF2B5EF4-FFF2-40B4-BE49-F238E27FC236}">
                <a16:creationId xmlns="" xmlns:a16="http://schemas.microsoft.com/office/drawing/2014/main" id="{00000000-0008-0000-1D00-00009EBF42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74431" name="Line 129">
            <a:extLst>
              <a:ext uri="{FF2B5EF4-FFF2-40B4-BE49-F238E27FC236}">
                <a16:creationId xmlns="" xmlns:a16="http://schemas.microsoft.com/office/drawing/2014/main" id="{00000000-0008-0000-1D00-00009FBF42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74432" name="Group 130">
            <a:extLst>
              <a:ext uri="{FF2B5EF4-FFF2-40B4-BE49-F238E27FC236}">
                <a16:creationId xmlns="" xmlns:a16="http://schemas.microsoft.com/office/drawing/2014/main" id="{00000000-0008-0000-1D00-0000A0BF42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374476" name="Line 131">
              <a:extLst>
                <a:ext uri="{FF2B5EF4-FFF2-40B4-BE49-F238E27FC236}">
                  <a16:creationId xmlns="" xmlns:a16="http://schemas.microsoft.com/office/drawing/2014/main" id="{00000000-0008-0000-1D00-0000CCBF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4477" name="Group 132">
              <a:extLst>
                <a:ext uri="{FF2B5EF4-FFF2-40B4-BE49-F238E27FC236}">
                  <a16:creationId xmlns="" xmlns:a16="http://schemas.microsoft.com/office/drawing/2014/main" id="{00000000-0008-0000-1D00-0000CDBF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4478" name="Line 133">
                <a:extLst>
                  <a:ext uri="{FF2B5EF4-FFF2-40B4-BE49-F238E27FC236}">
                    <a16:creationId xmlns="" xmlns:a16="http://schemas.microsoft.com/office/drawing/2014/main" id="{00000000-0008-0000-1D00-0000CEBF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4479" name="Group 134">
                <a:extLst>
                  <a:ext uri="{FF2B5EF4-FFF2-40B4-BE49-F238E27FC236}">
                    <a16:creationId xmlns="" xmlns:a16="http://schemas.microsoft.com/office/drawing/2014/main" id="{00000000-0008-0000-1D00-0000CFBF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4480" name="Line 135">
                  <a:extLst>
                    <a:ext uri="{FF2B5EF4-FFF2-40B4-BE49-F238E27FC236}">
                      <a16:creationId xmlns="" xmlns:a16="http://schemas.microsoft.com/office/drawing/2014/main" id="{00000000-0008-0000-1D00-0000D0BF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4481" name="Line 136">
                  <a:extLst>
                    <a:ext uri="{FF2B5EF4-FFF2-40B4-BE49-F238E27FC236}">
                      <a16:creationId xmlns="" xmlns:a16="http://schemas.microsoft.com/office/drawing/2014/main" id="{00000000-0008-0000-1D00-0000D1BF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4433" name="Group 137">
            <a:extLst>
              <a:ext uri="{FF2B5EF4-FFF2-40B4-BE49-F238E27FC236}">
                <a16:creationId xmlns="" xmlns:a16="http://schemas.microsoft.com/office/drawing/2014/main" id="{00000000-0008-0000-1D00-0000A1BF42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374470" name="Line 138">
              <a:extLst>
                <a:ext uri="{FF2B5EF4-FFF2-40B4-BE49-F238E27FC236}">
                  <a16:creationId xmlns="" xmlns:a16="http://schemas.microsoft.com/office/drawing/2014/main" id="{00000000-0008-0000-1D00-0000C6BF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4471" name="Group 139">
              <a:extLst>
                <a:ext uri="{FF2B5EF4-FFF2-40B4-BE49-F238E27FC236}">
                  <a16:creationId xmlns="" xmlns:a16="http://schemas.microsoft.com/office/drawing/2014/main" id="{00000000-0008-0000-1D00-0000C7BF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4472" name="Line 140">
                <a:extLst>
                  <a:ext uri="{FF2B5EF4-FFF2-40B4-BE49-F238E27FC236}">
                    <a16:creationId xmlns="" xmlns:a16="http://schemas.microsoft.com/office/drawing/2014/main" id="{00000000-0008-0000-1D00-0000C8BF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4473" name="Group 141">
                <a:extLst>
                  <a:ext uri="{FF2B5EF4-FFF2-40B4-BE49-F238E27FC236}">
                    <a16:creationId xmlns="" xmlns:a16="http://schemas.microsoft.com/office/drawing/2014/main" id="{00000000-0008-0000-1D00-0000C9BF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4474" name="Line 142">
                  <a:extLst>
                    <a:ext uri="{FF2B5EF4-FFF2-40B4-BE49-F238E27FC236}">
                      <a16:creationId xmlns="" xmlns:a16="http://schemas.microsoft.com/office/drawing/2014/main" id="{00000000-0008-0000-1D00-0000CABF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4475" name="Line 143">
                  <a:extLst>
                    <a:ext uri="{FF2B5EF4-FFF2-40B4-BE49-F238E27FC236}">
                      <a16:creationId xmlns="" xmlns:a16="http://schemas.microsoft.com/office/drawing/2014/main" id="{00000000-0008-0000-1D00-0000CBBF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4434" name="Group 144">
            <a:extLst>
              <a:ext uri="{FF2B5EF4-FFF2-40B4-BE49-F238E27FC236}">
                <a16:creationId xmlns="" xmlns:a16="http://schemas.microsoft.com/office/drawing/2014/main" id="{00000000-0008-0000-1D00-0000A2BF42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374464" name="Line 145">
              <a:extLst>
                <a:ext uri="{FF2B5EF4-FFF2-40B4-BE49-F238E27FC236}">
                  <a16:creationId xmlns="" xmlns:a16="http://schemas.microsoft.com/office/drawing/2014/main" id="{00000000-0008-0000-1D00-0000C0BF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4465" name="Group 146">
              <a:extLst>
                <a:ext uri="{FF2B5EF4-FFF2-40B4-BE49-F238E27FC236}">
                  <a16:creationId xmlns="" xmlns:a16="http://schemas.microsoft.com/office/drawing/2014/main" id="{00000000-0008-0000-1D00-0000C1BF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4466" name="Line 147">
                <a:extLst>
                  <a:ext uri="{FF2B5EF4-FFF2-40B4-BE49-F238E27FC236}">
                    <a16:creationId xmlns="" xmlns:a16="http://schemas.microsoft.com/office/drawing/2014/main" id="{00000000-0008-0000-1D00-0000C2BF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4467" name="Group 148">
                <a:extLst>
                  <a:ext uri="{FF2B5EF4-FFF2-40B4-BE49-F238E27FC236}">
                    <a16:creationId xmlns="" xmlns:a16="http://schemas.microsoft.com/office/drawing/2014/main" id="{00000000-0008-0000-1D00-0000C3BF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4468" name="Line 149">
                  <a:extLst>
                    <a:ext uri="{FF2B5EF4-FFF2-40B4-BE49-F238E27FC236}">
                      <a16:creationId xmlns="" xmlns:a16="http://schemas.microsoft.com/office/drawing/2014/main" id="{00000000-0008-0000-1D00-0000C4BF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4469" name="Line 150">
                  <a:extLst>
                    <a:ext uri="{FF2B5EF4-FFF2-40B4-BE49-F238E27FC236}">
                      <a16:creationId xmlns="" xmlns:a16="http://schemas.microsoft.com/office/drawing/2014/main" id="{00000000-0008-0000-1D00-0000C5BF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4435" name="Group 151">
            <a:extLst>
              <a:ext uri="{FF2B5EF4-FFF2-40B4-BE49-F238E27FC236}">
                <a16:creationId xmlns="" xmlns:a16="http://schemas.microsoft.com/office/drawing/2014/main" id="{00000000-0008-0000-1D00-0000A3BF42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374458" name="Line 152">
              <a:extLst>
                <a:ext uri="{FF2B5EF4-FFF2-40B4-BE49-F238E27FC236}">
                  <a16:creationId xmlns="" xmlns:a16="http://schemas.microsoft.com/office/drawing/2014/main" id="{00000000-0008-0000-1D00-0000BABF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4459" name="Group 153">
              <a:extLst>
                <a:ext uri="{FF2B5EF4-FFF2-40B4-BE49-F238E27FC236}">
                  <a16:creationId xmlns="" xmlns:a16="http://schemas.microsoft.com/office/drawing/2014/main" id="{00000000-0008-0000-1D00-0000BBBF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4460" name="Line 154">
                <a:extLst>
                  <a:ext uri="{FF2B5EF4-FFF2-40B4-BE49-F238E27FC236}">
                    <a16:creationId xmlns="" xmlns:a16="http://schemas.microsoft.com/office/drawing/2014/main" id="{00000000-0008-0000-1D00-0000BCBF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4461" name="Group 155">
                <a:extLst>
                  <a:ext uri="{FF2B5EF4-FFF2-40B4-BE49-F238E27FC236}">
                    <a16:creationId xmlns="" xmlns:a16="http://schemas.microsoft.com/office/drawing/2014/main" id="{00000000-0008-0000-1D00-0000BDBF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4462" name="Line 156">
                  <a:extLst>
                    <a:ext uri="{FF2B5EF4-FFF2-40B4-BE49-F238E27FC236}">
                      <a16:creationId xmlns="" xmlns:a16="http://schemas.microsoft.com/office/drawing/2014/main" id="{00000000-0008-0000-1D00-0000BEBF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4463" name="Line 157">
                  <a:extLst>
                    <a:ext uri="{FF2B5EF4-FFF2-40B4-BE49-F238E27FC236}">
                      <a16:creationId xmlns="" xmlns:a16="http://schemas.microsoft.com/office/drawing/2014/main" id="{00000000-0008-0000-1D00-0000BFBF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4436" name="Group 158">
            <a:extLst>
              <a:ext uri="{FF2B5EF4-FFF2-40B4-BE49-F238E27FC236}">
                <a16:creationId xmlns="" xmlns:a16="http://schemas.microsoft.com/office/drawing/2014/main" id="{00000000-0008-0000-1D00-0000A4BF42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374452" name="Line 159">
              <a:extLst>
                <a:ext uri="{FF2B5EF4-FFF2-40B4-BE49-F238E27FC236}">
                  <a16:creationId xmlns="" xmlns:a16="http://schemas.microsoft.com/office/drawing/2014/main" id="{00000000-0008-0000-1D00-0000B4BF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4453" name="Group 160">
              <a:extLst>
                <a:ext uri="{FF2B5EF4-FFF2-40B4-BE49-F238E27FC236}">
                  <a16:creationId xmlns="" xmlns:a16="http://schemas.microsoft.com/office/drawing/2014/main" id="{00000000-0008-0000-1D00-0000B5BF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4454" name="Line 161">
                <a:extLst>
                  <a:ext uri="{FF2B5EF4-FFF2-40B4-BE49-F238E27FC236}">
                    <a16:creationId xmlns="" xmlns:a16="http://schemas.microsoft.com/office/drawing/2014/main" id="{00000000-0008-0000-1D00-0000B6BF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4455" name="Group 162">
                <a:extLst>
                  <a:ext uri="{FF2B5EF4-FFF2-40B4-BE49-F238E27FC236}">
                    <a16:creationId xmlns="" xmlns:a16="http://schemas.microsoft.com/office/drawing/2014/main" id="{00000000-0008-0000-1D00-0000B7BF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4456" name="Line 163">
                  <a:extLst>
                    <a:ext uri="{FF2B5EF4-FFF2-40B4-BE49-F238E27FC236}">
                      <a16:creationId xmlns="" xmlns:a16="http://schemas.microsoft.com/office/drawing/2014/main" id="{00000000-0008-0000-1D00-0000B8BF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4457" name="Line 164">
                  <a:extLst>
                    <a:ext uri="{FF2B5EF4-FFF2-40B4-BE49-F238E27FC236}">
                      <a16:creationId xmlns="" xmlns:a16="http://schemas.microsoft.com/office/drawing/2014/main" id="{00000000-0008-0000-1D00-0000B9BF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4437" name="Group 165">
            <a:extLst>
              <a:ext uri="{FF2B5EF4-FFF2-40B4-BE49-F238E27FC236}">
                <a16:creationId xmlns="" xmlns:a16="http://schemas.microsoft.com/office/drawing/2014/main" id="{00000000-0008-0000-1D00-0000A5BF42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374446" name="Line 166">
              <a:extLst>
                <a:ext uri="{FF2B5EF4-FFF2-40B4-BE49-F238E27FC236}">
                  <a16:creationId xmlns="" xmlns:a16="http://schemas.microsoft.com/office/drawing/2014/main" id="{00000000-0008-0000-1D00-0000AEBF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4447" name="Group 167">
              <a:extLst>
                <a:ext uri="{FF2B5EF4-FFF2-40B4-BE49-F238E27FC236}">
                  <a16:creationId xmlns="" xmlns:a16="http://schemas.microsoft.com/office/drawing/2014/main" id="{00000000-0008-0000-1D00-0000AFBF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4448" name="Line 168">
                <a:extLst>
                  <a:ext uri="{FF2B5EF4-FFF2-40B4-BE49-F238E27FC236}">
                    <a16:creationId xmlns="" xmlns:a16="http://schemas.microsoft.com/office/drawing/2014/main" id="{00000000-0008-0000-1D00-0000B0BF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4449" name="Group 169">
                <a:extLst>
                  <a:ext uri="{FF2B5EF4-FFF2-40B4-BE49-F238E27FC236}">
                    <a16:creationId xmlns="" xmlns:a16="http://schemas.microsoft.com/office/drawing/2014/main" id="{00000000-0008-0000-1D00-0000B1BF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4450" name="Line 170">
                  <a:extLst>
                    <a:ext uri="{FF2B5EF4-FFF2-40B4-BE49-F238E27FC236}">
                      <a16:creationId xmlns="" xmlns:a16="http://schemas.microsoft.com/office/drawing/2014/main" id="{00000000-0008-0000-1D00-0000B2BF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4451" name="Line 171">
                  <a:extLst>
                    <a:ext uri="{FF2B5EF4-FFF2-40B4-BE49-F238E27FC236}">
                      <a16:creationId xmlns="" xmlns:a16="http://schemas.microsoft.com/office/drawing/2014/main" id="{00000000-0008-0000-1D00-0000B3BF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74438" name="Group 172">
            <a:extLst>
              <a:ext uri="{FF2B5EF4-FFF2-40B4-BE49-F238E27FC236}">
                <a16:creationId xmlns="" xmlns:a16="http://schemas.microsoft.com/office/drawing/2014/main" id="{00000000-0008-0000-1D00-0000A6BF42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374440" name="Line 173">
              <a:extLst>
                <a:ext uri="{FF2B5EF4-FFF2-40B4-BE49-F238E27FC236}">
                  <a16:creationId xmlns="" xmlns:a16="http://schemas.microsoft.com/office/drawing/2014/main" id="{00000000-0008-0000-1D00-0000A8BF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74441" name="Group 174">
              <a:extLst>
                <a:ext uri="{FF2B5EF4-FFF2-40B4-BE49-F238E27FC236}">
                  <a16:creationId xmlns="" xmlns:a16="http://schemas.microsoft.com/office/drawing/2014/main" id="{00000000-0008-0000-1D00-0000A9BF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74442" name="Line 175">
                <a:extLst>
                  <a:ext uri="{FF2B5EF4-FFF2-40B4-BE49-F238E27FC236}">
                    <a16:creationId xmlns="" xmlns:a16="http://schemas.microsoft.com/office/drawing/2014/main" id="{00000000-0008-0000-1D00-0000AABF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74443" name="Group 176">
                <a:extLst>
                  <a:ext uri="{FF2B5EF4-FFF2-40B4-BE49-F238E27FC236}">
                    <a16:creationId xmlns="" xmlns:a16="http://schemas.microsoft.com/office/drawing/2014/main" id="{00000000-0008-0000-1D00-0000ABBF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74444" name="Line 177">
                  <a:extLst>
                    <a:ext uri="{FF2B5EF4-FFF2-40B4-BE49-F238E27FC236}">
                      <a16:creationId xmlns="" xmlns:a16="http://schemas.microsoft.com/office/drawing/2014/main" id="{00000000-0008-0000-1D00-0000ACBF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74445" name="Line 178">
                  <a:extLst>
                    <a:ext uri="{FF2B5EF4-FFF2-40B4-BE49-F238E27FC236}">
                      <a16:creationId xmlns="" xmlns:a16="http://schemas.microsoft.com/office/drawing/2014/main" id="{00000000-0008-0000-1D00-0000ADBF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74439" name="Line 179">
            <a:extLst>
              <a:ext uri="{FF2B5EF4-FFF2-40B4-BE49-F238E27FC236}">
                <a16:creationId xmlns="" xmlns:a16="http://schemas.microsoft.com/office/drawing/2014/main" id="{00000000-0008-0000-1D00-0000A7BF42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-3562350</xdr:colOff>
      <xdr:row>23</xdr:row>
      <xdr:rowOff>57150</xdr:rowOff>
    </xdr:from>
    <xdr:to>
      <xdr:col>0</xdr:col>
      <xdr:colOff>-3467100</xdr:colOff>
      <xdr:row>30</xdr:row>
      <xdr:rowOff>57150</xdr:rowOff>
    </xdr:to>
    <xdr:grpSp>
      <xdr:nvGrpSpPr>
        <xdr:cNvPr id="4374396" name="Group 193">
          <a:extLst>
            <a:ext uri="{FF2B5EF4-FFF2-40B4-BE49-F238E27FC236}">
              <a16:creationId xmlns="" xmlns:a16="http://schemas.microsoft.com/office/drawing/2014/main" id="{00000000-0008-0000-1D00-00007CBF4200}"/>
            </a:ext>
          </a:extLst>
        </xdr:cNvPr>
        <xdr:cNvGrpSpPr>
          <a:grpSpLocks/>
        </xdr:cNvGrpSpPr>
      </xdr:nvGrpSpPr>
      <xdr:grpSpPr bwMode="auto">
        <a:xfrm>
          <a:off x="-3562350" y="7986713"/>
          <a:ext cx="95250" cy="2309812"/>
          <a:chOff x="842" y="438"/>
          <a:chExt cx="10" cy="147"/>
        </a:xfrm>
      </xdr:grpSpPr>
      <xdr:sp macro="" textlink="">
        <xdr:nvSpPr>
          <xdr:cNvPr id="4374423" name="Line 194">
            <a:extLst>
              <a:ext uri="{FF2B5EF4-FFF2-40B4-BE49-F238E27FC236}">
                <a16:creationId xmlns="" xmlns:a16="http://schemas.microsoft.com/office/drawing/2014/main" id="{00000000-0008-0000-1D00-000097BF42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4424" name="Line 195">
            <a:extLst>
              <a:ext uri="{FF2B5EF4-FFF2-40B4-BE49-F238E27FC236}">
                <a16:creationId xmlns="" xmlns:a16="http://schemas.microsoft.com/office/drawing/2014/main" id="{00000000-0008-0000-1D00-000098BF42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0</xdr:row>
      <xdr:rowOff>133350</xdr:rowOff>
    </xdr:from>
    <xdr:to>
      <xdr:col>21</xdr:col>
      <xdr:colOff>1314450</xdr:colOff>
      <xdr:row>2</xdr:row>
      <xdr:rowOff>28575</xdr:rowOff>
    </xdr:to>
    <xdr:sp macro="" textlink="">
      <xdr:nvSpPr>
        <xdr:cNvPr id="4346109" name="Rectangle 250">
          <a:extLst>
            <a:ext uri="{FF2B5EF4-FFF2-40B4-BE49-F238E27FC236}">
              <a16:creationId xmlns="" xmlns:a16="http://schemas.microsoft.com/office/drawing/2014/main" id="{00000000-0008-0000-1D00-0000FD504200}"/>
            </a:ext>
          </a:extLst>
        </xdr:cNvPr>
        <xdr:cNvSpPr>
          <a:spLocks noChangeArrowheads="1"/>
        </xdr:cNvSpPr>
      </xdr:nvSpPr>
      <xdr:spPr bwMode="auto">
        <a:xfrm>
          <a:off x="2324100" y="133350"/>
          <a:ext cx="18630900" cy="5524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  <xdr:txBody>
        <a:bodyPr/>
        <a:lstStyle/>
        <a:p>
          <a:endParaRPr lang="it-IT"/>
        </a:p>
      </xdr:txBody>
    </xdr:sp>
    <xdr:clientData/>
  </xdr:twoCellAnchor>
  <xdr:twoCellAnchor>
    <xdr:from>
      <xdr:col>1</xdr:col>
      <xdr:colOff>285750</xdr:colOff>
      <xdr:row>22</xdr:row>
      <xdr:rowOff>133350</xdr:rowOff>
    </xdr:from>
    <xdr:to>
      <xdr:col>10</xdr:col>
      <xdr:colOff>647700</xdr:colOff>
      <xdr:row>34</xdr:row>
      <xdr:rowOff>123825</xdr:rowOff>
    </xdr:to>
    <xdr:grpSp>
      <xdr:nvGrpSpPr>
        <xdr:cNvPr id="4374399" name="Gruppo 254">
          <a:extLst>
            <a:ext uri="{FF2B5EF4-FFF2-40B4-BE49-F238E27FC236}">
              <a16:creationId xmlns="" xmlns:a16="http://schemas.microsoft.com/office/drawing/2014/main" id="{00000000-0008-0000-1D00-00007FBF4200}"/>
            </a:ext>
          </a:extLst>
        </xdr:cNvPr>
        <xdr:cNvGrpSpPr>
          <a:grpSpLocks/>
        </xdr:cNvGrpSpPr>
      </xdr:nvGrpSpPr>
      <xdr:grpSpPr bwMode="auto">
        <a:xfrm>
          <a:off x="2619375" y="7872413"/>
          <a:ext cx="10077450" cy="4300537"/>
          <a:chOff x="32032547" y="4916090"/>
          <a:chExt cx="6320731" cy="4069880"/>
        </a:xfrm>
      </xdr:grpSpPr>
      <xdr:sp macro="" textlink="">
        <xdr:nvSpPr>
          <xdr:cNvPr id="4374401" name="Line 181">
            <a:extLst>
              <a:ext uri="{FF2B5EF4-FFF2-40B4-BE49-F238E27FC236}">
                <a16:creationId xmlns="" xmlns:a16="http://schemas.microsoft.com/office/drawing/2014/main" id="{00000000-0008-0000-1D00-000081BF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039228" y="6007380"/>
            <a:ext cx="48107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74402" name="Line 182">
            <a:extLst>
              <a:ext uri="{FF2B5EF4-FFF2-40B4-BE49-F238E27FC236}">
                <a16:creationId xmlns="" xmlns:a16="http://schemas.microsoft.com/office/drawing/2014/main" id="{00000000-0008-0000-1D00-000082BF4200}"/>
              </a:ext>
            </a:extLst>
          </xdr:cNvPr>
          <xdr:cNvSpPr>
            <a:spLocks noChangeShapeType="1"/>
          </xdr:cNvSpPr>
        </xdr:nvSpPr>
        <xdr:spPr bwMode="auto">
          <a:xfrm>
            <a:off x="32039228" y="5327889"/>
            <a:ext cx="0" cy="365808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4403" name="Line 183">
            <a:extLst>
              <a:ext uri="{FF2B5EF4-FFF2-40B4-BE49-F238E27FC236}">
                <a16:creationId xmlns="" xmlns:a16="http://schemas.microsoft.com/office/drawing/2014/main" id="{00000000-0008-0000-1D00-000083BF4200}"/>
              </a:ext>
            </a:extLst>
          </xdr:cNvPr>
          <xdr:cNvSpPr>
            <a:spLocks noChangeShapeType="1"/>
          </xdr:cNvSpPr>
        </xdr:nvSpPr>
        <xdr:spPr bwMode="auto">
          <a:xfrm>
            <a:off x="32045909" y="6407627"/>
            <a:ext cx="13630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74404" name="Line 184">
            <a:extLst>
              <a:ext uri="{FF2B5EF4-FFF2-40B4-BE49-F238E27FC236}">
                <a16:creationId xmlns="" xmlns:a16="http://schemas.microsoft.com/office/drawing/2014/main" id="{00000000-0008-0000-1D00-000084BF4200}"/>
              </a:ext>
            </a:extLst>
          </xdr:cNvPr>
          <xdr:cNvSpPr>
            <a:spLocks noChangeShapeType="1"/>
          </xdr:cNvSpPr>
        </xdr:nvSpPr>
        <xdr:spPr bwMode="auto">
          <a:xfrm>
            <a:off x="32039228" y="6863724"/>
            <a:ext cx="22316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74405" name="Line 185">
            <a:extLst>
              <a:ext uri="{FF2B5EF4-FFF2-40B4-BE49-F238E27FC236}">
                <a16:creationId xmlns="" xmlns:a16="http://schemas.microsoft.com/office/drawing/2014/main" id="{00000000-0008-0000-1D00-000085BF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45909" y="7254664"/>
            <a:ext cx="306014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74406" name="Line 186">
            <a:extLst>
              <a:ext uri="{FF2B5EF4-FFF2-40B4-BE49-F238E27FC236}">
                <a16:creationId xmlns="" xmlns:a16="http://schemas.microsoft.com/office/drawing/2014/main" id="{00000000-0008-0000-1D00-000086BF4200}"/>
              </a:ext>
            </a:extLst>
          </xdr:cNvPr>
          <xdr:cNvSpPr>
            <a:spLocks noChangeShapeType="1"/>
          </xdr:cNvSpPr>
        </xdr:nvSpPr>
        <xdr:spPr bwMode="auto">
          <a:xfrm>
            <a:off x="32520299" y="4964873"/>
            <a:ext cx="0" cy="115420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4407" name="Line 187">
            <a:extLst>
              <a:ext uri="{FF2B5EF4-FFF2-40B4-BE49-F238E27FC236}">
                <a16:creationId xmlns="" xmlns:a16="http://schemas.microsoft.com/office/drawing/2014/main" id="{00000000-0008-0000-1D00-000087BF4200}"/>
              </a:ext>
            </a:extLst>
          </xdr:cNvPr>
          <xdr:cNvSpPr>
            <a:spLocks noChangeShapeType="1"/>
          </xdr:cNvSpPr>
        </xdr:nvSpPr>
        <xdr:spPr bwMode="auto">
          <a:xfrm>
            <a:off x="32065954" y="5030029"/>
            <a:ext cx="414255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4408" name="Line 188">
            <a:extLst>
              <a:ext uri="{FF2B5EF4-FFF2-40B4-BE49-F238E27FC236}">
                <a16:creationId xmlns="" xmlns:a16="http://schemas.microsoft.com/office/drawing/2014/main" id="{00000000-0008-0000-1D00-000088BF4200}"/>
              </a:ext>
            </a:extLst>
          </xdr:cNvPr>
          <xdr:cNvSpPr>
            <a:spLocks noChangeShapeType="1"/>
          </xdr:cNvSpPr>
        </xdr:nvSpPr>
        <xdr:spPr bwMode="auto">
          <a:xfrm>
            <a:off x="33408943" y="4955565"/>
            <a:ext cx="0" cy="149860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4409" name="Line 189">
            <a:extLst>
              <a:ext uri="{FF2B5EF4-FFF2-40B4-BE49-F238E27FC236}">
                <a16:creationId xmlns="" xmlns:a16="http://schemas.microsoft.com/office/drawing/2014/main" id="{00000000-0008-0000-1D00-000089BF4200}"/>
              </a:ext>
            </a:extLst>
          </xdr:cNvPr>
          <xdr:cNvSpPr>
            <a:spLocks noChangeShapeType="1"/>
          </xdr:cNvSpPr>
        </xdr:nvSpPr>
        <xdr:spPr bwMode="auto">
          <a:xfrm>
            <a:off x="32841012" y="5039338"/>
            <a:ext cx="88864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4410" name="Line 191">
            <a:extLst>
              <a:ext uri="{FF2B5EF4-FFF2-40B4-BE49-F238E27FC236}">
                <a16:creationId xmlns="" xmlns:a16="http://schemas.microsoft.com/office/drawing/2014/main" id="{00000000-0008-0000-1D00-00008ABF4200}"/>
              </a:ext>
            </a:extLst>
          </xdr:cNvPr>
          <xdr:cNvSpPr>
            <a:spLocks noChangeShapeType="1"/>
          </xdr:cNvSpPr>
        </xdr:nvSpPr>
        <xdr:spPr bwMode="auto">
          <a:xfrm>
            <a:off x="34241720" y="5042775"/>
            <a:ext cx="0" cy="209917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4411" name="Rectangle 196">
            <a:extLst>
              <a:ext uri="{FF2B5EF4-FFF2-40B4-BE49-F238E27FC236}">
                <a16:creationId xmlns="" xmlns:a16="http://schemas.microsoft.com/office/drawing/2014/main" id="{00000000-0008-0000-1D00-00008BBF4200}"/>
              </a:ext>
            </a:extLst>
          </xdr:cNvPr>
          <xdr:cNvSpPr>
            <a:spLocks noChangeArrowheads="1"/>
          </xdr:cNvSpPr>
        </xdr:nvSpPr>
        <xdr:spPr bwMode="auto">
          <a:xfrm>
            <a:off x="32039227" y="4918332"/>
            <a:ext cx="6314051" cy="363016"/>
          </a:xfrm>
          <a:prstGeom prst="rect">
            <a:avLst/>
          </a:prstGeom>
          <a:noFill/>
          <a:ln w="158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74412" name="Line 197">
            <a:extLst>
              <a:ext uri="{FF2B5EF4-FFF2-40B4-BE49-F238E27FC236}">
                <a16:creationId xmlns="" xmlns:a16="http://schemas.microsoft.com/office/drawing/2014/main" id="{00000000-0008-0000-1D00-00008CBF4200}"/>
              </a:ext>
            </a:extLst>
          </xdr:cNvPr>
          <xdr:cNvSpPr>
            <a:spLocks noChangeShapeType="1"/>
          </xdr:cNvSpPr>
        </xdr:nvSpPr>
        <xdr:spPr bwMode="auto">
          <a:xfrm>
            <a:off x="38039246" y="4955565"/>
            <a:ext cx="0" cy="398386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4413" name="Line 199">
            <a:extLst>
              <a:ext uri="{FF2B5EF4-FFF2-40B4-BE49-F238E27FC236}">
                <a16:creationId xmlns="" xmlns:a16="http://schemas.microsoft.com/office/drawing/2014/main" id="{00000000-0008-0000-1D00-00008DBF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032547" y="8939429"/>
            <a:ext cx="600001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74414" name="Line 201">
            <a:extLst>
              <a:ext uri="{FF2B5EF4-FFF2-40B4-BE49-F238E27FC236}">
                <a16:creationId xmlns="" xmlns:a16="http://schemas.microsoft.com/office/drawing/2014/main" id="{00000000-0008-0000-1D00-00008EBF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5082562" y="5032371"/>
            <a:ext cx="0" cy="2362448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4415" name="Line 202">
            <a:extLst>
              <a:ext uri="{FF2B5EF4-FFF2-40B4-BE49-F238E27FC236}">
                <a16:creationId xmlns="" xmlns:a16="http://schemas.microsoft.com/office/drawing/2014/main" id="{00000000-0008-0000-1D00-00008FBF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7758028" y="5032371"/>
            <a:ext cx="8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4416" name="Line 203">
            <a:extLst>
              <a:ext uri="{FF2B5EF4-FFF2-40B4-BE49-F238E27FC236}">
                <a16:creationId xmlns="" xmlns:a16="http://schemas.microsoft.com/office/drawing/2014/main" id="{00000000-0008-0000-1D00-000090BF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7692145"/>
            <a:ext cx="388865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74417" name="Line 204">
            <a:extLst>
              <a:ext uri="{FF2B5EF4-FFF2-40B4-BE49-F238E27FC236}">
                <a16:creationId xmlns="" xmlns:a16="http://schemas.microsoft.com/office/drawing/2014/main" id="{00000000-0008-0000-1D00-000091BF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8148242"/>
            <a:ext cx="469711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74418" name="Line 205">
            <a:extLst>
              <a:ext uri="{FF2B5EF4-FFF2-40B4-BE49-F238E27FC236}">
                <a16:creationId xmlns="" xmlns:a16="http://schemas.microsoft.com/office/drawing/2014/main" id="{00000000-0008-0000-1D00-000092BF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8529873"/>
            <a:ext cx="5405362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74419" name="Line 207">
            <a:extLst>
              <a:ext uri="{FF2B5EF4-FFF2-40B4-BE49-F238E27FC236}">
                <a16:creationId xmlns="" xmlns:a16="http://schemas.microsoft.com/office/drawing/2014/main" id="{00000000-0008-0000-1D00-000093BF4200}"/>
              </a:ext>
            </a:extLst>
          </xdr:cNvPr>
          <xdr:cNvSpPr>
            <a:spLocks noChangeShapeType="1"/>
          </xdr:cNvSpPr>
        </xdr:nvSpPr>
        <xdr:spPr bwMode="auto">
          <a:xfrm>
            <a:off x="35903589" y="4964873"/>
            <a:ext cx="0" cy="291533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4420" name="Line 210">
            <a:extLst>
              <a:ext uri="{FF2B5EF4-FFF2-40B4-BE49-F238E27FC236}">
                <a16:creationId xmlns="" xmlns:a16="http://schemas.microsoft.com/office/drawing/2014/main" id="{00000000-0008-0000-1D00-000094BF4200}"/>
              </a:ext>
            </a:extLst>
          </xdr:cNvPr>
          <xdr:cNvSpPr>
            <a:spLocks noChangeShapeType="1"/>
          </xdr:cNvSpPr>
        </xdr:nvSpPr>
        <xdr:spPr bwMode="auto">
          <a:xfrm>
            <a:off x="37410345" y="4985564"/>
            <a:ext cx="0" cy="3620849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4421" name="Line 212">
            <a:extLst>
              <a:ext uri="{FF2B5EF4-FFF2-40B4-BE49-F238E27FC236}">
                <a16:creationId xmlns="" xmlns:a16="http://schemas.microsoft.com/office/drawing/2014/main" id="{00000000-0008-0000-1D00-000095BF4200}"/>
              </a:ext>
            </a:extLst>
          </xdr:cNvPr>
          <xdr:cNvSpPr>
            <a:spLocks noChangeShapeType="1"/>
          </xdr:cNvSpPr>
        </xdr:nvSpPr>
        <xdr:spPr bwMode="auto">
          <a:xfrm>
            <a:off x="37945705" y="5039338"/>
            <a:ext cx="17372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74422" name="Line 210">
            <a:extLst>
              <a:ext uri="{FF2B5EF4-FFF2-40B4-BE49-F238E27FC236}">
                <a16:creationId xmlns="" xmlns:a16="http://schemas.microsoft.com/office/drawing/2014/main" id="{00000000-0008-0000-1D00-000096BF4200}"/>
              </a:ext>
            </a:extLst>
          </xdr:cNvPr>
          <xdr:cNvSpPr>
            <a:spLocks noChangeShapeType="1"/>
          </xdr:cNvSpPr>
        </xdr:nvSpPr>
        <xdr:spPr bwMode="auto">
          <a:xfrm>
            <a:off x="36723957" y="4916090"/>
            <a:ext cx="0" cy="3347106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12</xdr:col>
      <xdr:colOff>142875</xdr:colOff>
      <xdr:row>19</xdr:row>
      <xdr:rowOff>114300</xdr:rowOff>
    </xdr:from>
    <xdr:to>
      <xdr:col>21</xdr:col>
      <xdr:colOff>390525</xdr:colOff>
      <xdr:row>31</xdr:row>
      <xdr:rowOff>152400</xdr:rowOff>
    </xdr:to>
    <xdr:pic>
      <xdr:nvPicPr>
        <xdr:cNvPr id="4374400" name="Picture 25917">
          <a:extLst>
            <a:ext uri="{FF2B5EF4-FFF2-40B4-BE49-F238E27FC236}">
              <a16:creationId xmlns="" xmlns:a16="http://schemas.microsoft.com/office/drawing/2014/main" id="{00000000-0008-0000-1D00-000080BF4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154025" y="7115175"/>
          <a:ext cx="7753350" cy="3790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66675</xdr:rowOff>
    </xdr:from>
    <xdr:to>
      <xdr:col>8</xdr:col>
      <xdr:colOff>1143000</xdr:colOff>
      <xdr:row>9</xdr:row>
      <xdr:rowOff>66675</xdr:rowOff>
    </xdr:to>
    <xdr:sp macro="" textlink="">
      <xdr:nvSpPr>
        <xdr:cNvPr id="2" name="Line 41">
          <a:extLst>
            <a:ext uri="{FF2B5EF4-FFF2-40B4-BE49-F238E27FC236}">
              <a16:creationId xmlns="" xmlns:a16="http://schemas.microsoft.com/office/drawing/2014/main" id="{00000000-0008-0000-1E00-000002000000}"/>
            </a:ext>
          </a:extLst>
        </xdr:cNvPr>
        <xdr:cNvSpPr>
          <a:spLocks noChangeShapeType="1"/>
        </xdr:cNvSpPr>
      </xdr:nvSpPr>
      <xdr:spPr bwMode="auto">
        <a:xfrm>
          <a:off x="0" y="1743075"/>
          <a:ext cx="6477000" cy="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66675</xdr:rowOff>
    </xdr:from>
    <xdr:to>
      <xdr:col>8</xdr:col>
      <xdr:colOff>1143000</xdr:colOff>
      <xdr:row>9</xdr:row>
      <xdr:rowOff>66675</xdr:rowOff>
    </xdr:to>
    <xdr:sp macro="" textlink="">
      <xdr:nvSpPr>
        <xdr:cNvPr id="2" name="Line 41">
          <a:extLst>
            <a:ext uri="{FF2B5EF4-FFF2-40B4-BE49-F238E27FC236}">
              <a16:creationId xmlns="" xmlns:a16="http://schemas.microsoft.com/office/drawing/2014/main" id="{00000000-0008-0000-1F00-000002000000}"/>
            </a:ext>
          </a:extLst>
        </xdr:cNvPr>
        <xdr:cNvSpPr>
          <a:spLocks noChangeShapeType="1"/>
        </xdr:cNvSpPr>
      </xdr:nvSpPr>
      <xdr:spPr bwMode="auto">
        <a:xfrm>
          <a:off x="0" y="1743075"/>
          <a:ext cx="6477000" cy="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528568</xdr:colOff>
      <xdr:row>7</xdr:row>
      <xdr:rowOff>172946</xdr:rowOff>
    </xdr:from>
    <xdr:to>
      <xdr:col>2</xdr:col>
      <xdr:colOff>73010</xdr:colOff>
      <xdr:row>8</xdr:row>
      <xdr:rowOff>157657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1F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6935" b="66787"/>
        <a:stretch/>
      </xdr:blipFill>
      <xdr:spPr bwMode="auto">
        <a:xfrm>
          <a:off x="528568" y="1217412"/>
          <a:ext cx="726856" cy="2146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557213</xdr:colOff>
      <xdr:row>7</xdr:row>
      <xdr:rowOff>8022</xdr:rowOff>
    </xdr:from>
    <xdr:to>
      <xdr:col>3</xdr:col>
      <xdr:colOff>40399</xdr:colOff>
      <xdr:row>9</xdr:row>
      <xdr:rowOff>17547</xdr:rowOff>
    </xdr:to>
    <xdr:pic>
      <xdr:nvPicPr>
        <xdr:cNvPr id="4" name="Immagine 1">
          <a:extLst>
            <a:ext uri="{FF2B5EF4-FFF2-40B4-BE49-F238E27FC236}">
              <a16:creationId xmlns="" xmlns:a16="http://schemas.microsoft.com/office/drawing/2014/main" id="{00000000-0008-0000-1F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24" r="9594"/>
        <a:stretch/>
      </xdr:blipFill>
      <xdr:spPr bwMode="auto">
        <a:xfrm>
          <a:off x="1176338" y="1036722"/>
          <a:ext cx="576262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137239</xdr:colOff>
      <xdr:row>12</xdr:row>
      <xdr:rowOff>42091</xdr:rowOff>
    </xdr:from>
    <xdr:to>
      <xdr:col>0</xdr:col>
      <xdr:colOff>619988</xdr:colOff>
      <xdr:row>13</xdr:row>
      <xdr:rowOff>107164</xdr:rowOff>
    </xdr:to>
    <xdr:pic>
      <xdr:nvPicPr>
        <xdr:cNvPr id="6" name="Picture 4">
          <a:extLst>
            <a:ext uri="{FF2B5EF4-FFF2-40B4-BE49-F238E27FC236}">
              <a16:creationId xmlns="" xmlns:a16="http://schemas.microsoft.com/office/drawing/2014/main" id="{00000000-0008-0000-1F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03" t="16926" r="24664" b="53833"/>
        <a:stretch/>
      </xdr:blipFill>
      <xdr:spPr bwMode="auto">
        <a:xfrm rot="5400000">
          <a:off x="221569" y="2404182"/>
          <a:ext cx="315731" cy="4843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53320</xdr:colOff>
      <xdr:row>14</xdr:row>
      <xdr:rowOff>28039</xdr:rowOff>
    </xdr:from>
    <xdr:to>
      <xdr:col>0</xdr:col>
      <xdr:colOff>647560</xdr:colOff>
      <xdr:row>15</xdr:row>
      <xdr:rowOff>133531</xdr:rowOff>
    </xdr:to>
    <xdr:pic>
      <xdr:nvPicPr>
        <xdr:cNvPr id="8" name="Picture 2">
          <a:extLst>
            <a:ext uri="{FF2B5EF4-FFF2-40B4-BE49-F238E27FC236}">
              <a16:creationId xmlns="" xmlns:a16="http://schemas.microsoft.com/office/drawing/2014/main" id="{00000000-0008-0000-1F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3625" t="14815" r="26084" b="53994"/>
        <a:stretch/>
      </xdr:blipFill>
      <xdr:spPr bwMode="auto">
        <a:xfrm rot="5400000">
          <a:off x="174440" y="2754393"/>
          <a:ext cx="356150" cy="5983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280737</xdr:colOff>
      <xdr:row>14</xdr:row>
      <xdr:rowOff>50131</xdr:rowOff>
    </xdr:from>
    <xdr:to>
      <xdr:col>1</xdr:col>
      <xdr:colOff>379351</xdr:colOff>
      <xdr:row>15</xdr:row>
      <xdr:rowOff>120315</xdr:rowOff>
    </xdr:to>
    <xdr:pic>
      <xdr:nvPicPr>
        <xdr:cNvPr id="9" name="Picture 1">
          <a:extLst>
            <a:ext uri="{FF2B5EF4-FFF2-40B4-BE49-F238E27FC236}">
              <a16:creationId xmlns="" xmlns:a16="http://schemas.microsoft.com/office/drawing/2014/main" id="{00000000-0008-0000-1F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593" t="23449" r="10675" b="70605"/>
        <a:stretch/>
      </xdr:blipFill>
      <xdr:spPr bwMode="auto">
        <a:xfrm rot="5400000">
          <a:off x="791255" y="3008719"/>
          <a:ext cx="320842" cy="986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180474</xdr:colOff>
      <xdr:row>12</xdr:row>
      <xdr:rowOff>81366</xdr:rowOff>
    </xdr:from>
    <xdr:to>
      <xdr:col>2</xdr:col>
      <xdr:colOff>21089</xdr:colOff>
      <xdr:row>13</xdr:row>
      <xdr:rowOff>100264</xdr:rowOff>
    </xdr:to>
    <xdr:pic>
      <xdr:nvPicPr>
        <xdr:cNvPr id="10" name="Picture 1093">
          <a:extLst>
            <a:ext uri="{FF2B5EF4-FFF2-40B4-BE49-F238E27FC236}">
              <a16:creationId xmlns="" xmlns:a16="http://schemas.microsoft.com/office/drawing/2014/main" id="{00000000-0008-0000-1F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292" t="20557" r="5469" b="58651"/>
        <a:stretch/>
      </xdr:blipFill>
      <xdr:spPr bwMode="auto">
        <a:xfrm>
          <a:off x="802106" y="2527787"/>
          <a:ext cx="280736" cy="2695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200528</xdr:colOff>
      <xdr:row>16</xdr:row>
      <xdr:rowOff>70144</xdr:rowOff>
    </xdr:from>
    <xdr:to>
      <xdr:col>0</xdr:col>
      <xdr:colOff>591553</xdr:colOff>
      <xdr:row>16</xdr:row>
      <xdr:rowOff>290761</xdr:rowOff>
    </xdr:to>
    <xdr:pic>
      <xdr:nvPicPr>
        <xdr:cNvPr id="11" name="Picture 1">
          <a:extLst>
            <a:ext uri="{FF2B5EF4-FFF2-40B4-BE49-F238E27FC236}">
              <a16:creationId xmlns="" xmlns:a16="http://schemas.microsoft.com/office/drawing/2014/main" id="{00000000-0008-0000-1F00-00000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547" t="17908" r="31077" b="74697"/>
        <a:stretch/>
      </xdr:blipFill>
      <xdr:spPr bwMode="auto">
        <a:xfrm>
          <a:off x="200528" y="3318670"/>
          <a:ext cx="391025" cy="2206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150394</xdr:colOff>
      <xdr:row>17</xdr:row>
      <xdr:rowOff>56570</xdr:rowOff>
    </xdr:from>
    <xdr:to>
      <xdr:col>0</xdr:col>
      <xdr:colOff>667614</xdr:colOff>
      <xdr:row>17</xdr:row>
      <xdr:rowOff>320842</xdr:rowOff>
    </xdr:to>
    <xdr:pic>
      <xdr:nvPicPr>
        <xdr:cNvPr id="13" name="Picture 5">
          <a:extLst>
            <a:ext uri="{FF2B5EF4-FFF2-40B4-BE49-F238E27FC236}">
              <a16:creationId xmlns="" xmlns:a16="http://schemas.microsoft.com/office/drawing/2014/main" id="{00000000-0008-0000-1F00-00000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6955" t="17316" r="19479" b="70270"/>
        <a:stretch/>
      </xdr:blipFill>
      <xdr:spPr bwMode="auto">
        <a:xfrm>
          <a:off x="150394" y="3645991"/>
          <a:ext cx="521369" cy="2642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213740</xdr:colOff>
      <xdr:row>19</xdr:row>
      <xdr:rowOff>33440</xdr:rowOff>
    </xdr:from>
    <xdr:to>
      <xdr:col>0</xdr:col>
      <xdr:colOff>581527</xdr:colOff>
      <xdr:row>19</xdr:row>
      <xdr:rowOff>336685</xdr:rowOff>
    </xdr:to>
    <xdr:pic>
      <xdr:nvPicPr>
        <xdr:cNvPr id="15" name="Picture 1">
          <a:extLst>
            <a:ext uri="{FF2B5EF4-FFF2-40B4-BE49-F238E27FC236}">
              <a16:creationId xmlns="" xmlns:a16="http://schemas.microsoft.com/office/drawing/2014/main" id="{00000000-0008-0000-1F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246011" y="4292432"/>
          <a:ext cx="303245" cy="3677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200528</xdr:colOff>
      <xdr:row>20</xdr:row>
      <xdr:rowOff>169695</xdr:rowOff>
    </xdr:from>
    <xdr:to>
      <xdr:col>0</xdr:col>
      <xdr:colOff>717747</xdr:colOff>
      <xdr:row>20</xdr:row>
      <xdr:rowOff>270711</xdr:rowOff>
    </xdr:to>
    <xdr:pic>
      <xdr:nvPicPr>
        <xdr:cNvPr id="17" name="Picture 33">
          <a:extLst>
            <a:ext uri="{FF2B5EF4-FFF2-40B4-BE49-F238E27FC236}">
              <a16:creationId xmlns="" xmlns:a16="http://schemas.microsoft.com/office/drawing/2014/main" id="{00000000-0008-0000-1F00-00001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246" t="46989" r="20277" b="46471"/>
        <a:stretch/>
      </xdr:blipFill>
      <xdr:spPr bwMode="auto">
        <a:xfrm>
          <a:off x="200528" y="4811879"/>
          <a:ext cx="521368" cy="10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220578</xdr:colOff>
      <xdr:row>18</xdr:row>
      <xdr:rowOff>110290</xdr:rowOff>
    </xdr:from>
    <xdr:to>
      <xdr:col>0</xdr:col>
      <xdr:colOff>528436</xdr:colOff>
      <xdr:row>18</xdr:row>
      <xdr:rowOff>274721</xdr:rowOff>
    </xdr:to>
    <xdr:pic>
      <xdr:nvPicPr>
        <xdr:cNvPr id="19" name="Immagine 18">
          <a:extLst>
            <a:ext uri="{FF2B5EF4-FFF2-40B4-BE49-F238E27FC236}">
              <a16:creationId xmlns="" xmlns:a16="http://schemas.microsoft.com/office/drawing/2014/main" id="{00000000-0008-0000-1F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578" y="4050632"/>
          <a:ext cx="307858" cy="1644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96068" name="Line 1">
          <a:extLst>
            <a:ext uri="{FF2B5EF4-FFF2-40B4-BE49-F238E27FC236}">
              <a16:creationId xmlns="" xmlns:a16="http://schemas.microsoft.com/office/drawing/2014/main" id="{00000000-0008-0000-2000-000024144300}"/>
            </a:ext>
          </a:extLst>
        </xdr:cNvPr>
        <xdr:cNvSpPr>
          <a:spLocks noChangeShapeType="1"/>
        </xdr:cNvSpPr>
      </xdr:nvSpPr>
      <xdr:spPr bwMode="auto">
        <a:xfrm flipV="1"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96069" name="Line 2">
          <a:extLst>
            <a:ext uri="{FF2B5EF4-FFF2-40B4-BE49-F238E27FC236}">
              <a16:creationId xmlns="" xmlns:a16="http://schemas.microsoft.com/office/drawing/2014/main" id="{00000000-0008-0000-2000-000025144300}"/>
            </a:ext>
          </a:extLst>
        </xdr:cNvPr>
        <xdr:cNvSpPr>
          <a:spLocks noChangeShapeType="1"/>
        </xdr:cNvSpPr>
      </xdr:nvSpPr>
      <xdr:spPr bwMode="auto">
        <a:xfrm flipV="1">
          <a:off x="70580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676275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96070" name="Line 3">
          <a:extLst>
            <a:ext uri="{FF2B5EF4-FFF2-40B4-BE49-F238E27FC236}">
              <a16:creationId xmlns="" xmlns:a16="http://schemas.microsoft.com/office/drawing/2014/main" id="{00000000-0008-0000-2000-0000261443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442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95250</xdr:colOff>
      <xdr:row>0</xdr:row>
      <xdr:rowOff>0</xdr:rowOff>
    </xdr:from>
    <xdr:to>
      <xdr:col>6</xdr:col>
      <xdr:colOff>200025</xdr:colOff>
      <xdr:row>0</xdr:row>
      <xdr:rowOff>0</xdr:rowOff>
    </xdr:to>
    <xdr:sp macro="" textlink="">
      <xdr:nvSpPr>
        <xdr:cNvPr id="4396071" name="Line 4">
          <a:extLst>
            <a:ext uri="{FF2B5EF4-FFF2-40B4-BE49-F238E27FC236}">
              <a16:creationId xmlns="" xmlns:a16="http://schemas.microsoft.com/office/drawing/2014/main" id="{00000000-0008-0000-2000-000027144300}"/>
            </a:ext>
          </a:extLst>
        </xdr:cNvPr>
        <xdr:cNvSpPr>
          <a:spLocks noChangeShapeType="1"/>
        </xdr:cNvSpPr>
      </xdr:nvSpPr>
      <xdr:spPr bwMode="auto">
        <a:xfrm>
          <a:off x="7153275" y="0"/>
          <a:ext cx="1104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104775</xdr:colOff>
      <xdr:row>0</xdr:row>
      <xdr:rowOff>0</xdr:rowOff>
    </xdr:from>
    <xdr:to>
      <xdr:col>6</xdr:col>
      <xdr:colOff>104775</xdr:colOff>
      <xdr:row>0</xdr:row>
      <xdr:rowOff>0</xdr:rowOff>
    </xdr:to>
    <xdr:sp macro="" textlink="">
      <xdr:nvSpPr>
        <xdr:cNvPr id="4396072" name="Line 5">
          <a:extLst>
            <a:ext uri="{FF2B5EF4-FFF2-40B4-BE49-F238E27FC236}">
              <a16:creationId xmlns="" xmlns:a16="http://schemas.microsoft.com/office/drawing/2014/main" id="{00000000-0008-0000-2000-000028144300}"/>
            </a:ext>
          </a:extLst>
        </xdr:cNvPr>
        <xdr:cNvSpPr>
          <a:spLocks noChangeShapeType="1"/>
        </xdr:cNvSpPr>
      </xdr:nvSpPr>
      <xdr:spPr bwMode="auto">
        <a:xfrm>
          <a:off x="81629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0</xdr:row>
      <xdr:rowOff>0</xdr:rowOff>
    </xdr:from>
    <xdr:to>
      <xdr:col>6</xdr:col>
      <xdr:colOff>114300</xdr:colOff>
      <xdr:row>0</xdr:row>
      <xdr:rowOff>0</xdr:rowOff>
    </xdr:to>
    <xdr:sp macro="" textlink="">
      <xdr:nvSpPr>
        <xdr:cNvPr id="4396073" name="Line 6">
          <a:extLst>
            <a:ext uri="{FF2B5EF4-FFF2-40B4-BE49-F238E27FC236}">
              <a16:creationId xmlns="" xmlns:a16="http://schemas.microsoft.com/office/drawing/2014/main" id="{00000000-0008-0000-2000-000029144300}"/>
            </a:ext>
          </a:extLst>
        </xdr:cNvPr>
        <xdr:cNvSpPr>
          <a:spLocks noChangeShapeType="1"/>
        </xdr:cNvSpPr>
      </xdr:nvSpPr>
      <xdr:spPr bwMode="auto">
        <a:xfrm>
          <a:off x="81724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85725</xdr:colOff>
      <xdr:row>0</xdr:row>
      <xdr:rowOff>0</xdr:rowOff>
    </xdr:from>
    <xdr:to>
      <xdr:col>6</xdr:col>
      <xdr:colOff>228600</xdr:colOff>
      <xdr:row>0</xdr:row>
      <xdr:rowOff>0</xdr:rowOff>
    </xdr:to>
    <xdr:sp macro="" textlink="">
      <xdr:nvSpPr>
        <xdr:cNvPr id="4396074" name="Line 7">
          <a:extLst>
            <a:ext uri="{FF2B5EF4-FFF2-40B4-BE49-F238E27FC236}">
              <a16:creationId xmlns="" xmlns:a16="http://schemas.microsoft.com/office/drawing/2014/main" id="{00000000-0008-0000-2000-00002A144300}"/>
            </a:ext>
          </a:extLst>
        </xdr:cNvPr>
        <xdr:cNvSpPr>
          <a:spLocks noChangeShapeType="1"/>
        </xdr:cNvSpPr>
      </xdr:nvSpPr>
      <xdr:spPr bwMode="auto">
        <a:xfrm>
          <a:off x="7143750" y="0"/>
          <a:ext cx="1143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533400</xdr:colOff>
      <xdr:row>0</xdr:row>
      <xdr:rowOff>0</xdr:rowOff>
    </xdr:from>
    <xdr:to>
      <xdr:col>12</xdr:col>
      <xdr:colOff>123825</xdr:colOff>
      <xdr:row>0</xdr:row>
      <xdr:rowOff>0</xdr:rowOff>
    </xdr:to>
    <xdr:sp macro="" textlink="">
      <xdr:nvSpPr>
        <xdr:cNvPr id="4396075" name="Line 8">
          <a:extLst>
            <a:ext uri="{FF2B5EF4-FFF2-40B4-BE49-F238E27FC236}">
              <a16:creationId xmlns="" xmlns:a16="http://schemas.microsoft.com/office/drawing/2014/main" id="{00000000-0008-0000-2000-00002B144300}"/>
            </a:ext>
          </a:extLst>
        </xdr:cNvPr>
        <xdr:cNvSpPr>
          <a:spLocks noChangeShapeType="1"/>
        </xdr:cNvSpPr>
      </xdr:nvSpPr>
      <xdr:spPr bwMode="auto">
        <a:xfrm>
          <a:off x="11887200" y="0"/>
          <a:ext cx="12382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12</xdr:col>
      <xdr:colOff>238125</xdr:colOff>
      <xdr:row>0</xdr:row>
      <xdr:rowOff>0</xdr:rowOff>
    </xdr:to>
    <xdr:sp macro="" textlink="">
      <xdr:nvSpPr>
        <xdr:cNvPr id="4396076" name="Line 9">
          <a:extLst>
            <a:ext uri="{FF2B5EF4-FFF2-40B4-BE49-F238E27FC236}">
              <a16:creationId xmlns="" xmlns:a16="http://schemas.microsoft.com/office/drawing/2014/main" id="{00000000-0008-0000-2000-00002C144300}"/>
            </a:ext>
          </a:extLst>
        </xdr:cNvPr>
        <xdr:cNvSpPr>
          <a:spLocks noChangeShapeType="1"/>
        </xdr:cNvSpPr>
      </xdr:nvSpPr>
      <xdr:spPr bwMode="auto">
        <a:xfrm flipV="1">
          <a:off x="120110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238125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6077" name="Line 10">
          <a:extLst>
            <a:ext uri="{FF2B5EF4-FFF2-40B4-BE49-F238E27FC236}">
              <a16:creationId xmlns="" xmlns:a16="http://schemas.microsoft.com/office/drawing/2014/main" id="{00000000-0008-0000-2000-00002D144300}"/>
            </a:ext>
          </a:extLst>
        </xdr:cNvPr>
        <xdr:cNvSpPr>
          <a:spLocks noChangeShapeType="1"/>
        </xdr:cNvSpPr>
      </xdr:nvSpPr>
      <xdr:spPr bwMode="auto">
        <a:xfrm>
          <a:off x="12125325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361950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6078" name="Line 11">
          <a:extLst>
            <a:ext uri="{FF2B5EF4-FFF2-40B4-BE49-F238E27FC236}">
              <a16:creationId xmlns="" xmlns:a16="http://schemas.microsoft.com/office/drawing/2014/main" id="{00000000-0008-0000-2000-00002E144300}"/>
            </a:ext>
          </a:extLst>
        </xdr:cNvPr>
        <xdr:cNvSpPr>
          <a:spLocks noChangeShapeType="1"/>
        </xdr:cNvSpPr>
      </xdr:nvSpPr>
      <xdr:spPr bwMode="auto">
        <a:xfrm flipV="1"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466725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6079" name="Line 12">
          <a:extLst>
            <a:ext uri="{FF2B5EF4-FFF2-40B4-BE49-F238E27FC236}">
              <a16:creationId xmlns="" xmlns:a16="http://schemas.microsoft.com/office/drawing/2014/main" id="{00000000-0008-0000-2000-00002F14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581025</xdr:colOff>
      <xdr:row>0</xdr:row>
      <xdr:rowOff>0</xdr:rowOff>
    </xdr:from>
    <xdr:to>
      <xdr:col>13</xdr:col>
      <xdr:colOff>0</xdr:colOff>
      <xdr:row>0</xdr:row>
      <xdr:rowOff>0</xdr:rowOff>
    </xdr:to>
    <xdr:sp macro="" textlink="">
      <xdr:nvSpPr>
        <xdr:cNvPr id="4396080" name="Line 13">
          <a:extLst>
            <a:ext uri="{FF2B5EF4-FFF2-40B4-BE49-F238E27FC236}">
              <a16:creationId xmlns="" xmlns:a16="http://schemas.microsoft.com/office/drawing/2014/main" id="{00000000-0008-0000-2000-000030144300}"/>
            </a:ext>
          </a:extLst>
        </xdr:cNvPr>
        <xdr:cNvSpPr>
          <a:spLocks noChangeShapeType="1"/>
        </xdr:cNvSpPr>
      </xdr:nvSpPr>
      <xdr:spPr bwMode="auto">
        <a:xfrm flipV="1"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0</xdr:row>
      <xdr:rowOff>0</xdr:rowOff>
    </xdr:from>
    <xdr:to>
      <xdr:col>13</xdr:col>
      <xdr:colOff>123825</xdr:colOff>
      <xdr:row>0</xdr:row>
      <xdr:rowOff>0</xdr:rowOff>
    </xdr:to>
    <xdr:sp macro="" textlink="">
      <xdr:nvSpPr>
        <xdr:cNvPr id="4396081" name="Line 14">
          <a:extLst>
            <a:ext uri="{FF2B5EF4-FFF2-40B4-BE49-F238E27FC236}">
              <a16:creationId xmlns="" xmlns:a16="http://schemas.microsoft.com/office/drawing/2014/main" id="{00000000-0008-0000-2000-00003114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123825</xdr:colOff>
      <xdr:row>0</xdr:row>
      <xdr:rowOff>0</xdr:rowOff>
    </xdr:from>
    <xdr:to>
      <xdr:col>13</xdr:col>
      <xdr:colOff>238125</xdr:colOff>
      <xdr:row>0</xdr:row>
      <xdr:rowOff>0</xdr:rowOff>
    </xdr:to>
    <xdr:sp macro="" textlink="">
      <xdr:nvSpPr>
        <xdr:cNvPr id="4396082" name="Line 15">
          <a:extLst>
            <a:ext uri="{FF2B5EF4-FFF2-40B4-BE49-F238E27FC236}">
              <a16:creationId xmlns="" xmlns:a16="http://schemas.microsoft.com/office/drawing/2014/main" id="{00000000-0008-0000-2000-000032144300}"/>
            </a:ext>
          </a:extLst>
        </xdr:cNvPr>
        <xdr:cNvSpPr>
          <a:spLocks noChangeShapeType="1"/>
        </xdr:cNvSpPr>
      </xdr:nvSpPr>
      <xdr:spPr bwMode="auto">
        <a:xfrm flipV="1">
          <a:off x="122586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238125</xdr:colOff>
      <xdr:row>0</xdr:row>
      <xdr:rowOff>0</xdr:rowOff>
    </xdr:from>
    <xdr:to>
      <xdr:col>13</xdr:col>
      <xdr:colOff>361950</xdr:colOff>
      <xdr:row>0</xdr:row>
      <xdr:rowOff>0</xdr:rowOff>
    </xdr:to>
    <xdr:sp macro="" textlink="">
      <xdr:nvSpPr>
        <xdr:cNvPr id="4396083" name="Line 16">
          <a:extLst>
            <a:ext uri="{FF2B5EF4-FFF2-40B4-BE49-F238E27FC236}">
              <a16:creationId xmlns="" xmlns:a16="http://schemas.microsoft.com/office/drawing/2014/main" id="{00000000-0008-0000-2000-000033144300}"/>
            </a:ext>
          </a:extLst>
        </xdr:cNvPr>
        <xdr:cNvSpPr>
          <a:spLocks noChangeShapeType="1"/>
        </xdr:cNvSpPr>
      </xdr:nvSpPr>
      <xdr:spPr bwMode="auto">
        <a:xfrm>
          <a:off x="123729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361950</xdr:colOff>
      <xdr:row>0</xdr:row>
      <xdr:rowOff>0</xdr:rowOff>
    </xdr:from>
    <xdr:to>
      <xdr:col>13</xdr:col>
      <xdr:colOff>476250</xdr:colOff>
      <xdr:row>0</xdr:row>
      <xdr:rowOff>0</xdr:rowOff>
    </xdr:to>
    <xdr:sp macro="" textlink="">
      <xdr:nvSpPr>
        <xdr:cNvPr id="4396084" name="Line 17">
          <a:extLst>
            <a:ext uri="{FF2B5EF4-FFF2-40B4-BE49-F238E27FC236}">
              <a16:creationId xmlns="" xmlns:a16="http://schemas.microsoft.com/office/drawing/2014/main" id="{00000000-0008-0000-2000-000034144300}"/>
            </a:ext>
          </a:extLst>
        </xdr:cNvPr>
        <xdr:cNvSpPr>
          <a:spLocks noChangeShapeType="1"/>
        </xdr:cNvSpPr>
      </xdr:nvSpPr>
      <xdr:spPr bwMode="auto">
        <a:xfrm flipV="1">
          <a:off x="1249680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476250</xdr:colOff>
      <xdr:row>0</xdr:row>
      <xdr:rowOff>0</xdr:rowOff>
    </xdr:from>
    <xdr:to>
      <xdr:col>13</xdr:col>
      <xdr:colOff>609600</xdr:colOff>
      <xdr:row>0</xdr:row>
      <xdr:rowOff>0</xdr:rowOff>
    </xdr:to>
    <xdr:sp macro="" textlink="">
      <xdr:nvSpPr>
        <xdr:cNvPr id="4396085" name="Line 18">
          <a:extLst>
            <a:ext uri="{FF2B5EF4-FFF2-40B4-BE49-F238E27FC236}">
              <a16:creationId xmlns="" xmlns:a16="http://schemas.microsoft.com/office/drawing/2014/main" id="{00000000-0008-0000-2000-000035144300}"/>
            </a:ext>
          </a:extLst>
        </xdr:cNvPr>
        <xdr:cNvSpPr>
          <a:spLocks noChangeShapeType="1"/>
        </xdr:cNvSpPr>
      </xdr:nvSpPr>
      <xdr:spPr bwMode="auto">
        <a:xfrm>
          <a:off x="12611100" y="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14</xdr:col>
      <xdr:colOff>28575</xdr:colOff>
      <xdr:row>0</xdr:row>
      <xdr:rowOff>0</xdr:rowOff>
    </xdr:to>
    <xdr:sp macro="" textlink="">
      <xdr:nvSpPr>
        <xdr:cNvPr id="4396086" name="Line 19">
          <a:extLst>
            <a:ext uri="{FF2B5EF4-FFF2-40B4-BE49-F238E27FC236}">
              <a16:creationId xmlns="" xmlns:a16="http://schemas.microsoft.com/office/drawing/2014/main" id="{00000000-0008-0000-2000-000036144300}"/>
            </a:ext>
          </a:extLst>
        </xdr:cNvPr>
        <xdr:cNvSpPr>
          <a:spLocks noChangeShapeType="1"/>
        </xdr:cNvSpPr>
      </xdr:nvSpPr>
      <xdr:spPr bwMode="auto">
        <a:xfrm flipV="1">
          <a:off x="12744450" y="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28575</xdr:colOff>
      <xdr:row>0</xdr:row>
      <xdr:rowOff>0</xdr:rowOff>
    </xdr:from>
    <xdr:to>
      <xdr:col>14</xdr:col>
      <xdr:colOff>152400</xdr:colOff>
      <xdr:row>0</xdr:row>
      <xdr:rowOff>0</xdr:rowOff>
    </xdr:to>
    <xdr:sp macro="" textlink="">
      <xdr:nvSpPr>
        <xdr:cNvPr id="4396087" name="Line 20">
          <a:extLst>
            <a:ext uri="{FF2B5EF4-FFF2-40B4-BE49-F238E27FC236}">
              <a16:creationId xmlns="" xmlns:a16="http://schemas.microsoft.com/office/drawing/2014/main" id="{00000000-0008-0000-2000-000037144300}"/>
            </a:ext>
          </a:extLst>
        </xdr:cNvPr>
        <xdr:cNvSpPr>
          <a:spLocks noChangeShapeType="1"/>
        </xdr:cNvSpPr>
      </xdr:nvSpPr>
      <xdr:spPr bwMode="auto">
        <a:xfrm>
          <a:off x="133540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152400</xdr:colOff>
      <xdr:row>0</xdr:row>
      <xdr:rowOff>0</xdr:rowOff>
    </xdr:from>
    <xdr:to>
      <xdr:col>14</xdr:col>
      <xdr:colOff>266700</xdr:colOff>
      <xdr:row>0</xdr:row>
      <xdr:rowOff>0</xdr:rowOff>
    </xdr:to>
    <xdr:sp macro="" textlink="">
      <xdr:nvSpPr>
        <xdr:cNvPr id="4396088" name="Line 21">
          <a:extLst>
            <a:ext uri="{FF2B5EF4-FFF2-40B4-BE49-F238E27FC236}">
              <a16:creationId xmlns="" xmlns:a16="http://schemas.microsoft.com/office/drawing/2014/main" id="{00000000-0008-0000-2000-000038144300}"/>
            </a:ext>
          </a:extLst>
        </xdr:cNvPr>
        <xdr:cNvSpPr>
          <a:spLocks noChangeShapeType="1"/>
        </xdr:cNvSpPr>
      </xdr:nvSpPr>
      <xdr:spPr bwMode="auto">
        <a:xfrm flipV="1">
          <a:off x="134778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266700</xdr:colOff>
      <xdr:row>0</xdr:row>
      <xdr:rowOff>0</xdr:rowOff>
    </xdr:from>
    <xdr:to>
      <xdr:col>14</xdr:col>
      <xdr:colOff>381000</xdr:colOff>
      <xdr:row>0</xdr:row>
      <xdr:rowOff>0</xdr:rowOff>
    </xdr:to>
    <xdr:sp macro="" textlink="">
      <xdr:nvSpPr>
        <xdr:cNvPr id="4396089" name="Line 22">
          <a:extLst>
            <a:ext uri="{FF2B5EF4-FFF2-40B4-BE49-F238E27FC236}">
              <a16:creationId xmlns="" xmlns:a16="http://schemas.microsoft.com/office/drawing/2014/main" id="{00000000-0008-0000-2000-000039144300}"/>
            </a:ext>
          </a:extLst>
        </xdr:cNvPr>
        <xdr:cNvSpPr>
          <a:spLocks noChangeShapeType="1"/>
        </xdr:cNvSpPr>
      </xdr:nvSpPr>
      <xdr:spPr bwMode="auto">
        <a:xfrm>
          <a:off x="135921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381000</xdr:colOff>
      <xdr:row>0</xdr:row>
      <xdr:rowOff>0</xdr:rowOff>
    </xdr:from>
    <xdr:to>
      <xdr:col>14</xdr:col>
      <xdr:colOff>495300</xdr:colOff>
      <xdr:row>0</xdr:row>
      <xdr:rowOff>0</xdr:rowOff>
    </xdr:to>
    <xdr:sp macro="" textlink="">
      <xdr:nvSpPr>
        <xdr:cNvPr id="4396090" name="Line 23">
          <a:extLst>
            <a:ext uri="{FF2B5EF4-FFF2-40B4-BE49-F238E27FC236}">
              <a16:creationId xmlns="" xmlns:a16="http://schemas.microsoft.com/office/drawing/2014/main" id="{00000000-0008-0000-2000-00003A144300}"/>
            </a:ext>
          </a:extLst>
        </xdr:cNvPr>
        <xdr:cNvSpPr>
          <a:spLocks noChangeShapeType="1"/>
        </xdr:cNvSpPr>
      </xdr:nvSpPr>
      <xdr:spPr bwMode="auto">
        <a:xfrm flipV="1">
          <a:off x="137064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495300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96091" name="Line 24">
          <a:extLst>
            <a:ext uri="{FF2B5EF4-FFF2-40B4-BE49-F238E27FC236}">
              <a16:creationId xmlns="" xmlns:a16="http://schemas.microsoft.com/office/drawing/2014/main" id="{00000000-0008-0000-2000-00003B144300}"/>
            </a:ext>
          </a:extLst>
        </xdr:cNvPr>
        <xdr:cNvSpPr>
          <a:spLocks noChangeShapeType="1"/>
        </xdr:cNvSpPr>
      </xdr:nvSpPr>
      <xdr:spPr bwMode="auto">
        <a:xfrm>
          <a:off x="138207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96092" name="Line 25">
          <a:extLst>
            <a:ext uri="{FF2B5EF4-FFF2-40B4-BE49-F238E27FC236}">
              <a16:creationId xmlns="" xmlns:a16="http://schemas.microsoft.com/office/drawing/2014/main" id="{00000000-0008-0000-2000-00003C1443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66675</xdr:colOff>
      <xdr:row>0</xdr:row>
      <xdr:rowOff>0</xdr:rowOff>
    </xdr:to>
    <xdr:sp macro="" textlink="">
      <xdr:nvSpPr>
        <xdr:cNvPr id="4396093" name="Line 26">
          <a:extLst>
            <a:ext uri="{FF2B5EF4-FFF2-40B4-BE49-F238E27FC236}">
              <a16:creationId xmlns="" xmlns:a16="http://schemas.microsoft.com/office/drawing/2014/main" id="{00000000-0008-0000-2000-00003D144300}"/>
            </a:ext>
          </a:extLst>
        </xdr:cNvPr>
        <xdr:cNvSpPr>
          <a:spLocks noChangeShapeType="1"/>
        </xdr:cNvSpPr>
      </xdr:nvSpPr>
      <xdr:spPr bwMode="auto">
        <a:xfrm flipV="1">
          <a:off x="11953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96094" name="Line 27">
          <a:extLst>
            <a:ext uri="{FF2B5EF4-FFF2-40B4-BE49-F238E27FC236}">
              <a16:creationId xmlns="" xmlns:a16="http://schemas.microsoft.com/office/drawing/2014/main" id="{00000000-0008-0000-2000-00003E1443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96095" name="Line 28">
          <a:extLst>
            <a:ext uri="{FF2B5EF4-FFF2-40B4-BE49-F238E27FC236}">
              <a16:creationId xmlns="" xmlns:a16="http://schemas.microsoft.com/office/drawing/2014/main" id="{00000000-0008-0000-2000-00003F144300}"/>
            </a:ext>
          </a:extLst>
        </xdr:cNvPr>
        <xdr:cNvSpPr>
          <a:spLocks noChangeShapeType="1"/>
        </xdr:cNvSpPr>
      </xdr:nvSpPr>
      <xdr:spPr bwMode="auto">
        <a:xfrm>
          <a:off x="12011025" y="0"/>
          <a:ext cx="1933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352425</xdr:colOff>
      <xdr:row>0</xdr:row>
      <xdr:rowOff>0</xdr:rowOff>
    </xdr:from>
    <xdr:to>
      <xdr:col>2</xdr:col>
      <xdr:colOff>352425</xdr:colOff>
      <xdr:row>0</xdr:row>
      <xdr:rowOff>0</xdr:rowOff>
    </xdr:to>
    <xdr:sp macro="" textlink="">
      <xdr:nvSpPr>
        <xdr:cNvPr id="4396096" name="Line 29">
          <a:extLst>
            <a:ext uri="{FF2B5EF4-FFF2-40B4-BE49-F238E27FC236}">
              <a16:creationId xmlns="" xmlns:a16="http://schemas.microsoft.com/office/drawing/2014/main" id="{00000000-0008-0000-2000-000040144300}"/>
            </a:ext>
          </a:extLst>
        </xdr:cNvPr>
        <xdr:cNvSpPr>
          <a:spLocks noChangeShapeType="1"/>
        </xdr:cNvSpPr>
      </xdr:nvSpPr>
      <xdr:spPr bwMode="auto">
        <a:xfrm>
          <a:off x="2981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152400</xdr:colOff>
      <xdr:row>0</xdr:row>
      <xdr:rowOff>0</xdr:rowOff>
    </xdr:to>
    <xdr:sp macro="" textlink="">
      <xdr:nvSpPr>
        <xdr:cNvPr id="4396097" name="Line 30">
          <a:extLst>
            <a:ext uri="{FF2B5EF4-FFF2-40B4-BE49-F238E27FC236}">
              <a16:creationId xmlns="" xmlns:a16="http://schemas.microsoft.com/office/drawing/2014/main" id="{00000000-0008-0000-2000-0000411443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723900</xdr:colOff>
      <xdr:row>0</xdr:row>
      <xdr:rowOff>0</xdr:rowOff>
    </xdr:from>
    <xdr:to>
      <xdr:col>4</xdr:col>
      <xdr:colOff>723900</xdr:colOff>
      <xdr:row>0</xdr:row>
      <xdr:rowOff>0</xdr:rowOff>
    </xdr:to>
    <xdr:sp macro="" textlink="">
      <xdr:nvSpPr>
        <xdr:cNvPr id="4396098" name="Line 31">
          <a:extLst>
            <a:ext uri="{FF2B5EF4-FFF2-40B4-BE49-F238E27FC236}">
              <a16:creationId xmlns="" xmlns:a16="http://schemas.microsoft.com/office/drawing/2014/main" id="{00000000-0008-0000-2000-000042144300}"/>
            </a:ext>
          </a:extLst>
        </xdr:cNvPr>
        <xdr:cNvSpPr>
          <a:spLocks noChangeShapeType="1"/>
        </xdr:cNvSpPr>
      </xdr:nvSpPr>
      <xdr:spPr bwMode="auto">
        <a:xfrm>
          <a:off x="63722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285750</xdr:colOff>
      <xdr:row>0</xdr:row>
      <xdr:rowOff>0</xdr:rowOff>
    </xdr:from>
    <xdr:to>
      <xdr:col>2</xdr:col>
      <xdr:colOff>285750</xdr:colOff>
      <xdr:row>0</xdr:row>
      <xdr:rowOff>0</xdr:rowOff>
    </xdr:to>
    <xdr:sp macro="" textlink="">
      <xdr:nvSpPr>
        <xdr:cNvPr id="4396099" name="Line 32">
          <a:extLst>
            <a:ext uri="{FF2B5EF4-FFF2-40B4-BE49-F238E27FC236}">
              <a16:creationId xmlns="" xmlns:a16="http://schemas.microsoft.com/office/drawing/2014/main" id="{00000000-0008-0000-2000-000043144300}"/>
            </a:ext>
          </a:extLst>
        </xdr:cNvPr>
        <xdr:cNvSpPr>
          <a:spLocks noChangeShapeType="1"/>
        </xdr:cNvSpPr>
      </xdr:nvSpPr>
      <xdr:spPr bwMode="auto">
        <a:xfrm>
          <a:off x="29146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590550</xdr:colOff>
      <xdr:row>0</xdr:row>
      <xdr:rowOff>0</xdr:rowOff>
    </xdr:from>
    <xdr:to>
      <xdr:col>4</xdr:col>
      <xdr:colOff>590550</xdr:colOff>
      <xdr:row>0</xdr:row>
      <xdr:rowOff>0</xdr:rowOff>
    </xdr:to>
    <xdr:sp macro="" textlink="">
      <xdr:nvSpPr>
        <xdr:cNvPr id="4396100" name="Line 33">
          <a:extLst>
            <a:ext uri="{FF2B5EF4-FFF2-40B4-BE49-F238E27FC236}">
              <a16:creationId xmlns="" xmlns:a16="http://schemas.microsoft.com/office/drawing/2014/main" id="{00000000-0008-0000-2000-000044144300}"/>
            </a:ext>
          </a:extLst>
        </xdr:cNvPr>
        <xdr:cNvSpPr>
          <a:spLocks noChangeShapeType="1"/>
        </xdr:cNvSpPr>
      </xdr:nvSpPr>
      <xdr:spPr bwMode="auto">
        <a:xfrm flipH="1">
          <a:off x="6238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96101" name="Line 34">
          <a:extLst>
            <a:ext uri="{FF2B5EF4-FFF2-40B4-BE49-F238E27FC236}">
              <a16:creationId xmlns="" xmlns:a16="http://schemas.microsoft.com/office/drawing/2014/main" id="{00000000-0008-0000-2000-0000451443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95250</xdr:colOff>
      <xdr:row>0</xdr:row>
      <xdr:rowOff>0</xdr:rowOff>
    </xdr:to>
    <xdr:grpSp>
      <xdr:nvGrpSpPr>
        <xdr:cNvPr id="4396102" name="Group 35">
          <a:extLst>
            <a:ext uri="{FF2B5EF4-FFF2-40B4-BE49-F238E27FC236}">
              <a16:creationId xmlns="" xmlns:a16="http://schemas.microsoft.com/office/drawing/2014/main" id="{00000000-0008-0000-2000-000046144300}"/>
            </a:ext>
          </a:extLst>
        </xdr:cNvPr>
        <xdr:cNvGrpSpPr>
          <a:grpSpLocks/>
        </xdr:cNvGrpSpPr>
      </xdr:nvGrpSpPr>
      <xdr:grpSpPr bwMode="auto">
        <a:xfrm>
          <a:off x="9810750" y="0"/>
          <a:ext cx="5562600" cy="0"/>
          <a:chOff x="630" y="359"/>
          <a:chExt cx="361" cy="60"/>
        </a:xfrm>
      </xdr:grpSpPr>
      <xdr:sp macro="" textlink="">
        <xdr:nvSpPr>
          <xdr:cNvPr id="4396274" name="Line 36">
            <a:extLst>
              <a:ext uri="{FF2B5EF4-FFF2-40B4-BE49-F238E27FC236}">
                <a16:creationId xmlns="" xmlns:a16="http://schemas.microsoft.com/office/drawing/2014/main" id="{00000000-0008-0000-2000-0000F214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0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6275" name="Line 37">
            <a:extLst>
              <a:ext uri="{FF2B5EF4-FFF2-40B4-BE49-F238E27FC236}">
                <a16:creationId xmlns="" xmlns:a16="http://schemas.microsoft.com/office/drawing/2014/main" id="{00000000-0008-0000-2000-0000F314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91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6276" name="Line 38">
            <a:extLst>
              <a:ext uri="{FF2B5EF4-FFF2-40B4-BE49-F238E27FC236}">
                <a16:creationId xmlns="" xmlns:a16="http://schemas.microsoft.com/office/drawing/2014/main" id="{00000000-0008-0000-2000-0000F4144300}"/>
              </a:ext>
            </a:extLst>
          </xdr:cNvPr>
          <xdr:cNvSpPr>
            <a:spLocks noChangeShapeType="1"/>
          </xdr:cNvSpPr>
        </xdr:nvSpPr>
        <xdr:spPr bwMode="auto">
          <a:xfrm>
            <a:off x="630" y="381"/>
            <a:ext cx="3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7</xdr:col>
      <xdr:colOff>590550</xdr:colOff>
      <xdr:row>0</xdr:row>
      <xdr:rowOff>0</xdr:rowOff>
    </xdr:to>
    <xdr:sp macro="" textlink="">
      <xdr:nvSpPr>
        <xdr:cNvPr id="4396103" name="Line 39">
          <a:extLst>
            <a:ext uri="{FF2B5EF4-FFF2-40B4-BE49-F238E27FC236}">
              <a16:creationId xmlns="" xmlns:a16="http://schemas.microsoft.com/office/drawing/2014/main" id="{00000000-0008-0000-2000-0000471443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10</xdr:col>
      <xdr:colOff>47625</xdr:colOff>
      <xdr:row>0</xdr:row>
      <xdr:rowOff>0</xdr:rowOff>
    </xdr:to>
    <xdr:sp macro="" textlink="">
      <xdr:nvSpPr>
        <xdr:cNvPr id="4396104" name="Line 40">
          <a:extLst>
            <a:ext uri="{FF2B5EF4-FFF2-40B4-BE49-F238E27FC236}">
              <a16:creationId xmlns="" xmlns:a16="http://schemas.microsoft.com/office/drawing/2014/main" id="{00000000-0008-0000-2000-000048144300}"/>
            </a:ext>
          </a:extLst>
        </xdr:cNvPr>
        <xdr:cNvSpPr>
          <a:spLocks noChangeShapeType="1"/>
        </xdr:cNvSpPr>
      </xdr:nvSpPr>
      <xdr:spPr bwMode="auto">
        <a:xfrm flipV="1">
          <a:off x="9382125" y="0"/>
          <a:ext cx="1581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10</xdr:col>
      <xdr:colOff>914400</xdr:colOff>
      <xdr:row>0</xdr:row>
      <xdr:rowOff>0</xdr:rowOff>
    </xdr:to>
    <xdr:sp macro="" textlink="">
      <xdr:nvSpPr>
        <xdr:cNvPr id="4396105" name="Line 41">
          <a:extLst>
            <a:ext uri="{FF2B5EF4-FFF2-40B4-BE49-F238E27FC236}">
              <a16:creationId xmlns="" xmlns:a16="http://schemas.microsoft.com/office/drawing/2014/main" id="{00000000-0008-0000-2000-0000491443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1733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28575</xdr:colOff>
      <xdr:row>0</xdr:row>
      <xdr:rowOff>0</xdr:rowOff>
    </xdr:to>
    <xdr:sp macro="" textlink="">
      <xdr:nvSpPr>
        <xdr:cNvPr id="4396106" name="Line 42">
          <a:extLst>
            <a:ext uri="{FF2B5EF4-FFF2-40B4-BE49-F238E27FC236}">
              <a16:creationId xmlns="" xmlns:a16="http://schemas.microsoft.com/office/drawing/2014/main" id="{00000000-0008-0000-2000-00004A1443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2076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552450</xdr:colOff>
      <xdr:row>0</xdr:row>
      <xdr:rowOff>0</xdr:rowOff>
    </xdr:from>
    <xdr:to>
      <xdr:col>13</xdr:col>
      <xdr:colOff>400050</xdr:colOff>
      <xdr:row>0</xdr:row>
      <xdr:rowOff>0</xdr:rowOff>
    </xdr:to>
    <xdr:sp macro="" textlink="">
      <xdr:nvSpPr>
        <xdr:cNvPr id="4396107" name="Line 43">
          <a:extLst>
            <a:ext uri="{FF2B5EF4-FFF2-40B4-BE49-F238E27FC236}">
              <a16:creationId xmlns="" xmlns:a16="http://schemas.microsoft.com/office/drawing/2014/main" id="{00000000-0008-0000-2000-00004B144300}"/>
            </a:ext>
          </a:extLst>
        </xdr:cNvPr>
        <xdr:cNvSpPr>
          <a:spLocks noChangeShapeType="1"/>
        </xdr:cNvSpPr>
      </xdr:nvSpPr>
      <xdr:spPr bwMode="auto">
        <a:xfrm flipH="1">
          <a:off x="980122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10</xdr:col>
      <xdr:colOff>57150</xdr:colOff>
      <xdr:row>0</xdr:row>
      <xdr:rowOff>0</xdr:rowOff>
    </xdr:to>
    <xdr:grpSp>
      <xdr:nvGrpSpPr>
        <xdr:cNvPr id="4396108" name="Group 44">
          <a:extLst>
            <a:ext uri="{FF2B5EF4-FFF2-40B4-BE49-F238E27FC236}">
              <a16:creationId xmlns="" xmlns:a16="http://schemas.microsoft.com/office/drawing/2014/main" id="{00000000-0008-0000-2000-00004C144300}"/>
            </a:ext>
          </a:extLst>
        </xdr:cNvPr>
        <xdr:cNvGrpSpPr>
          <a:grpSpLocks/>
        </xdr:cNvGrpSpPr>
      </xdr:nvGrpSpPr>
      <xdr:grpSpPr bwMode="auto">
        <a:xfrm>
          <a:off x="9829800" y="0"/>
          <a:ext cx="1085850" cy="0"/>
          <a:chOff x="554" y="439"/>
          <a:chExt cx="10" cy="76"/>
        </a:xfrm>
      </xdr:grpSpPr>
      <xdr:sp macro="" textlink="">
        <xdr:nvSpPr>
          <xdr:cNvPr id="4396272" name="Line 45">
            <a:extLst>
              <a:ext uri="{FF2B5EF4-FFF2-40B4-BE49-F238E27FC236}">
                <a16:creationId xmlns="" xmlns:a16="http://schemas.microsoft.com/office/drawing/2014/main" id="{00000000-0008-0000-2000-0000F0144300}"/>
              </a:ext>
            </a:extLst>
          </xdr:cNvPr>
          <xdr:cNvSpPr>
            <a:spLocks noChangeShapeType="1"/>
          </xdr:cNvSpPr>
        </xdr:nvSpPr>
        <xdr:spPr bwMode="auto">
          <a:xfrm>
            <a:off x="558" y="439"/>
            <a:ext cx="0" cy="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6273" name="Line 46">
            <a:extLst>
              <a:ext uri="{FF2B5EF4-FFF2-40B4-BE49-F238E27FC236}">
                <a16:creationId xmlns="" xmlns:a16="http://schemas.microsoft.com/office/drawing/2014/main" id="{00000000-0008-0000-2000-0000F1144300}"/>
              </a:ext>
            </a:extLst>
          </xdr:cNvPr>
          <xdr:cNvSpPr>
            <a:spLocks noChangeShapeType="1"/>
          </xdr:cNvSpPr>
        </xdr:nvSpPr>
        <xdr:spPr bwMode="auto">
          <a:xfrm>
            <a:off x="554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10</xdr:col>
      <xdr:colOff>628650</xdr:colOff>
      <xdr:row>0</xdr:row>
      <xdr:rowOff>0</xdr:rowOff>
    </xdr:from>
    <xdr:to>
      <xdr:col>11</xdr:col>
      <xdr:colOff>38100</xdr:colOff>
      <xdr:row>0</xdr:row>
      <xdr:rowOff>0</xdr:rowOff>
    </xdr:to>
    <xdr:grpSp>
      <xdr:nvGrpSpPr>
        <xdr:cNvPr id="4396109" name="Group 47">
          <a:extLst>
            <a:ext uri="{FF2B5EF4-FFF2-40B4-BE49-F238E27FC236}">
              <a16:creationId xmlns="" xmlns:a16="http://schemas.microsoft.com/office/drawing/2014/main" id="{00000000-0008-0000-2000-00004D144300}"/>
            </a:ext>
          </a:extLst>
        </xdr:cNvPr>
        <xdr:cNvGrpSpPr>
          <a:grpSpLocks/>
        </xdr:cNvGrpSpPr>
      </xdr:nvGrpSpPr>
      <xdr:grpSpPr bwMode="auto">
        <a:xfrm>
          <a:off x="11487150" y="0"/>
          <a:ext cx="57150" cy="0"/>
          <a:chOff x="680" y="439"/>
          <a:chExt cx="10" cy="98"/>
        </a:xfrm>
      </xdr:grpSpPr>
      <xdr:sp macro="" textlink="">
        <xdr:nvSpPr>
          <xdr:cNvPr id="4396270" name="Line 48">
            <a:extLst>
              <a:ext uri="{FF2B5EF4-FFF2-40B4-BE49-F238E27FC236}">
                <a16:creationId xmlns="" xmlns:a16="http://schemas.microsoft.com/office/drawing/2014/main" id="{00000000-0008-0000-2000-0000EE144300}"/>
              </a:ext>
            </a:extLst>
          </xdr:cNvPr>
          <xdr:cNvSpPr>
            <a:spLocks noChangeShapeType="1"/>
          </xdr:cNvSpPr>
        </xdr:nvSpPr>
        <xdr:spPr bwMode="auto">
          <a:xfrm>
            <a:off x="685" y="439"/>
            <a:ext cx="0" cy="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6271" name="Line 49">
            <a:extLst>
              <a:ext uri="{FF2B5EF4-FFF2-40B4-BE49-F238E27FC236}">
                <a16:creationId xmlns="" xmlns:a16="http://schemas.microsoft.com/office/drawing/2014/main" id="{00000000-0008-0000-2000-0000EF144300}"/>
              </a:ext>
            </a:extLst>
          </xdr:cNvPr>
          <xdr:cNvSpPr>
            <a:spLocks noChangeShapeType="1"/>
          </xdr:cNvSpPr>
        </xdr:nvSpPr>
        <xdr:spPr bwMode="auto">
          <a:xfrm>
            <a:off x="680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4396110" name="Group 50">
          <a:extLst>
            <a:ext uri="{FF2B5EF4-FFF2-40B4-BE49-F238E27FC236}">
              <a16:creationId xmlns="" xmlns:a16="http://schemas.microsoft.com/office/drawing/2014/main" id="{00000000-0008-0000-2000-00004E144300}"/>
            </a:ext>
          </a:extLst>
        </xdr:cNvPr>
        <xdr:cNvGrpSpPr>
          <a:grpSpLocks/>
        </xdr:cNvGrpSpPr>
      </xdr:nvGrpSpPr>
      <xdr:grpSpPr bwMode="auto">
        <a:xfrm>
          <a:off x="11811000" y="0"/>
          <a:ext cx="142875" cy="0"/>
          <a:chOff x="759" y="438"/>
          <a:chExt cx="10" cy="121"/>
        </a:xfrm>
      </xdr:grpSpPr>
      <xdr:sp macro="" textlink="">
        <xdr:nvSpPr>
          <xdr:cNvPr id="4396268" name="Line 51">
            <a:extLst>
              <a:ext uri="{FF2B5EF4-FFF2-40B4-BE49-F238E27FC236}">
                <a16:creationId xmlns="" xmlns:a16="http://schemas.microsoft.com/office/drawing/2014/main" id="{00000000-0008-0000-2000-0000EC1443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6269" name="Line 52">
            <a:extLst>
              <a:ext uri="{FF2B5EF4-FFF2-40B4-BE49-F238E27FC236}">
                <a16:creationId xmlns="" xmlns:a16="http://schemas.microsoft.com/office/drawing/2014/main" id="{00000000-0008-0000-2000-0000ED1443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13</xdr:col>
      <xdr:colOff>76200</xdr:colOff>
      <xdr:row>0</xdr:row>
      <xdr:rowOff>0</xdr:rowOff>
    </xdr:from>
    <xdr:to>
      <xdr:col>13</xdr:col>
      <xdr:colOff>676275</xdr:colOff>
      <xdr:row>0</xdr:row>
      <xdr:rowOff>0</xdr:rowOff>
    </xdr:to>
    <xdr:grpSp>
      <xdr:nvGrpSpPr>
        <xdr:cNvPr id="4396111" name="Group 53">
          <a:extLst>
            <a:ext uri="{FF2B5EF4-FFF2-40B4-BE49-F238E27FC236}">
              <a16:creationId xmlns="" xmlns:a16="http://schemas.microsoft.com/office/drawing/2014/main" id="{00000000-0008-0000-2000-00004F144300}"/>
            </a:ext>
          </a:extLst>
        </xdr:cNvPr>
        <xdr:cNvGrpSpPr>
          <a:grpSpLocks/>
        </xdr:cNvGrpSpPr>
      </xdr:nvGrpSpPr>
      <xdr:grpSpPr bwMode="auto">
        <a:xfrm>
          <a:off x="12153900" y="0"/>
          <a:ext cx="600075" cy="0"/>
          <a:chOff x="842" y="438"/>
          <a:chExt cx="10" cy="147"/>
        </a:xfrm>
      </xdr:grpSpPr>
      <xdr:sp macro="" textlink="">
        <xdr:nvSpPr>
          <xdr:cNvPr id="4396266" name="Line 54">
            <a:extLst>
              <a:ext uri="{FF2B5EF4-FFF2-40B4-BE49-F238E27FC236}">
                <a16:creationId xmlns="" xmlns:a16="http://schemas.microsoft.com/office/drawing/2014/main" id="{00000000-0008-0000-2000-0000EA1443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6267" name="Line 55">
            <a:extLst>
              <a:ext uri="{FF2B5EF4-FFF2-40B4-BE49-F238E27FC236}">
                <a16:creationId xmlns="" xmlns:a16="http://schemas.microsoft.com/office/drawing/2014/main" id="{00000000-0008-0000-2000-0000EB1443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76200</xdr:colOff>
      <xdr:row>0</xdr:row>
      <xdr:rowOff>0</xdr:rowOff>
    </xdr:to>
    <xdr:sp macro="" textlink="">
      <xdr:nvSpPr>
        <xdr:cNvPr id="4396112" name="Rectangle 56">
          <a:extLst>
            <a:ext uri="{FF2B5EF4-FFF2-40B4-BE49-F238E27FC236}">
              <a16:creationId xmlns="" xmlns:a16="http://schemas.microsoft.com/office/drawing/2014/main" id="{00000000-0008-0000-2000-000050144300}"/>
            </a:ext>
          </a:extLst>
        </xdr:cNvPr>
        <xdr:cNvSpPr>
          <a:spLocks noChangeArrowheads="1"/>
        </xdr:cNvSpPr>
      </xdr:nvSpPr>
      <xdr:spPr bwMode="auto">
        <a:xfrm>
          <a:off x="9839325" y="0"/>
          <a:ext cx="55721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4396113" name="Line 57">
          <a:extLst>
            <a:ext uri="{FF2B5EF4-FFF2-40B4-BE49-F238E27FC236}">
              <a16:creationId xmlns="" xmlns:a16="http://schemas.microsoft.com/office/drawing/2014/main" id="{00000000-0008-0000-2000-000051144300}"/>
            </a:ext>
          </a:extLst>
        </xdr:cNvPr>
        <xdr:cNvSpPr>
          <a:spLocks noChangeShapeType="1"/>
        </xdr:cNvSpPr>
      </xdr:nvSpPr>
      <xdr:spPr bwMode="auto">
        <a:xfrm>
          <a:off x="153352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638175</xdr:colOff>
      <xdr:row>0</xdr:row>
      <xdr:rowOff>0</xdr:rowOff>
    </xdr:from>
    <xdr:to>
      <xdr:col>16</xdr:col>
      <xdr:colOff>47625</xdr:colOff>
      <xdr:row>0</xdr:row>
      <xdr:rowOff>0</xdr:rowOff>
    </xdr:to>
    <xdr:sp macro="" textlink="">
      <xdr:nvSpPr>
        <xdr:cNvPr id="4396114" name="Line 58">
          <a:extLst>
            <a:ext uri="{FF2B5EF4-FFF2-40B4-BE49-F238E27FC236}">
              <a16:creationId xmlns="" xmlns:a16="http://schemas.microsoft.com/office/drawing/2014/main" id="{00000000-0008-0000-2000-000052144300}"/>
            </a:ext>
          </a:extLst>
        </xdr:cNvPr>
        <xdr:cNvSpPr>
          <a:spLocks noChangeShapeType="1"/>
        </xdr:cNvSpPr>
      </xdr:nvSpPr>
      <xdr:spPr bwMode="auto">
        <a:xfrm>
          <a:off x="14887575" y="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15</xdr:col>
      <xdr:colOff>1181100</xdr:colOff>
      <xdr:row>0</xdr:row>
      <xdr:rowOff>0</xdr:rowOff>
    </xdr:to>
    <xdr:sp macro="" textlink="">
      <xdr:nvSpPr>
        <xdr:cNvPr id="4396115" name="Line 59">
          <a:extLst>
            <a:ext uri="{FF2B5EF4-FFF2-40B4-BE49-F238E27FC236}">
              <a16:creationId xmlns="" xmlns:a16="http://schemas.microsoft.com/office/drawing/2014/main" id="{00000000-0008-0000-2000-000053144300}"/>
            </a:ext>
          </a:extLst>
        </xdr:cNvPr>
        <xdr:cNvSpPr>
          <a:spLocks noChangeShapeType="1"/>
        </xdr:cNvSpPr>
      </xdr:nvSpPr>
      <xdr:spPr bwMode="auto">
        <a:xfrm flipV="1">
          <a:off x="9867900" y="0"/>
          <a:ext cx="546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666750</xdr:colOff>
      <xdr:row>0</xdr:row>
      <xdr:rowOff>0</xdr:rowOff>
    </xdr:from>
    <xdr:to>
      <xdr:col>14</xdr:col>
      <xdr:colOff>838200</xdr:colOff>
      <xdr:row>0</xdr:row>
      <xdr:rowOff>0</xdr:rowOff>
    </xdr:to>
    <xdr:grpSp>
      <xdr:nvGrpSpPr>
        <xdr:cNvPr id="4396116" name="Group 60">
          <a:extLst>
            <a:ext uri="{FF2B5EF4-FFF2-40B4-BE49-F238E27FC236}">
              <a16:creationId xmlns="" xmlns:a16="http://schemas.microsoft.com/office/drawing/2014/main" id="{00000000-0008-0000-2000-000054144300}"/>
            </a:ext>
          </a:extLst>
        </xdr:cNvPr>
        <xdr:cNvGrpSpPr>
          <a:grpSpLocks/>
        </xdr:cNvGrpSpPr>
      </xdr:nvGrpSpPr>
      <xdr:grpSpPr bwMode="auto">
        <a:xfrm>
          <a:off x="13925550" y="0"/>
          <a:ext cx="171450" cy="0"/>
          <a:chOff x="912" y="438"/>
          <a:chExt cx="11" cy="175"/>
        </a:xfrm>
      </xdr:grpSpPr>
      <xdr:sp macro="" textlink="">
        <xdr:nvSpPr>
          <xdr:cNvPr id="4396264" name="Line 61">
            <a:extLst>
              <a:ext uri="{FF2B5EF4-FFF2-40B4-BE49-F238E27FC236}">
                <a16:creationId xmlns="" xmlns:a16="http://schemas.microsoft.com/office/drawing/2014/main" id="{00000000-0008-0000-2000-0000E81443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6265" name="Line 62">
            <a:extLst>
              <a:ext uri="{FF2B5EF4-FFF2-40B4-BE49-F238E27FC236}">
                <a16:creationId xmlns="" xmlns:a16="http://schemas.microsoft.com/office/drawing/2014/main" id="{00000000-0008-0000-2000-0000E91443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171450</xdr:colOff>
      <xdr:row>0</xdr:row>
      <xdr:rowOff>0</xdr:rowOff>
    </xdr:from>
    <xdr:to>
      <xdr:col>4</xdr:col>
      <xdr:colOff>542925</xdr:colOff>
      <xdr:row>0</xdr:row>
      <xdr:rowOff>0</xdr:rowOff>
    </xdr:to>
    <xdr:sp macro="" textlink="">
      <xdr:nvSpPr>
        <xdr:cNvPr id="4396117" name="Line 63">
          <a:extLst>
            <a:ext uri="{FF2B5EF4-FFF2-40B4-BE49-F238E27FC236}">
              <a16:creationId xmlns="" xmlns:a16="http://schemas.microsoft.com/office/drawing/2014/main" id="{00000000-0008-0000-2000-000055144300}"/>
            </a:ext>
          </a:extLst>
        </xdr:cNvPr>
        <xdr:cNvSpPr>
          <a:spLocks noChangeShapeType="1"/>
        </xdr:cNvSpPr>
      </xdr:nvSpPr>
      <xdr:spPr bwMode="auto">
        <a:xfrm>
          <a:off x="2800350" y="0"/>
          <a:ext cx="3390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190500</xdr:colOff>
      <xdr:row>0</xdr:row>
      <xdr:rowOff>0</xdr:rowOff>
    </xdr:from>
    <xdr:to>
      <xdr:col>4</xdr:col>
      <xdr:colOff>571500</xdr:colOff>
      <xdr:row>0</xdr:row>
      <xdr:rowOff>0</xdr:rowOff>
    </xdr:to>
    <xdr:sp macro="" textlink="">
      <xdr:nvSpPr>
        <xdr:cNvPr id="4396118" name="Line 64">
          <a:extLst>
            <a:ext uri="{FF2B5EF4-FFF2-40B4-BE49-F238E27FC236}">
              <a16:creationId xmlns="" xmlns:a16="http://schemas.microsoft.com/office/drawing/2014/main" id="{00000000-0008-0000-2000-000056144300}"/>
            </a:ext>
          </a:extLst>
        </xdr:cNvPr>
        <xdr:cNvSpPr>
          <a:spLocks noChangeShapeType="1"/>
        </xdr:cNvSpPr>
      </xdr:nvSpPr>
      <xdr:spPr bwMode="auto">
        <a:xfrm>
          <a:off x="2819400" y="0"/>
          <a:ext cx="3400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96119" name="Line 65">
          <a:extLst>
            <a:ext uri="{FF2B5EF4-FFF2-40B4-BE49-F238E27FC236}">
              <a16:creationId xmlns="" xmlns:a16="http://schemas.microsoft.com/office/drawing/2014/main" id="{00000000-0008-0000-2000-0000571443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876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4</xdr:col>
      <xdr:colOff>676275</xdr:colOff>
      <xdr:row>0</xdr:row>
      <xdr:rowOff>0</xdr:rowOff>
    </xdr:to>
    <xdr:sp macro="" textlink="">
      <xdr:nvSpPr>
        <xdr:cNvPr id="4396120" name="Line 66">
          <a:extLst>
            <a:ext uri="{FF2B5EF4-FFF2-40B4-BE49-F238E27FC236}">
              <a16:creationId xmlns="" xmlns:a16="http://schemas.microsoft.com/office/drawing/2014/main" id="{00000000-0008-0000-2000-0000581443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219075</xdr:colOff>
      <xdr:row>0</xdr:row>
      <xdr:rowOff>0</xdr:rowOff>
    </xdr:from>
    <xdr:to>
      <xdr:col>2</xdr:col>
      <xdr:colOff>219075</xdr:colOff>
      <xdr:row>0</xdr:row>
      <xdr:rowOff>0</xdr:rowOff>
    </xdr:to>
    <xdr:sp macro="" textlink="">
      <xdr:nvSpPr>
        <xdr:cNvPr id="4396121" name="Line 67">
          <a:extLst>
            <a:ext uri="{FF2B5EF4-FFF2-40B4-BE49-F238E27FC236}">
              <a16:creationId xmlns="" xmlns:a16="http://schemas.microsoft.com/office/drawing/2014/main" id="{00000000-0008-0000-2000-000059144300}"/>
            </a:ext>
          </a:extLst>
        </xdr:cNvPr>
        <xdr:cNvSpPr>
          <a:spLocks noChangeShapeType="1"/>
        </xdr:cNvSpPr>
      </xdr:nvSpPr>
      <xdr:spPr bwMode="auto">
        <a:xfrm>
          <a:off x="28479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266700</xdr:colOff>
      <xdr:row>0</xdr:row>
      <xdr:rowOff>0</xdr:rowOff>
    </xdr:from>
    <xdr:to>
      <xdr:col>2</xdr:col>
      <xdr:colOff>266700</xdr:colOff>
      <xdr:row>0</xdr:row>
      <xdr:rowOff>0</xdr:rowOff>
    </xdr:to>
    <xdr:sp macro="" textlink="">
      <xdr:nvSpPr>
        <xdr:cNvPr id="4396122" name="Line 68">
          <a:extLst>
            <a:ext uri="{FF2B5EF4-FFF2-40B4-BE49-F238E27FC236}">
              <a16:creationId xmlns="" xmlns:a16="http://schemas.microsoft.com/office/drawing/2014/main" id="{00000000-0008-0000-2000-00005A144300}"/>
            </a:ext>
          </a:extLst>
        </xdr:cNvPr>
        <xdr:cNvSpPr>
          <a:spLocks noChangeShapeType="1"/>
        </xdr:cNvSpPr>
      </xdr:nvSpPr>
      <xdr:spPr bwMode="auto">
        <a:xfrm>
          <a:off x="2895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333375</xdr:colOff>
      <xdr:row>0</xdr:row>
      <xdr:rowOff>0</xdr:rowOff>
    </xdr:from>
    <xdr:to>
      <xdr:col>2</xdr:col>
      <xdr:colOff>333375</xdr:colOff>
      <xdr:row>0</xdr:row>
      <xdr:rowOff>0</xdr:rowOff>
    </xdr:to>
    <xdr:sp macro="" textlink="">
      <xdr:nvSpPr>
        <xdr:cNvPr id="4396123" name="Line 69">
          <a:extLst>
            <a:ext uri="{FF2B5EF4-FFF2-40B4-BE49-F238E27FC236}">
              <a16:creationId xmlns="" xmlns:a16="http://schemas.microsoft.com/office/drawing/2014/main" id="{00000000-0008-0000-2000-00005B144300}"/>
            </a:ext>
          </a:extLst>
        </xdr:cNvPr>
        <xdr:cNvSpPr>
          <a:spLocks noChangeShapeType="1"/>
        </xdr:cNvSpPr>
      </xdr:nvSpPr>
      <xdr:spPr bwMode="auto">
        <a:xfrm>
          <a:off x="29622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0</xdr:row>
      <xdr:rowOff>0</xdr:rowOff>
    </xdr:from>
    <xdr:to>
      <xdr:col>2</xdr:col>
      <xdr:colOff>390525</xdr:colOff>
      <xdr:row>0</xdr:row>
      <xdr:rowOff>0</xdr:rowOff>
    </xdr:to>
    <xdr:sp macro="" textlink="">
      <xdr:nvSpPr>
        <xdr:cNvPr id="4396124" name="Line 70">
          <a:extLst>
            <a:ext uri="{FF2B5EF4-FFF2-40B4-BE49-F238E27FC236}">
              <a16:creationId xmlns="" xmlns:a16="http://schemas.microsoft.com/office/drawing/2014/main" id="{00000000-0008-0000-2000-00005C144300}"/>
            </a:ext>
          </a:extLst>
        </xdr:cNvPr>
        <xdr:cNvSpPr>
          <a:spLocks noChangeShapeType="1"/>
        </xdr:cNvSpPr>
      </xdr:nvSpPr>
      <xdr:spPr bwMode="auto">
        <a:xfrm>
          <a:off x="3019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447675</xdr:colOff>
      <xdr:row>0</xdr:row>
      <xdr:rowOff>0</xdr:rowOff>
    </xdr:to>
    <xdr:sp macro="" textlink="">
      <xdr:nvSpPr>
        <xdr:cNvPr id="4396125" name="Line 71">
          <a:extLst>
            <a:ext uri="{FF2B5EF4-FFF2-40B4-BE49-F238E27FC236}">
              <a16:creationId xmlns="" xmlns:a16="http://schemas.microsoft.com/office/drawing/2014/main" id="{00000000-0008-0000-2000-00005D1443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4396126" name="Line 72">
          <a:extLst>
            <a:ext uri="{FF2B5EF4-FFF2-40B4-BE49-F238E27FC236}">
              <a16:creationId xmlns="" xmlns:a16="http://schemas.microsoft.com/office/drawing/2014/main" id="{00000000-0008-0000-2000-00005E1443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314325</xdr:colOff>
      <xdr:row>0</xdr:row>
      <xdr:rowOff>0</xdr:rowOff>
    </xdr:to>
    <xdr:sp macro="" textlink="">
      <xdr:nvSpPr>
        <xdr:cNvPr id="4396127" name="Line 73">
          <a:extLst>
            <a:ext uri="{FF2B5EF4-FFF2-40B4-BE49-F238E27FC236}">
              <a16:creationId xmlns="" xmlns:a16="http://schemas.microsoft.com/office/drawing/2014/main" id="{00000000-0008-0000-2000-00005F1443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657225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96128" name="Line 74">
          <a:extLst>
            <a:ext uri="{FF2B5EF4-FFF2-40B4-BE49-F238E27FC236}">
              <a16:creationId xmlns="" xmlns:a16="http://schemas.microsoft.com/office/drawing/2014/main" id="{00000000-0008-0000-2000-0000601443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266700</xdr:colOff>
      <xdr:row>0</xdr:row>
      <xdr:rowOff>0</xdr:rowOff>
    </xdr:from>
    <xdr:to>
      <xdr:col>11</xdr:col>
      <xdr:colOff>352425</xdr:colOff>
      <xdr:row>0</xdr:row>
      <xdr:rowOff>0</xdr:rowOff>
    </xdr:to>
    <xdr:sp macro="" textlink="">
      <xdr:nvSpPr>
        <xdr:cNvPr id="4396129" name="Text Box 75">
          <a:extLst>
            <a:ext uri="{FF2B5EF4-FFF2-40B4-BE49-F238E27FC236}">
              <a16:creationId xmlns="" xmlns:a16="http://schemas.microsoft.com/office/drawing/2014/main" id="{00000000-0008-0000-2000-000061144300}"/>
            </a:ext>
          </a:extLst>
        </xdr:cNvPr>
        <xdr:cNvSpPr txBox="1">
          <a:spLocks noChangeArrowheads="1"/>
        </xdr:cNvSpPr>
      </xdr:nvSpPr>
      <xdr:spPr bwMode="auto">
        <a:xfrm>
          <a:off x="11182350" y="0"/>
          <a:ext cx="7048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209550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4396130" name="Line 76">
          <a:extLst>
            <a:ext uri="{FF2B5EF4-FFF2-40B4-BE49-F238E27FC236}">
              <a16:creationId xmlns="" xmlns:a16="http://schemas.microsoft.com/office/drawing/2014/main" id="{00000000-0008-0000-2000-000062144300}"/>
            </a:ext>
          </a:extLst>
        </xdr:cNvPr>
        <xdr:cNvSpPr>
          <a:spLocks noChangeShapeType="1"/>
        </xdr:cNvSpPr>
      </xdr:nvSpPr>
      <xdr:spPr bwMode="auto">
        <a:xfrm flipV="1">
          <a:off x="7267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819150</xdr:colOff>
      <xdr:row>0</xdr:row>
      <xdr:rowOff>0</xdr:rowOff>
    </xdr:to>
    <xdr:sp macro="" textlink="">
      <xdr:nvSpPr>
        <xdr:cNvPr id="4396131" name="Line 77">
          <a:extLst>
            <a:ext uri="{FF2B5EF4-FFF2-40B4-BE49-F238E27FC236}">
              <a16:creationId xmlns="" xmlns:a16="http://schemas.microsoft.com/office/drawing/2014/main" id="{00000000-0008-0000-2000-000063144300}"/>
            </a:ext>
          </a:extLst>
        </xdr:cNvPr>
        <xdr:cNvSpPr>
          <a:spLocks noChangeShapeType="1"/>
        </xdr:cNvSpPr>
      </xdr:nvSpPr>
      <xdr:spPr bwMode="auto">
        <a:xfrm>
          <a:off x="7553325" y="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114300</xdr:colOff>
      <xdr:row>0</xdr:row>
      <xdr:rowOff>0</xdr:rowOff>
    </xdr:from>
    <xdr:to>
      <xdr:col>5</xdr:col>
      <xdr:colOff>323850</xdr:colOff>
      <xdr:row>0</xdr:row>
      <xdr:rowOff>0</xdr:rowOff>
    </xdr:to>
    <xdr:sp macro="" textlink="">
      <xdr:nvSpPr>
        <xdr:cNvPr id="4396132" name="Line 78">
          <a:extLst>
            <a:ext uri="{FF2B5EF4-FFF2-40B4-BE49-F238E27FC236}">
              <a16:creationId xmlns="" xmlns:a16="http://schemas.microsoft.com/office/drawing/2014/main" id="{00000000-0008-0000-2000-000064144300}"/>
            </a:ext>
          </a:extLst>
        </xdr:cNvPr>
        <xdr:cNvSpPr>
          <a:spLocks noChangeShapeType="1"/>
        </xdr:cNvSpPr>
      </xdr:nvSpPr>
      <xdr:spPr bwMode="auto">
        <a:xfrm>
          <a:off x="7172325" y="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6133" name="Rectangle 79">
          <a:extLst>
            <a:ext uri="{FF2B5EF4-FFF2-40B4-BE49-F238E27FC236}">
              <a16:creationId xmlns="" xmlns:a16="http://schemas.microsoft.com/office/drawing/2014/main" id="{00000000-0008-0000-2000-000065144300}"/>
            </a:ext>
          </a:extLst>
        </xdr:cNvPr>
        <xdr:cNvSpPr>
          <a:spLocks noChangeArrowheads="1"/>
        </xdr:cNvSpPr>
      </xdr:nvSpPr>
      <xdr:spPr bwMode="auto">
        <a:xfrm>
          <a:off x="16573500" y="0"/>
          <a:ext cx="325755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96134" name="Line 80">
          <a:extLst>
            <a:ext uri="{FF2B5EF4-FFF2-40B4-BE49-F238E27FC236}">
              <a16:creationId xmlns="" xmlns:a16="http://schemas.microsoft.com/office/drawing/2014/main" id="{00000000-0008-0000-2000-000066144300}"/>
            </a:ext>
          </a:extLst>
        </xdr:cNvPr>
        <xdr:cNvSpPr>
          <a:spLocks noChangeShapeType="1"/>
        </xdr:cNvSpPr>
      </xdr:nvSpPr>
      <xdr:spPr bwMode="auto">
        <a:xfrm flipV="1">
          <a:off x="16725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6135" name="Line 81">
          <a:extLst>
            <a:ext uri="{FF2B5EF4-FFF2-40B4-BE49-F238E27FC236}">
              <a16:creationId xmlns="" xmlns:a16="http://schemas.microsoft.com/office/drawing/2014/main" id="{00000000-0008-0000-2000-0000671443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96136" name="Line 82">
          <a:extLst>
            <a:ext uri="{FF2B5EF4-FFF2-40B4-BE49-F238E27FC236}">
              <a16:creationId xmlns="" xmlns:a16="http://schemas.microsoft.com/office/drawing/2014/main" id="{00000000-0008-0000-2000-000068144300}"/>
            </a:ext>
          </a:extLst>
        </xdr:cNvPr>
        <xdr:cNvSpPr>
          <a:spLocks noChangeShapeType="1"/>
        </xdr:cNvSpPr>
      </xdr:nvSpPr>
      <xdr:spPr bwMode="auto">
        <a:xfrm flipV="1">
          <a:off x="16725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6137" name="Line 83">
          <a:extLst>
            <a:ext uri="{FF2B5EF4-FFF2-40B4-BE49-F238E27FC236}">
              <a16:creationId xmlns="" xmlns:a16="http://schemas.microsoft.com/office/drawing/2014/main" id="{00000000-0008-0000-2000-0000691443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19050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6138" name="Line 84">
          <a:extLst>
            <a:ext uri="{FF2B5EF4-FFF2-40B4-BE49-F238E27FC236}">
              <a16:creationId xmlns="" xmlns:a16="http://schemas.microsoft.com/office/drawing/2014/main" id="{00000000-0008-0000-2000-00006A144300}"/>
            </a:ext>
          </a:extLst>
        </xdr:cNvPr>
        <xdr:cNvSpPr>
          <a:spLocks noChangeShapeType="1"/>
        </xdr:cNvSpPr>
      </xdr:nvSpPr>
      <xdr:spPr bwMode="auto">
        <a:xfrm>
          <a:off x="16744950" y="0"/>
          <a:ext cx="3086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609600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6139" name="Line 85">
          <a:extLst>
            <a:ext uri="{FF2B5EF4-FFF2-40B4-BE49-F238E27FC236}">
              <a16:creationId xmlns="" xmlns:a16="http://schemas.microsoft.com/office/drawing/2014/main" id="{00000000-0008-0000-2000-00006B144300}"/>
            </a:ext>
          </a:extLst>
        </xdr:cNvPr>
        <xdr:cNvSpPr>
          <a:spLocks noChangeShapeType="1"/>
        </xdr:cNvSpPr>
      </xdr:nvSpPr>
      <xdr:spPr bwMode="auto">
        <a:xfrm>
          <a:off x="16592550" y="0"/>
          <a:ext cx="3238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628650</xdr:colOff>
      <xdr:row>0</xdr:row>
      <xdr:rowOff>0</xdr:rowOff>
    </xdr:from>
    <xdr:to>
      <xdr:col>17</xdr:col>
      <xdr:colOff>628650</xdr:colOff>
      <xdr:row>0</xdr:row>
      <xdr:rowOff>0</xdr:rowOff>
    </xdr:to>
    <xdr:sp macro="" textlink="">
      <xdr:nvSpPr>
        <xdr:cNvPr id="4396140" name="Line 86">
          <a:extLst>
            <a:ext uri="{FF2B5EF4-FFF2-40B4-BE49-F238E27FC236}">
              <a16:creationId xmlns="" xmlns:a16="http://schemas.microsoft.com/office/drawing/2014/main" id="{00000000-0008-0000-2000-00006C144300}"/>
            </a:ext>
          </a:extLst>
        </xdr:cNvPr>
        <xdr:cNvSpPr>
          <a:spLocks noChangeShapeType="1"/>
        </xdr:cNvSpPr>
      </xdr:nvSpPr>
      <xdr:spPr bwMode="auto">
        <a:xfrm flipV="1">
          <a:off x="16611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6141" name="Line 87">
          <a:extLst>
            <a:ext uri="{FF2B5EF4-FFF2-40B4-BE49-F238E27FC236}">
              <a16:creationId xmlns="" xmlns:a16="http://schemas.microsoft.com/office/drawing/2014/main" id="{00000000-0008-0000-2000-00006D1443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38100</xdr:colOff>
      <xdr:row>0</xdr:row>
      <xdr:rowOff>0</xdr:rowOff>
    </xdr:to>
    <xdr:sp macro="" textlink="">
      <xdr:nvSpPr>
        <xdr:cNvPr id="4396142" name="Rectangle 88">
          <a:extLst>
            <a:ext uri="{FF2B5EF4-FFF2-40B4-BE49-F238E27FC236}">
              <a16:creationId xmlns="" xmlns:a16="http://schemas.microsoft.com/office/drawing/2014/main" id="{00000000-0008-0000-2000-00006E144300}"/>
            </a:ext>
          </a:extLst>
        </xdr:cNvPr>
        <xdr:cNvSpPr>
          <a:spLocks noChangeArrowheads="1"/>
        </xdr:cNvSpPr>
      </xdr:nvSpPr>
      <xdr:spPr bwMode="auto">
        <a:xfrm>
          <a:off x="19831050" y="0"/>
          <a:ext cx="14097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96143" name="Line 89">
          <a:extLst>
            <a:ext uri="{FF2B5EF4-FFF2-40B4-BE49-F238E27FC236}">
              <a16:creationId xmlns="" xmlns:a16="http://schemas.microsoft.com/office/drawing/2014/main" id="{00000000-0008-0000-2000-00006F1443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0</xdr:colOff>
      <xdr:row>0</xdr:row>
      <xdr:rowOff>0</xdr:rowOff>
    </xdr:to>
    <xdr:sp macro="" textlink="">
      <xdr:nvSpPr>
        <xdr:cNvPr id="4396144" name="Line 90">
          <a:extLst>
            <a:ext uri="{FF2B5EF4-FFF2-40B4-BE49-F238E27FC236}">
              <a16:creationId xmlns="" xmlns:a16="http://schemas.microsoft.com/office/drawing/2014/main" id="{00000000-0008-0000-2000-000070144300}"/>
            </a:ext>
          </a:extLst>
        </xdr:cNvPr>
        <xdr:cNvSpPr>
          <a:spLocks noChangeShapeType="1"/>
        </xdr:cNvSpPr>
      </xdr:nvSpPr>
      <xdr:spPr bwMode="auto">
        <a:xfrm>
          <a:off x="19831050" y="0"/>
          <a:ext cx="1371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24</xdr:col>
      <xdr:colOff>19050</xdr:colOff>
      <xdr:row>0</xdr:row>
      <xdr:rowOff>0</xdr:rowOff>
    </xdr:from>
    <xdr:to>
      <xdr:col>24</xdr:col>
      <xdr:colOff>19050</xdr:colOff>
      <xdr:row>0</xdr:row>
      <xdr:rowOff>0</xdr:rowOff>
    </xdr:to>
    <xdr:sp macro="" textlink="">
      <xdr:nvSpPr>
        <xdr:cNvPr id="4396145" name="Line 91">
          <a:extLst>
            <a:ext uri="{FF2B5EF4-FFF2-40B4-BE49-F238E27FC236}">
              <a16:creationId xmlns="" xmlns:a16="http://schemas.microsoft.com/office/drawing/2014/main" id="{00000000-0008-0000-2000-000071144300}"/>
            </a:ext>
          </a:extLst>
        </xdr:cNvPr>
        <xdr:cNvSpPr>
          <a:spLocks noChangeShapeType="1"/>
        </xdr:cNvSpPr>
      </xdr:nvSpPr>
      <xdr:spPr bwMode="auto">
        <a:xfrm>
          <a:off x="21221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400050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96146" name="Line 92">
          <a:extLst>
            <a:ext uri="{FF2B5EF4-FFF2-40B4-BE49-F238E27FC236}">
              <a16:creationId xmlns="" xmlns:a16="http://schemas.microsoft.com/office/drawing/2014/main" id="{00000000-0008-0000-2000-000072144300}"/>
            </a:ext>
          </a:extLst>
        </xdr:cNvPr>
        <xdr:cNvSpPr>
          <a:spLocks noChangeShapeType="1"/>
        </xdr:cNvSpPr>
      </xdr:nvSpPr>
      <xdr:spPr bwMode="auto">
        <a:xfrm flipH="1" flipV="1">
          <a:off x="13725525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14</xdr:col>
      <xdr:colOff>781050</xdr:colOff>
      <xdr:row>0</xdr:row>
      <xdr:rowOff>0</xdr:rowOff>
    </xdr:to>
    <xdr:sp macro="" textlink="">
      <xdr:nvSpPr>
        <xdr:cNvPr id="4396147" name="Line 93">
          <a:extLst>
            <a:ext uri="{FF2B5EF4-FFF2-40B4-BE49-F238E27FC236}">
              <a16:creationId xmlns="" xmlns:a16="http://schemas.microsoft.com/office/drawing/2014/main" id="{00000000-0008-0000-2000-000073144300}"/>
            </a:ext>
          </a:extLst>
        </xdr:cNvPr>
        <xdr:cNvSpPr>
          <a:spLocks noChangeShapeType="1"/>
        </xdr:cNvSpPr>
      </xdr:nvSpPr>
      <xdr:spPr bwMode="auto">
        <a:xfrm flipH="1">
          <a:off x="9867900" y="0"/>
          <a:ext cx="4238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4</xdr:col>
      <xdr:colOff>704850</xdr:colOff>
      <xdr:row>0</xdr:row>
      <xdr:rowOff>0</xdr:rowOff>
    </xdr:to>
    <xdr:sp macro="" textlink="">
      <xdr:nvSpPr>
        <xdr:cNvPr id="4396148" name="Line 94">
          <a:extLst>
            <a:ext uri="{FF2B5EF4-FFF2-40B4-BE49-F238E27FC236}">
              <a16:creationId xmlns="" xmlns:a16="http://schemas.microsoft.com/office/drawing/2014/main" id="{00000000-0008-0000-2000-0000741443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3571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96149" name="Line 95">
          <a:extLst>
            <a:ext uri="{FF2B5EF4-FFF2-40B4-BE49-F238E27FC236}">
              <a16:creationId xmlns="" xmlns:a16="http://schemas.microsoft.com/office/drawing/2014/main" id="{00000000-0008-0000-2000-000075144300}"/>
            </a:ext>
          </a:extLst>
        </xdr:cNvPr>
        <xdr:cNvSpPr>
          <a:spLocks noChangeShapeType="1"/>
        </xdr:cNvSpPr>
      </xdr:nvSpPr>
      <xdr:spPr bwMode="auto">
        <a:xfrm>
          <a:off x="116681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247650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6150" name="Line 96">
          <a:extLst>
            <a:ext uri="{FF2B5EF4-FFF2-40B4-BE49-F238E27FC236}">
              <a16:creationId xmlns="" xmlns:a16="http://schemas.microsoft.com/office/drawing/2014/main" id="{00000000-0008-0000-2000-00007614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1047750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6151" name="Line 97">
          <a:extLst>
            <a:ext uri="{FF2B5EF4-FFF2-40B4-BE49-F238E27FC236}">
              <a16:creationId xmlns="" xmlns:a16="http://schemas.microsoft.com/office/drawing/2014/main" id="{00000000-0008-0000-2000-00007714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571500</xdr:colOff>
      <xdr:row>0</xdr:row>
      <xdr:rowOff>0</xdr:rowOff>
    </xdr:from>
    <xdr:to>
      <xdr:col>13</xdr:col>
      <xdr:colOff>571500</xdr:colOff>
      <xdr:row>0</xdr:row>
      <xdr:rowOff>0</xdr:rowOff>
    </xdr:to>
    <xdr:sp macro="" textlink="">
      <xdr:nvSpPr>
        <xdr:cNvPr id="4396152" name="Line 98">
          <a:extLst>
            <a:ext uri="{FF2B5EF4-FFF2-40B4-BE49-F238E27FC236}">
              <a16:creationId xmlns="" xmlns:a16="http://schemas.microsoft.com/office/drawing/2014/main" id="{00000000-0008-0000-2000-000078144300}"/>
            </a:ext>
          </a:extLst>
        </xdr:cNvPr>
        <xdr:cNvSpPr>
          <a:spLocks noChangeShapeType="1"/>
        </xdr:cNvSpPr>
      </xdr:nvSpPr>
      <xdr:spPr bwMode="auto">
        <a:xfrm>
          <a:off x="12706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14</xdr:col>
      <xdr:colOff>457200</xdr:colOff>
      <xdr:row>0</xdr:row>
      <xdr:rowOff>0</xdr:rowOff>
    </xdr:to>
    <xdr:sp macro="" textlink="">
      <xdr:nvSpPr>
        <xdr:cNvPr id="4396153" name="Line 99">
          <a:extLst>
            <a:ext uri="{FF2B5EF4-FFF2-40B4-BE49-F238E27FC236}">
              <a16:creationId xmlns="" xmlns:a16="http://schemas.microsoft.com/office/drawing/2014/main" id="{00000000-0008-0000-2000-000079144300}"/>
            </a:ext>
          </a:extLst>
        </xdr:cNvPr>
        <xdr:cNvSpPr>
          <a:spLocks noChangeShapeType="1"/>
        </xdr:cNvSpPr>
      </xdr:nvSpPr>
      <xdr:spPr bwMode="auto">
        <a:xfrm>
          <a:off x="137826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323850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96154" name="Line 100">
          <a:extLst>
            <a:ext uri="{FF2B5EF4-FFF2-40B4-BE49-F238E27FC236}">
              <a16:creationId xmlns="" xmlns:a16="http://schemas.microsoft.com/office/drawing/2014/main" id="{00000000-0008-0000-2000-00007A144300}"/>
            </a:ext>
          </a:extLst>
        </xdr:cNvPr>
        <xdr:cNvSpPr>
          <a:spLocks noChangeShapeType="1"/>
        </xdr:cNvSpPr>
      </xdr:nvSpPr>
      <xdr:spPr bwMode="auto">
        <a:xfrm flipH="1">
          <a:off x="9572625" y="0"/>
          <a:ext cx="2095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15</xdr:col>
      <xdr:colOff>161925</xdr:colOff>
      <xdr:row>0</xdr:row>
      <xdr:rowOff>0</xdr:rowOff>
    </xdr:to>
    <xdr:sp macro="" textlink="">
      <xdr:nvSpPr>
        <xdr:cNvPr id="4396155" name="Line 101">
          <a:extLst>
            <a:ext uri="{FF2B5EF4-FFF2-40B4-BE49-F238E27FC236}">
              <a16:creationId xmlns="" xmlns:a16="http://schemas.microsoft.com/office/drawing/2014/main" id="{00000000-0008-0000-2000-00007B144300}"/>
            </a:ext>
          </a:extLst>
        </xdr:cNvPr>
        <xdr:cNvSpPr>
          <a:spLocks noChangeShapeType="1"/>
        </xdr:cNvSpPr>
      </xdr:nvSpPr>
      <xdr:spPr bwMode="auto">
        <a:xfrm>
          <a:off x="13782675" y="0"/>
          <a:ext cx="628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6156" name="Line 102">
          <a:extLst>
            <a:ext uri="{FF2B5EF4-FFF2-40B4-BE49-F238E27FC236}">
              <a16:creationId xmlns="" xmlns:a16="http://schemas.microsoft.com/office/drawing/2014/main" id="{00000000-0008-0000-2000-00007C144300}"/>
            </a:ext>
          </a:extLst>
        </xdr:cNvPr>
        <xdr:cNvSpPr>
          <a:spLocks noChangeShapeType="1"/>
        </xdr:cNvSpPr>
      </xdr:nvSpPr>
      <xdr:spPr bwMode="auto">
        <a:xfrm flipV="1">
          <a:off x="12744450" y="0"/>
          <a:ext cx="165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1066800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6157" name="Line 103">
          <a:extLst>
            <a:ext uri="{FF2B5EF4-FFF2-40B4-BE49-F238E27FC236}">
              <a16:creationId xmlns="" xmlns:a16="http://schemas.microsoft.com/office/drawing/2014/main" id="{00000000-0008-0000-2000-00007D14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266700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6158" name="Line 104">
          <a:extLst>
            <a:ext uri="{FF2B5EF4-FFF2-40B4-BE49-F238E27FC236}">
              <a16:creationId xmlns="" xmlns:a16="http://schemas.microsoft.com/office/drawing/2014/main" id="{00000000-0008-0000-2000-00007E1443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96159" name="Line 105">
          <a:extLst>
            <a:ext uri="{FF2B5EF4-FFF2-40B4-BE49-F238E27FC236}">
              <a16:creationId xmlns="" xmlns:a16="http://schemas.microsoft.com/office/drawing/2014/main" id="{00000000-0008-0000-2000-00007F144300}"/>
            </a:ext>
          </a:extLst>
        </xdr:cNvPr>
        <xdr:cNvSpPr>
          <a:spLocks noChangeShapeType="1"/>
        </xdr:cNvSpPr>
      </xdr:nvSpPr>
      <xdr:spPr bwMode="auto">
        <a:xfrm>
          <a:off x="1166812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495300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96160" name="Line 106">
          <a:extLst>
            <a:ext uri="{FF2B5EF4-FFF2-40B4-BE49-F238E27FC236}">
              <a16:creationId xmlns="" xmlns:a16="http://schemas.microsoft.com/office/drawing/2014/main" id="{00000000-0008-0000-2000-000080144300}"/>
            </a:ext>
          </a:extLst>
        </xdr:cNvPr>
        <xdr:cNvSpPr>
          <a:spLocks noChangeShapeType="1"/>
        </xdr:cNvSpPr>
      </xdr:nvSpPr>
      <xdr:spPr bwMode="auto">
        <a:xfrm flipH="1">
          <a:off x="9744075" y="0"/>
          <a:ext cx="2390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1028700</xdr:colOff>
      <xdr:row>0</xdr:row>
      <xdr:rowOff>0</xdr:rowOff>
    </xdr:to>
    <xdr:sp macro="" textlink="">
      <xdr:nvSpPr>
        <xdr:cNvPr id="4396161" name="Line 107">
          <a:extLst>
            <a:ext uri="{FF2B5EF4-FFF2-40B4-BE49-F238E27FC236}">
              <a16:creationId xmlns="" xmlns:a16="http://schemas.microsoft.com/office/drawing/2014/main" id="{00000000-0008-0000-2000-000081144300}"/>
            </a:ext>
          </a:extLst>
        </xdr:cNvPr>
        <xdr:cNvSpPr>
          <a:spLocks noChangeShapeType="1"/>
        </xdr:cNvSpPr>
      </xdr:nvSpPr>
      <xdr:spPr bwMode="auto">
        <a:xfrm flipH="1">
          <a:off x="9839325" y="0"/>
          <a:ext cx="2295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171450</xdr:colOff>
      <xdr:row>0</xdr:row>
      <xdr:rowOff>0</xdr:rowOff>
    </xdr:from>
    <xdr:to>
      <xdr:col>13</xdr:col>
      <xdr:colOff>552450</xdr:colOff>
      <xdr:row>0</xdr:row>
      <xdr:rowOff>0</xdr:rowOff>
    </xdr:to>
    <xdr:sp macro="" textlink="">
      <xdr:nvSpPr>
        <xdr:cNvPr id="4396162" name="Line 108">
          <a:extLst>
            <a:ext uri="{FF2B5EF4-FFF2-40B4-BE49-F238E27FC236}">
              <a16:creationId xmlns="" xmlns:a16="http://schemas.microsoft.com/office/drawing/2014/main" id="{00000000-0008-0000-2000-000082144300}"/>
            </a:ext>
          </a:extLst>
        </xdr:cNvPr>
        <xdr:cNvSpPr>
          <a:spLocks noChangeShapeType="1"/>
        </xdr:cNvSpPr>
      </xdr:nvSpPr>
      <xdr:spPr bwMode="auto">
        <a:xfrm flipH="1">
          <a:off x="11087100" y="0"/>
          <a:ext cx="1600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457200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96163" name="Line 109">
          <a:extLst>
            <a:ext uri="{FF2B5EF4-FFF2-40B4-BE49-F238E27FC236}">
              <a16:creationId xmlns="" xmlns:a16="http://schemas.microsoft.com/office/drawing/2014/main" id="{00000000-0008-0000-2000-000083144300}"/>
            </a:ext>
          </a:extLst>
        </xdr:cNvPr>
        <xdr:cNvSpPr>
          <a:spLocks noChangeShapeType="1"/>
        </xdr:cNvSpPr>
      </xdr:nvSpPr>
      <xdr:spPr bwMode="auto">
        <a:xfrm flipH="1">
          <a:off x="11372850" y="0"/>
          <a:ext cx="2371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1104900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96164" name="Line 110">
          <a:extLst>
            <a:ext uri="{FF2B5EF4-FFF2-40B4-BE49-F238E27FC236}">
              <a16:creationId xmlns="" xmlns:a16="http://schemas.microsoft.com/office/drawing/2014/main" id="{00000000-0008-0000-2000-000084144300}"/>
            </a:ext>
          </a:extLst>
        </xdr:cNvPr>
        <xdr:cNvSpPr>
          <a:spLocks noChangeShapeType="1"/>
        </xdr:cNvSpPr>
      </xdr:nvSpPr>
      <xdr:spPr bwMode="auto">
        <a:xfrm>
          <a:off x="1157287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1085850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96165" name="Line 111">
          <a:extLst>
            <a:ext uri="{FF2B5EF4-FFF2-40B4-BE49-F238E27FC236}">
              <a16:creationId xmlns="" xmlns:a16="http://schemas.microsoft.com/office/drawing/2014/main" id="{00000000-0008-0000-2000-000085144300}"/>
            </a:ext>
          </a:extLst>
        </xdr:cNvPr>
        <xdr:cNvSpPr>
          <a:spLocks noChangeShapeType="1"/>
        </xdr:cNvSpPr>
      </xdr:nvSpPr>
      <xdr:spPr bwMode="auto">
        <a:xfrm>
          <a:off x="1157287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123825</xdr:colOff>
      <xdr:row>0</xdr:row>
      <xdr:rowOff>0</xdr:rowOff>
    </xdr:from>
    <xdr:to>
      <xdr:col>21</xdr:col>
      <xdr:colOff>438150</xdr:colOff>
      <xdr:row>0</xdr:row>
      <xdr:rowOff>0</xdr:rowOff>
    </xdr:to>
    <xdr:sp macro="" textlink="">
      <xdr:nvSpPr>
        <xdr:cNvPr id="113" name="Text Box 112">
          <a:extLst>
            <a:ext uri="{FF2B5EF4-FFF2-40B4-BE49-F238E27FC236}">
              <a16:creationId xmlns="" xmlns:a16="http://schemas.microsoft.com/office/drawing/2014/main" id="{00000000-0008-0000-2000-000071000000}"/>
            </a:ext>
          </a:extLst>
        </xdr:cNvPr>
        <xdr:cNvSpPr txBox="1">
          <a:spLocks noChangeArrowheads="1"/>
        </xdr:cNvSpPr>
      </xdr:nvSpPr>
      <xdr:spPr bwMode="auto">
        <a:xfrm>
          <a:off x="19516725" y="0"/>
          <a:ext cx="3143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1°</a:t>
          </a:r>
        </a:p>
      </xdr:txBody>
    </xdr:sp>
    <xdr:clientData/>
  </xdr:twoCellAnchor>
  <xdr:twoCellAnchor>
    <xdr:from>
      <xdr:col>19</xdr:col>
      <xdr:colOff>1285875</xdr:colOff>
      <xdr:row>0</xdr:row>
      <xdr:rowOff>0</xdr:rowOff>
    </xdr:from>
    <xdr:to>
      <xdr:col>21</xdr:col>
      <xdr:colOff>333375</xdr:colOff>
      <xdr:row>0</xdr:row>
      <xdr:rowOff>0</xdr:rowOff>
    </xdr:to>
    <xdr:sp macro="" textlink="">
      <xdr:nvSpPr>
        <xdr:cNvPr id="114" name="Text Box 113">
          <a:extLst>
            <a:ext uri="{FF2B5EF4-FFF2-40B4-BE49-F238E27FC236}">
              <a16:creationId xmlns="" xmlns:a16="http://schemas.microsoft.com/office/drawing/2014/main" id="{00000000-0008-0000-2000-000072000000}"/>
            </a:ext>
          </a:extLst>
        </xdr:cNvPr>
        <xdr:cNvSpPr txBox="1">
          <a:spLocks noChangeArrowheads="1"/>
        </xdr:cNvSpPr>
      </xdr:nvSpPr>
      <xdr:spPr bwMode="auto">
        <a:xfrm>
          <a:off x="18630900" y="0"/>
          <a:ext cx="10953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3°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5" name="Text Box 114">
          <a:extLst>
            <a:ext uri="{FF2B5EF4-FFF2-40B4-BE49-F238E27FC236}">
              <a16:creationId xmlns="" xmlns:a16="http://schemas.microsoft.com/office/drawing/2014/main" id="{00000000-0008-0000-2000-000073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21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6" name="Text Box 115">
          <a:extLst>
            <a:ext uri="{FF2B5EF4-FFF2-40B4-BE49-F238E27FC236}">
              <a16:creationId xmlns="" xmlns:a16="http://schemas.microsoft.com/office/drawing/2014/main" id="{00000000-0008-0000-2000-000074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19</xdr:col>
      <xdr:colOff>819150</xdr:colOff>
      <xdr:row>0</xdr:row>
      <xdr:rowOff>0</xdr:rowOff>
    </xdr:from>
    <xdr:to>
      <xdr:col>19</xdr:col>
      <xdr:colOff>1000125</xdr:colOff>
      <xdr:row>0</xdr:row>
      <xdr:rowOff>0</xdr:rowOff>
    </xdr:to>
    <xdr:sp macro="" textlink="">
      <xdr:nvSpPr>
        <xdr:cNvPr id="117" name="Text Box 116">
          <a:extLst>
            <a:ext uri="{FF2B5EF4-FFF2-40B4-BE49-F238E27FC236}">
              <a16:creationId xmlns="" xmlns:a16="http://schemas.microsoft.com/office/drawing/2014/main" id="{00000000-0008-0000-2000-000075000000}"/>
            </a:ext>
          </a:extLst>
        </xdr:cNvPr>
        <xdr:cNvSpPr txBox="1">
          <a:spLocks noChangeArrowheads="1"/>
        </xdr:cNvSpPr>
      </xdr:nvSpPr>
      <xdr:spPr bwMode="auto">
        <a:xfrm>
          <a:off x="18183225" y="0"/>
          <a:ext cx="1809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5°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8" name="Text Box 117">
          <a:extLst>
            <a:ext uri="{FF2B5EF4-FFF2-40B4-BE49-F238E27FC236}">
              <a16:creationId xmlns="" xmlns:a16="http://schemas.microsoft.com/office/drawing/2014/main" id="{00000000-0008-0000-2000-000076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6°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1" i="0" strike="noStrike">
              <a:solidFill>
                <a:srgbClr val="000000"/>
              </a:solidFill>
              <a:latin typeface="Times New Roman"/>
              <a:cs typeface="Times New Roman"/>
            </a:rPr>
            <a:t>6</a:t>
          </a:r>
        </a:p>
      </xdr:txBody>
    </xdr:sp>
    <xdr:clientData/>
  </xdr:twoCellAnchor>
  <xdr:twoCellAnchor>
    <xdr:from>
      <xdr:col>14</xdr:col>
      <xdr:colOff>266700</xdr:colOff>
      <xdr:row>15</xdr:row>
      <xdr:rowOff>38100</xdr:rowOff>
    </xdr:from>
    <xdr:to>
      <xdr:col>15</xdr:col>
      <xdr:colOff>352425</xdr:colOff>
      <xdr:row>16</xdr:row>
      <xdr:rowOff>161925</xdr:rowOff>
    </xdr:to>
    <xdr:sp macro="" textlink="">
      <xdr:nvSpPr>
        <xdr:cNvPr id="4396172" name="Text Box 118">
          <a:extLst>
            <a:ext uri="{FF2B5EF4-FFF2-40B4-BE49-F238E27FC236}">
              <a16:creationId xmlns="" xmlns:a16="http://schemas.microsoft.com/office/drawing/2014/main" id="{00000000-0008-0000-2000-00008C144300}"/>
            </a:ext>
          </a:extLst>
        </xdr:cNvPr>
        <xdr:cNvSpPr txBox="1">
          <a:spLocks noChangeArrowheads="1"/>
        </xdr:cNvSpPr>
      </xdr:nvSpPr>
      <xdr:spPr bwMode="auto">
        <a:xfrm>
          <a:off x="13592175" y="5638800"/>
          <a:ext cx="1009650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19</xdr:col>
      <xdr:colOff>990600</xdr:colOff>
      <xdr:row>37</xdr:row>
      <xdr:rowOff>0</xdr:rowOff>
    </xdr:from>
    <xdr:to>
      <xdr:col>19</xdr:col>
      <xdr:colOff>990600</xdr:colOff>
      <xdr:row>37</xdr:row>
      <xdr:rowOff>0</xdr:rowOff>
    </xdr:to>
    <xdr:sp macro="" textlink="">
      <xdr:nvSpPr>
        <xdr:cNvPr id="4396173" name="Line 119">
          <a:extLst>
            <a:ext uri="{FF2B5EF4-FFF2-40B4-BE49-F238E27FC236}">
              <a16:creationId xmlns="" xmlns:a16="http://schemas.microsoft.com/office/drawing/2014/main" id="{00000000-0008-0000-2000-00008D144300}"/>
            </a:ext>
          </a:extLst>
        </xdr:cNvPr>
        <xdr:cNvSpPr>
          <a:spLocks noChangeShapeType="1"/>
        </xdr:cNvSpPr>
      </xdr:nvSpPr>
      <xdr:spPr bwMode="auto">
        <a:xfrm>
          <a:off x="18354675" y="13363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oneCell">
    <xdr:from>
      <xdr:col>2</xdr:col>
      <xdr:colOff>190500</xdr:colOff>
      <xdr:row>15</xdr:row>
      <xdr:rowOff>142875</xdr:rowOff>
    </xdr:from>
    <xdr:to>
      <xdr:col>4</xdr:col>
      <xdr:colOff>161925</xdr:colOff>
      <xdr:row>19</xdr:row>
      <xdr:rowOff>66675</xdr:rowOff>
    </xdr:to>
    <xdr:grpSp>
      <xdr:nvGrpSpPr>
        <xdr:cNvPr id="4396174" name="Group 120">
          <a:extLst>
            <a:ext uri="{FF2B5EF4-FFF2-40B4-BE49-F238E27FC236}">
              <a16:creationId xmlns="" xmlns:a16="http://schemas.microsoft.com/office/drawing/2014/main" id="{00000000-0008-0000-2000-00008E144300}"/>
            </a:ext>
          </a:extLst>
        </xdr:cNvPr>
        <xdr:cNvGrpSpPr>
          <a:grpSpLocks/>
        </xdr:cNvGrpSpPr>
      </xdr:nvGrpSpPr>
      <xdr:grpSpPr bwMode="auto">
        <a:xfrm>
          <a:off x="2819400" y="5705475"/>
          <a:ext cx="2981325" cy="1333500"/>
          <a:chOff x="358" y="540"/>
          <a:chExt cx="293" cy="139"/>
        </a:xfrm>
      </xdr:grpSpPr>
      <xdr:sp macro="" textlink="">
        <xdr:nvSpPr>
          <xdr:cNvPr id="4396205" name="Line 121">
            <a:extLst>
              <a:ext uri="{FF2B5EF4-FFF2-40B4-BE49-F238E27FC236}">
                <a16:creationId xmlns="" xmlns:a16="http://schemas.microsoft.com/office/drawing/2014/main" id="{00000000-0008-0000-2000-0000AD1443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96206" name="Group 122">
            <a:extLst>
              <a:ext uri="{FF2B5EF4-FFF2-40B4-BE49-F238E27FC236}">
                <a16:creationId xmlns="" xmlns:a16="http://schemas.microsoft.com/office/drawing/2014/main" id="{00000000-0008-0000-2000-0000AE1443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396262" name="Line 123">
              <a:extLst>
                <a:ext uri="{FF2B5EF4-FFF2-40B4-BE49-F238E27FC236}">
                  <a16:creationId xmlns="" xmlns:a16="http://schemas.microsoft.com/office/drawing/2014/main" id="{00000000-0008-0000-2000-0000E61443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6263" name="Line 124">
              <a:extLst>
                <a:ext uri="{FF2B5EF4-FFF2-40B4-BE49-F238E27FC236}">
                  <a16:creationId xmlns="" xmlns:a16="http://schemas.microsoft.com/office/drawing/2014/main" id="{00000000-0008-0000-2000-0000E71443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96207" name="Line 125">
            <a:extLst>
              <a:ext uri="{FF2B5EF4-FFF2-40B4-BE49-F238E27FC236}">
                <a16:creationId xmlns="" xmlns:a16="http://schemas.microsoft.com/office/drawing/2014/main" id="{00000000-0008-0000-2000-0000AF14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96208" name="Line 126">
            <a:extLst>
              <a:ext uri="{FF2B5EF4-FFF2-40B4-BE49-F238E27FC236}">
                <a16:creationId xmlns="" xmlns:a16="http://schemas.microsoft.com/office/drawing/2014/main" id="{00000000-0008-0000-2000-0000B014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6209" name="Line 127">
            <a:extLst>
              <a:ext uri="{FF2B5EF4-FFF2-40B4-BE49-F238E27FC236}">
                <a16:creationId xmlns="" xmlns:a16="http://schemas.microsoft.com/office/drawing/2014/main" id="{00000000-0008-0000-2000-0000B114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6210" name="Line 128">
            <a:extLst>
              <a:ext uri="{FF2B5EF4-FFF2-40B4-BE49-F238E27FC236}">
                <a16:creationId xmlns="" xmlns:a16="http://schemas.microsoft.com/office/drawing/2014/main" id="{00000000-0008-0000-2000-0000B21443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6211" name="Line 129">
            <a:extLst>
              <a:ext uri="{FF2B5EF4-FFF2-40B4-BE49-F238E27FC236}">
                <a16:creationId xmlns="" xmlns:a16="http://schemas.microsoft.com/office/drawing/2014/main" id="{00000000-0008-0000-2000-0000B31443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96212" name="Group 130">
            <a:extLst>
              <a:ext uri="{FF2B5EF4-FFF2-40B4-BE49-F238E27FC236}">
                <a16:creationId xmlns="" xmlns:a16="http://schemas.microsoft.com/office/drawing/2014/main" id="{00000000-0008-0000-2000-0000B41443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396256" name="Line 131">
              <a:extLst>
                <a:ext uri="{FF2B5EF4-FFF2-40B4-BE49-F238E27FC236}">
                  <a16:creationId xmlns="" xmlns:a16="http://schemas.microsoft.com/office/drawing/2014/main" id="{00000000-0008-0000-2000-0000E01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6257" name="Group 132">
              <a:extLst>
                <a:ext uri="{FF2B5EF4-FFF2-40B4-BE49-F238E27FC236}">
                  <a16:creationId xmlns="" xmlns:a16="http://schemas.microsoft.com/office/drawing/2014/main" id="{00000000-0008-0000-2000-0000E114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6258" name="Line 133">
                <a:extLst>
                  <a:ext uri="{FF2B5EF4-FFF2-40B4-BE49-F238E27FC236}">
                    <a16:creationId xmlns="" xmlns:a16="http://schemas.microsoft.com/office/drawing/2014/main" id="{00000000-0008-0000-2000-0000E214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6259" name="Group 134">
                <a:extLst>
                  <a:ext uri="{FF2B5EF4-FFF2-40B4-BE49-F238E27FC236}">
                    <a16:creationId xmlns="" xmlns:a16="http://schemas.microsoft.com/office/drawing/2014/main" id="{00000000-0008-0000-2000-0000E314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6260" name="Line 135">
                  <a:extLst>
                    <a:ext uri="{FF2B5EF4-FFF2-40B4-BE49-F238E27FC236}">
                      <a16:creationId xmlns="" xmlns:a16="http://schemas.microsoft.com/office/drawing/2014/main" id="{00000000-0008-0000-2000-0000E41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6261" name="Line 136">
                  <a:extLst>
                    <a:ext uri="{FF2B5EF4-FFF2-40B4-BE49-F238E27FC236}">
                      <a16:creationId xmlns="" xmlns:a16="http://schemas.microsoft.com/office/drawing/2014/main" id="{00000000-0008-0000-2000-0000E51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6213" name="Group 137">
            <a:extLst>
              <a:ext uri="{FF2B5EF4-FFF2-40B4-BE49-F238E27FC236}">
                <a16:creationId xmlns="" xmlns:a16="http://schemas.microsoft.com/office/drawing/2014/main" id="{00000000-0008-0000-2000-0000B51443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396250" name="Line 138">
              <a:extLst>
                <a:ext uri="{FF2B5EF4-FFF2-40B4-BE49-F238E27FC236}">
                  <a16:creationId xmlns="" xmlns:a16="http://schemas.microsoft.com/office/drawing/2014/main" id="{00000000-0008-0000-2000-0000DA1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6251" name="Group 139">
              <a:extLst>
                <a:ext uri="{FF2B5EF4-FFF2-40B4-BE49-F238E27FC236}">
                  <a16:creationId xmlns="" xmlns:a16="http://schemas.microsoft.com/office/drawing/2014/main" id="{00000000-0008-0000-2000-0000DB14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6252" name="Line 140">
                <a:extLst>
                  <a:ext uri="{FF2B5EF4-FFF2-40B4-BE49-F238E27FC236}">
                    <a16:creationId xmlns="" xmlns:a16="http://schemas.microsoft.com/office/drawing/2014/main" id="{00000000-0008-0000-2000-0000DC14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6253" name="Group 141">
                <a:extLst>
                  <a:ext uri="{FF2B5EF4-FFF2-40B4-BE49-F238E27FC236}">
                    <a16:creationId xmlns="" xmlns:a16="http://schemas.microsoft.com/office/drawing/2014/main" id="{00000000-0008-0000-2000-0000DD14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6254" name="Line 142">
                  <a:extLst>
                    <a:ext uri="{FF2B5EF4-FFF2-40B4-BE49-F238E27FC236}">
                      <a16:creationId xmlns="" xmlns:a16="http://schemas.microsoft.com/office/drawing/2014/main" id="{00000000-0008-0000-2000-0000DE1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6255" name="Line 143">
                  <a:extLst>
                    <a:ext uri="{FF2B5EF4-FFF2-40B4-BE49-F238E27FC236}">
                      <a16:creationId xmlns="" xmlns:a16="http://schemas.microsoft.com/office/drawing/2014/main" id="{00000000-0008-0000-2000-0000DF1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6214" name="Group 144">
            <a:extLst>
              <a:ext uri="{FF2B5EF4-FFF2-40B4-BE49-F238E27FC236}">
                <a16:creationId xmlns="" xmlns:a16="http://schemas.microsoft.com/office/drawing/2014/main" id="{00000000-0008-0000-2000-0000B61443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396244" name="Line 145">
              <a:extLst>
                <a:ext uri="{FF2B5EF4-FFF2-40B4-BE49-F238E27FC236}">
                  <a16:creationId xmlns="" xmlns:a16="http://schemas.microsoft.com/office/drawing/2014/main" id="{00000000-0008-0000-2000-0000D41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6245" name="Group 146">
              <a:extLst>
                <a:ext uri="{FF2B5EF4-FFF2-40B4-BE49-F238E27FC236}">
                  <a16:creationId xmlns="" xmlns:a16="http://schemas.microsoft.com/office/drawing/2014/main" id="{00000000-0008-0000-2000-0000D514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6246" name="Line 147">
                <a:extLst>
                  <a:ext uri="{FF2B5EF4-FFF2-40B4-BE49-F238E27FC236}">
                    <a16:creationId xmlns="" xmlns:a16="http://schemas.microsoft.com/office/drawing/2014/main" id="{00000000-0008-0000-2000-0000D614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6247" name="Group 148">
                <a:extLst>
                  <a:ext uri="{FF2B5EF4-FFF2-40B4-BE49-F238E27FC236}">
                    <a16:creationId xmlns="" xmlns:a16="http://schemas.microsoft.com/office/drawing/2014/main" id="{00000000-0008-0000-2000-0000D714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6248" name="Line 149">
                  <a:extLst>
                    <a:ext uri="{FF2B5EF4-FFF2-40B4-BE49-F238E27FC236}">
                      <a16:creationId xmlns="" xmlns:a16="http://schemas.microsoft.com/office/drawing/2014/main" id="{00000000-0008-0000-2000-0000D81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6249" name="Line 150">
                  <a:extLst>
                    <a:ext uri="{FF2B5EF4-FFF2-40B4-BE49-F238E27FC236}">
                      <a16:creationId xmlns="" xmlns:a16="http://schemas.microsoft.com/office/drawing/2014/main" id="{00000000-0008-0000-2000-0000D91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6215" name="Group 151">
            <a:extLst>
              <a:ext uri="{FF2B5EF4-FFF2-40B4-BE49-F238E27FC236}">
                <a16:creationId xmlns="" xmlns:a16="http://schemas.microsoft.com/office/drawing/2014/main" id="{00000000-0008-0000-2000-0000B71443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396238" name="Line 152">
              <a:extLst>
                <a:ext uri="{FF2B5EF4-FFF2-40B4-BE49-F238E27FC236}">
                  <a16:creationId xmlns="" xmlns:a16="http://schemas.microsoft.com/office/drawing/2014/main" id="{00000000-0008-0000-2000-0000CE1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6239" name="Group 153">
              <a:extLst>
                <a:ext uri="{FF2B5EF4-FFF2-40B4-BE49-F238E27FC236}">
                  <a16:creationId xmlns="" xmlns:a16="http://schemas.microsoft.com/office/drawing/2014/main" id="{00000000-0008-0000-2000-0000CF14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6240" name="Line 154">
                <a:extLst>
                  <a:ext uri="{FF2B5EF4-FFF2-40B4-BE49-F238E27FC236}">
                    <a16:creationId xmlns="" xmlns:a16="http://schemas.microsoft.com/office/drawing/2014/main" id="{00000000-0008-0000-2000-0000D014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6241" name="Group 155">
                <a:extLst>
                  <a:ext uri="{FF2B5EF4-FFF2-40B4-BE49-F238E27FC236}">
                    <a16:creationId xmlns="" xmlns:a16="http://schemas.microsoft.com/office/drawing/2014/main" id="{00000000-0008-0000-2000-0000D114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6242" name="Line 156">
                  <a:extLst>
                    <a:ext uri="{FF2B5EF4-FFF2-40B4-BE49-F238E27FC236}">
                      <a16:creationId xmlns="" xmlns:a16="http://schemas.microsoft.com/office/drawing/2014/main" id="{00000000-0008-0000-2000-0000D21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6243" name="Line 157">
                  <a:extLst>
                    <a:ext uri="{FF2B5EF4-FFF2-40B4-BE49-F238E27FC236}">
                      <a16:creationId xmlns="" xmlns:a16="http://schemas.microsoft.com/office/drawing/2014/main" id="{00000000-0008-0000-2000-0000D31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6216" name="Group 158">
            <a:extLst>
              <a:ext uri="{FF2B5EF4-FFF2-40B4-BE49-F238E27FC236}">
                <a16:creationId xmlns="" xmlns:a16="http://schemas.microsoft.com/office/drawing/2014/main" id="{00000000-0008-0000-2000-0000B81443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396232" name="Line 159">
              <a:extLst>
                <a:ext uri="{FF2B5EF4-FFF2-40B4-BE49-F238E27FC236}">
                  <a16:creationId xmlns="" xmlns:a16="http://schemas.microsoft.com/office/drawing/2014/main" id="{00000000-0008-0000-2000-0000C81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6233" name="Group 160">
              <a:extLst>
                <a:ext uri="{FF2B5EF4-FFF2-40B4-BE49-F238E27FC236}">
                  <a16:creationId xmlns="" xmlns:a16="http://schemas.microsoft.com/office/drawing/2014/main" id="{00000000-0008-0000-2000-0000C914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6234" name="Line 161">
                <a:extLst>
                  <a:ext uri="{FF2B5EF4-FFF2-40B4-BE49-F238E27FC236}">
                    <a16:creationId xmlns="" xmlns:a16="http://schemas.microsoft.com/office/drawing/2014/main" id="{00000000-0008-0000-2000-0000CA14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6235" name="Group 162">
                <a:extLst>
                  <a:ext uri="{FF2B5EF4-FFF2-40B4-BE49-F238E27FC236}">
                    <a16:creationId xmlns="" xmlns:a16="http://schemas.microsoft.com/office/drawing/2014/main" id="{00000000-0008-0000-2000-0000CB14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6236" name="Line 163">
                  <a:extLst>
                    <a:ext uri="{FF2B5EF4-FFF2-40B4-BE49-F238E27FC236}">
                      <a16:creationId xmlns="" xmlns:a16="http://schemas.microsoft.com/office/drawing/2014/main" id="{00000000-0008-0000-2000-0000CC1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6237" name="Line 164">
                  <a:extLst>
                    <a:ext uri="{FF2B5EF4-FFF2-40B4-BE49-F238E27FC236}">
                      <a16:creationId xmlns="" xmlns:a16="http://schemas.microsoft.com/office/drawing/2014/main" id="{00000000-0008-0000-2000-0000CD1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6217" name="Group 165">
            <a:extLst>
              <a:ext uri="{FF2B5EF4-FFF2-40B4-BE49-F238E27FC236}">
                <a16:creationId xmlns="" xmlns:a16="http://schemas.microsoft.com/office/drawing/2014/main" id="{00000000-0008-0000-2000-0000B91443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396226" name="Line 166">
              <a:extLst>
                <a:ext uri="{FF2B5EF4-FFF2-40B4-BE49-F238E27FC236}">
                  <a16:creationId xmlns="" xmlns:a16="http://schemas.microsoft.com/office/drawing/2014/main" id="{00000000-0008-0000-2000-0000C21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6227" name="Group 167">
              <a:extLst>
                <a:ext uri="{FF2B5EF4-FFF2-40B4-BE49-F238E27FC236}">
                  <a16:creationId xmlns="" xmlns:a16="http://schemas.microsoft.com/office/drawing/2014/main" id="{00000000-0008-0000-2000-0000C314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6228" name="Line 168">
                <a:extLst>
                  <a:ext uri="{FF2B5EF4-FFF2-40B4-BE49-F238E27FC236}">
                    <a16:creationId xmlns="" xmlns:a16="http://schemas.microsoft.com/office/drawing/2014/main" id="{00000000-0008-0000-2000-0000C414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6229" name="Group 169">
                <a:extLst>
                  <a:ext uri="{FF2B5EF4-FFF2-40B4-BE49-F238E27FC236}">
                    <a16:creationId xmlns="" xmlns:a16="http://schemas.microsoft.com/office/drawing/2014/main" id="{00000000-0008-0000-2000-0000C514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6230" name="Line 170">
                  <a:extLst>
                    <a:ext uri="{FF2B5EF4-FFF2-40B4-BE49-F238E27FC236}">
                      <a16:creationId xmlns="" xmlns:a16="http://schemas.microsoft.com/office/drawing/2014/main" id="{00000000-0008-0000-2000-0000C61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6231" name="Line 171">
                  <a:extLst>
                    <a:ext uri="{FF2B5EF4-FFF2-40B4-BE49-F238E27FC236}">
                      <a16:creationId xmlns="" xmlns:a16="http://schemas.microsoft.com/office/drawing/2014/main" id="{00000000-0008-0000-2000-0000C71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96218" name="Group 172">
            <a:extLst>
              <a:ext uri="{FF2B5EF4-FFF2-40B4-BE49-F238E27FC236}">
                <a16:creationId xmlns="" xmlns:a16="http://schemas.microsoft.com/office/drawing/2014/main" id="{00000000-0008-0000-2000-0000BA1443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396220" name="Line 173">
              <a:extLst>
                <a:ext uri="{FF2B5EF4-FFF2-40B4-BE49-F238E27FC236}">
                  <a16:creationId xmlns="" xmlns:a16="http://schemas.microsoft.com/office/drawing/2014/main" id="{00000000-0008-0000-2000-0000BC144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96221" name="Group 174">
              <a:extLst>
                <a:ext uri="{FF2B5EF4-FFF2-40B4-BE49-F238E27FC236}">
                  <a16:creationId xmlns="" xmlns:a16="http://schemas.microsoft.com/office/drawing/2014/main" id="{00000000-0008-0000-2000-0000BD144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96222" name="Line 175">
                <a:extLst>
                  <a:ext uri="{FF2B5EF4-FFF2-40B4-BE49-F238E27FC236}">
                    <a16:creationId xmlns="" xmlns:a16="http://schemas.microsoft.com/office/drawing/2014/main" id="{00000000-0008-0000-2000-0000BE144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96223" name="Group 176">
                <a:extLst>
                  <a:ext uri="{FF2B5EF4-FFF2-40B4-BE49-F238E27FC236}">
                    <a16:creationId xmlns="" xmlns:a16="http://schemas.microsoft.com/office/drawing/2014/main" id="{00000000-0008-0000-2000-0000BF1443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96224" name="Line 177">
                  <a:extLst>
                    <a:ext uri="{FF2B5EF4-FFF2-40B4-BE49-F238E27FC236}">
                      <a16:creationId xmlns="" xmlns:a16="http://schemas.microsoft.com/office/drawing/2014/main" id="{00000000-0008-0000-2000-0000C01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96225" name="Line 178">
                  <a:extLst>
                    <a:ext uri="{FF2B5EF4-FFF2-40B4-BE49-F238E27FC236}">
                      <a16:creationId xmlns="" xmlns:a16="http://schemas.microsoft.com/office/drawing/2014/main" id="{00000000-0008-0000-2000-0000C11443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96219" name="Line 179">
            <a:extLst>
              <a:ext uri="{FF2B5EF4-FFF2-40B4-BE49-F238E27FC236}">
                <a16:creationId xmlns="" xmlns:a16="http://schemas.microsoft.com/office/drawing/2014/main" id="{00000000-0008-0000-2000-0000BB1443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-3562350</xdr:colOff>
      <xdr:row>23</xdr:row>
      <xdr:rowOff>57150</xdr:rowOff>
    </xdr:from>
    <xdr:to>
      <xdr:col>0</xdr:col>
      <xdr:colOff>-3467100</xdr:colOff>
      <xdr:row>30</xdr:row>
      <xdr:rowOff>57150</xdr:rowOff>
    </xdr:to>
    <xdr:grpSp>
      <xdr:nvGrpSpPr>
        <xdr:cNvPr id="4396175" name="Group 193">
          <a:extLst>
            <a:ext uri="{FF2B5EF4-FFF2-40B4-BE49-F238E27FC236}">
              <a16:creationId xmlns="" xmlns:a16="http://schemas.microsoft.com/office/drawing/2014/main" id="{00000000-0008-0000-2000-00008F144300}"/>
            </a:ext>
          </a:extLst>
        </xdr:cNvPr>
        <xdr:cNvGrpSpPr>
          <a:grpSpLocks/>
        </xdr:cNvGrpSpPr>
      </xdr:nvGrpSpPr>
      <xdr:grpSpPr bwMode="auto">
        <a:xfrm>
          <a:off x="-3562350" y="7981950"/>
          <a:ext cx="95250" cy="2324100"/>
          <a:chOff x="842" y="438"/>
          <a:chExt cx="10" cy="147"/>
        </a:xfrm>
      </xdr:grpSpPr>
      <xdr:sp macro="" textlink="">
        <xdr:nvSpPr>
          <xdr:cNvPr id="4396203" name="Line 194">
            <a:extLst>
              <a:ext uri="{FF2B5EF4-FFF2-40B4-BE49-F238E27FC236}">
                <a16:creationId xmlns="" xmlns:a16="http://schemas.microsoft.com/office/drawing/2014/main" id="{00000000-0008-0000-2000-0000AB1443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6204" name="Line 195">
            <a:extLst>
              <a:ext uri="{FF2B5EF4-FFF2-40B4-BE49-F238E27FC236}">
                <a16:creationId xmlns="" xmlns:a16="http://schemas.microsoft.com/office/drawing/2014/main" id="{00000000-0008-0000-2000-0000AC1443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0</xdr:row>
      <xdr:rowOff>133350</xdr:rowOff>
    </xdr:from>
    <xdr:to>
      <xdr:col>21</xdr:col>
      <xdr:colOff>1314450</xdr:colOff>
      <xdr:row>2</xdr:row>
      <xdr:rowOff>28575</xdr:rowOff>
    </xdr:to>
    <xdr:sp macro="" textlink="">
      <xdr:nvSpPr>
        <xdr:cNvPr id="4344328" name="Rectangle 250">
          <a:extLst>
            <a:ext uri="{FF2B5EF4-FFF2-40B4-BE49-F238E27FC236}">
              <a16:creationId xmlns="" xmlns:a16="http://schemas.microsoft.com/office/drawing/2014/main" id="{00000000-0008-0000-2000-0000084A4200}"/>
            </a:ext>
          </a:extLst>
        </xdr:cNvPr>
        <xdr:cNvSpPr>
          <a:spLocks noChangeArrowheads="1"/>
        </xdr:cNvSpPr>
      </xdr:nvSpPr>
      <xdr:spPr bwMode="auto">
        <a:xfrm>
          <a:off x="2324100" y="133350"/>
          <a:ext cx="17506950" cy="5524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  <xdr:txBody>
        <a:bodyPr/>
        <a:lstStyle/>
        <a:p>
          <a:endParaRPr lang="it-IT"/>
        </a:p>
      </xdr:txBody>
    </xdr:sp>
    <xdr:clientData/>
  </xdr:twoCellAnchor>
  <xdr:twoCellAnchor>
    <xdr:from>
      <xdr:col>19</xdr:col>
      <xdr:colOff>990600</xdr:colOff>
      <xdr:row>36</xdr:row>
      <xdr:rowOff>0</xdr:rowOff>
    </xdr:from>
    <xdr:to>
      <xdr:col>19</xdr:col>
      <xdr:colOff>990600</xdr:colOff>
      <xdr:row>36</xdr:row>
      <xdr:rowOff>0</xdr:rowOff>
    </xdr:to>
    <xdr:sp macro="" textlink="">
      <xdr:nvSpPr>
        <xdr:cNvPr id="4396177" name="Line 251">
          <a:extLst>
            <a:ext uri="{FF2B5EF4-FFF2-40B4-BE49-F238E27FC236}">
              <a16:creationId xmlns="" xmlns:a16="http://schemas.microsoft.com/office/drawing/2014/main" id="{00000000-0008-0000-2000-000091144300}"/>
            </a:ext>
          </a:extLst>
        </xdr:cNvPr>
        <xdr:cNvSpPr>
          <a:spLocks noChangeShapeType="1"/>
        </xdr:cNvSpPr>
      </xdr:nvSpPr>
      <xdr:spPr bwMode="auto">
        <a:xfrm>
          <a:off x="18354675" y="129063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285750</xdr:colOff>
      <xdr:row>22</xdr:row>
      <xdr:rowOff>133350</xdr:rowOff>
    </xdr:from>
    <xdr:to>
      <xdr:col>10</xdr:col>
      <xdr:colOff>647700</xdr:colOff>
      <xdr:row>34</xdr:row>
      <xdr:rowOff>123825</xdr:rowOff>
    </xdr:to>
    <xdr:grpSp>
      <xdr:nvGrpSpPr>
        <xdr:cNvPr id="4396178" name="Gruppo 254">
          <a:extLst>
            <a:ext uri="{FF2B5EF4-FFF2-40B4-BE49-F238E27FC236}">
              <a16:creationId xmlns="" xmlns:a16="http://schemas.microsoft.com/office/drawing/2014/main" id="{00000000-0008-0000-2000-000092144300}"/>
            </a:ext>
          </a:extLst>
        </xdr:cNvPr>
        <xdr:cNvGrpSpPr>
          <a:grpSpLocks/>
        </xdr:cNvGrpSpPr>
      </xdr:nvGrpSpPr>
      <xdr:grpSpPr bwMode="auto">
        <a:xfrm>
          <a:off x="2609850" y="7867650"/>
          <a:ext cx="8896350" cy="4333875"/>
          <a:chOff x="32032547" y="4916090"/>
          <a:chExt cx="6320731" cy="4069880"/>
        </a:xfrm>
      </xdr:grpSpPr>
      <xdr:sp macro="" textlink="">
        <xdr:nvSpPr>
          <xdr:cNvPr id="4396181" name="Line 181">
            <a:extLst>
              <a:ext uri="{FF2B5EF4-FFF2-40B4-BE49-F238E27FC236}">
                <a16:creationId xmlns="" xmlns:a16="http://schemas.microsoft.com/office/drawing/2014/main" id="{00000000-0008-0000-2000-00009514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039228" y="6007380"/>
            <a:ext cx="48107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6182" name="Line 182">
            <a:extLst>
              <a:ext uri="{FF2B5EF4-FFF2-40B4-BE49-F238E27FC236}">
                <a16:creationId xmlns="" xmlns:a16="http://schemas.microsoft.com/office/drawing/2014/main" id="{00000000-0008-0000-2000-000096144300}"/>
              </a:ext>
            </a:extLst>
          </xdr:cNvPr>
          <xdr:cNvSpPr>
            <a:spLocks noChangeShapeType="1"/>
          </xdr:cNvSpPr>
        </xdr:nvSpPr>
        <xdr:spPr bwMode="auto">
          <a:xfrm>
            <a:off x="32039228" y="5327889"/>
            <a:ext cx="0" cy="365808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6183" name="Line 183">
            <a:extLst>
              <a:ext uri="{FF2B5EF4-FFF2-40B4-BE49-F238E27FC236}">
                <a16:creationId xmlns="" xmlns:a16="http://schemas.microsoft.com/office/drawing/2014/main" id="{00000000-0008-0000-2000-000097144300}"/>
              </a:ext>
            </a:extLst>
          </xdr:cNvPr>
          <xdr:cNvSpPr>
            <a:spLocks noChangeShapeType="1"/>
          </xdr:cNvSpPr>
        </xdr:nvSpPr>
        <xdr:spPr bwMode="auto">
          <a:xfrm>
            <a:off x="32045909" y="6407627"/>
            <a:ext cx="13630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6184" name="Line 184">
            <a:extLst>
              <a:ext uri="{FF2B5EF4-FFF2-40B4-BE49-F238E27FC236}">
                <a16:creationId xmlns="" xmlns:a16="http://schemas.microsoft.com/office/drawing/2014/main" id="{00000000-0008-0000-2000-000098144300}"/>
              </a:ext>
            </a:extLst>
          </xdr:cNvPr>
          <xdr:cNvSpPr>
            <a:spLocks noChangeShapeType="1"/>
          </xdr:cNvSpPr>
        </xdr:nvSpPr>
        <xdr:spPr bwMode="auto">
          <a:xfrm>
            <a:off x="32039228" y="6863724"/>
            <a:ext cx="22316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6185" name="Line 185">
            <a:extLst>
              <a:ext uri="{FF2B5EF4-FFF2-40B4-BE49-F238E27FC236}">
                <a16:creationId xmlns="" xmlns:a16="http://schemas.microsoft.com/office/drawing/2014/main" id="{00000000-0008-0000-2000-00009914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45909" y="7254664"/>
            <a:ext cx="306014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6186" name="Line 186">
            <a:extLst>
              <a:ext uri="{FF2B5EF4-FFF2-40B4-BE49-F238E27FC236}">
                <a16:creationId xmlns="" xmlns:a16="http://schemas.microsoft.com/office/drawing/2014/main" id="{00000000-0008-0000-2000-00009A144300}"/>
              </a:ext>
            </a:extLst>
          </xdr:cNvPr>
          <xdr:cNvSpPr>
            <a:spLocks noChangeShapeType="1"/>
          </xdr:cNvSpPr>
        </xdr:nvSpPr>
        <xdr:spPr bwMode="auto">
          <a:xfrm>
            <a:off x="32520299" y="4964873"/>
            <a:ext cx="0" cy="115420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6187" name="Line 187">
            <a:extLst>
              <a:ext uri="{FF2B5EF4-FFF2-40B4-BE49-F238E27FC236}">
                <a16:creationId xmlns="" xmlns:a16="http://schemas.microsoft.com/office/drawing/2014/main" id="{00000000-0008-0000-2000-00009B144300}"/>
              </a:ext>
            </a:extLst>
          </xdr:cNvPr>
          <xdr:cNvSpPr>
            <a:spLocks noChangeShapeType="1"/>
          </xdr:cNvSpPr>
        </xdr:nvSpPr>
        <xdr:spPr bwMode="auto">
          <a:xfrm>
            <a:off x="32065954" y="5030029"/>
            <a:ext cx="414255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6188" name="Line 188">
            <a:extLst>
              <a:ext uri="{FF2B5EF4-FFF2-40B4-BE49-F238E27FC236}">
                <a16:creationId xmlns="" xmlns:a16="http://schemas.microsoft.com/office/drawing/2014/main" id="{00000000-0008-0000-2000-00009C144300}"/>
              </a:ext>
            </a:extLst>
          </xdr:cNvPr>
          <xdr:cNvSpPr>
            <a:spLocks noChangeShapeType="1"/>
          </xdr:cNvSpPr>
        </xdr:nvSpPr>
        <xdr:spPr bwMode="auto">
          <a:xfrm>
            <a:off x="33408943" y="4955565"/>
            <a:ext cx="0" cy="149860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6189" name="Line 189">
            <a:extLst>
              <a:ext uri="{FF2B5EF4-FFF2-40B4-BE49-F238E27FC236}">
                <a16:creationId xmlns="" xmlns:a16="http://schemas.microsoft.com/office/drawing/2014/main" id="{00000000-0008-0000-2000-00009D144300}"/>
              </a:ext>
            </a:extLst>
          </xdr:cNvPr>
          <xdr:cNvSpPr>
            <a:spLocks noChangeShapeType="1"/>
          </xdr:cNvSpPr>
        </xdr:nvSpPr>
        <xdr:spPr bwMode="auto">
          <a:xfrm>
            <a:off x="32841012" y="5039338"/>
            <a:ext cx="88864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6190" name="Line 191">
            <a:extLst>
              <a:ext uri="{FF2B5EF4-FFF2-40B4-BE49-F238E27FC236}">
                <a16:creationId xmlns="" xmlns:a16="http://schemas.microsoft.com/office/drawing/2014/main" id="{00000000-0008-0000-2000-00009E144300}"/>
              </a:ext>
            </a:extLst>
          </xdr:cNvPr>
          <xdr:cNvSpPr>
            <a:spLocks noChangeShapeType="1"/>
          </xdr:cNvSpPr>
        </xdr:nvSpPr>
        <xdr:spPr bwMode="auto">
          <a:xfrm>
            <a:off x="34241720" y="5042775"/>
            <a:ext cx="0" cy="209917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6191" name="Rectangle 196">
            <a:extLst>
              <a:ext uri="{FF2B5EF4-FFF2-40B4-BE49-F238E27FC236}">
                <a16:creationId xmlns="" xmlns:a16="http://schemas.microsoft.com/office/drawing/2014/main" id="{00000000-0008-0000-2000-00009F144300}"/>
              </a:ext>
            </a:extLst>
          </xdr:cNvPr>
          <xdr:cNvSpPr>
            <a:spLocks noChangeArrowheads="1"/>
          </xdr:cNvSpPr>
        </xdr:nvSpPr>
        <xdr:spPr bwMode="auto">
          <a:xfrm>
            <a:off x="32039227" y="4918332"/>
            <a:ext cx="6314051" cy="363016"/>
          </a:xfrm>
          <a:prstGeom prst="rect">
            <a:avLst/>
          </a:prstGeom>
          <a:noFill/>
          <a:ln w="158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96192" name="Line 197">
            <a:extLst>
              <a:ext uri="{FF2B5EF4-FFF2-40B4-BE49-F238E27FC236}">
                <a16:creationId xmlns="" xmlns:a16="http://schemas.microsoft.com/office/drawing/2014/main" id="{00000000-0008-0000-2000-0000A0144300}"/>
              </a:ext>
            </a:extLst>
          </xdr:cNvPr>
          <xdr:cNvSpPr>
            <a:spLocks noChangeShapeType="1"/>
          </xdr:cNvSpPr>
        </xdr:nvSpPr>
        <xdr:spPr bwMode="auto">
          <a:xfrm>
            <a:off x="38039246" y="4955565"/>
            <a:ext cx="0" cy="398386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6193" name="Line 199">
            <a:extLst>
              <a:ext uri="{FF2B5EF4-FFF2-40B4-BE49-F238E27FC236}">
                <a16:creationId xmlns="" xmlns:a16="http://schemas.microsoft.com/office/drawing/2014/main" id="{00000000-0008-0000-2000-0000A11443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032547" y="8939429"/>
            <a:ext cx="600001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6194" name="Line 201">
            <a:extLst>
              <a:ext uri="{FF2B5EF4-FFF2-40B4-BE49-F238E27FC236}">
                <a16:creationId xmlns="" xmlns:a16="http://schemas.microsoft.com/office/drawing/2014/main" id="{00000000-0008-0000-2000-0000A214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5082562" y="5032371"/>
            <a:ext cx="0" cy="2362448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6195" name="Line 202">
            <a:extLst>
              <a:ext uri="{FF2B5EF4-FFF2-40B4-BE49-F238E27FC236}">
                <a16:creationId xmlns="" xmlns:a16="http://schemas.microsoft.com/office/drawing/2014/main" id="{00000000-0008-0000-2000-0000A314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7758028" y="5032371"/>
            <a:ext cx="8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6196" name="Line 203">
            <a:extLst>
              <a:ext uri="{FF2B5EF4-FFF2-40B4-BE49-F238E27FC236}">
                <a16:creationId xmlns="" xmlns:a16="http://schemas.microsoft.com/office/drawing/2014/main" id="{00000000-0008-0000-2000-0000A414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7692145"/>
            <a:ext cx="388865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6197" name="Line 204">
            <a:extLst>
              <a:ext uri="{FF2B5EF4-FFF2-40B4-BE49-F238E27FC236}">
                <a16:creationId xmlns="" xmlns:a16="http://schemas.microsoft.com/office/drawing/2014/main" id="{00000000-0008-0000-2000-0000A514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8148242"/>
            <a:ext cx="469711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6198" name="Line 205">
            <a:extLst>
              <a:ext uri="{FF2B5EF4-FFF2-40B4-BE49-F238E27FC236}">
                <a16:creationId xmlns="" xmlns:a16="http://schemas.microsoft.com/office/drawing/2014/main" id="{00000000-0008-0000-2000-0000A61443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8529873"/>
            <a:ext cx="5405362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96199" name="Line 207">
            <a:extLst>
              <a:ext uri="{FF2B5EF4-FFF2-40B4-BE49-F238E27FC236}">
                <a16:creationId xmlns="" xmlns:a16="http://schemas.microsoft.com/office/drawing/2014/main" id="{00000000-0008-0000-2000-0000A7144300}"/>
              </a:ext>
            </a:extLst>
          </xdr:cNvPr>
          <xdr:cNvSpPr>
            <a:spLocks noChangeShapeType="1"/>
          </xdr:cNvSpPr>
        </xdr:nvSpPr>
        <xdr:spPr bwMode="auto">
          <a:xfrm>
            <a:off x="35903589" y="4964873"/>
            <a:ext cx="0" cy="291533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6200" name="Line 210">
            <a:extLst>
              <a:ext uri="{FF2B5EF4-FFF2-40B4-BE49-F238E27FC236}">
                <a16:creationId xmlns="" xmlns:a16="http://schemas.microsoft.com/office/drawing/2014/main" id="{00000000-0008-0000-2000-0000A8144300}"/>
              </a:ext>
            </a:extLst>
          </xdr:cNvPr>
          <xdr:cNvSpPr>
            <a:spLocks noChangeShapeType="1"/>
          </xdr:cNvSpPr>
        </xdr:nvSpPr>
        <xdr:spPr bwMode="auto">
          <a:xfrm>
            <a:off x="37410345" y="4985564"/>
            <a:ext cx="0" cy="3620849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6201" name="Line 212">
            <a:extLst>
              <a:ext uri="{FF2B5EF4-FFF2-40B4-BE49-F238E27FC236}">
                <a16:creationId xmlns="" xmlns:a16="http://schemas.microsoft.com/office/drawing/2014/main" id="{00000000-0008-0000-2000-0000A9144300}"/>
              </a:ext>
            </a:extLst>
          </xdr:cNvPr>
          <xdr:cNvSpPr>
            <a:spLocks noChangeShapeType="1"/>
          </xdr:cNvSpPr>
        </xdr:nvSpPr>
        <xdr:spPr bwMode="auto">
          <a:xfrm>
            <a:off x="37945705" y="5039338"/>
            <a:ext cx="17372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96202" name="Line 210">
            <a:extLst>
              <a:ext uri="{FF2B5EF4-FFF2-40B4-BE49-F238E27FC236}">
                <a16:creationId xmlns="" xmlns:a16="http://schemas.microsoft.com/office/drawing/2014/main" id="{00000000-0008-0000-2000-0000AA144300}"/>
              </a:ext>
            </a:extLst>
          </xdr:cNvPr>
          <xdr:cNvSpPr>
            <a:spLocks noChangeShapeType="1"/>
          </xdr:cNvSpPr>
        </xdr:nvSpPr>
        <xdr:spPr bwMode="auto">
          <a:xfrm>
            <a:off x="36723957" y="4916090"/>
            <a:ext cx="0" cy="3347106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12</xdr:col>
      <xdr:colOff>209550</xdr:colOff>
      <xdr:row>19</xdr:row>
      <xdr:rowOff>142875</xdr:rowOff>
    </xdr:from>
    <xdr:to>
      <xdr:col>22</xdr:col>
      <xdr:colOff>0</xdr:colOff>
      <xdr:row>31</xdr:row>
      <xdr:rowOff>161925</xdr:rowOff>
    </xdr:to>
    <xdr:pic>
      <xdr:nvPicPr>
        <xdr:cNvPr id="4396179" name="Picture 1">
          <a:extLst>
            <a:ext uri="{FF2B5EF4-FFF2-40B4-BE49-F238E27FC236}">
              <a16:creationId xmlns="" xmlns:a16="http://schemas.microsoft.com/office/drawing/2014/main" id="{00000000-0008-0000-2000-000093144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2096750" y="7143750"/>
          <a:ext cx="7734300" cy="3771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2</xdr:col>
      <xdr:colOff>723899</xdr:colOff>
      <xdr:row>17</xdr:row>
      <xdr:rowOff>266700</xdr:rowOff>
    </xdr:from>
    <xdr:ext cx="13412598" cy="5169155"/>
    <xdr:sp macro="" textlink="">
      <xdr:nvSpPr>
        <xdr:cNvPr id="210" name="Rettangolo 209">
          <a:extLst>
            <a:ext uri="{FF2B5EF4-FFF2-40B4-BE49-F238E27FC236}">
              <a16:creationId xmlns="" xmlns:a16="http://schemas.microsoft.com/office/drawing/2014/main" id="{00000000-0008-0000-2000-0000D2000000}"/>
            </a:ext>
          </a:extLst>
        </xdr:cNvPr>
        <xdr:cNvSpPr/>
      </xdr:nvSpPr>
      <xdr:spPr>
        <a:xfrm rot="20147104">
          <a:off x="3352799" y="6448425"/>
          <a:ext cx="13412598" cy="516915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it-IT" sz="23900" b="1" cap="none" spc="30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</a:rPr>
            <a:t>FOGLIO</a:t>
          </a:r>
          <a:r>
            <a:rPr lang="it-IT" sz="23900" b="1" cap="none" spc="300" baseline="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</a:rPr>
            <a:t> DA CREARE</a:t>
          </a:r>
          <a:endParaRPr lang="it-IT" sz="23900" b="1" cap="none" spc="300">
            <a:ln w="11430" cmpd="sng">
              <a:solidFill>
                <a:schemeClr val="accent1">
                  <a:tint val="10000"/>
                </a:schemeClr>
              </a:solidFill>
              <a:prstDash val="solid"/>
              <a:miter lim="800000"/>
            </a:ln>
            <a:gradFill>
              <a:gsLst>
                <a:gs pos="10000">
                  <a:schemeClr val="accent1">
                    <a:tint val="83000"/>
                    <a:shade val="100000"/>
                    <a:satMod val="200000"/>
                  </a:schemeClr>
                </a:gs>
                <a:gs pos="75000">
                  <a:schemeClr val="accent1">
                    <a:tint val="100000"/>
                    <a:shade val="50000"/>
                    <a:satMod val="150000"/>
                  </a:schemeClr>
                </a:gs>
              </a:gsLst>
              <a:lin ang="5400000"/>
            </a:gradFill>
            <a:effectLst>
              <a:glow rad="45500">
                <a:schemeClr val="accent1">
                  <a:satMod val="220000"/>
                  <a:alpha val="35000"/>
                </a:schemeClr>
              </a:glow>
            </a:effectLst>
          </a:endParaRPr>
        </a:p>
      </xdr:txBody>
    </xdr:sp>
    <xdr:clientData/>
  </xdr:one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81953" name="Line 1">
          <a:extLst>
            <a:ext uri="{FF2B5EF4-FFF2-40B4-BE49-F238E27FC236}">
              <a16:creationId xmlns="" xmlns:a16="http://schemas.microsoft.com/office/drawing/2014/main" id="{00000000-0008-0000-2100-000001DD4200}"/>
            </a:ext>
          </a:extLst>
        </xdr:cNvPr>
        <xdr:cNvSpPr>
          <a:spLocks noChangeShapeType="1"/>
        </xdr:cNvSpPr>
      </xdr:nvSpPr>
      <xdr:spPr bwMode="auto">
        <a:xfrm flipV="1"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81954" name="Line 2">
          <a:extLst>
            <a:ext uri="{FF2B5EF4-FFF2-40B4-BE49-F238E27FC236}">
              <a16:creationId xmlns="" xmlns:a16="http://schemas.microsoft.com/office/drawing/2014/main" id="{00000000-0008-0000-2100-000002DD4200}"/>
            </a:ext>
          </a:extLst>
        </xdr:cNvPr>
        <xdr:cNvSpPr>
          <a:spLocks noChangeShapeType="1"/>
        </xdr:cNvSpPr>
      </xdr:nvSpPr>
      <xdr:spPr bwMode="auto">
        <a:xfrm flipV="1">
          <a:off x="70580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676275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81955" name="Line 3">
          <a:extLst>
            <a:ext uri="{FF2B5EF4-FFF2-40B4-BE49-F238E27FC236}">
              <a16:creationId xmlns="" xmlns:a16="http://schemas.microsoft.com/office/drawing/2014/main" id="{00000000-0008-0000-2100-000003DD42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442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95250</xdr:colOff>
      <xdr:row>0</xdr:row>
      <xdr:rowOff>0</xdr:rowOff>
    </xdr:from>
    <xdr:to>
      <xdr:col>6</xdr:col>
      <xdr:colOff>200025</xdr:colOff>
      <xdr:row>0</xdr:row>
      <xdr:rowOff>0</xdr:rowOff>
    </xdr:to>
    <xdr:sp macro="" textlink="">
      <xdr:nvSpPr>
        <xdr:cNvPr id="4381956" name="Line 4">
          <a:extLst>
            <a:ext uri="{FF2B5EF4-FFF2-40B4-BE49-F238E27FC236}">
              <a16:creationId xmlns="" xmlns:a16="http://schemas.microsoft.com/office/drawing/2014/main" id="{00000000-0008-0000-2100-000004DD4200}"/>
            </a:ext>
          </a:extLst>
        </xdr:cNvPr>
        <xdr:cNvSpPr>
          <a:spLocks noChangeShapeType="1"/>
        </xdr:cNvSpPr>
      </xdr:nvSpPr>
      <xdr:spPr bwMode="auto">
        <a:xfrm>
          <a:off x="7153275" y="0"/>
          <a:ext cx="1104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104775</xdr:colOff>
      <xdr:row>0</xdr:row>
      <xdr:rowOff>0</xdr:rowOff>
    </xdr:from>
    <xdr:to>
      <xdr:col>6</xdr:col>
      <xdr:colOff>104775</xdr:colOff>
      <xdr:row>0</xdr:row>
      <xdr:rowOff>0</xdr:rowOff>
    </xdr:to>
    <xdr:sp macro="" textlink="">
      <xdr:nvSpPr>
        <xdr:cNvPr id="4381957" name="Line 5">
          <a:extLst>
            <a:ext uri="{FF2B5EF4-FFF2-40B4-BE49-F238E27FC236}">
              <a16:creationId xmlns="" xmlns:a16="http://schemas.microsoft.com/office/drawing/2014/main" id="{00000000-0008-0000-2100-000005DD4200}"/>
            </a:ext>
          </a:extLst>
        </xdr:cNvPr>
        <xdr:cNvSpPr>
          <a:spLocks noChangeShapeType="1"/>
        </xdr:cNvSpPr>
      </xdr:nvSpPr>
      <xdr:spPr bwMode="auto">
        <a:xfrm>
          <a:off x="81629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0</xdr:row>
      <xdr:rowOff>0</xdr:rowOff>
    </xdr:from>
    <xdr:to>
      <xdr:col>6</xdr:col>
      <xdr:colOff>114300</xdr:colOff>
      <xdr:row>0</xdr:row>
      <xdr:rowOff>0</xdr:rowOff>
    </xdr:to>
    <xdr:sp macro="" textlink="">
      <xdr:nvSpPr>
        <xdr:cNvPr id="4381958" name="Line 6">
          <a:extLst>
            <a:ext uri="{FF2B5EF4-FFF2-40B4-BE49-F238E27FC236}">
              <a16:creationId xmlns="" xmlns:a16="http://schemas.microsoft.com/office/drawing/2014/main" id="{00000000-0008-0000-2100-000006DD4200}"/>
            </a:ext>
          </a:extLst>
        </xdr:cNvPr>
        <xdr:cNvSpPr>
          <a:spLocks noChangeShapeType="1"/>
        </xdr:cNvSpPr>
      </xdr:nvSpPr>
      <xdr:spPr bwMode="auto">
        <a:xfrm>
          <a:off x="81724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85725</xdr:colOff>
      <xdr:row>0</xdr:row>
      <xdr:rowOff>0</xdr:rowOff>
    </xdr:from>
    <xdr:to>
      <xdr:col>6</xdr:col>
      <xdr:colOff>228600</xdr:colOff>
      <xdr:row>0</xdr:row>
      <xdr:rowOff>0</xdr:rowOff>
    </xdr:to>
    <xdr:sp macro="" textlink="">
      <xdr:nvSpPr>
        <xdr:cNvPr id="4381959" name="Line 7">
          <a:extLst>
            <a:ext uri="{FF2B5EF4-FFF2-40B4-BE49-F238E27FC236}">
              <a16:creationId xmlns="" xmlns:a16="http://schemas.microsoft.com/office/drawing/2014/main" id="{00000000-0008-0000-2100-000007DD4200}"/>
            </a:ext>
          </a:extLst>
        </xdr:cNvPr>
        <xdr:cNvSpPr>
          <a:spLocks noChangeShapeType="1"/>
        </xdr:cNvSpPr>
      </xdr:nvSpPr>
      <xdr:spPr bwMode="auto">
        <a:xfrm>
          <a:off x="7143750" y="0"/>
          <a:ext cx="1143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533400</xdr:colOff>
      <xdr:row>0</xdr:row>
      <xdr:rowOff>0</xdr:rowOff>
    </xdr:from>
    <xdr:to>
      <xdr:col>12</xdr:col>
      <xdr:colOff>123825</xdr:colOff>
      <xdr:row>0</xdr:row>
      <xdr:rowOff>0</xdr:rowOff>
    </xdr:to>
    <xdr:sp macro="" textlink="">
      <xdr:nvSpPr>
        <xdr:cNvPr id="4381960" name="Line 8">
          <a:extLst>
            <a:ext uri="{FF2B5EF4-FFF2-40B4-BE49-F238E27FC236}">
              <a16:creationId xmlns="" xmlns:a16="http://schemas.microsoft.com/office/drawing/2014/main" id="{00000000-0008-0000-2100-000008DD4200}"/>
            </a:ext>
          </a:extLst>
        </xdr:cNvPr>
        <xdr:cNvSpPr>
          <a:spLocks noChangeShapeType="1"/>
        </xdr:cNvSpPr>
      </xdr:nvSpPr>
      <xdr:spPr bwMode="auto">
        <a:xfrm>
          <a:off x="11887200" y="0"/>
          <a:ext cx="12382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12</xdr:col>
      <xdr:colOff>238125</xdr:colOff>
      <xdr:row>0</xdr:row>
      <xdr:rowOff>0</xdr:rowOff>
    </xdr:to>
    <xdr:sp macro="" textlink="">
      <xdr:nvSpPr>
        <xdr:cNvPr id="4381961" name="Line 9">
          <a:extLst>
            <a:ext uri="{FF2B5EF4-FFF2-40B4-BE49-F238E27FC236}">
              <a16:creationId xmlns="" xmlns:a16="http://schemas.microsoft.com/office/drawing/2014/main" id="{00000000-0008-0000-2100-000009DD4200}"/>
            </a:ext>
          </a:extLst>
        </xdr:cNvPr>
        <xdr:cNvSpPr>
          <a:spLocks noChangeShapeType="1"/>
        </xdr:cNvSpPr>
      </xdr:nvSpPr>
      <xdr:spPr bwMode="auto">
        <a:xfrm flipV="1">
          <a:off x="120110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238125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1962" name="Line 10">
          <a:extLst>
            <a:ext uri="{FF2B5EF4-FFF2-40B4-BE49-F238E27FC236}">
              <a16:creationId xmlns="" xmlns:a16="http://schemas.microsoft.com/office/drawing/2014/main" id="{00000000-0008-0000-2100-00000ADD4200}"/>
            </a:ext>
          </a:extLst>
        </xdr:cNvPr>
        <xdr:cNvSpPr>
          <a:spLocks noChangeShapeType="1"/>
        </xdr:cNvSpPr>
      </xdr:nvSpPr>
      <xdr:spPr bwMode="auto">
        <a:xfrm>
          <a:off x="12125325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361950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1963" name="Line 11">
          <a:extLst>
            <a:ext uri="{FF2B5EF4-FFF2-40B4-BE49-F238E27FC236}">
              <a16:creationId xmlns="" xmlns:a16="http://schemas.microsoft.com/office/drawing/2014/main" id="{00000000-0008-0000-2100-00000BDD4200}"/>
            </a:ext>
          </a:extLst>
        </xdr:cNvPr>
        <xdr:cNvSpPr>
          <a:spLocks noChangeShapeType="1"/>
        </xdr:cNvSpPr>
      </xdr:nvSpPr>
      <xdr:spPr bwMode="auto">
        <a:xfrm flipV="1"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466725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1964" name="Line 12">
          <a:extLst>
            <a:ext uri="{FF2B5EF4-FFF2-40B4-BE49-F238E27FC236}">
              <a16:creationId xmlns="" xmlns:a16="http://schemas.microsoft.com/office/drawing/2014/main" id="{00000000-0008-0000-2100-00000CDD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581025</xdr:colOff>
      <xdr:row>0</xdr:row>
      <xdr:rowOff>0</xdr:rowOff>
    </xdr:from>
    <xdr:to>
      <xdr:col>13</xdr:col>
      <xdr:colOff>0</xdr:colOff>
      <xdr:row>0</xdr:row>
      <xdr:rowOff>0</xdr:rowOff>
    </xdr:to>
    <xdr:sp macro="" textlink="">
      <xdr:nvSpPr>
        <xdr:cNvPr id="4381965" name="Line 13">
          <a:extLst>
            <a:ext uri="{FF2B5EF4-FFF2-40B4-BE49-F238E27FC236}">
              <a16:creationId xmlns="" xmlns:a16="http://schemas.microsoft.com/office/drawing/2014/main" id="{00000000-0008-0000-2100-00000DDD4200}"/>
            </a:ext>
          </a:extLst>
        </xdr:cNvPr>
        <xdr:cNvSpPr>
          <a:spLocks noChangeShapeType="1"/>
        </xdr:cNvSpPr>
      </xdr:nvSpPr>
      <xdr:spPr bwMode="auto">
        <a:xfrm flipV="1"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0</xdr:row>
      <xdr:rowOff>0</xdr:rowOff>
    </xdr:from>
    <xdr:to>
      <xdr:col>13</xdr:col>
      <xdr:colOff>123825</xdr:colOff>
      <xdr:row>0</xdr:row>
      <xdr:rowOff>0</xdr:rowOff>
    </xdr:to>
    <xdr:sp macro="" textlink="">
      <xdr:nvSpPr>
        <xdr:cNvPr id="4381966" name="Line 14">
          <a:extLst>
            <a:ext uri="{FF2B5EF4-FFF2-40B4-BE49-F238E27FC236}">
              <a16:creationId xmlns="" xmlns:a16="http://schemas.microsoft.com/office/drawing/2014/main" id="{00000000-0008-0000-2100-00000EDD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123825</xdr:colOff>
      <xdr:row>0</xdr:row>
      <xdr:rowOff>0</xdr:rowOff>
    </xdr:from>
    <xdr:to>
      <xdr:col>13</xdr:col>
      <xdr:colOff>238125</xdr:colOff>
      <xdr:row>0</xdr:row>
      <xdr:rowOff>0</xdr:rowOff>
    </xdr:to>
    <xdr:sp macro="" textlink="">
      <xdr:nvSpPr>
        <xdr:cNvPr id="4381967" name="Line 15">
          <a:extLst>
            <a:ext uri="{FF2B5EF4-FFF2-40B4-BE49-F238E27FC236}">
              <a16:creationId xmlns="" xmlns:a16="http://schemas.microsoft.com/office/drawing/2014/main" id="{00000000-0008-0000-2100-00000FDD4200}"/>
            </a:ext>
          </a:extLst>
        </xdr:cNvPr>
        <xdr:cNvSpPr>
          <a:spLocks noChangeShapeType="1"/>
        </xdr:cNvSpPr>
      </xdr:nvSpPr>
      <xdr:spPr bwMode="auto">
        <a:xfrm flipV="1">
          <a:off x="122586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238125</xdr:colOff>
      <xdr:row>0</xdr:row>
      <xdr:rowOff>0</xdr:rowOff>
    </xdr:from>
    <xdr:to>
      <xdr:col>13</xdr:col>
      <xdr:colOff>361950</xdr:colOff>
      <xdr:row>0</xdr:row>
      <xdr:rowOff>0</xdr:rowOff>
    </xdr:to>
    <xdr:sp macro="" textlink="">
      <xdr:nvSpPr>
        <xdr:cNvPr id="4381968" name="Line 16">
          <a:extLst>
            <a:ext uri="{FF2B5EF4-FFF2-40B4-BE49-F238E27FC236}">
              <a16:creationId xmlns="" xmlns:a16="http://schemas.microsoft.com/office/drawing/2014/main" id="{00000000-0008-0000-2100-000010DD4200}"/>
            </a:ext>
          </a:extLst>
        </xdr:cNvPr>
        <xdr:cNvSpPr>
          <a:spLocks noChangeShapeType="1"/>
        </xdr:cNvSpPr>
      </xdr:nvSpPr>
      <xdr:spPr bwMode="auto">
        <a:xfrm>
          <a:off x="123729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361950</xdr:colOff>
      <xdr:row>0</xdr:row>
      <xdr:rowOff>0</xdr:rowOff>
    </xdr:from>
    <xdr:to>
      <xdr:col>13</xdr:col>
      <xdr:colOff>476250</xdr:colOff>
      <xdr:row>0</xdr:row>
      <xdr:rowOff>0</xdr:rowOff>
    </xdr:to>
    <xdr:sp macro="" textlink="">
      <xdr:nvSpPr>
        <xdr:cNvPr id="4381969" name="Line 17">
          <a:extLst>
            <a:ext uri="{FF2B5EF4-FFF2-40B4-BE49-F238E27FC236}">
              <a16:creationId xmlns="" xmlns:a16="http://schemas.microsoft.com/office/drawing/2014/main" id="{00000000-0008-0000-2100-000011DD4200}"/>
            </a:ext>
          </a:extLst>
        </xdr:cNvPr>
        <xdr:cNvSpPr>
          <a:spLocks noChangeShapeType="1"/>
        </xdr:cNvSpPr>
      </xdr:nvSpPr>
      <xdr:spPr bwMode="auto">
        <a:xfrm flipV="1">
          <a:off x="1249680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476250</xdr:colOff>
      <xdr:row>0</xdr:row>
      <xdr:rowOff>0</xdr:rowOff>
    </xdr:from>
    <xdr:to>
      <xdr:col>13</xdr:col>
      <xdr:colOff>609600</xdr:colOff>
      <xdr:row>0</xdr:row>
      <xdr:rowOff>0</xdr:rowOff>
    </xdr:to>
    <xdr:sp macro="" textlink="">
      <xdr:nvSpPr>
        <xdr:cNvPr id="4381970" name="Line 18">
          <a:extLst>
            <a:ext uri="{FF2B5EF4-FFF2-40B4-BE49-F238E27FC236}">
              <a16:creationId xmlns="" xmlns:a16="http://schemas.microsoft.com/office/drawing/2014/main" id="{00000000-0008-0000-2100-000012DD4200}"/>
            </a:ext>
          </a:extLst>
        </xdr:cNvPr>
        <xdr:cNvSpPr>
          <a:spLocks noChangeShapeType="1"/>
        </xdr:cNvSpPr>
      </xdr:nvSpPr>
      <xdr:spPr bwMode="auto">
        <a:xfrm>
          <a:off x="12611100" y="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14</xdr:col>
      <xdr:colOff>28575</xdr:colOff>
      <xdr:row>0</xdr:row>
      <xdr:rowOff>0</xdr:rowOff>
    </xdr:to>
    <xdr:sp macro="" textlink="">
      <xdr:nvSpPr>
        <xdr:cNvPr id="4381971" name="Line 19">
          <a:extLst>
            <a:ext uri="{FF2B5EF4-FFF2-40B4-BE49-F238E27FC236}">
              <a16:creationId xmlns="" xmlns:a16="http://schemas.microsoft.com/office/drawing/2014/main" id="{00000000-0008-0000-2100-000013DD4200}"/>
            </a:ext>
          </a:extLst>
        </xdr:cNvPr>
        <xdr:cNvSpPr>
          <a:spLocks noChangeShapeType="1"/>
        </xdr:cNvSpPr>
      </xdr:nvSpPr>
      <xdr:spPr bwMode="auto">
        <a:xfrm flipV="1">
          <a:off x="12744450" y="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28575</xdr:colOff>
      <xdr:row>0</xdr:row>
      <xdr:rowOff>0</xdr:rowOff>
    </xdr:from>
    <xdr:to>
      <xdr:col>14</xdr:col>
      <xdr:colOff>152400</xdr:colOff>
      <xdr:row>0</xdr:row>
      <xdr:rowOff>0</xdr:rowOff>
    </xdr:to>
    <xdr:sp macro="" textlink="">
      <xdr:nvSpPr>
        <xdr:cNvPr id="4381972" name="Line 20">
          <a:extLst>
            <a:ext uri="{FF2B5EF4-FFF2-40B4-BE49-F238E27FC236}">
              <a16:creationId xmlns="" xmlns:a16="http://schemas.microsoft.com/office/drawing/2014/main" id="{00000000-0008-0000-2100-000014DD4200}"/>
            </a:ext>
          </a:extLst>
        </xdr:cNvPr>
        <xdr:cNvSpPr>
          <a:spLocks noChangeShapeType="1"/>
        </xdr:cNvSpPr>
      </xdr:nvSpPr>
      <xdr:spPr bwMode="auto">
        <a:xfrm>
          <a:off x="133540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152400</xdr:colOff>
      <xdr:row>0</xdr:row>
      <xdr:rowOff>0</xdr:rowOff>
    </xdr:from>
    <xdr:to>
      <xdr:col>14</xdr:col>
      <xdr:colOff>266700</xdr:colOff>
      <xdr:row>0</xdr:row>
      <xdr:rowOff>0</xdr:rowOff>
    </xdr:to>
    <xdr:sp macro="" textlink="">
      <xdr:nvSpPr>
        <xdr:cNvPr id="4381973" name="Line 21">
          <a:extLst>
            <a:ext uri="{FF2B5EF4-FFF2-40B4-BE49-F238E27FC236}">
              <a16:creationId xmlns="" xmlns:a16="http://schemas.microsoft.com/office/drawing/2014/main" id="{00000000-0008-0000-2100-000015DD4200}"/>
            </a:ext>
          </a:extLst>
        </xdr:cNvPr>
        <xdr:cNvSpPr>
          <a:spLocks noChangeShapeType="1"/>
        </xdr:cNvSpPr>
      </xdr:nvSpPr>
      <xdr:spPr bwMode="auto">
        <a:xfrm flipV="1">
          <a:off x="134778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266700</xdr:colOff>
      <xdr:row>0</xdr:row>
      <xdr:rowOff>0</xdr:rowOff>
    </xdr:from>
    <xdr:to>
      <xdr:col>14</xdr:col>
      <xdr:colOff>381000</xdr:colOff>
      <xdr:row>0</xdr:row>
      <xdr:rowOff>0</xdr:rowOff>
    </xdr:to>
    <xdr:sp macro="" textlink="">
      <xdr:nvSpPr>
        <xdr:cNvPr id="4381974" name="Line 22">
          <a:extLst>
            <a:ext uri="{FF2B5EF4-FFF2-40B4-BE49-F238E27FC236}">
              <a16:creationId xmlns="" xmlns:a16="http://schemas.microsoft.com/office/drawing/2014/main" id="{00000000-0008-0000-2100-000016DD4200}"/>
            </a:ext>
          </a:extLst>
        </xdr:cNvPr>
        <xdr:cNvSpPr>
          <a:spLocks noChangeShapeType="1"/>
        </xdr:cNvSpPr>
      </xdr:nvSpPr>
      <xdr:spPr bwMode="auto">
        <a:xfrm>
          <a:off x="135921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381000</xdr:colOff>
      <xdr:row>0</xdr:row>
      <xdr:rowOff>0</xdr:rowOff>
    </xdr:from>
    <xdr:to>
      <xdr:col>14</xdr:col>
      <xdr:colOff>495300</xdr:colOff>
      <xdr:row>0</xdr:row>
      <xdr:rowOff>0</xdr:rowOff>
    </xdr:to>
    <xdr:sp macro="" textlink="">
      <xdr:nvSpPr>
        <xdr:cNvPr id="4381975" name="Line 23">
          <a:extLst>
            <a:ext uri="{FF2B5EF4-FFF2-40B4-BE49-F238E27FC236}">
              <a16:creationId xmlns="" xmlns:a16="http://schemas.microsoft.com/office/drawing/2014/main" id="{00000000-0008-0000-2100-000017DD4200}"/>
            </a:ext>
          </a:extLst>
        </xdr:cNvPr>
        <xdr:cNvSpPr>
          <a:spLocks noChangeShapeType="1"/>
        </xdr:cNvSpPr>
      </xdr:nvSpPr>
      <xdr:spPr bwMode="auto">
        <a:xfrm flipV="1">
          <a:off x="137064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495300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81976" name="Line 24">
          <a:extLst>
            <a:ext uri="{FF2B5EF4-FFF2-40B4-BE49-F238E27FC236}">
              <a16:creationId xmlns="" xmlns:a16="http://schemas.microsoft.com/office/drawing/2014/main" id="{00000000-0008-0000-2100-000018DD4200}"/>
            </a:ext>
          </a:extLst>
        </xdr:cNvPr>
        <xdr:cNvSpPr>
          <a:spLocks noChangeShapeType="1"/>
        </xdr:cNvSpPr>
      </xdr:nvSpPr>
      <xdr:spPr bwMode="auto">
        <a:xfrm>
          <a:off x="138207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81977" name="Line 25">
          <a:extLst>
            <a:ext uri="{FF2B5EF4-FFF2-40B4-BE49-F238E27FC236}">
              <a16:creationId xmlns="" xmlns:a16="http://schemas.microsoft.com/office/drawing/2014/main" id="{00000000-0008-0000-2100-000019DD42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66675</xdr:colOff>
      <xdr:row>0</xdr:row>
      <xdr:rowOff>0</xdr:rowOff>
    </xdr:to>
    <xdr:sp macro="" textlink="">
      <xdr:nvSpPr>
        <xdr:cNvPr id="4381978" name="Line 26">
          <a:extLst>
            <a:ext uri="{FF2B5EF4-FFF2-40B4-BE49-F238E27FC236}">
              <a16:creationId xmlns="" xmlns:a16="http://schemas.microsoft.com/office/drawing/2014/main" id="{00000000-0008-0000-2100-00001ADD4200}"/>
            </a:ext>
          </a:extLst>
        </xdr:cNvPr>
        <xdr:cNvSpPr>
          <a:spLocks noChangeShapeType="1"/>
        </xdr:cNvSpPr>
      </xdr:nvSpPr>
      <xdr:spPr bwMode="auto">
        <a:xfrm flipV="1">
          <a:off x="11953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81979" name="Line 27">
          <a:extLst>
            <a:ext uri="{FF2B5EF4-FFF2-40B4-BE49-F238E27FC236}">
              <a16:creationId xmlns="" xmlns:a16="http://schemas.microsoft.com/office/drawing/2014/main" id="{00000000-0008-0000-2100-00001BDD42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81980" name="Line 28">
          <a:extLst>
            <a:ext uri="{FF2B5EF4-FFF2-40B4-BE49-F238E27FC236}">
              <a16:creationId xmlns="" xmlns:a16="http://schemas.microsoft.com/office/drawing/2014/main" id="{00000000-0008-0000-2100-00001CDD4200}"/>
            </a:ext>
          </a:extLst>
        </xdr:cNvPr>
        <xdr:cNvSpPr>
          <a:spLocks noChangeShapeType="1"/>
        </xdr:cNvSpPr>
      </xdr:nvSpPr>
      <xdr:spPr bwMode="auto">
        <a:xfrm>
          <a:off x="12011025" y="0"/>
          <a:ext cx="1933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352425</xdr:colOff>
      <xdr:row>0</xdr:row>
      <xdr:rowOff>0</xdr:rowOff>
    </xdr:from>
    <xdr:to>
      <xdr:col>2</xdr:col>
      <xdr:colOff>352425</xdr:colOff>
      <xdr:row>0</xdr:row>
      <xdr:rowOff>0</xdr:rowOff>
    </xdr:to>
    <xdr:sp macro="" textlink="">
      <xdr:nvSpPr>
        <xdr:cNvPr id="4381981" name="Line 29">
          <a:extLst>
            <a:ext uri="{FF2B5EF4-FFF2-40B4-BE49-F238E27FC236}">
              <a16:creationId xmlns="" xmlns:a16="http://schemas.microsoft.com/office/drawing/2014/main" id="{00000000-0008-0000-2100-00001DDD4200}"/>
            </a:ext>
          </a:extLst>
        </xdr:cNvPr>
        <xdr:cNvSpPr>
          <a:spLocks noChangeShapeType="1"/>
        </xdr:cNvSpPr>
      </xdr:nvSpPr>
      <xdr:spPr bwMode="auto">
        <a:xfrm>
          <a:off x="2981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152400</xdr:colOff>
      <xdr:row>0</xdr:row>
      <xdr:rowOff>0</xdr:rowOff>
    </xdr:to>
    <xdr:sp macro="" textlink="">
      <xdr:nvSpPr>
        <xdr:cNvPr id="4381982" name="Line 30">
          <a:extLst>
            <a:ext uri="{FF2B5EF4-FFF2-40B4-BE49-F238E27FC236}">
              <a16:creationId xmlns="" xmlns:a16="http://schemas.microsoft.com/office/drawing/2014/main" id="{00000000-0008-0000-2100-00001EDD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723900</xdr:colOff>
      <xdr:row>0</xdr:row>
      <xdr:rowOff>0</xdr:rowOff>
    </xdr:from>
    <xdr:to>
      <xdr:col>4</xdr:col>
      <xdr:colOff>723900</xdr:colOff>
      <xdr:row>0</xdr:row>
      <xdr:rowOff>0</xdr:rowOff>
    </xdr:to>
    <xdr:sp macro="" textlink="">
      <xdr:nvSpPr>
        <xdr:cNvPr id="4381983" name="Line 31">
          <a:extLst>
            <a:ext uri="{FF2B5EF4-FFF2-40B4-BE49-F238E27FC236}">
              <a16:creationId xmlns="" xmlns:a16="http://schemas.microsoft.com/office/drawing/2014/main" id="{00000000-0008-0000-2100-00001FDD4200}"/>
            </a:ext>
          </a:extLst>
        </xdr:cNvPr>
        <xdr:cNvSpPr>
          <a:spLocks noChangeShapeType="1"/>
        </xdr:cNvSpPr>
      </xdr:nvSpPr>
      <xdr:spPr bwMode="auto">
        <a:xfrm>
          <a:off x="63722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285750</xdr:colOff>
      <xdr:row>0</xdr:row>
      <xdr:rowOff>0</xdr:rowOff>
    </xdr:from>
    <xdr:to>
      <xdr:col>2</xdr:col>
      <xdr:colOff>285750</xdr:colOff>
      <xdr:row>0</xdr:row>
      <xdr:rowOff>0</xdr:rowOff>
    </xdr:to>
    <xdr:sp macro="" textlink="">
      <xdr:nvSpPr>
        <xdr:cNvPr id="4381984" name="Line 32">
          <a:extLst>
            <a:ext uri="{FF2B5EF4-FFF2-40B4-BE49-F238E27FC236}">
              <a16:creationId xmlns="" xmlns:a16="http://schemas.microsoft.com/office/drawing/2014/main" id="{00000000-0008-0000-2100-000020DD4200}"/>
            </a:ext>
          </a:extLst>
        </xdr:cNvPr>
        <xdr:cNvSpPr>
          <a:spLocks noChangeShapeType="1"/>
        </xdr:cNvSpPr>
      </xdr:nvSpPr>
      <xdr:spPr bwMode="auto">
        <a:xfrm>
          <a:off x="29146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590550</xdr:colOff>
      <xdr:row>0</xdr:row>
      <xdr:rowOff>0</xdr:rowOff>
    </xdr:from>
    <xdr:to>
      <xdr:col>4</xdr:col>
      <xdr:colOff>590550</xdr:colOff>
      <xdr:row>0</xdr:row>
      <xdr:rowOff>0</xdr:rowOff>
    </xdr:to>
    <xdr:sp macro="" textlink="">
      <xdr:nvSpPr>
        <xdr:cNvPr id="4381985" name="Line 33">
          <a:extLst>
            <a:ext uri="{FF2B5EF4-FFF2-40B4-BE49-F238E27FC236}">
              <a16:creationId xmlns="" xmlns:a16="http://schemas.microsoft.com/office/drawing/2014/main" id="{00000000-0008-0000-2100-000021DD4200}"/>
            </a:ext>
          </a:extLst>
        </xdr:cNvPr>
        <xdr:cNvSpPr>
          <a:spLocks noChangeShapeType="1"/>
        </xdr:cNvSpPr>
      </xdr:nvSpPr>
      <xdr:spPr bwMode="auto">
        <a:xfrm flipH="1">
          <a:off x="6238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81986" name="Line 34">
          <a:extLst>
            <a:ext uri="{FF2B5EF4-FFF2-40B4-BE49-F238E27FC236}">
              <a16:creationId xmlns="" xmlns:a16="http://schemas.microsoft.com/office/drawing/2014/main" id="{00000000-0008-0000-2100-000022DD42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95250</xdr:colOff>
      <xdr:row>0</xdr:row>
      <xdr:rowOff>0</xdr:rowOff>
    </xdr:to>
    <xdr:grpSp>
      <xdr:nvGrpSpPr>
        <xdr:cNvPr id="4381987" name="Group 35">
          <a:extLst>
            <a:ext uri="{FF2B5EF4-FFF2-40B4-BE49-F238E27FC236}">
              <a16:creationId xmlns="" xmlns:a16="http://schemas.microsoft.com/office/drawing/2014/main" id="{00000000-0008-0000-2100-000023DD4200}"/>
            </a:ext>
          </a:extLst>
        </xdr:cNvPr>
        <xdr:cNvGrpSpPr>
          <a:grpSpLocks/>
        </xdr:cNvGrpSpPr>
      </xdr:nvGrpSpPr>
      <xdr:grpSpPr bwMode="auto">
        <a:xfrm>
          <a:off x="9867900" y="0"/>
          <a:ext cx="5657850" cy="0"/>
          <a:chOff x="630" y="359"/>
          <a:chExt cx="361" cy="60"/>
        </a:xfrm>
      </xdr:grpSpPr>
      <xdr:sp macro="" textlink="">
        <xdr:nvSpPr>
          <xdr:cNvPr id="4382158" name="Line 36">
            <a:extLst>
              <a:ext uri="{FF2B5EF4-FFF2-40B4-BE49-F238E27FC236}">
                <a16:creationId xmlns="" xmlns:a16="http://schemas.microsoft.com/office/drawing/2014/main" id="{00000000-0008-0000-2100-0000CEDD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0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2159" name="Line 37">
            <a:extLst>
              <a:ext uri="{FF2B5EF4-FFF2-40B4-BE49-F238E27FC236}">
                <a16:creationId xmlns="" xmlns:a16="http://schemas.microsoft.com/office/drawing/2014/main" id="{00000000-0008-0000-2100-0000CFDD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91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2160" name="Line 38">
            <a:extLst>
              <a:ext uri="{FF2B5EF4-FFF2-40B4-BE49-F238E27FC236}">
                <a16:creationId xmlns="" xmlns:a16="http://schemas.microsoft.com/office/drawing/2014/main" id="{00000000-0008-0000-2100-0000D0DD4200}"/>
              </a:ext>
            </a:extLst>
          </xdr:cNvPr>
          <xdr:cNvSpPr>
            <a:spLocks noChangeShapeType="1"/>
          </xdr:cNvSpPr>
        </xdr:nvSpPr>
        <xdr:spPr bwMode="auto">
          <a:xfrm>
            <a:off x="630" y="381"/>
            <a:ext cx="3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7</xdr:col>
      <xdr:colOff>590550</xdr:colOff>
      <xdr:row>0</xdr:row>
      <xdr:rowOff>0</xdr:rowOff>
    </xdr:to>
    <xdr:sp macro="" textlink="">
      <xdr:nvSpPr>
        <xdr:cNvPr id="4381988" name="Line 39">
          <a:extLst>
            <a:ext uri="{FF2B5EF4-FFF2-40B4-BE49-F238E27FC236}">
              <a16:creationId xmlns="" xmlns:a16="http://schemas.microsoft.com/office/drawing/2014/main" id="{00000000-0008-0000-2100-000024DD42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10</xdr:col>
      <xdr:colOff>47625</xdr:colOff>
      <xdr:row>0</xdr:row>
      <xdr:rowOff>0</xdr:rowOff>
    </xdr:to>
    <xdr:sp macro="" textlink="">
      <xdr:nvSpPr>
        <xdr:cNvPr id="4381989" name="Line 40">
          <a:extLst>
            <a:ext uri="{FF2B5EF4-FFF2-40B4-BE49-F238E27FC236}">
              <a16:creationId xmlns="" xmlns:a16="http://schemas.microsoft.com/office/drawing/2014/main" id="{00000000-0008-0000-2100-000025DD4200}"/>
            </a:ext>
          </a:extLst>
        </xdr:cNvPr>
        <xdr:cNvSpPr>
          <a:spLocks noChangeShapeType="1"/>
        </xdr:cNvSpPr>
      </xdr:nvSpPr>
      <xdr:spPr bwMode="auto">
        <a:xfrm flipV="1">
          <a:off x="9382125" y="0"/>
          <a:ext cx="1581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10</xdr:col>
      <xdr:colOff>914400</xdr:colOff>
      <xdr:row>0</xdr:row>
      <xdr:rowOff>0</xdr:rowOff>
    </xdr:to>
    <xdr:sp macro="" textlink="">
      <xdr:nvSpPr>
        <xdr:cNvPr id="4381990" name="Line 41">
          <a:extLst>
            <a:ext uri="{FF2B5EF4-FFF2-40B4-BE49-F238E27FC236}">
              <a16:creationId xmlns="" xmlns:a16="http://schemas.microsoft.com/office/drawing/2014/main" id="{00000000-0008-0000-2100-000026DD42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1733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28575</xdr:colOff>
      <xdr:row>0</xdr:row>
      <xdr:rowOff>0</xdr:rowOff>
    </xdr:to>
    <xdr:sp macro="" textlink="">
      <xdr:nvSpPr>
        <xdr:cNvPr id="4381991" name="Line 42">
          <a:extLst>
            <a:ext uri="{FF2B5EF4-FFF2-40B4-BE49-F238E27FC236}">
              <a16:creationId xmlns="" xmlns:a16="http://schemas.microsoft.com/office/drawing/2014/main" id="{00000000-0008-0000-2100-000027DD42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2076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552450</xdr:colOff>
      <xdr:row>0</xdr:row>
      <xdr:rowOff>0</xdr:rowOff>
    </xdr:from>
    <xdr:to>
      <xdr:col>13</xdr:col>
      <xdr:colOff>400050</xdr:colOff>
      <xdr:row>0</xdr:row>
      <xdr:rowOff>0</xdr:rowOff>
    </xdr:to>
    <xdr:sp macro="" textlink="">
      <xdr:nvSpPr>
        <xdr:cNvPr id="4381992" name="Line 43">
          <a:extLst>
            <a:ext uri="{FF2B5EF4-FFF2-40B4-BE49-F238E27FC236}">
              <a16:creationId xmlns="" xmlns:a16="http://schemas.microsoft.com/office/drawing/2014/main" id="{00000000-0008-0000-2100-000028DD4200}"/>
            </a:ext>
          </a:extLst>
        </xdr:cNvPr>
        <xdr:cNvSpPr>
          <a:spLocks noChangeShapeType="1"/>
        </xdr:cNvSpPr>
      </xdr:nvSpPr>
      <xdr:spPr bwMode="auto">
        <a:xfrm flipH="1">
          <a:off x="980122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10</xdr:col>
      <xdr:colOff>57150</xdr:colOff>
      <xdr:row>0</xdr:row>
      <xdr:rowOff>0</xdr:rowOff>
    </xdr:to>
    <xdr:grpSp>
      <xdr:nvGrpSpPr>
        <xdr:cNvPr id="4381993" name="Group 44">
          <a:extLst>
            <a:ext uri="{FF2B5EF4-FFF2-40B4-BE49-F238E27FC236}">
              <a16:creationId xmlns="" xmlns:a16="http://schemas.microsoft.com/office/drawing/2014/main" id="{00000000-0008-0000-2100-000029DD4200}"/>
            </a:ext>
          </a:extLst>
        </xdr:cNvPr>
        <xdr:cNvGrpSpPr>
          <a:grpSpLocks/>
        </xdr:cNvGrpSpPr>
      </xdr:nvGrpSpPr>
      <xdr:grpSpPr bwMode="auto">
        <a:xfrm>
          <a:off x="9906000" y="0"/>
          <a:ext cx="1123950" cy="0"/>
          <a:chOff x="554" y="439"/>
          <a:chExt cx="10" cy="76"/>
        </a:xfrm>
      </xdr:grpSpPr>
      <xdr:sp macro="" textlink="">
        <xdr:nvSpPr>
          <xdr:cNvPr id="4382156" name="Line 45">
            <a:extLst>
              <a:ext uri="{FF2B5EF4-FFF2-40B4-BE49-F238E27FC236}">
                <a16:creationId xmlns="" xmlns:a16="http://schemas.microsoft.com/office/drawing/2014/main" id="{00000000-0008-0000-2100-0000CCDD4200}"/>
              </a:ext>
            </a:extLst>
          </xdr:cNvPr>
          <xdr:cNvSpPr>
            <a:spLocks noChangeShapeType="1"/>
          </xdr:cNvSpPr>
        </xdr:nvSpPr>
        <xdr:spPr bwMode="auto">
          <a:xfrm>
            <a:off x="558" y="439"/>
            <a:ext cx="0" cy="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2157" name="Line 46">
            <a:extLst>
              <a:ext uri="{FF2B5EF4-FFF2-40B4-BE49-F238E27FC236}">
                <a16:creationId xmlns="" xmlns:a16="http://schemas.microsoft.com/office/drawing/2014/main" id="{00000000-0008-0000-2100-0000CDDD4200}"/>
              </a:ext>
            </a:extLst>
          </xdr:cNvPr>
          <xdr:cNvSpPr>
            <a:spLocks noChangeShapeType="1"/>
          </xdr:cNvSpPr>
        </xdr:nvSpPr>
        <xdr:spPr bwMode="auto">
          <a:xfrm>
            <a:off x="554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10</xdr:col>
      <xdr:colOff>628650</xdr:colOff>
      <xdr:row>0</xdr:row>
      <xdr:rowOff>0</xdr:rowOff>
    </xdr:from>
    <xdr:to>
      <xdr:col>11</xdr:col>
      <xdr:colOff>38100</xdr:colOff>
      <xdr:row>0</xdr:row>
      <xdr:rowOff>0</xdr:rowOff>
    </xdr:to>
    <xdr:grpSp>
      <xdr:nvGrpSpPr>
        <xdr:cNvPr id="4381994" name="Group 47">
          <a:extLst>
            <a:ext uri="{FF2B5EF4-FFF2-40B4-BE49-F238E27FC236}">
              <a16:creationId xmlns="" xmlns:a16="http://schemas.microsoft.com/office/drawing/2014/main" id="{00000000-0008-0000-2100-00002ADD4200}"/>
            </a:ext>
          </a:extLst>
        </xdr:cNvPr>
        <xdr:cNvGrpSpPr>
          <a:grpSpLocks/>
        </xdr:cNvGrpSpPr>
      </xdr:nvGrpSpPr>
      <xdr:grpSpPr bwMode="auto">
        <a:xfrm>
          <a:off x="11601450" y="0"/>
          <a:ext cx="76200" cy="0"/>
          <a:chOff x="680" y="439"/>
          <a:chExt cx="10" cy="98"/>
        </a:xfrm>
      </xdr:grpSpPr>
      <xdr:sp macro="" textlink="">
        <xdr:nvSpPr>
          <xdr:cNvPr id="4382154" name="Line 48">
            <a:extLst>
              <a:ext uri="{FF2B5EF4-FFF2-40B4-BE49-F238E27FC236}">
                <a16:creationId xmlns="" xmlns:a16="http://schemas.microsoft.com/office/drawing/2014/main" id="{00000000-0008-0000-2100-0000CADD4200}"/>
              </a:ext>
            </a:extLst>
          </xdr:cNvPr>
          <xdr:cNvSpPr>
            <a:spLocks noChangeShapeType="1"/>
          </xdr:cNvSpPr>
        </xdr:nvSpPr>
        <xdr:spPr bwMode="auto">
          <a:xfrm>
            <a:off x="685" y="439"/>
            <a:ext cx="0" cy="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2155" name="Line 49">
            <a:extLst>
              <a:ext uri="{FF2B5EF4-FFF2-40B4-BE49-F238E27FC236}">
                <a16:creationId xmlns="" xmlns:a16="http://schemas.microsoft.com/office/drawing/2014/main" id="{00000000-0008-0000-2100-0000CBDD4200}"/>
              </a:ext>
            </a:extLst>
          </xdr:cNvPr>
          <xdr:cNvSpPr>
            <a:spLocks noChangeShapeType="1"/>
          </xdr:cNvSpPr>
        </xdr:nvSpPr>
        <xdr:spPr bwMode="auto">
          <a:xfrm>
            <a:off x="680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4381995" name="Group 50">
          <a:extLst>
            <a:ext uri="{FF2B5EF4-FFF2-40B4-BE49-F238E27FC236}">
              <a16:creationId xmlns="" xmlns:a16="http://schemas.microsoft.com/office/drawing/2014/main" id="{00000000-0008-0000-2100-00002BDD4200}"/>
            </a:ext>
          </a:extLst>
        </xdr:cNvPr>
        <xdr:cNvGrpSpPr>
          <a:grpSpLocks/>
        </xdr:cNvGrpSpPr>
      </xdr:nvGrpSpPr>
      <xdr:grpSpPr bwMode="auto">
        <a:xfrm>
          <a:off x="11963400" y="0"/>
          <a:ext cx="142875" cy="0"/>
          <a:chOff x="759" y="438"/>
          <a:chExt cx="10" cy="121"/>
        </a:xfrm>
      </xdr:grpSpPr>
      <xdr:sp macro="" textlink="">
        <xdr:nvSpPr>
          <xdr:cNvPr id="4382152" name="Line 51">
            <a:extLst>
              <a:ext uri="{FF2B5EF4-FFF2-40B4-BE49-F238E27FC236}">
                <a16:creationId xmlns="" xmlns:a16="http://schemas.microsoft.com/office/drawing/2014/main" id="{00000000-0008-0000-2100-0000C8DD42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2153" name="Line 52">
            <a:extLst>
              <a:ext uri="{FF2B5EF4-FFF2-40B4-BE49-F238E27FC236}">
                <a16:creationId xmlns="" xmlns:a16="http://schemas.microsoft.com/office/drawing/2014/main" id="{00000000-0008-0000-2100-0000C9DD42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13</xdr:col>
      <xdr:colOff>76200</xdr:colOff>
      <xdr:row>0</xdr:row>
      <xdr:rowOff>0</xdr:rowOff>
    </xdr:from>
    <xdr:to>
      <xdr:col>13</xdr:col>
      <xdr:colOff>676275</xdr:colOff>
      <xdr:row>0</xdr:row>
      <xdr:rowOff>0</xdr:rowOff>
    </xdr:to>
    <xdr:grpSp>
      <xdr:nvGrpSpPr>
        <xdr:cNvPr id="4381996" name="Group 53">
          <a:extLst>
            <a:ext uri="{FF2B5EF4-FFF2-40B4-BE49-F238E27FC236}">
              <a16:creationId xmlns="" xmlns:a16="http://schemas.microsoft.com/office/drawing/2014/main" id="{00000000-0008-0000-2100-00002CDD4200}"/>
            </a:ext>
          </a:extLst>
        </xdr:cNvPr>
        <xdr:cNvGrpSpPr>
          <a:grpSpLocks/>
        </xdr:cNvGrpSpPr>
      </xdr:nvGrpSpPr>
      <xdr:grpSpPr bwMode="auto">
        <a:xfrm>
          <a:off x="12287250" y="0"/>
          <a:ext cx="600075" cy="0"/>
          <a:chOff x="842" y="438"/>
          <a:chExt cx="10" cy="147"/>
        </a:xfrm>
      </xdr:grpSpPr>
      <xdr:sp macro="" textlink="">
        <xdr:nvSpPr>
          <xdr:cNvPr id="4382150" name="Line 54">
            <a:extLst>
              <a:ext uri="{FF2B5EF4-FFF2-40B4-BE49-F238E27FC236}">
                <a16:creationId xmlns="" xmlns:a16="http://schemas.microsoft.com/office/drawing/2014/main" id="{00000000-0008-0000-2100-0000C6DD42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2151" name="Line 55">
            <a:extLst>
              <a:ext uri="{FF2B5EF4-FFF2-40B4-BE49-F238E27FC236}">
                <a16:creationId xmlns="" xmlns:a16="http://schemas.microsoft.com/office/drawing/2014/main" id="{00000000-0008-0000-2100-0000C7DD42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76200</xdr:colOff>
      <xdr:row>0</xdr:row>
      <xdr:rowOff>0</xdr:rowOff>
    </xdr:to>
    <xdr:sp macro="" textlink="">
      <xdr:nvSpPr>
        <xdr:cNvPr id="4381997" name="Rectangle 56">
          <a:extLst>
            <a:ext uri="{FF2B5EF4-FFF2-40B4-BE49-F238E27FC236}">
              <a16:creationId xmlns="" xmlns:a16="http://schemas.microsoft.com/office/drawing/2014/main" id="{00000000-0008-0000-2100-00002DDD4200}"/>
            </a:ext>
          </a:extLst>
        </xdr:cNvPr>
        <xdr:cNvSpPr>
          <a:spLocks noChangeArrowheads="1"/>
        </xdr:cNvSpPr>
      </xdr:nvSpPr>
      <xdr:spPr bwMode="auto">
        <a:xfrm>
          <a:off x="9839325" y="0"/>
          <a:ext cx="55721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4381998" name="Line 57">
          <a:extLst>
            <a:ext uri="{FF2B5EF4-FFF2-40B4-BE49-F238E27FC236}">
              <a16:creationId xmlns="" xmlns:a16="http://schemas.microsoft.com/office/drawing/2014/main" id="{00000000-0008-0000-2100-00002EDD4200}"/>
            </a:ext>
          </a:extLst>
        </xdr:cNvPr>
        <xdr:cNvSpPr>
          <a:spLocks noChangeShapeType="1"/>
        </xdr:cNvSpPr>
      </xdr:nvSpPr>
      <xdr:spPr bwMode="auto">
        <a:xfrm>
          <a:off x="153352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638175</xdr:colOff>
      <xdr:row>0</xdr:row>
      <xdr:rowOff>0</xdr:rowOff>
    </xdr:from>
    <xdr:to>
      <xdr:col>16</xdr:col>
      <xdr:colOff>47625</xdr:colOff>
      <xdr:row>0</xdr:row>
      <xdr:rowOff>0</xdr:rowOff>
    </xdr:to>
    <xdr:sp macro="" textlink="">
      <xdr:nvSpPr>
        <xdr:cNvPr id="4381999" name="Line 58">
          <a:extLst>
            <a:ext uri="{FF2B5EF4-FFF2-40B4-BE49-F238E27FC236}">
              <a16:creationId xmlns="" xmlns:a16="http://schemas.microsoft.com/office/drawing/2014/main" id="{00000000-0008-0000-2100-00002FDD4200}"/>
            </a:ext>
          </a:extLst>
        </xdr:cNvPr>
        <xdr:cNvSpPr>
          <a:spLocks noChangeShapeType="1"/>
        </xdr:cNvSpPr>
      </xdr:nvSpPr>
      <xdr:spPr bwMode="auto">
        <a:xfrm>
          <a:off x="14887575" y="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15</xdr:col>
      <xdr:colOff>1181100</xdr:colOff>
      <xdr:row>0</xdr:row>
      <xdr:rowOff>0</xdr:rowOff>
    </xdr:to>
    <xdr:sp macro="" textlink="">
      <xdr:nvSpPr>
        <xdr:cNvPr id="4382000" name="Line 59">
          <a:extLst>
            <a:ext uri="{FF2B5EF4-FFF2-40B4-BE49-F238E27FC236}">
              <a16:creationId xmlns="" xmlns:a16="http://schemas.microsoft.com/office/drawing/2014/main" id="{00000000-0008-0000-2100-000030DD4200}"/>
            </a:ext>
          </a:extLst>
        </xdr:cNvPr>
        <xdr:cNvSpPr>
          <a:spLocks noChangeShapeType="1"/>
        </xdr:cNvSpPr>
      </xdr:nvSpPr>
      <xdr:spPr bwMode="auto">
        <a:xfrm flipV="1">
          <a:off x="9867900" y="0"/>
          <a:ext cx="546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666750</xdr:colOff>
      <xdr:row>0</xdr:row>
      <xdr:rowOff>0</xdr:rowOff>
    </xdr:from>
    <xdr:to>
      <xdr:col>14</xdr:col>
      <xdr:colOff>838200</xdr:colOff>
      <xdr:row>0</xdr:row>
      <xdr:rowOff>0</xdr:rowOff>
    </xdr:to>
    <xdr:grpSp>
      <xdr:nvGrpSpPr>
        <xdr:cNvPr id="4382001" name="Group 60">
          <a:extLst>
            <a:ext uri="{FF2B5EF4-FFF2-40B4-BE49-F238E27FC236}">
              <a16:creationId xmlns="" xmlns:a16="http://schemas.microsoft.com/office/drawing/2014/main" id="{00000000-0008-0000-2100-000031DD4200}"/>
            </a:ext>
          </a:extLst>
        </xdr:cNvPr>
        <xdr:cNvGrpSpPr>
          <a:grpSpLocks/>
        </xdr:cNvGrpSpPr>
      </xdr:nvGrpSpPr>
      <xdr:grpSpPr bwMode="auto">
        <a:xfrm>
          <a:off x="14077950" y="0"/>
          <a:ext cx="171450" cy="0"/>
          <a:chOff x="912" y="438"/>
          <a:chExt cx="11" cy="175"/>
        </a:xfrm>
      </xdr:grpSpPr>
      <xdr:sp macro="" textlink="">
        <xdr:nvSpPr>
          <xdr:cNvPr id="4382148" name="Line 61">
            <a:extLst>
              <a:ext uri="{FF2B5EF4-FFF2-40B4-BE49-F238E27FC236}">
                <a16:creationId xmlns="" xmlns:a16="http://schemas.microsoft.com/office/drawing/2014/main" id="{00000000-0008-0000-2100-0000C4DD42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2149" name="Line 62">
            <a:extLst>
              <a:ext uri="{FF2B5EF4-FFF2-40B4-BE49-F238E27FC236}">
                <a16:creationId xmlns="" xmlns:a16="http://schemas.microsoft.com/office/drawing/2014/main" id="{00000000-0008-0000-2100-0000C5DD42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171450</xdr:colOff>
      <xdr:row>0</xdr:row>
      <xdr:rowOff>0</xdr:rowOff>
    </xdr:from>
    <xdr:to>
      <xdr:col>4</xdr:col>
      <xdr:colOff>542925</xdr:colOff>
      <xdr:row>0</xdr:row>
      <xdr:rowOff>0</xdr:rowOff>
    </xdr:to>
    <xdr:sp macro="" textlink="">
      <xdr:nvSpPr>
        <xdr:cNvPr id="4382002" name="Line 63">
          <a:extLst>
            <a:ext uri="{FF2B5EF4-FFF2-40B4-BE49-F238E27FC236}">
              <a16:creationId xmlns="" xmlns:a16="http://schemas.microsoft.com/office/drawing/2014/main" id="{00000000-0008-0000-2100-000032DD4200}"/>
            </a:ext>
          </a:extLst>
        </xdr:cNvPr>
        <xdr:cNvSpPr>
          <a:spLocks noChangeShapeType="1"/>
        </xdr:cNvSpPr>
      </xdr:nvSpPr>
      <xdr:spPr bwMode="auto">
        <a:xfrm>
          <a:off x="2800350" y="0"/>
          <a:ext cx="3390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190500</xdr:colOff>
      <xdr:row>0</xdr:row>
      <xdr:rowOff>0</xdr:rowOff>
    </xdr:from>
    <xdr:to>
      <xdr:col>4</xdr:col>
      <xdr:colOff>571500</xdr:colOff>
      <xdr:row>0</xdr:row>
      <xdr:rowOff>0</xdr:rowOff>
    </xdr:to>
    <xdr:sp macro="" textlink="">
      <xdr:nvSpPr>
        <xdr:cNvPr id="4382003" name="Line 64">
          <a:extLst>
            <a:ext uri="{FF2B5EF4-FFF2-40B4-BE49-F238E27FC236}">
              <a16:creationId xmlns="" xmlns:a16="http://schemas.microsoft.com/office/drawing/2014/main" id="{00000000-0008-0000-2100-000033DD4200}"/>
            </a:ext>
          </a:extLst>
        </xdr:cNvPr>
        <xdr:cNvSpPr>
          <a:spLocks noChangeShapeType="1"/>
        </xdr:cNvSpPr>
      </xdr:nvSpPr>
      <xdr:spPr bwMode="auto">
        <a:xfrm>
          <a:off x="2819400" y="0"/>
          <a:ext cx="3400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82004" name="Line 65">
          <a:extLst>
            <a:ext uri="{FF2B5EF4-FFF2-40B4-BE49-F238E27FC236}">
              <a16:creationId xmlns="" xmlns:a16="http://schemas.microsoft.com/office/drawing/2014/main" id="{00000000-0008-0000-2100-000034DD42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876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4</xdr:col>
      <xdr:colOff>676275</xdr:colOff>
      <xdr:row>0</xdr:row>
      <xdr:rowOff>0</xdr:rowOff>
    </xdr:to>
    <xdr:sp macro="" textlink="">
      <xdr:nvSpPr>
        <xdr:cNvPr id="4382005" name="Line 66">
          <a:extLst>
            <a:ext uri="{FF2B5EF4-FFF2-40B4-BE49-F238E27FC236}">
              <a16:creationId xmlns="" xmlns:a16="http://schemas.microsoft.com/office/drawing/2014/main" id="{00000000-0008-0000-2100-000035DD42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219075</xdr:colOff>
      <xdr:row>0</xdr:row>
      <xdr:rowOff>0</xdr:rowOff>
    </xdr:from>
    <xdr:to>
      <xdr:col>2</xdr:col>
      <xdr:colOff>219075</xdr:colOff>
      <xdr:row>0</xdr:row>
      <xdr:rowOff>0</xdr:rowOff>
    </xdr:to>
    <xdr:sp macro="" textlink="">
      <xdr:nvSpPr>
        <xdr:cNvPr id="4382006" name="Line 67">
          <a:extLst>
            <a:ext uri="{FF2B5EF4-FFF2-40B4-BE49-F238E27FC236}">
              <a16:creationId xmlns="" xmlns:a16="http://schemas.microsoft.com/office/drawing/2014/main" id="{00000000-0008-0000-2100-000036DD4200}"/>
            </a:ext>
          </a:extLst>
        </xdr:cNvPr>
        <xdr:cNvSpPr>
          <a:spLocks noChangeShapeType="1"/>
        </xdr:cNvSpPr>
      </xdr:nvSpPr>
      <xdr:spPr bwMode="auto">
        <a:xfrm>
          <a:off x="28479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266700</xdr:colOff>
      <xdr:row>0</xdr:row>
      <xdr:rowOff>0</xdr:rowOff>
    </xdr:from>
    <xdr:to>
      <xdr:col>2</xdr:col>
      <xdr:colOff>266700</xdr:colOff>
      <xdr:row>0</xdr:row>
      <xdr:rowOff>0</xdr:rowOff>
    </xdr:to>
    <xdr:sp macro="" textlink="">
      <xdr:nvSpPr>
        <xdr:cNvPr id="4382007" name="Line 68">
          <a:extLst>
            <a:ext uri="{FF2B5EF4-FFF2-40B4-BE49-F238E27FC236}">
              <a16:creationId xmlns="" xmlns:a16="http://schemas.microsoft.com/office/drawing/2014/main" id="{00000000-0008-0000-2100-000037DD4200}"/>
            </a:ext>
          </a:extLst>
        </xdr:cNvPr>
        <xdr:cNvSpPr>
          <a:spLocks noChangeShapeType="1"/>
        </xdr:cNvSpPr>
      </xdr:nvSpPr>
      <xdr:spPr bwMode="auto">
        <a:xfrm>
          <a:off x="2895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333375</xdr:colOff>
      <xdr:row>0</xdr:row>
      <xdr:rowOff>0</xdr:rowOff>
    </xdr:from>
    <xdr:to>
      <xdr:col>2</xdr:col>
      <xdr:colOff>333375</xdr:colOff>
      <xdr:row>0</xdr:row>
      <xdr:rowOff>0</xdr:rowOff>
    </xdr:to>
    <xdr:sp macro="" textlink="">
      <xdr:nvSpPr>
        <xdr:cNvPr id="4382008" name="Line 69">
          <a:extLst>
            <a:ext uri="{FF2B5EF4-FFF2-40B4-BE49-F238E27FC236}">
              <a16:creationId xmlns="" xmlns:a16="http://schemas.microsoft.com/office/drawing/2014/main" id="{00000000-0008-0000-2100-000038DD4200}"/>
            </a:ext>
          </a:extLst>
        </xdr:cNvPr>
        <xdr:cNvSpPr>
          <a:spLocks noChangeShapeType="1"/>
        </xdr:cNvSpPr>
      </xdr:nvSpPr>
      <xdr:spPr bwMode="auto">
        <a:xfrm>
          <a:off x="29622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0</xdr:row>
      <xdr:rowOff>0</xdr:rowOff>
    </xdr:from>
    <xdr:to>
      <xdr:col>2</xdr:col>
      <xdr:colOff>390525</xdr:colOff>
      <xdr:row>0</xdr:row>
      <xdr:rowOff>0</xdr:rowOff>
    </xdr:to>
    <xdr:sp macro="" textlink="">
      <xdr:nvSpPr>
        <xdr:cNvPr id="4382009" name="Line 70">
          <a:extLst>
            <a:ext uri="{FF2B5EF4-FFF2-40B4-BE49-F238E27FC236}">
              <a16:creationId xmlns="" xmlns:a16="http://schemas.microsoft.com/office/drawing/2014/main" id="{00000000-0008-0000-2100-000039DD4200}"/>
            </a:ext>
          </a:extLst>
        </xdr:cNvPr>
        <xdr:cNvSpPr>
          <a:spLocks noChangeShapeType="1"/>
        </xdr:cNvSpPr>
      </xdr:nvSpPr>
      <xdr:spPr bwMode="auto">
        <a:xfrm>
          <a:off x="3019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447675</xdr:colOff>
      <xdr:row>0</xdr:row>
      <xdr:rowOff>0</xdr:rowOff>
    </xdr:to>
    <xdr:sp macro="" textlink="">
      <xdr:nvSpPr>
        <xdr:cNvPr id="4382010" name="Line 71">
          <a:extLst>
            <a:ext uri="{FF2B5EF4-FFF2-40B4-BE49-F238E27FC236}">
              <a16:creationId xmlns="" xmlns:a16="http://schemas.microsoft.com/office/drawing/2014/main" id="{00000000-0008-0000-2100-00003ADD42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4382011" name="Line 72">
          <a:extLst>
            <a:ext uri="{FF2B5EF4-FFF2-40B4-BE49-F238E27FC236}">
              <a16:creationId xmlns="" xmlns:a16="http://schemas.microsoft.com/office/drawing/2014/main" id="{00000000-0008-0000-2100-00003BDD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314325</xdr:colOff>
      <xdr:row>0</xdr:row>
      <xdr:rowOff>0</xdr:rowOff>
    </xdr:to>
    <xdr:sp macro="" textlink="">
      <xdr:nvSpPr>
        <xdr:cNvPr id="4382012" name="Line 73">
          <a:extLst>
            <a:ext uri="{FF2B5EF4-FFF2-40B4-BE49-F238E27FC236}">
              <a16:creationId xmlns="" xmlns:a16="http://schemas.microsoft.com/office/drawing/2014/main" id="{00000000-0008-0000-2100-00003CDD42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657225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82013" name="Line 74">
          <a:extLst>
            <a:ext uri="{FF2B5EF4-FFF2-40B4-BE49-F238E27FC236}">
              <a16:creationId xmlns="" xmlns:a16="http://schemas.microsoft.com/office/drawing/2014/main" id="{00000000-0008-0000-2100-00003DDD42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266700</xdr:colOff>
      <xdr:row>0</xdr:row>
      <xdr:rowOff>0</xdr:rowOff>
    </xdr:from>
    <xdr:to>
      <xdr:col>11</xdr:col>
      <xdr:colOff>352425</xdr:colOff>
      <xdr:row>0</xdr:row>
      <xdr:rowOff>0</xdr:rowOff>
    </xdr:to>
    <xdr:sp macro="" textlink="">
      <xdr:nvSpPr>
        <xdr:cNvPr id="4382014" name="Text Box 75">
          <a:extLst>
            <a:ext uri="{FF2B5EF4-FFF2-40B4-BE49-F238E27FC236}">
              <a16:creationId xmlns="" xmlns:a16="http://schemas.microsoft.com/office/drawing/2014/main" id="{00000000-0008-0000-2100-00003EDD4200}"/>
            </a:ext>
          </a:extLst>
        </xdr:cNvPr>
        <xdr:cNvSpPr txBox="1">
          <a:spLocks noChangeArrowheads="1"/>
        </xdr:cNvSpPr>
      </xdr:nvSpPr>
      <xdr:spPr bwMode="auto">
        <a:xfrm>
          <a:off x="11182350" y="0"/>
          <a:ext cx="7048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209550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4382015" name="Line 76">
          <a:extLst>
            <a:ext uri="{FF2B5EF4-FFF2-40B4-BE49-F238E27FC236}">
              <a16:creationId xmlns="" xmlns:a16="http://schemas.microsoft.com/office/drawing/2014/main" id="{00000000-0008-0000-2100-00003FDD4200}"/>
            </a:ext>
          </a:extLst>
        </xdr:cNvPr>
        <xdr:cNvSpPr>
          <a:spLocks noChangeShapeType="1"/>
        </xdr:cNvSpPr>
      </xdr:nvSpPr>
      <xdr:spPr bwMode="auto">
        <a:xfrm flipV="1">
          <a:off x="7267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819150</xdr:colOff>
      <xdr:row>0</xdr:row>
      <xdr:rowOff>0</xdr:rowOff>
    </xdr:to>
    <xdr:sp macro="" textlink="">
      <xdr:nvSpPr>
        <xdr:cNvPr id="4382016" name="Line 77">
          <a:extLst>
            <a:ext uri="{FF2B5EF4-FFF2-40B4-BE49-F238E27FC236}">
              <a16:creationId xmlns="" xmlns:a16="http://schemas.microsoft.com/office/drawing/2014/main" id="{00000000-0008-0000-2100-000040DD4200}"/>
            </a:ext>
          </a:extLst>
        </xdr:cNvPr>
        <xdr:cNvSpPr>
          <a:spLocks noChangeShapeType="1"/>
        </xdr:cNvSpPr>
      </xdr:nvSpPr>
      <xdr:spPr bwMode="auto">
        <a:xfrm>
          <a:off x="7553325" y="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114300</xdr:colOff>
      <xdr:row>0</xdr:row>
      <xdr:rowOff>0</xdr:rowOff>
    </xdr:from>
    <xdr:to>
      <xdr:col>5</xdr:col>
      <xdr:colOff>323850</xdr:colOff>
      <xdr:row>0</xdr:row>
      <xdr:rowOff>0</xdr:rowOff>
    </xdr:to>
    <xdr:sp macro="" textlink="">
      <xdr:nvSpPr>
        <xdr:cNvPr id="4382017" name="Line 78">
          <a:extLst>
            <a:ext uri="{FF2B5EF4-FFF2-40B4-BE49-F238E27FC236}">
              <a16:creationId xmlns="" xmlns:a16="http://schemas.microsoft.com/office/drawing/2014/main" id="{00000000-0008-0000-2100-000041DD4200}"/>
            </a:ext>
          </a:extLst>
        </xdr:cNvPr>
        <xdr:cNvSpPr>
          <a:spLocks noChangeShapeType="1"/>
        </xdr:cNvSpPr>
      </xdr:nvSpPr>
      <xdr:spPr bwMode="auto">
        <a:xfrm>
          <a:off x="7172325" y="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2018" name="Rectangle 79">
          <a:extLst>
            <a:ext uri="{FF2B5EF4-FFF2-40B4-BE49-F238E27FC236}">
              <a16:creationId xmlns="" xmlns:a16="http://schemas.microsoft.com/office/drawing/2014/main" id="{00000000-0008-0000-2100-000042DD4200}"/>
            </a:ext>
          </a:extLst>
        </xdr:cNvPr>
        <xdr:cNvSpPr>
          <a:spLocks noChangeArrowheads="1"/>
        </xdr:cNvSpPr>
      </xdr:nvSpPr>
      <xdr:spPr bwMode="auto">
        <a:xfrm>
          <a:off x="16573500" y="0"/>
          <a:ext cx="325755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82019" name="Line 80">
          <a:extLst>
            <a:ext uri="{FF2B5EF4-FFF2-40B4-BE49-F238E27FC236}">
              <a16:creationId xmlns="" xmlns:a16="http://schemas.microsoft.com/office/drawing/2014/main" id="{00000000-0008-0000-2100-000043DD4200}"/>
            </a:ext>
          </a:extLst>
        </xdr:cNvPr>
        <xdr:cNvSpPr>
          <a:spLocks noChangeShapeType="1"/>
        </xdr:cNvSpPr>
      </xdr:nvSpPr>
      <xdr:spPr bwMode="auto">
        <a:xfrm flipV="1">
          <a:off x="16725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2020" name="Line 81">
          <a:extLst>
            <a:ext uri="{FF2B5EF4-FFF2-40B4-BE49-F238E27FC236}">
              <a16:creationId xmlns="" xmlns:a16="http://schemas.microsoft.com/office/drawing/2014/main" id="{00000000-0008-0000-2100-000044DD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82021" name="Line 82">
          <a:extLst>
            <a:ext uri="{FF2B5EF4-FFF2-40B4-BE49-F238E27FC236}">
              <a16:creationId xmlns="" xmlns:a16="http://schemas.microsoft.com/office/drawing/2014/main" id="{00000000-0008-0000-2100-000045DD4200}"/>
            </a:ext>
          </a:extLst>
        </xdr:cNvPr>
        <xdr:cNvSpPr>
          <a:spLocks noChangeShapeType="1"/>
        </xdr:cNvSpPr>
      </xdr:nvSpPr>
      <xdr:spPr bwMode="auto">
        <a:xfrm flipV="1">
          <a:off x="16725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2022" name="Line 83">
          <a:extLst>
            <a:ext uri="{FF2B5EF4-FFF2-40B4-BE49-F238E27FC236}">
              <a16:creationId xmlns="" xmlns:a16="http://schemas.microsoft.com/office/drawing/2014/main" id="{00000000-0008-0000-2100-000046DD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19050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2023" name="Line 84">
          <a:extLst>
            <a:ext uri="{FF2B5EF4-FFF2-40B4-BE49-F238E27FC236}">
              <a16:creationId xmlns="" xmlns:a16="http://schemas.microsoft.com/office/drawing/2014/main" id="{00000000-0008-0000-2100-000047DD4200}"/>
            </a:ext>
          </a:extLst>
        </xdr:cNvPr>
        <xdr:cNvSpPr>
          <a:spLocks noChangeShapeType="1"/>
        </xdr:cNvSpPr>
      </xdr:nvSpPr>
      <xdr:spPr bwMode="auto">
        <a:xfrm>
          <a:off x="16744950" y="0"/>
          <a:ext cx="3086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609600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2024" name="Line 85">
          <a:extLst>
            <a:ext uri="{FF2B5EF4-FFF2-40B4-BE49-F238E27FC236}">
              <a16:creationId xmlns="" xmlns:a16="http://schemas.microsoft.com/office/drawing/2014/main" id="{00000000-0008-0000-2100-000048DD4200}"/>
            </a:ext>
          </a:extLst>
        </xdr:cNvPr>
        <xdr:cNvSpPr>
          <a:spLocks noChangeShapeType="1"/>
        </xdr:cNvSpPr>
      </xdr:nvSpPr>
      <xdr:spPr bwMode="auto">
        <a:xfrm>
          <a:off x="16592550" y="0"/>
          <a:ext cx="3238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628650</xdr:colOff>
      <xdr:row>0</xdr:row>
      <xdr:rowOff>0</xdr:rowOff>
    </xdr:from>
    <xdr:to>
      <xdr:col>17</xdr:col>
      <xdr:colOff>628650</xdr:colOff>
      <xdr:row>0</xdr:row>
      <xdr:rowOff>0</xdr:rowOff>
    </xdr:to>
    <xdr:sp macro="" textlink="">
      <xdr:nvSpPr>
        <xdr:cNvPr id="4382025" name="Line 86">
          <a:extLst>
            <a:ext uri="{FF2B5EF4-FFF2-40B4-BE49-F238E27FC236}">
              <a16:creationId xmlns="" xmlns:a16="http://schemas.microsoft.com/office/drawing/2014/main" id="{00000000-0008-0000-2100-000049DD4200}"/>
            </a:ext>
          </a:extLst>
        </xdr:cNvPr>
        <xdr:cNvSpPr>
          <a:spLocks noChangeShapeType="1"/>
        </xdr:cNvSpPr>
      </xdr:nvSpPr>
      <xdr:spPr bwMode="auto">
        <a:xfrm flipV="1">
          <a:off x="16611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2026" name="Line 87">
          <a:extLst>
            <a:ext uri="{FF2B5EF4-FFF2-40B4-BE49-F238E27FC236}">
              <a16:creationId xmlns="" xmlns:a16="http://schemas.microsoft.com/office/drawing/2014/main" id="{00000000-0008-0000-2100-00004ADD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38100</xdr:colOff>
      <xdr:row>0</xdr:row>
      <xdr:rowOff>0</xdr:rowOff>
    </xdr:to>
    <xdr:sp macro="" textlink="">
      <xdr:nvSpPr>
        <xdr:cNvPr id="4382027" name="Rectangle 88">
          <a:extLst>
            <a:ext uri="{FF2B5EF4-FFF2-40B4-BE49-F238E27FC236}">
              <a16:creationId xmlns="" xmlns:a16="http://schemas.microsoft.com/office/drawing/2014/main" id="{00000000-0008-0000-2100-00004BDD4200}"/>
            </a:ext>
          </a:extLst>
        </xdr:cNvPr>
        <xdr:cNvSpPr>
          <a:spLocks noChangeArrowheads="1"/>
        </xdr:cNvSpPr>
      </xdr:nvSpPr>
      <xdr:spPr bwMode="auto">
        <a:xfrm>
          <a:off x="19831050" y="0"/>
          <a:ext cx="14097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2028" name="Line 89">
          <a:extLst>
            <a:ext uri="{FF2B5EF4-FFF2-40B4-BE49-F238E27FC236}">
              <a16:creationId xmlns="" xmlns:a16="http://schemas.microsoft.com/office/drawing/2014/main" id="{00000000-0008-0000-2100-00004CDD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0</xdr:colOff>
      <xdr:row>0</xdr:row>
      <xdr:rowOff>0</xdr:rowOff>
    </xdr:to>
    <xdr:sp macro="" textlink="">
      <xdr:nvSpPr>
        <xdr:cNvPr id="4382029" name="Line 90">
          <a:extLst>
            <a:ext uri="{FF2B5EF4-FFF2-40B4-BE49-F238E27FC236}">
              <a16:creationId xmlns="" xmlns:a16="http://schemas.microsoft.com/office/drawing/2014/main" id="{00000000-0008-0000-2100-00004DDD4200}"/>
            </a:ext>
          </a:extLst>
        </xdr:cNvPr>
        <xdr:cNvSpPr>
          <a:spLocks noChangeShapeType="1"/>
        </xdr:cNvSpPr>
      </xdr:nvSpPr>
      <xdr:spPr bwMode="auto">
        <a:xfrm>
          <a:off x="19831050" y="0"/>
          <a:ext cx="1371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24</xdr:col>
      <xdr:colOff>19050</xdr:colOff>
      <xdr:row>0</xdr:row>
      <xdr:rowOff>0</xdr:rowOff>
    </xdr:from>
    <xdr:to>
      <xdr:col>24</xdr:col>
      <xdr:colOff>19050</xdr:colOff>
      <xdr:row>0</xdr:row>
      <xdr:rowOff>0</xdr:rowOff>
    </xdr:to>
    <xdr:sp macro="" textlink="">
      <xdr:nvSpPr>
        <xdr:cNvPr id="4382030" name="Line 91">
          <a:extLst>
            <a:ext uri="{FF2B5EF4-FFF2-40B4-BE49-F238E27FC236}">
              <a16:creationId xmlns="" xmlns:a16="http://schemas.microsoft.com/office/drawing/2014/main" id="{00000000-0008-0000-2100-00004EDD4200}"/>
            </a:ext>
          </a:extLst>
        </xdr:cNvPr>
        <xdr:cNvSpPr>
          <a:spLocks noChangeShapeType="1"/>
        </xdr:cNvSpPr>
      </xdr:nvSpPr>
      <xdr:spPr bwMode="auto">
        <a:xfrm>
          <a:off x="21221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400050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82031" name="Line 92">
          <a:extLst>
            <a:ext uri="{FF2B5EF4-FFF2-40B4-BE49-F238E27FC236}">
              <a16:creationId xmlns="" xmlns:a16="http://schemas.microsoft.com/office/drawing/2014/main" id="{00000000-0008-0000-2100-00004FDD4200}"/>
            </a:ext>
          </a:extLst>
        </xdr:cNvPr>
        <xdr:cNvSpPr>
          <a:spLocks noChangeShapeType="1"/>
        </xdr:cNvSpPr>
      </xdr:nvSpPr>
      <xdr:spPr bwMode="auto">
        <a:xfrm flipH="1" flipV="1">
          <a:off x="13725525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14</xdr:col>
      <xdr:colOff>781050</xdr:colOff>
      <xdr:row>0</xdr:row>
      <xdr:rowOff>0</xdr:rowOff>
    </xdr:to>
    <xdr:sp macro="" textlink="">
      <xdr:nvSpPr>
        <xdr:cNvPr id="4382032" name="Line 93">
          <a:extLst>
            <a:ext uri="{FF2B5EF4-FFF2-40B4-BE49-F238E27FC236}">
              <a16:creationId xmlns="" xmlns:a16="http://schemas.microsoft.com/office/drawing/2014/main" id="{00000000-0008-0000-2100-000050DD4200}"/>
            </a:ext>
          </a:extLst>
        </xdr:cNvPr>
        <xdr:cNvSpPr>
          <a:spLocks noChangeShapeType="1"/>
        </xdr:cNvSpPr>
      </xdr:nvSpPr>
      <xdr:spPr bwMode="auto">
        <a:xfrm flipH="1">
          <a:off x="9867900" y="0"/>
          <a:ext cx="4238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4</xdr:col>
      <xdr:colOff>704850</xdr:colOff>
      <xdr:row>0</xdr:row>
      <xdr:rowOff>0</xdr:rowOff>
    </xdr:to>
    <xdr:sp macro="" textlink="">
      <xdr:nvSpPr>
        <xdr:cNvPr id="4382033" name="Line 94">
          <a:extLst>
            <a:ext uri="{FF2B5EF4-FFF2-40B4-BE49-F238E27FC236}">
              <a16:creationId xmlns="" xmlns:a16="http://schemas.microsoft.com/office/drawing/2014/main" id="{00000000-0008-0000-2100-000051DD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3571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82034" name="Line 95">
          <a:extLst>
            <a:ext uri="{FF2B5EF4-FFF2-40B4-BE49-F238E27FC236}">
              <a16:creationId xmlns="" xmlns:a16="http://schemas.microsoft.com/office/drawing/2014/main" id="{00000000-0008-0000-2100-000052DD4200}"/>
            </a:ext>
          </a:extLst>
        </xdr:cNvPr>
        <xdr:cNvSpPr>
          <a:spLocks noChangeShapeType="1"/>
        </xdr:cNvSpPr>
      </xdr:nvSpPr>
      <xdr:spPr bwMode="auto">
        <a:xfrm>
          <a:off x="116681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247650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2035" name="Line 96">
          <a:extLst>
            <a:ext uri="{FF2B5EF4-FFF2-40B4-BE49-F238E27FC236}">
              <a16:creationId xmlns="" xmlns:a16="http://schemas.microsoft.com/office/drawing/2014/main" id="{00000000-0008-0000-2100-000053DD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1047750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2036" name="Line 97">
          <a:extLst>
            <a:ext uri="{FF2B5EF4-FFF2-40B4-BE49-F238E27FC236}">
              <a16:creationId xmlns="" xmlns:a16="http://schemas.microsoft.com/office/drawing/2014/main" id="{00000000-0008-0000-2100-000054DD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571500</xdr:colOff>
      <xdr:row>0</xdr:row>
      <xdr:rowOff>0</xdr:rowOff>
    </xdr:from>
    <xdr:to>
      <xdr:col>13</xdr:col>
      <xdr:colOff>571500</xdr:colOff>
      <xdr:row>0</xdr:row>
      <xdr:rowOff>0</xdr:rowOff>
    </xdr:to>
    <xdr:sp macro="" textlink="">
      <xdr:nvSpPr>
        <xdr:cNvPr id="4382037" name="Line 98">
          <a:extLst>
            <a:ext uri="{FF2B5EF4-FFF2-40B4-BE49-F238E27FC236}">
              <a16:creationId xmlns="" xmlns:a16="http://schemas.microsoft.com/office/drawing/2014/main" id="{00000000-0008-0000-2100-000055DD4200}"/>
            </a:ext>
          </a:extLst>
        </xdr:cNvPr>
        <xdr:cNvSpPr>
          <a:spLocks noChangeShapeType="1"/>
        </xdr:cNvSpPr>
      </xdr:nvSpPr>
      <xdr:spPr bwMode="auto">
        <a:xfrm>
          <a:off x="12706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14</xdr:col>
      <xdr:colOff>457200</xdr:colOff>
      <xdr:row>0</xdr:row>
      <xdr:rowOff>0</xdr:rowOff>
    </xdr:to>
    <xdr:sp macro="" textlink="">
      <xdr:nvSpPr>
        <xdr:cNvPr id="4382038" name="Line 99">
          <a:extLst>
            <a:ext uri="{FF2B5EF4-FFF2-40B4-BE49-F238E27FC236}">
              <a16:creationId xmlns="" xmlns:a16="http://schemas.microsoft.com/office/drawing/2014/main" id="{00000000-0008-0000-2100-000056DD4200}"/>
            </a:ext>
          </a:extLst>
        </xdr:cNvPr>
        <xdr:cNvSpPr>
          <a:spLocks noChangeShapeType="1"/>
        </xdr:cNvSpPr>
      </xdr:nvSpPr>
      <xdr:spPr bwMode="auto">
        <a:xfrm>
          <a:off x="137826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323850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82039" name="Line 100">
          <a:extLst>
            <a:ext uri="{FF2B5EF4-FFF2-40B4-BE49-F238E27FC236}">
              <a16:creationId xmlns="" xmlns:a16="http://schemas.microsoft.com/office/drawing/2014/main" id="{00000000-0008-0000-2100-000057DD4200}"/>
            </a:ext>
          </a:extLst>
        </xdr:cNvPr>
        <xdr:cNvSpPr>
          <a:spLocks noChangeShapeType="1"/>
        </xdr:cNvSpPr>
      </xdr:nvSpPr>
      <xdr:spPr bwMode="auto">
        <a:xfrm flipH="1">
          <a:off x="9572625" y="0"/>
          <a:ext cx="2095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15</xdr:col>
      <xdr:colOff>161925</xdr:colOff>
      <xdr:row>0</xdr:row>
      <xdr:rowOff>0</xdr:rowOff>
    </xdr:to>
    <xdr:sp macro="" textlink="">
      <xdr:nvSpPr>
        <xdr:cNvPr id="4382040" name="Line 101">
          <a:extLst>
            <a:ext uri="{FF2B5EF4-FFF2-40B4-BE49-F238E27FC236}">
              <a16:creationId xmlns="" xmlns:a16="http://schemas.microsoft.com/office/drawing/2014/main" id="{00000000-0008-0000-2100-000058DD4200}"/>
            </a:ext>
          </a:extLst>
        </xdr:cNvPr>
        <xdr:cNvSpPr>
          <a:spLocks noChangeShapeType="1"/>
        </xdr:cNvSpPr>
      </xdr:nvSpPr>
      <xdr:spPr bwMode="auto">
        <a:xfrm>
          <a:off x="13782675" y="0"/>
          <a:ext cx="628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82041" name="Line 102">
          <a:extLst>
            <a:ext uri="{FF2B5EF4-FFF2-40B4-BE49-F238E27FC236}">
              <a16:creationId xmlns="" xmlns:a16="http://schemas.microsoft.com/office/drawing/2014/main" id="{00000000-0008-0000-2100-000059DD4200}"/>
            </a:ext>
          </a:extLst>
        </xdr:cNvPr>
        <xdr:cNvSpPr>
          <a:spLocks noChangeShapeType="1"/>
        </xdr:cNvSpPr>
      </xdr:nvSpPr>
      <xdr:spPr bwMode="auto">
        <a:xfrm flipV="1">
          <a:off x="12744450" y="0"/>
          <a:ext cx="165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1066800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82042" name="Line 103">
          <a:extLst>
            <a:ext uri="{FF2B5EF4-FFF2-40B4-BE49-F238E27FC236}">
              <a16:creationId xmlns="" xmlns:a16="http://schemas.microsoft.com/office/drawing/2014/main" id="{00000000-0008-0000-2100-00005ADD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266700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82043" name="Line 104">
          <a:extLst>
            <a:ext uri="{FF2B5EF4-FFF2-40B4-BE49-F238E27FC236}">
              <a16:creationId xmlns="" xmlns:a16="http://schemas.microsoft.com/office/drawing/2014/main" id="{00000000-0008-0000-2100-00005BDD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82044" name="Line 105">
          <a:extLst>
            <a:ext uri="{FF2B5EF4-FFF2-40B4-BE49-F238E27FC236}">
              <a16:creationId xmlns="" xmlns:a16="http://schemas.microsoft.com/office/drawing/2014/main" id="{00000000-0008-0000-2100-00005CDD4200}"/>
            </a:ext>
          </a:extLst>
        </xdr:cNvPr>
        <xdr:cNvSpPr>
          <a:spLocks noChangeShapeType="1"/>
        </xdr:cNvSpPr>
      </xdr:nvSpPr>
      <xdr:spPr bwMode="auto">
        <a:xfrm>
          <a:off x="1166812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495300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2045" name="Line 106">
          <a:extLst>
            <a:ext uri="{FF2B5EF4-FFF2-40B4-BE49-F238E27FC236}">
              <a16:creationId xmlns="" xmlns:a16="http://schemas.microsoft.com/office/drawing/2014/main" id="{00000000-0008-0000-2100-00005DDD4200}"/>
            </a:ext>
          </a:extLst>
        </xdr:cNvPr>
        <xdr:cNvSpPr>
          <a:spLocks noChangeShapeType="1"/>
        </xdr:cNvSpPr>
      </xdr:nvSpPr>
      <xdr:spPr bwMode="auto">
        <a:xfrm flipH="1">
          <a:off x="9744075" y="0"/>
          <a:ext cx="2390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1028700</xdr:colOff>
      <xdr:row>0</xdr:row>
      <xdr:rowOff>0</xdr:rowOff>
    </xdr:to>
    <xdr:sp macro="" textlink="">
      <xdr:nvSpPr>
        <xdr:cNvPr id="4382046" name="Line 107">
          <a:extLst>
            <a:ext uri="{FF2B5EF4-FFF2-40B4-BE49-F238E27FC236}">
              <a16:creationId xmlns="" xmlns:a16="http://schemas.microsoft.com/office/drawing/2014/main" id="{00000000-0008-0000-2100-00005EDD4200}"/>
            </a:ext>
          </a:extLst>
        </xdr:cNvPr>
        <xdr:cNvSpPr>
          <a:spLocks noChangeShapeType="1"/>
        </xdr:cNvSpPr>
      </xdr:nvSpPr>
      <xdr:spPr bwMode="auto">
        <a:xfrm flipH="1">
          <a:off x="9839325" y="0"/>
          <a:ext cx="2295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171450</xdr:colOff>
      <xdr:row>0</xdr:row>
      <xdr:rowOff>0</xdr:rowOff>
    </xdr:from>
    <xdr:to>
      <xdr:col>13</xdr:col>
      <xdr:colOff>552450</xdr:colOff>
      <xdr:row>0</xdr:row>
      <xdr:rowOff>0</xdr:rowOff>
    </xdr:to>
    <xdr:sp macro="" textlink="">
      <xdr:nvSpPr>
        <xdr:cNvPr id="4382047" name="Line 108">
          <a:extLst>
            <a:ext uri="{FF2B5EF4-FFF2-40B4-BE49-F238E27FC236}">
              <a16:creationId xmlns="" xmlns:a16="http://schemas.microsoft.com/office/drawing/2014/main" id="{00000000-0008-0000-2100-00005FDD4200}"/>
            </a:ext>
          </a:extLst>
        </xdr:cNvPr>
        <xdr:cNvSpPr>
          <a:spLocks noChangeShapeType="1"/>
        </xdr:cNvSpPr>
      </xdr:nvSpPr>
      <xdr:spPr bwMode="auto">
        <a:xfrm flipH="1">
          <a:off x="11087100" y="0"/>
          <a:ext cx="1600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457200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82048" name="Line 109">
          <a:extLst>
            <a:ext uri="{FF2B5EF4-FFF2-40B4-BE49-F238E27FC236}">
              <a16:creationId xmlns="" xmlns:a16="http://schemas.microsoft.com/office/drawing/2014/main" id="{00000000-0008-0000-2100-000060DD4200}"/>
            </a:ext>
          </a:extLst>
        </xdr:cNvPr>
        <xdr:cNvSpPr>
          <a:spLocks noChangeShapeType="1"/>
        </xdr:cNvSpPr>
      </xdr:nvSpPr>
      <xdr:spPr bwMode="auto">
        <a:xfrm flipH="1">
          <a:off x="11372850" y="0"/>
          <a:ext cx="2371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1104900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82049" name="Line 110">
          <a:extLst>
            <a:ext uri="{FF2B5EF4-FFF2-40B4-BE49-F238E27FC236}">
              <a16:creationId xmlns="" xmlns:a16="http://schemas.microsoft.com/office/drawing/2014/main" id="{00000000-0008-0000-2100-000061DD4200}"/>
            </a:ext>
          </a:extLst>
        </xdr:cNvPr>
        <xdr:cNvSpPr>
          <a:spLocks noChangeShapeType="1"/>
        </xdr:cNvSpPr>
      </xdr:nvSpPr>
      <xdr:spPr bwMode="auto">
        <a:xfrm>
          <a:off x="1157287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1085850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82050" name="Line 111">
          <a:extLst>
            <a:ext uri="{FF2B5EF4-FFF2-40B4-BE49-F238E27FC236}">
              <a16:creationId xmlns="" xmlns:a16="http://schemas.microsoft.com/office/drawing/2014/main" id="{00000000-0008-0000-2100-000062DD4200}"/>
            </a:ext>
          </a:extLst>
        </xdr:cNvPr>
        <xdr:cNvSpPr>
          <a:spLocks noChangeShapeType="1"/>
        </xdr:cNvSpPr>
      </xdr:nvSpPr>
      <xdr:spPr bwMode="auto">
        <a:xfrm>
          <a:off x="1157287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123825</xdr:colOff>
      <xdr:row>0</xdr:row>
      <xdr:rowOff>0</xdr:rowOff>
    </xdr:from>
    <xdr:to>
      <xdr:col>21</xdr:col>
      <xdr:colOff>438150</xdr:colOff>
      <xdr:row>0</xdr:row>
      <xdr:rowOff>0</xdr:rowOff>
    </xdr:to>
    <xdr:sp macro="" textlink="">
      <xdr:nvSpPr>
        <xdr:cNvPr id="113" name="Text Box 112">
          <a:extLst>
            <a:ext uri="{FF2B5EF4-FFF2-40B4-BE49-F238E27FC236}">
              <a16:creationId xmlns="" xmlns:a16="http://schemas.microsoft.com/office/drawing/2014/main" id="{00000000-0008-0000-2100-000071000000}"/>
            </a:ext>
          </a:extLst>
        </xdr:cNvPr>
        <xdr:cNvSpPr txBox="1">
          <a:spLocks noChangeArrowheads="1"/>
        </xdr:cNvSpPr>
      </xdr:nvSpPr>
      <xdr:spPr bwMode="auto">
        <a:xfrm>
          <a:off x="19516725" y="0"/>
          <a:ext cx="3143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1°</a:t>
          </a:r>
        </a:p>
      </xdr:txBody>
    </xdr:sp>
    <xdr:clientData/>
  </xdr:twoCellAnchor>
  <xdr:twoCellAnchor>
    <xdr:from>
      <xdr:col>19</xdr:col>
      <xdr:colOff>1285875</xdr:colOff>
      <xdr:row>0</xdr:row>
      <xdr:rowOff>0</xdr:rowOff>
    </xdr:from>
    <xdr:to>
      <xdr:col>21</xdr:col>
      <xdr:colOff>333375</xdr:colOff>
      <xdr:row>0</xdr:row>
      <xdr:rowOff>0</xdr:rowOff>
    </xdr:to>
    <xdr:sp macro="" textlink="">
      <xdr:nvSpPr>
        <xdr:cNvPr id="114" name="Text Box 113">
          <a:extLst>
            <a:ext uri="{FF2B5EF4-FFF2-40B4-BE49-F238E27FC236}">
              <a16:creationId xmlns="" xmlns:a16="http://schemas.microsoft.com/office/drawing/2014/main" id="{00000000-0008-0000-2100-000072000000}"/>
            </a:ext>
          </a:extLst>
        </xdr:cNvPr>
        <xdr:cNvSpPr txBox="1">
          <a:spLocks noChangeArrowheads="1"/>
        </xdr:cNvSpPr>
      </xdr:nvSpPr>
      <xdr:spPr bwMode="auto">
        <a:xfrm>
          <a:off x="18630900" y="0"/>
          <a:ext cx="10953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3°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5" name="Text Box 114">
          <a:extLst>
            <a:ext uri="{FF2B5EF4-FFF2-40B4-BE49-F238E27FC236}">
              <a16:creationId xmlns="" xmlns:a16="http://schemas.microsoft.com/office/drawing/2014/main" id="{00000000-0008-0000-2100-000073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21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6" name="Text Box 115">
          <a:extLst>
            <a:ext uri="{FF2B5EF4-FFF2-40B4-BE49-F238E27FC236}">
              <a16:creationId xmlns="" xmlns:a16="http://schemas.microsoft.com/office/drawing/2014/main" id="{00000000-0008-0000-2100-000074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19</xdr:col>
      <xdr:colOff>819150</xdr:colOff>
      <xdr:row>0</xdr:row>
      <xdr:rowOff>0</xdr:rowOff>
    </xdr:from>
    <xdr:to>
      <xdr:col>19</xdr:col>
      <xdr:colOff>1000125</xdr:colOff>
      <xdr:row>0</xdr:row>
      <xdr:rowOff>0</xdr:rowOff>
    </xdr:to>
    <xdr:sp macro="" textlink="">
      <xdr:nvSpPr>
        <xdr:cNvPr id="117" name="Text Box 116">
          <a:extLst>
            <a:ext uri="{FF2B5EF4-FFF2-40B4-BE49-F238E27FC236}">
              <a16:creationId xmlns="" xmlns:a16="http://schemas.microsoft.com/office/drawing/2014/main" id="{00000000-0008-0000-2100-000075000000}"/>
            </a:ext>
          </a:extLst>
        </xdr:cNvPr>
        <xdr:cNvSpPr txBox="1">
          <a:spLocks noChangeArrowheads="1"/>
        </xdr:cNvSpPr>
      </xdr:nvSpPr>
      <xdr:spPr bwMode="auto">
        <a:xfrm>
          <a:off x="18183225" y="0"/>
          <a:ext cx="1809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5°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8" name="Text Box 117">
          <a:extLst>
            <a:ext uri="{FF2B5EF4-FFF2-40B4-BE49-F238E27FC236}">
              <a16:creationId xmlns="" xmlns:a16="http://schemas.microsoft.com/office/drawing/2014/main" id="{00000000-0008-0000-2100-000076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6°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1" i="0" strike="noStrike">
              <a:solidFill>
                <a:srgbClr val="000000"/>
              </a:solidFill>
              <a:latin typeface="Times New Roman"/>
              <a:cs typeface="Times New Roman"/>
            </a:rPr>
            <a:t>6</a:t>
          </a:r>
        </a:p>
      </xdr:txBody>
    </xdr:sp>
    <xdr:clientData/>
  </xdr:twoCellAnchor>
  <xdr:twoCellAnchor>
    <xdr:from>
      <xdr:col>14</xdr:col>
      <xdr:colOff>266700</xdr:colOff>
      <xdr:row>15</xdr:row>
      <xdr:rowOff>38100</xdr:rowOff>
    </xdr:from>
    <xdr:to>
      <xdr:col>15</xdr:col>
      <xdr:colOff>352425</xdr:colOff>
      <xdr:row>16</xdr:row>
      <xdr:rowOff>161925</xdr:rowOff>
    </xdr:to>
    <xdr:sp macro="" textlink="">
      <xdr:nvSpPr>
        <xdr:cNvPr id="4382057" name="Text Box 118">
          <a:extLst>
            <a:ext uri="{FF2B5EF4-FFF2-40B4-BE49-F238E27FC236}">
              <a16:creationId xmlns="" xmlns:a16="http://schemas.microsoft.com/office/drawing/2014/main" id="{00000000-0008-0000-2100-000069DD4200}"/>
            </a:ext>
          </a:extLst>
        </xdr:cNvPr>
        <xdr:cNvSpPr txBox="1">
          <a:spLocks noChangeArrowheads="1"/>
        </xdr:cNvSpPr>
      </xdr:nvSpPr>
      <xdr:spPr bwMode="auto">
        <a:xfrm>
          <a:off x="13592175" y="5638800"/>
          <a:ext cx="1009650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19</xdr:col>
      <xdr:colOff>990600</xdr:colOff>
      <xdr:row>37</xdr:row>
      <xdr:rowOff>0</xdr:rowOff>
    </xdr:from>
    <xdr:to>
      <xdr:col>19</xdr:col>
      <xdr:colOff>990600</xdr:colOff>
      <xdr:row>37</xdr:row>
      <xdr:rowOff>0</xdr:rowOff>
    </xdr:to>
    <xdr:sp macro="" textlink="">
      <xdr:nvSpPr>
        <xdr:cNvPr id="4382058" name="Line 119">
          <a:extLst>
            <a:ext uri="{FF2B5EF4-FFF2-40B4-BE49-F238E27FC236}">
              <a16:creationId xmlns="" xmlns:a16="http://schemas.microsoft.com/office/drawing/2014/main" id="{00000000-0008-0000-2100-00006ADD4200}"/>
            </a:ext>
          </a:extLst>
        </xdr:cNvPr>
        <xdr:cNvSpPr>
          <a:spLocks noChangeShapeType="1"/>
        </xdr:cNvSpPr>
      </xdr:nvSpPr>
      <xdr:spPr bwMode="auto">
        <a:xfrm>
          <a:off x="18354675" y="13363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oneCell">
    <xdr:from>
      <xdr:col>2</xdr:col>
      <xdr:colOff>190500</xdr:colOff>
      <xdr:row>15</xdr:row>
      <xdr:rowOff>142875</xdr:rowOff>
    </xdr:from>
    <xdr:to>
      <xdr:col>4</xdr:col>
      <xdr:colOff>161925</xdr:colOff>
      <xdr:row>19</xdr:row>
      <xdr:rowOff>66675</xdr:rowOff>
    </xdr:to>
    <xdr:grpSp>
      <xdr:nvGrpSpPr>
        <xdr:cNvPr id="4382059" name="Group 120">
          <a:extLst>
            <a:ext uri="{FF2B5EF4-FFF2-40B4-BE49-F238E27FC236}">
              <a16:creationId xmlns="" xmlns:a16="http://schemas.microsoft.com/office/drawing/2014/main" id="{00000000-0008-0000-2100-00006BDD4200}"/>
            </a:ext>
          </a:extLst>
        </xdr:cNvPr>
        <xdr:cNvGrpSpPr>
          <a:grpSpLocks/>
        </xdr:cNvGrpSpPr>
      </xdr:nvGrpSpPr>
      <xdr:grpSpPr bwMode="auto">
        <a:xfrm>
          <a:off x="2819400" y="5857875"/>
          <a:ext cx="3000375" cy="1333500"/>
          <a:chOff x="358" y="540"/>
          <a:chExt cx="293" cy="139"/>
        </a:xfrm>
      </xdr:grpSpPr>
      <xdr:sp macro="" textlink="">
        <xdr:nvSpPr>
          <xdr:cNvPr id="4382089" name="Line 121">
            <a:extLst>
              <a:ext uri="{FF2B5EF4-FFF2-40B4-BE49-F238E27FC236}">
                <a16:creationId xmlns="" xmlns:a16="http://schemas.microsoft.com/office/drawing/2014/main" id="{00000000-0008-0000-2100-000089DD42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82090" name="Group 122">
            <a:extLst>
              <a:ext uri="{FF2B5EF4-FFF2-40B4-BE49-F238E27FC236}">
                <a16:creationId xmlns="" xmlns:a16="http://schemas.microsoft.com/office/drawing/2014/main" id="{00000000-0008-0000-2100-00008ADD42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382146" name="Line 123">
              <a:extLst>
                <a:ext uri="{FF2B5EF4-FFF2-40B4-BE49-F238E27FC236}">
                  <a16:creationId xmlns="" xmlns:a16="http://schemas.microsoft.com/office/drawing/2014/main" id="{00000000-0008-0000-2100-0000C2DD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82147" name="Line 124">
              <a:extLst>
                <a:ext uri="{FF2B5EF4-FFF2-40B4-BE49-F238E27FC236}">
                  <a16:creationId xmlns="" xmlns:a16="http://schemas.microsoft.com/office/drawing/2014/main" id="{00000000-0008-0000-2100-0000C3DD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82091" name="Line 125">
            <a:extLst>
              <a:ext uri="{FF2B5EF4-FFF2-40B4-BE49-F238E27FC236}">
                <a16:creationId xmlns="" xmlns:a16="http://schemas.microsoft.com/office/drawing/2014/main" id="{00000000-0008-0000-2100-00008BDD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2092" name="Line 126">
            <a:extLst>
              <a:ext uri="{FF2B5EF4-FFF2-40B4-BE49-F238E27FC236}">
                <a16:creationId xmlns="" xmlns:a16="http://schemas.microsoft.com/office/drawing/2014/main" id="{00000000-0008-0000-2100-00008CDD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2093" name="Line 127">
            <a:extLst>
              <a:ext uri="{FF2B5EF4-FFF2-40B4-BE49-F238E27FC236}">
                <a16:creationId xmlns="" xmlns:a16="http://schemas.microsoft.com/office/drawing/2014/main" id="{00000000-0008-0000-2100-00008DDD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2094" name="Line 128">
            <a:extLst>
              <a:ext uri="{FF2B5EF4-FFF2-40B4-BE49-F238E27FC236}">
                <a16:creationId xmlns="" xmlns:a16="http://schemas.microsoft.com/office/drawing/2014/main" id="{00000000-0008-0000-2100-00008EDD42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2095" name="Line 129">
            <a:extLst>
              <a:ext uri="{FF2B5EF4-FFF2-40B4-BE49-F238E27FC236}">
                <a16:creationId xmlns="" xmlns:a16="http://schemas.microsoft.com/office/drawing/2014/main" id="{00000000-0008-0000-2100-00008FDD42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82096" name="Group 130">
            <a:extLst>
              <a:ext uri="{FF2B5EF4-FFF2-40B4-BE49-F238E27FC236}">
                <a16:creationId xmlns="" xmlns:a16="http://schemas.microsoft.com/office/drawing/2014/main" id="{00000000-0008-0000-2100-000090DD42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382140" name="Line 131">
              <a:extLst>
                <a:ext uri="{FF2B5EF4-FFF2-40B4-BE49-F238E27FC236}">
                  <a16:creationId xmlns="" xmlns:a16="http://schemas.microsoft.com/office/drawing/2014/main" id="{00000000-0008-0000-2100-0000BCD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2141" name="Group 132">
              <a:extLst>
                <a:ext uri="{FF2B5EF4-FFF2-40B4-BE49-F238E27FC236}">
                  <a16:creationId xmlns="" xmlns:a16="http://schemas.microsoft.com/office/drawing/2014/main" id="{00000000-0008-0000-2100-0000BDDD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2142" name="Line 133">
                <a:extLst>
                  <a:ext uri="{FF2B5EF4-FFF2-40B4-BE49-F238E27FC236}">
                    <a16:creationId xmlns="" xmlns:a16="http://schemas.microsoft.com/office/drawing/2014/main" id="{00000000-0008-0000-2100-0000BEDD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2143" name="Group 134">
                <a:extLst>
                  <a:ext uri="{FF2B5EF4-FFF2-40B4-BE49-F238E27FC236}">
                    <a16:creationId xmlns="" xmlns:a16="http://schemas.microsoft.com/office/drawing/2014/main" id="{00000000-0008-0000-2100-0000BFDD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2144" name="Line 135">
                  <a:extLst>
                    <a:ext uri="{FF2B5EF4-FFF2-40B4-BE49-F238E27FC236}">
                      <a16:creationId xmlns="" xmlns:a16="http://schemas.microsoft.com/office/drawing/2014/main" id="{00000000-0008-0000-2100-0000C0D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2145" name="Line 136">
                  <a:extLst>
                    <a:ext uri="{FF2B5EF4-FFF2-40B4-BE49-F238E27FC236}">
                      <a16:creationId xmlns="" xmlns:a16="http://schemas.microsoft.com/office/drawing/2014/main" id="{00000000-0008-0000-2100-0000C1D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2097" name="Group 137">
            <a:extLst>
              <a:ext uri="{FF2B5EF4-FFF2-40B4-BE49-F238E27FC236}">
                <a16:creationId xmlns="" xmlns:a16="http://schemas.microsoft.com/office/drawing/2014/main" id="{00000000-0008-0000-2100-000091DD42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382134" name="Line 138">
              <a:extLst>
                <a:ext uri="{FF2B5EF4-FFF2-40B4-BE49-F238E27FC236}">
                  <a16:creationId xmlns="" xmlns:a16="http://schemas.microsoft.com/office/drawing/2014/main" id="{00000000-0008-0000-2100-0000B6D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2135" name="Group 139">
              <a:extLst>
                <a:ext uri="{FF2B5EF4-FFF2-40B4-BE49-F238E27FC236}">
                  <a16:creationId xmlns="" xmlns:a16="http://schemas.microsoft.com/office/drawing/2014/main" id="{00000000-0008-0000-2100-0000B7DD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2136" name="Line 140">
                <a:extLst>
                  <a:ext uri="{FF2B5EF4-FFF2-40B4-BE49-F238E27FC236}">
                    <a16:creationId xmlns="" xmlns:a16="http://schemas.microsoft.com/office/drawing/2014/main" id="{00000000-0008-0000-2100-0000B8DD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2137" name="Group 141">
                <a:extLst>
                  <a:ext uri="{FF2B5EF4-FFF2-40B4-BE49-F238E27FC236}">
                    <a16:creationId xmlns="" xmlns:a16="http://schemas.microsoft.com/office/drawing/2014/main" id="{00000000-0008-0000-2100-0000B9DD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2138" name="Line 142">
                  <a:extLst>
                    <a:ext uri="{FF2B5EF4-FFF2-40B4-BE49-F238E27FC236}">
                      <a16:creationId xmlns="" xmlns:a16="http://schemas.microsoft.com/office/drawing/2014/main" id="{00000000-0008-0000-2100-0000BAD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2139" name="Line 143">
                  <a:extLst>
                    <a:ext uri="{FF2B5EF4-FFF2-40B4-BE49-F238E27FC236}">
                      <a16:creationId xmlns="" xmlns:a16="http://schemas.microsoft.com/office/drawing/2014/main" id="{00000000-0008-0000-2100-0000BBD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2098" name="Group 144">
            <a:extLst>
              <a:ext uri="{FF2B5EF4-FFF2-40B4-BE49-F238E27FC236}">
                <a16:creationId xmlns="" xmlns:a16="http://schemas.microsoft.com/office/drawing/2014/main" id="{00000000-0008-0000-2100-000092DD42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382128" name="Line 145">
              <a:extLst>
                <a:ext uri="{FF2B5EF4-FFF2-40B4-BE49-F238E27FC236}">
                  <a16:creationId xmlns="" xmlns:a16="http://schemas.microsoft.com/office/drawing/2014/main" id="{00000000-0008-0000-2100-0000B0D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2129" name="Group 146">
              <a:extLst>
                <a:ext uri="{FF2B5EF4-FFF2-40B4-BE49-F238E27FC236}">
                  <a16:creationId xmlns="" xmlns:a16="http://schemas.microsoft.com/office/drawing/2014/main" id="{00000000-0008-0000-2100-0000B1DD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2130" name="Line 147">
                <a:extLst>
                  <a:ext uri="{FF2B5EF4-FFF2-40B4-BE49-F238E27FC236}">
                    <a16:creationId xmlns="" xmlns:a16="http://schemas.microsoft.com/office/drawing/2014/main" id="{00000000-0008-0000-2100-0000B2DD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2131" name="Group 148">
                <a:extLst>
                  <a:ext uri="{FF2B5EF4-FFF2-40B4-BE49-F238E27FC236}">
                    <a16:creationId xmlns="" xmlns:a16="http://schemas.microsoft.com/office/drawing/2014/main" id="{00000000-0008-0000-2100-0000B3DD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2132" name="Line 149">
                  <a:extLst>
                    <a:ext uri="{FF2B5EF4-FFF2-40B4-BE49-F238E27FC236}">
                      <a16:creationId xmlns="" xmlns:a16="http://schemas.microsoft.com/office/drawing/2014/main" id="{00000000-0008-0000-2100-0000B4D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2133" name="Line 150">
                  <a:extLst>
                    <a:ext uri="{FF2B5EF4-FFF2-40B4-BE49-F238E27FC236}">
                      <a16:creationId xmlns="" xmlns:a16="http://schemas.microsoft.com/office/drawing/2014/main" id="{00000000-0008-0000-2100-0000B5D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2099" name="Group 151">
            <a:extLst>
              <a:ext uri="{FF2B5EF4-FFF2-40B4-BE49-F238E27FC236}">
                <a16:creationId xmlns="" xmlns:a16="http://schemas.microsoft.com/office/drawing/2014/main" id="{00000000-0008-0000-2100-000093DD42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382122" name="Line 152">
              <a:extLst>
                <a:ext uri="{FF2B5EF4-FFF2-40B4-BE49-F238E27FC236}">
                  <a16:creationId xmlns="" xmlns:a16="http://schemas.microsoft.com/office/drawing/2014/main" id="{00000000-0008-0000-2100-0000AAD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2123" name="Group 153">
              <a:extLst>
                <a:ext uri="{FF2B5EF4-FFF2-40B4-BE49-F238E27FC236}">
                  <a16:creationId xmlns="" xmlns:a16="http://schemas.microsoft.com/office/drawing/2014/main" id="{00000000-0008-0000-2100-0000ABDD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2124" name="Line 154">
                <a:extLst>
                  <a:ext uri="{FF2B5EF4-FFF2-40B4-BE49-F238E27FC236}">
                    <a16:creationId xmlns="" xmlns:a16="http://schemas.microsoft.com/office/drawing/2014/main" id="{00000000-0008-0000-2100-0000ACDD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2125" name="Group 155">
                <a:extLst>
                  <a:ext uri="{FF2B5EF4-FFF2-40B4-BE49-F238E27FC236}">
                    <a16:creationId xmlns="" xmlns:a16="http://schemas.microsoft.com/office/drawing/2014/main" id="{00000000-0008-0000-2100-0000ADDD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2126" name="Line 156">
                  <a:extLst>
                    <a:ext uri="{FF2B5EF4-FFF2-40B4-BE49-F238E27FC236}">
                      <a16:creationId xmlns="" xmlns:a16="http://schemas.microsoft.com/office/drawing/2014/main" id="{00000000-0008-0000-2100-0000AED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2127" name="Line 157">
                  <a:extLst>
                    <a:ext uri="{FF2B5EF4-FFF2-40B4-BE49-F238E27FC236}">
                      <a16:creationId xmlns="" xmlns:a16="http://schemas.microsoft.com/office/drawing/2014/main" id="{00000000-0008-0000-2100-0000AFD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2100" name="Group 158">
            <a:extLst>
              <a:ext uri="{FF2B5EF4-FFF2-40B4-BE49-F238E27FC236}">
                <a16:creationId xmlns="" xmlns:a16="http://schemas.microsoft.com/office/drawing/2014/main" id="{00000000-0008-0000-2100-000094DD42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382116" name="Line 159">
              <a:extLst>
                <a:ext uri="{FF2B5EF4-FFF2-40B4-BE49-F238E27FC236}">
                  <a16:creationId xmlns="" xmlns:a16="http://schemas.microsoft.com/office/drawing/2014/main" id="{00000000-0008-0000-2100-0000A4D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2117" name="Group 160">
              <a:extLst>
                <a:ext uri="{FF2B5EF4-FFF2-40B4-BE49-F238E27FC236}">
                  <a16:creationId xmlns="" xmlns:a16="http://schemas.microsoft.com/office/drawing/2014/main" id="{00000000-0008-0000-2100-0000A5DD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2118" name="Line 161">
                <a:extLst>
                  <a:ext uri="{FF2B5EF4-FFF2-40B4-BE49-F238E27FC236}">
                    <a16:creationId xmlns="" xmlns:a16="http://schemas.microsoft.com/office/drawing/2014/main" id="{00000000-0008-0000-2100-0000A6DD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2119" name="Group 162">
                <a:extLst>
                  <a:ext uri="{FF2B5EF4-FFF2-40B4-BE49-F238E27FC236}">
                    <a16:creationId xmlns="" xmlns:a16="http://schemas.microsoft.com/office/drawing/2014/main" id="{00000000-0008-0000-2100-0000A7DD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2120" name="Line 163">
                  <a:extLst>
                    <a:ext uri="{FF2B5EF4-FFF2-40B4-BE49-F238E27FC236}">
                      <a16:creationId xmlns="" xmlns:a16="http://schemas.microsoft.com/office/drawing/2014/main" id="{00000000-0008-0000-2100-0000A8D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2121" name="Line 164">
                  <a:extLst>
                    <a:ext uri="{FF2B5EF4-FFF2-40B4-BE49-F238E27FC236}">
                      <a16:creationId xmlns="" xmlns:a16="http://schemas.microsoft.com/office/drawing/2014/main" id="{00000000-0008-0000-2100-0000A9D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2101" name="Group 165">
            <a:extLst>
              <a:ext uri="{FF2B5EF4-FFF2-40B4-BE49-F238E27FC236}">
                <a16:creationId xmlns="" xmlns:a16="http://schemas.microsoft.com/office/drawing/2014/main" id="{00000000-0008-0000-2100-000095DD42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382110" name="Line 166">
              <a:extLst>
                <a:ext uri="{FF2B5EF4-FFF2-40B4-BE49-F238E27FC236}">
                  <a16:creationId xmlns="" xmlns:a16="http://schemas.microsoft.com/office/drawing/2014/main" id="{00000000-0008-0000-2100-00009ED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2111" name="Group 167">
              <a:extLst>
                <a:ext uri="{FF2B5EF4-FFF2-40B4-BE49-F238E27FC236}">
                  <a16:creationId xmlns="" xmlns:a16="http://schemas.microsoft.com/office/drawing/2014/main" id="{00000000-0008-0000-2100-00009FDD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2112" name="Line 168">
                <a:extLst>
                  <a:ext uri="{FF2B5EF4-FFF2-40B4-BE49-F238E27FC236}">
                    <a16:creationId xmlns="" xmlns:a16="http://schemas.microsoft.com/office/drawing/2014/main" id="{00000000-0008-0000-2100-0000A0DD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2113" name="Group 169">
                <a:extLst>
                  <a:ext uri="{FF2B5EF4-FFF2-40B4-BE49-F238E27FC236}">
                    <a16:creationId xmlns="" xmlns:a16="http://schemas.microsoft.com/office/drawing/2014/main" id="{00000000-0008-0000-2100-0000A1DD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2114" name="Line 170">
                  <a:extLst>
                    <a:ext uri="{FF2B5EF4-FFF2-40B4-BE49-F238E27FC236}">
                      <a16:creationId xmlns="" xmlns:a16="http://schemas.microsoft.com/office/drawing/2014/main" id="{00000000-0008-0000-2100-0000A2D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2115" name="Line 171">
                  <a:extLst>
                    <a:ext uri="{FF2B5EF4-FFF2-40B4-BE49-F238E27FC236}">
                      <a16:creationId xmlns="" xmlns:a16="http://schemas.microsoft.com/office/drawing/2014/main" id="{00000000-0008-0000-2100-0000A3D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2102" name="Group 172">
            <a:extLst>
              <a:ext uri="{FF2B5EF4-FFF2-40B4-BE49-F238E27FC236}">
                <a16:creationId xmlns="" xmlns:a16="http://schemas.microsoft.com/office/drawing/2014/main" id="{00000000-0008-0000-2100-000096DD42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382104" name="Line 173">
              <a:extLst>
                <a:ext uri="{FF2B5EF4-FFF2-40B4-BE49-F238E27FC236}">
                  <a16:creationId xmlns="" xmlns:a16="http://schemas.microsoft.com/office/drawing/2014/main" id="{00000000-0008-0000-2100-000098D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2105" name="Group 174">
              <a:extLst>
                <a:ext uri="{FF2B5EF4-FFF2-40B4-BE49-F238E27FC236}">
                  <a16:creationId xmlns="" xmlns:a16="http://schemas.microsoft.com/office/drawing/2014/main" id="{00000000-0008-0000-2100-000099DD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2106" name="Line 175">
                <a:extLst>
                  <a:ext uri="{FF2B5EF4-FFF2-40B4-BE49-F238E27FC236}">
                    <a16:creationId xmlns="" xmlns:a16="http://schemas.microsoft.com/office/drawing/2014/main" id="{00000000-0008-0000-2100-00009ADD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2107" name="Group 176">
                <a:extLst>
                  <a:ext uri="{FF2B5EF4-FFF2-40B4-BE49-F238E27FC236}">
                    <a16:creationId xmlns="" xmlns:a16="http://schemas.microsoft.com/office/drawing/2014/main" id="{00000000-0008-0000-2100-00009BDD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2108" name="Line 177">
                  <a:extLst>
                    <a:ext uri="{FF2B5EF4-FFF2-40B4-BE49-F238E27FC236}">
                      <a16:creationId xmlns="" xmlns:a16="http://schemas.microsoft.com/office/drawing/2014/main" id="{00000000-0008-0000-2100-00009CD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2109" name="Line 178">
                  <a:extLst>
                    <a:ext uri="{FF2B5EF4-FFF2-40B4-BE49-F238E27FC236}">
                      <a16:creationId xmlns="" xmlns:a16="http://schemas.microsoft.com/office/drawing/2014/main" id="{00000000-0008-0000-2100-00009DD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82103" name="Line 179">
            <a:extLst>
              <a:ext uri="{FF2B5EF4-FFF2-40B4-BE49-F238E27FC236}">
                <a16:creationId xmlns="" xmlns:a16="http://schemas.microsoft.com/office/drawing/2014/main" id="{00000000-0008-0000-2100-000097DD42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-3562350</xdr:colOff>
      <xdr:row>23</xdr:row>
      <xdr:rowOff>57150</xdr:rowOff>
    </xdr:from>
    <xdr:to>
      <xdr:col>0</xdr:col>
      <xdr:colOff>-3467100</xdr:colOff>
      <xdr:row>30</xdr:row>
      <xdr:rowOff>57150</xdr:rowOff>
    </xdr:to>
    <xdr:grpSp>
      <xdr:nvGrpSpPr>
        <xdr:cNvPr id="4382060" name="Group 193">
          <a:extLst>
            <a:ext uri="{FF2B5EF4-FFF2-40B4-BE49-F238E27FC236}">
              <a16:creationId xmlns="" xmlns:a16="http://schemas.microsoft.com/office/drawing/2014/main" id="{00000000-0008-0000-2100-00006CDD4200}"/>
            </a:ext>
          </a:extLst>
        </xdr:cNvPr>
        <xdr:cNvGrpSpPr>
          <a:grpSpLocks/>
        </xdr:cNvGrpSpPr>
      </xdr:nvGrpSpPr>
      <xdr:grpSpPr bwMode="auto">
        <a:xfrm>
          <a:off x="-3562350" y="8153400"/>
          <a:ext cx="95250" cy="2343150"/>
          <a:chOff x="842" y="438"/>
          <a:chExt cx="10" cy="147"/>
        </a:xfrm>
      </xdr:grpSpPr>
      <xdr:sp macro="" textlink="">
        <xdr:nvSpPr>
          <xdr:cNvPr id="4382087" name="Line 194">
            <a:extLst>
              <a:ext uri="{FF2B5EF4-FFF2-40B4-BE49-F238E27FC236}">
                <a16:creationId xmlns="" xmlns:a16="http://schemas.microsoft.com/office/drawing/2014/main" id="{00000000-0008-0000-2100-000087DD42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2088" name="Line 195">
            <a:extLst>
              <a:ext uri="{FF2B5EF4-FFF2-40B4-BE49-F238E27FC236}">
                <a16:creationId xmlns="" xmlns:a16="http://schemas.microsoft.com/office/drawing/2014/main" id="{00000000-0008-0000-2100-000088DD42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0</xdr:row>
      <xdr:rowOff>133350</xdr:rowOff>
    </xdr:from>
    <xdr:to>
      <xdr:col>21</xdr:col>
      <xdr:colOff>1314450</xdr:colOff>
      <xdr:row>2</xdr:row>
      <xdr:rowOff>28575</xdr:rowOff>
    </xdr:to>
    <xdr:sp macro="" textlink="">
      <xdr:nvSpPr>
        <xdr:cNvPr id="4321005" name="Rectangle 250">
          <a:extLst>
            <a:ext uri="{FF2B5EF4-FFF2-40B4-BE49-F238E27FC236}">
              <a16:creationId xmlns="" xmlns:a16="http://schemas.microsoft.com/office/drawing/2014/main" id="{00000000-0008-0000-2100-0000EDEE4100}"/>
            </a:ext>
          </a:extLst>
        </xdr:cNvPr>
        <xdr:cNvSpPr>
          <a:spLocks noChangeArrowheads="1"/>
        </xdr:cNvSpPr>
      </xdr:nvSpPr>
      <xdr:spPr bwMode="auto">
        <a:xfrm>
          <a:off x="2324100" y="133350"/>
          <a:ext cx="17506950" cy="5524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  <xdr:txBody>
        <a:bodyPr/>
        <a:lstStyle/>
        <a:p>
          <a:endParaRPr lang="it-IT"/>
        </a:p>
      </xdr:txBody>
    </xdr:sp>
    <xdr:clientData/>
  </xdr:twoCellAnchor>
  <xdr:twoCellAnchor>
    <xdr:from>
      <xdr:col>19</xdr:col>
      <xdr:colOff>990600</xdr:colOff>
      <xdr:row>36</xdr:row>
      <xdr:rowOff>0</xdr:rowOff>
    </xdr:from>
    <xdr:to>
      <xdr:col>19</xdr:col>
      <xdr:colOff>990600</xdr:colOff>
      <xdr:row>36</xdr:row>
      <xdr:rowOff>0</xdr:rowOff>
    </xdr:to>
    <xdr:sp macro="" textlink="">
      <xdr:nvSpPr>
        <xdr:cNvPr id="4382062" name="Line 251">
          <a:extLst>
            <a:ext uri="{FF2B5EF4-FFF2-40B4-BE49-F238E27FC236}">
              <a16:creationId xmlns="" xmlns:a16="http://schemas.microsoft.com/office/drawing/2014/main" id="{00000000-0008-0000-2100-00006EDD4200}"/>
            </a:ext>
          </a:extLst>
        </xdr:cNvPr>
        <xdr:cNvSpPr>
          <a:spLocks noChangeShapeType="1"/>
        </xdr:cNvSpPr>
      </xdr:nvSpPr>
      <xdr:spPr bwMode="auto">
        <a:xfrm>
          <a:off x="18354675" y="129063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285750</xdr:colOff>
      <xdr:row>22</xdr:row>
      <xdr:rowOff>133350</xdr:rowOff>
    </xdr:from>
    <xdr:to>
      <xdr:col>10</xdr:col>
      <xdr:colOff>647700</xdr:colOff>
      <xdr:row>34</xdr:row>
      <xdr:rowOff>123825</xdr:rowOff>
    </xdr:to>
    <xdr:grpSp>
      <xdr:nvGrpSpPr>
        <xdr:cNvPr id="4382063" name="Gruppo 254">
          <a:extLst>
            <a:ext uri="{FF2B5EF4-FFF2-40B4-BE49-F238E27FC236}">
              <a16:creationId xmlns="" xmlns:a16="http://schemas.microsoft.com/office/drawing/2014/main" id="{00000000-0008-0000-2100-00006FDD4200}"/>
            </a:ext>
          </a:extLst>
        </xdr:cNvPr>
        <xdr:cNvGrpSpPr>
          <a:grpSpLocks/>
        </xdr:cNvGrpSpPr>
      </xdr:nvGrpSpPr>
      <xdr:grpSpPr bwMode="auto">
        <a:xfrm>
          <a:off x="2609850" y="8039100"/>
          <a:ext cx="9010650" cy="4352925"/>
          <a:chOff x="32032547" y="4916090"/>
          <a:chExt cx="6320731" cy="4069880"/>
        </a:xfrm>
      </xdr:grpSpPr>
      <xdr:sp macro="" textlink="">
        <xdr:nvSpPr>
          <xdr:cNvPr id="4382065" name="Line 181">
            <a:extLst>
              <a:ext uri="{FF2B5EF4-FFF2-40B4-BE49-F238E27FC236}">
                <a16:creationId xmlns="" xmlns:a16="http://schemas.microsoft.com/office/drawing/2014/main" id="{00000000-0008-0000-2100-000071DD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039228" y="6007380"/>
            <a:ext cx="48107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2066" name="Line 182">
            <a:extLst>
              <a:ext uri="{FF2B5EF4-FFF2-40B4-BE49-F238E27FC236}">
                <a16:creationId xmlns="" xmlns:a16="http://schemas.microsoft.com/office/drawing/2014/main" id="{00000000-0008-0000-2100-000072DD4200}"/>
              </a:ext>
            </a:extLst>
          </xdr:cNvPr>
          <xdr:cNvSpPr>
            <a:spLocks noChangeShapeType="1"/>
          </xdr:cNvSpPr>
        </xdr:nvSpPr>
        <xdr:spPr bwMode="auto">
          <a:xfrm>
            <a:off x="32039228" y="5327889"/>
            <a:ext cx="0" cy="365808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2067" name="Line 183">
            <a:extLst>
              <a:ext uri="{FF2B5EF4-FFF2-40B4-BE49-F238E27FC236}">
                <a16:creationId xmlns="" xmlns:a16="http://schemas.microsoft.com/office/drawing/2014/main" id="{00000000-0008-0000-2100-000073DD4200}"/>
              </a:ext>
            </a:extLst>
          </xdr:cNvPr>
          <xdr:cNvSpPr>
            <a:spLocks noChangeShapeType="1"/>
          </xdr:cNvSpPr>
        </xdr:nvSpPr>
        <xdr:spPr bwMode="auto">
          <a:xfrm>
            <a:off x="32045909" y="6407627"/>
            <a:ext cx="13630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2068" name="Line 184">
            <a:extLst>
              <a:ext uri="{FF2B5EF4-FFF2-40B4-BE49-F238E27FC236}">
                <a16:creationId xmlns="" xmlns:a16="http://schemas.microsoft.com/office/drawing/2014/main" id="{00000000-0008-0000-2100-000074DD4200}"/>
              </a:ext>
            </a:extLst>
          </xdr:cNvPr>
          <xdr:cNvSpPr>
            <a:spLocks noChangeShapeType="1"/>
          </xdr:cNvSpPr>
        </xdr:nvSpPr>
        <xdr:spPr bwMode="auto">
          <a:xfrm>
            <a:off x="32039228" y="6863724"/>
            <a:ext cx="22316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2069" name="Line 185">
            <a:extLst>
              <a:ext uri="{FF2B5EF4-FFF2-40B4-BE49-F238E27FC236}">
                <a16:creationId xmlns="" xmlns:a16="http://schemas.microsoft.com/office/drawing/2014/main" id="{00000000-0008-0000-2100-000075DD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45909" y="7254664"/>
            <a:ext cx="306014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2070" name="Line 186">
            <a:extLst>
              <a:ext uri="{FF2B5EF4-FFF2-40B4-BE49-F238E27FC236}">
                <a16:creationId xmlns="" xmlns:a16="http://schemas.microsoft.com/office/drawing/2014/main" id="{00000000-0008-0000-2100-000076DD4200}"/>
              </a:ext>
            </a:extLst>
          </xdr:cNvPr>
          <xdr:cNvSpPr>
            <a:spLocks noChangeShapeType="1"/>
          </xdr:cNvSpPr>
        </xdr:nvSpPr>
        <xdr:spPr bwMode="auto">
          <a:xfrm>
            <a:off x="32520299" y="4964873"/>
            <a:ext cx="0" cy="115420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2071" name="Line 187">
            <a:extLst>
              <a:ext uri="{FF2B5EF4-FFF2-40B4-BE49-F238E27FC236}">
                <a16:creationId xmlns="" xmlns:a16="http://schemas.microsoft.com/office/drawing/2014/main" id="{00000000-0008-0000-2100-000077DD4200}"/>
              </a:ext>
            </a:extLst>
          </xdr:cNvPr>
          <xdr:cNvSpPr>
            <a:spLocks noChangeShapeType="1"/>
          </xdr:cNvSpPr>
        </xdr:nvSpPr>
        <xdr:spPr bwMode="auto">
          <a:xfrm>
            <a:off x="32065954" y="5030029"/>
            <a:ext cx="414255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2072" name="Line 188">
            <a:extLst>
              <a:ext uri="{FF2B5EF4-FFF2-40B4-BE49-F238E27FC236}">
                <a16:creationId xmlns="" xmlns:a16="http://schemas.microsoft.com/office/drawing/2014/main" id="{00000000-0008-0000-2100-000078DD4200}"/>
              </a:ext>
            </a:extLst>
          </xdr:cNvPr>
          <xdr:cNvSpPr>
            <a:spLocks noChangeShapeType="1"/>
          </xdr:cNvSpPr>
        </xdr:nvSpPr>
        <xdr:spPr bwMode="auto">
          <a:xfrm>
            <a:off x="33408943" y="4955565"/>
            <a:ext cx="0" cy="149860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2073" name="Line 189">
            <a:extLst>
              <a:ext uri="{FF2B5EF4-FFF2-40B4-BE49-F238E27FC236}">
                <a16:creationId xmlns="" xmlns:a16="http://schemas.microsoft.com/office/drawing/2014/main" id="{00000000-0008-0000-2100-000079DD4200}"/>
              </a:ext>
            </a:extLst>
          </xdr:cNvPr>
          <xdr:cNvSpPr>
            <a:spLocks noChangeShapeType="1"/>
          </xdr:cNvSpPr>
        </xdr:nvSpPr>
        <xdr:spPr bwMode="auto">
          <a:xfrm>
            <a:off x="32841012" y="5039338"/>
            <a:ext cx="88864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2074" name="Line 191">
            <a:extLst>
              <a:ext uri="{FF2B5EF4-FFF2-40B4-BE49-F238E27FC236}">
                <a16:creationId xmlns="" xmlns:a16="http://schemas.microsoft.com/office/drawing/2014/main" id="{00000000-0008-0000-2100-00007ADD4200}"/>
              </a:ext>
            </a:extLst>
          </xdr:cNvPr>
          <xdr:cNvSpPr>
            <a:spLocks noChangeShapeType="1"/>
          </xdr:cNvSpPr>
        </xdr:nvSpPr>
        <xdr:spPr bwMode="auto">
          <a:xfrm>
            <a:off x="34241720" y="5042775"/>
            <a:ext cx="0" cy="209917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2075" name="Rectangle 196">
            <a:extLst>
              <a:ext uri="{FF2B5EF4-FFF2-40B4-BE49-F238E27FC236}">
                <a16:creationId xmlns="" xmlns:a16="http://schemas.microsoft.com/office/drawing/2014/main" id="{00000000-0008-0000-2100-00007BDD4200}"/>
              </a:ext>
            </a:extLst>
          </xdr:cNvPr>
          <xdr:cNvSpPr>
            <a:spLocks noChangeArrowheads="1"/>
          </xdr:cNvSpPr>
        </xdr:nvSpPr>
        <xdr:spPr bwMode="auto">
          <a:xfrm>
            <a:off x="32039227" y="4918332"/>
            <a:ext cx="6314051" cy="363016"/>
          </a:xfrm>
          <a:prstGeom prst="rect">
            <a:avLst/>
          </a:prstGeom>
          <a:noFill/>
          <a:ln w="158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82076" name="Line 197">
            <a:extLst>
              <a:ext uri="{FF2B5EF4-FFF2-40B4-BE49-F238E27FC236}">
                <a16:creationId xmlns="" xmlns:a16="http://schemas.microsoft.com/office/drawing/2014/main" id="{00000000-0008-0000-2100-00007CDD4200}"/>
              </a:ext>
            </a:extLst>
          </xdr:cNvPr>
          <xdr:cNvSpPr>
            <a:spLocks noChangeShapeType="1"/>
          </xdr:cNvSpPr>
        </xdr:nvSpPr>
        <xdr:spPr bwMode="auto">
          <a:xfrm>
            <a:off x="38039246" y="4955565"/>
            <a:ext cx="0" cy="398386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2077" name="Line 199">
            <a:extLst>
              <a:ext uri="{FF2B5EF4-FFF2-40B4-BE49-F238E27FC236}">
                <a16:creationId xmlns="" xmlns:a16="http://schemas.microsoft.com/office/drawing/2014/main" id="{00000000-0008-0000-2100-00007DDD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032547" y="8939429"/>
            <a:ext cx="600001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2078" name="Line 201">
            <a:extLst>
              <a:ext uri="{FF2B5EF4-FFF2-40B4-BE49-F238E27FC236}">
                <a16:creationId xmlns="" xmlns:a16="http://schemas.microsoft.com/office/drawing/2014/main" id="{00000000-0008-0000-2100-00007EDD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5082562" y="5032371"/>
            <a:ext cx="0" cy="2362448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2079" name="Line 202">
            <a:extLst>
              <a:ext uri="{FF2B5EF4-FFF2-40B4-BE49-F238E27FC236}">
                <a16:creationId xmlns="" xmlns:a16="http://schemas.microsoft.com/office/drawing/2014/main" id="{00000000-0008-0000-2100-00007FDD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7758028" y="5032371"/>
            <a:ext cx="8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2080" name="Line 203">
            <a:extLst>
              <a:ext uri="{FF2B5EF4-FFF2-40B4-BE49-F238E27FC236}">
                <a16:creationId xmlns="" xmlns:a16="http://schemas.microsoft.com/office/drawing/2014/main" id="{00000000-0008-0000-2100-000080DD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7692145"/>
            <a:ext cx="388865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2081" name="Line 204">
            <a:extLst>
              <a:ext uri="{FF2B5EF4-FFF2-40B4-BE49-F238E27FC236}">
                <a16:creationId xmlns="" xmlns:a16="http://schemas.microsoft.com/office/drawing/2014/main" id="{00000000-0008-0000-2100-000081DD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8148242"/>
            <a:ext cx="469711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2082" name="Line 205">
            <a:extLst>
              <a:ext uri="{FF2B5EF4-FFF2-40B4-BE49-F238E27FC236}">
                <a16:creationId xmlns="" xmlns:a16="http://schemas.microsoft.com/office/drawing/2014/main" id="{00000000-0008-0000-2100-000082DD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8529873"/>
            <a:ext cx="5405362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2083" name="Line 207">
            <a:extLst>
              <a:ext uri="{FF2B5EF4-FFF2-40B4-BE49-F238E27FC236}">
                <a16:creationId xmlns="" xmlns:a16="http://schemas.microsoft.com/office/drawing/2014/main" id="{00000000-0008-0000-2100-000083DD4200}"/>
              </a:ext>
            </a:extLst>
          </xdr:cNvPr>
          <xdr:cNvSpPr>
            <a:spLocks noChangeShapeType="1"/>
          </xdr:cNvSpPr>
        </xdr:nvSpPr>
        <xdr:spPr bwMode="auto">
          <a:xfrm>
            <a:off x="35903589" y="4964873"/>
            <a:ext cx="0" cy="291533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2084" name="Line 210">
            <a:extLst>
              <a:ext uri="{FF2B5EF4-FFF2-40B4-BE49-F238E27FC236}">
                <a16:creationId xmlns="" xmlns:a16="http://schemas.microsoft.com/office/drawing/2014/main" id="{00000000-0008-0000-2100-000084DD4200}"/>
              </a:ext>
            </a:extLst>
          </xdr:cNvPr>
          <xdr:cNvSpPr>
            <a:spLocks noChangeShapeType="1"/>
          </xdr:cNvSpPr>
        </xdr:nvSpPr>
        <xdr:spPr bwMode="auto">
          <a:xfrm>
            <a:off x="37410345" y="4985564"/>
            <a:ext cx="0" cy="3620849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2085" name="Line 212">
            <a:extLst>
              <a:ext uri="{FF2B5EF4-FFF2-40B4-BE49-F238E27FC236}">
                <a16:creationId xmlns="" xmlns:a16="http://schemas.microsoft.com/office/drawing/2014/main" id="{00000000-0008-0000-2100-000085DD4200}"/>
              </a:ext>
            </a:extLst>
          </xdr:cNvPr>
          <xdr:cNvSpPr>
            <a:spLocks noChangeShapeType="1"/>
          </xdr:cNvSpPr>
        </xdr:nvSpPr>
        <xdr:spPr bwMode="auto">
          <a:xfrm>
            <a:off x="37945705" y="5039338"/>
            <a:ext cx="17372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2086" name="Line 210">
            <a:extLst>
              <a:ext uri="{FF2B5EF4-FFF2-40B4-BE49-F238E27FC236}">
                <a16:creationId xmlns="" xmlns:a16="http://schemas.microsoft.com/office/drawing/2014/main" id="{00000000-0008-0000-2100-000086DD4200}"/>
              </a:ext>
            </a:extLst>
          </xdr:cNvPr>
          <xdr:cNvSpPr>
            <a:spLocks noChangeShapeType="1"/>
          </xdr:cNvSpPr>
        </xdr:nvSpPr>
        <xdr:spPr bwMode="auto">
          <a:xfrm>
            <a:off x="36723957" y="4916090"/>
            <a:ext cx="0" cy="3347106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12</xdr:col>
      <xdr:colOff>209550</xdr:colOff>
      <xdr:row>19</xdr:row>
      <xdr:rowOff>142875</xdr:rowOff>
    </xdr:from>
    <xdr:to>
      <xdr:col>22</xdr:col>
      <xdr:colOff>0</xdr:colOff>
      <xdr:row>31</xdr:row>
      <xdr:rowOff>161925</xdr:rowOff>
    </xdr:to>
    <xdr:pic>
      <xdr:nvPicPr>
        <xdr:cNvPr id="4382064" name="Picture 1">
          <a:extLst>
            <a:ext uri="{FF2B5EF4-FFF2-40B4-BE49-F238E27FC236}">
              <a16:creationId xmlns="" xmlns:a16="http://schemas.microsoft.com/office/drawing/2014/main" id="{00000000-0008-0000-2100-000070DD4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2096750" y="7143750"/>
          <a:ext cx="7734300" cy="3771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83953" name="Line 1">
          <a:extLst>
            <a:ext uri="{FF2B5EF4-FFF2-40B4-BE49-F238E27FC236}">
              <a16:creationId xmlns="" xmlns:a16="http://schemas.microsoft.com/office/drawing/2014/main" id="{00000000-0008-0000-2200-0000D1E44200}"/>
            </a:ext>
          </a:extLst>
        </xdr:cNvPr>
        <xdr:cNvSpPr>
          <a:spLocks noChangeShapeType="1"/>
        </xdr:cNvSpPr>
      </xdr:nvSpPr>
      <xdr:spPr bwMode="auto">
        <a:xfrm flipV="1"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83954" name="Line 2">
          <a:extLst>
            <a:ext uri="{FF2B5EF4-FFF2-40B4-BE49-F238E27FC236}">
              <a16:creationId xmlns="" xmlns:a16="http://schemas.microsoft.com/office/drawing/2014/main" id="{00000000-0008-0000-2200-0000D2E44200}"/>
            </a:ext>
          </a:extLst>
        </xdr:cNvPr>
        <xdr:cNvSpPr>
          <a:spLocks noChangeShapeType="1"/>
        </xdr:cNvSpPr>
      </xdr:nvSpPr>
      <xdr:spPr bwMode="auto">
        <a:xfrm flipV="1">
          <a:off x="70580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676275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83955" name="Line 3">
          <a:extLst>
            <a:ext uri="{FF2B5EF4-FFF2-40B4-BE49-F238E27FC236}">
              <a16:creationId xmlns="" xmlns:a16="http://schemas.microsoft.com/office/drawing/2014/main" id="{00000000-0008-0000-2200-0000D3E442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442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95250</xdr:colOff>
      <xdr:row>0</xdr:row>
      <xdr:rowOff>0</xdr:rowOff>
    </xdr:from>
    <xdr:to>
      <xdr:col>6</xdr:col>
      <xdr:colOff>200025</xdr:colOff>
      <xdr:row>0</xdr:row>
      <xdr:rowOff>0</xdr:rowOff>
    </xdr:to>
    <xdr:sp macro="" textlink="">
      <xdr:nvSpPr>
        <xdr:cNvPr id="4383956" name="Line 4">
          <a:extLst>
            <a:ext uri="{FF2B5EF4-FFF2-40B4-BE49-F238E27FC236}">
              <a16:creationId xmlns="" xmlns:a16="http://schemas.microsoft.com/office/drawing/2014/main" id="{00000000-0008-0000-2200-0000D4E44200}"/>
            </a:ext>
          </a:extLst>
        </xdr:cNvPr>
        <xdr:cNvSpPr>
          <a:spLocks noChangeShapeType="1"/>
        </xdr:cNvSpPr>
      </xdr:nvSpPr>
      <xdr:spPr bwMode="auto">
        <a:xfrm>
          <a:off x="7153275" y="0"/>
          <a:ext cx="1104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104775</xdr:colOff>
      <xdr:row>0</xdr:row>
      <xdr:rowOff>0</xdr:rowOff>
    </xdr:from>
    <xdr:to>
      <xdr:col>6</xdr:col>
      <xdr:colOff>104775</xdr:colOff>
      <xdr:row>0</xdr:row>
      <xdr:rowOff>0</xdr:rowOff>
    </xdr:to>
    <xdr:sp macro="" textlink="">
      <xdr:nvSpPr>
        <xdr:cNvPr id="4383957" name="Line 5">
          <a:extLst>
            <a:ext uri="{FF2B5EF4-FFF2-40B4-BE49-F238E27FC236}">
              <a16:creationId xmlns="" xmlns:a16="http://schemas.microsoft.com/office/drawing/2014/main" id="{00000000-0008-0000-2200-0000D5E44200}"/>
            </a:ext>
          </a:extLst>
        </xdr:cNvPr>
        <xdr:cNvSpPr>
          <a:spLocks noChangeShapeType="1"/>
        </xdr:cNvSpPr>
      </xdr:nvSpPr>
      <xdr:spPr bwMode="auto">
        <a:xfrm>
          <a:off x="81629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0</xdr:row>
      <xdr:rowOff>0</xdr:rowOff>
    </xdr:from>
    <xdr:to>
      <xdr:col>6</xdr:col>
      <xdr:colOff>114300</xdr:colOff>
      <xdr:row>0</xdr:row>
      <xdr:rowOff>0</xdr:rowOff>
    </xdr:to>
    <xdr:sp macro="" textlink="">
      <xdr:nvSpPr>
        <xdr:cNvPr id="4383958" name="Line 6">
          <a:extLst>
            <a:ext uri="{FF2B5EF4-FFF2-40B4-BE49-F238E27FC236}">
              <a16:creationId xmlns="" xmlns:a16="http://schemas.microsoft.com/office/drawing/2014/main" id="{00000000-0008-0000-2200-0000D6E44200}"/>
            </a:ext>
          </a:extLst>
        </xdr:cNvPr>
        <xdr:cNvSpPr>
          <a:spLocks noChangeShapeType="1"/>
        </xdr:cNvSpPr>
      </xdr:nvSpPr>
      <xdr:spPr bwMode="auto">
        <a:xfrm>
          <a:off x="81724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85725</xdr:colOff>
      <xdr:row>0</xdr:row>
      <xdr:rowOff>0</xdr:rowOff>
    </xdr:from>
    <xdr:to>
      <xdr:col>6</xdr:col>
      <xdr:colOff>228600</xdr:colOff>
      <xdr:row>0</xdr:row>
      <xdr:rowOff>0</xdr:rowOff>
    </xdr:to>
    <xdr:sp macro="" textlink="">
      <xdr:nvSpPr>
        <xdr:cNvPr id="4383959" name="Line 7">
          <a:extLst>
            <a:ext uri="{FF2B5EF4-FFF2-40B4-BE49-F238E27FC236}">
              <a16:creationId xmlns="" xmlns:a16="http://schemas.microsoft.com/office/drawing/2014/main" id="{00000000-0008-0000-2200-0000D7E44200}"/>
            </a:ext>
          </a:extLst>
        </xdr:cNvPr>
        <xdr:cNvSpPr>
          <a:spLocks noChangeShapeType="1"/>
        </xdr:cNvSpPr>
      </xdr:nvSpPr>
      <xdr:spPr bwMode="auto">
        <a:xfrm>
          <a:off x="7143750" y="0"/>
          <a:ext cx="1143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533400</xdr:colOff>
      <xdr:row>0</xdr:row>
      <xdr:rowOff>0</xdr:rowOff>
    </xdr:from>
    <xdr:to>
      <xdr:col>12</xdr:col>
      <xdr:colOff>123825</xdr:colOff>
      <xdr:row>0</xdr:row>
      <xdr:rowOff>0</xdr:rowOff>
    </xdr:to>
    <xdr:sp macro="" textlink="">
      <xdr:nvSpPr>
        <xdr:cNvPr id="4383960" name="Line 8">
          <a:extLst>
            <a:ext uri="{FF2B5EF4-FFF2-40B4-BE49-F238E27FC236}">
              <a16:creationId xmlns="" xmlns:a16="http://schemas.microsoft.com/office/drawing/2014/main" id="{00000000-0008-0000-2200-0000D8E44200}"/>
            </a:ext>
          </a:extLst>
        </xdr:cNvPr>
        <xdr:cNvSpPr>
          <a:spLocks noChangeShapeType="1"/>
        </xdr:cNvSpPr>
      </xdr:nvSpPr>
      <xdr:spPr bwMode="auto">
        <a:xfrm>
          <a:off x="11887200" y="0"/>
          <a:ext cx="12382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12</xdr:col>
      <xdr:colOff>238125</xdr:colOff>
      <xdr:row>0</xdr:row>
      <xdr:rowOff>0</xdr:rowOff>
    </xdr:to>
    <xdr:sp macro="" textlink="">
      <xdr:nvSpPr>
        <xdr:cNvPr id="4383961" name="Line 9">
          <a:extLst>
            <a:ext uri="{FF2B5EF4-FFF2-40B4-BE49-F238E27FC236}">
              <a16:creationId xmlns="" xmlns:a16="http://schemas.microsoft.com/office/drawing/2014/main" id="{00000000-0008-0000-2200-0000D9E44200}"/>
            </a:ext>
          </a:extLst>
        </xdr:cNvPr>
        <xdr:cNvSpPr>
          <a:spLocks noChangeShapeType="1"/>
        </xdr:cNvSpPr>
      </xdr:nvSpPr>
      <xdr:spPr bwMode="auto">
        <a:xfrm flipV="1">
          <a:off x="120110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238125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3962" name="Line 10">
          <a:extLst>
            <a:ext uri="{FF2B5EF4-FFF2-40B4-BE49-F238E27FC236}">
              <a16:creationId xmlns="" xmlns:a16="http://schemas.microsoft.com/office/drawing/2014/main" id="{00000000-0008-0000-2200-0000DAE44200}"/>
            </a:ext>
          </a:extLst>
        </xdr:cNvPr>
        <xdr:cNvSpPr>
          <a:spLocks noChangeShapeType="1"/>
        </xdr:cNvSpPr>
      </xdr:nvSpPr>
      <xdr:spPr bwMode="auto">
        <a:xfrm>
          <a:off x="12125325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361950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3963" name="Line 11">
          <a:extLst>
            <a:ext uri="{FF2B5EF4-FFF2-40B4-BE49-F238E27FC236}">
              <a16:creationId xmlns="" xmlns:a16="http://schemas.microsoft.com/office/drawing/2014/main" id="{00000000-0008-0000-2200-0000DBE44200}"/>
            </a:ext>
          </a:extLst>
        </xdr:cNvPr>
        <xdr:cNvSpPr>
          <a:spLocks noChangeShapeType="1"/>
        </xdr:cNvSpPr>
      </xdr:nvSpPr>
      <xdr:spPr bwMode="auto">
        <a:xfrm flipV="1"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466725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3964" name="Line 12">
          <a:extLst>
            <a:ext uri="{FF2B5EF4-FFF2-40B4-BE49-F238E27FC236}">
              <a16:creationId xmlns="" xmlns:a16="http://schemas.microsoft.com/office/drawing/2014/main" id="{00000000-0008-0000-2200-0000DCE4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581025</xdr:colOff>
      <xdr:row>0</xdr:row>
      <xdr:rowOff>0</xdr:rowOff>
    </xdr:from>
    <xdr:to>
      <xdr:col>13</xdr:col>
      <xdr:colOff>0</xdr:colOff>
      <xdr:row>0</xdr:row>
      <xdr:rowOff>0</xdr:rowOff>
    </xdr:to>
    <xdr:sp macro="" textlink="">
      <xdr:nvSpPr>
        <xdr:cNvPr id="4383965" name="Line 13">
          <a:extLst>
            <a:ext uri="{FF2B5EF4-FFF2-40B4-BE49-F238E27FC236}">
              <a16:creationId xmlns="" xmlns:a16="http://schemas.microsoft.com/office/drawing/2014/main" id="{00000000-0008-0000-2200-0000DDE44200}"/>
            </a:ext>
          </a:extLst>
        </xdr:cNvPr>
        <xdr:cNvSpPr>
          <a:spLocks noChangeShapeType="1"/>
        </xdr:cNvSpPr>
      </xdr:nvSpPr>
      <xdr:spPr bwMode="auto">
        <a:xfrm flipV="1"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0</xdr:row>
      <xdr:rowOff>0</xdr:rowOff>
    </xdr:from>
    <xdr:to>
      <xdr:col>13</xdr:col>
      <xdr:colOff>123825</xdr:colOff>
      <xdr:row>0</xdr:row>
      <xdr:rowOff>0</xdr:rowOff>
    </xdr:to>
    <xdr:sp macro="" textlink="">
      <xdr:nvSpPr>
        <xdr:cNvPr id="4383966" name="Line 14">
          <a:extLst>
            <a:ext uri="{FF2B5EF4-FFF2-40B4-BE49-F238E27FC236}">
              <a16:creationId xmlns="" xmlns:a16="http://schemas.microsoft.com/office/drawing/2014/main" id="{00000000-0008-0000-2200-0000DEE4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123825</xdr:colOff>
      <xdr:row>0</xdr:row>
      <xdr:rowOff>0</xdr:rowOff>
    </xdr:from>
    <xdr:to>
      <xdr:col>13</xdr:col>
      <xdr:colOff>238125</xdr:colOff>
      <xdr:row>0</xdr:row>
      <xdr:rowOff>0</xdr:rowOff>
    </xdr:to>
    <xdr:sp macro="" textlink="">
      <xdr:nvSpPr>
        <xdr:cNvPr id="4383967" name="Line 15">
          <a:extLst>
            <a:ext uri="{FF2B5EF4-FFF2-40B4-BE49-F238E27FC236}">
              <a16:creationId xmlns="" xmlns:a16="http://schemas.microsoft.com/office/drawing/2014/main" id="{00000000-0008-0000-2200-0000DFE44200}"/>
            </a:ext>
          </a:extLst>
        </xdr:cNvPr>
        <xdr:cNvSpPr>
          <a:spLocks noChangeShapeType="1"/>
        </xdr:cNvSpPr>
      </xdr:nvSpPr>
      <xdr:spPr bwMode="auto">
        <a:xfrm flipV="1">
          <a:off x="122586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238125</xdr:colOff>
      <xdr:row>0</xdr:row>
      <xdr:rowOff>0</xdr:rowOff>
    </xdr:from>
    <xdr:to>
      <xdr:col>13</xdr:col>
      <xdr:colOff>361950</xdr:colOff>
      <xdr:row>0</xdr:row>
      <xdr:rowOff>0</xdr:rowOff>
    </xdr:to>
    <xdr:sp macro="" textlink="">
      <xdr:nvSpPr>
        <xdr:cNvPr id="4383968" name="Line 16">
          <a:extLst>
            <a:ext uri="{FF2B5EF4-FFF2-40B4-BE49-F238E27FC236}">
              <a16:creationId xmlns="" xmlns:a16="http://schemas.microsoft.com/office/drawing/2014/main" id="{00000000-0008-0000-2200-0000E0E44200}"/>
            </a:ext>
          </a:extLst>
        </xdr:cNvPr>
        <xdr:cNvSpPr>
          <a:spLocks noChangeShapeType="1"/>
        </xdr:cNvSpPr>
      </xdr:nvSpPr>
      <xdr:spPr bwMode="auto">
        <a:xfrm>
          <a:off x="123729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361950</xdr:colOff>
      <xdr:row>0</xdr:row>
      <xdr:rowOff>0</xdr:rowOff>
    </xdr:from>
    <xdr:to>
      <xdr:col>13</xdr:col>
      <xdr:colOff>476250</xdr:colOff>
      <xdr:row>0</xdr:row>
      <xdr:rowOff>0</xdr:rowOff>
    </xdr:to>
    <xdr:sp macro="" textlink="">
      <xdr:nvSpPr>
        <xdr:cNvPr id="4383969" name="Line 17">
          <a:extLst>
            <a:ext uri="{FF2B5EF4-FFF2-40B4-BE49-F238E27FC236}">
              <a16:creationId xmlns="" xmlns:a16="http://schemas.microsoft.com/office/drawing/2014/main" id="{00000000-0008-0000-2200-0000E1E44200}"/>
            </a:ext>
          </a:extLst>
        </xdr:cNvPr>
        <xdr:cNvSpPr>
          <a:spLocks noChangeShapeType="1"/>
        </xdr:cNvSpPr>
      </xdr:nvSpPr>
      <xdr:spPr bwMode="auto">
        <a:xfrm flipV="1">
          <a:off x="1249680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476250</xdr:colOff>
      <xdr:row>0</xdr:row>
      <xdr:rowOff>0</xdr:rowOff>
    </xdr:from>
    <xdr:to>
      <xdr:col>13</xdr:col>
      <xdr:colOff>609600</xdr:colOff>
      <xdr:row>0</xdr:row>
      <xdr:rowOff>0</xdr:rowOff>
    </xdr:to>
    <xdr:sp macro="" textlink="">
      <xdr:nvSpPr>
        <xdr:cNvPr id="4383970" name="Line 18">
          <a:extLst>
            <a:ext uri="{FF2B5EF4-FFF2-40B4-BE49-F238E27FC236}">
              <a16:creationId xmlns="" xmlns:a16="http://schemas.microsoft.com/office/drawing/2014/main" id="{00000000-0008-0000-2200-0000E2E44200}"/>
            </a:ext>
          </a:extLst>
        </xdr:cNvPr>
        <xdr:cNvSpPr>
          <a:spLocks noChangeShapeType="1"/>
        </xdr:cNvSpPr>
      </xdr:nvSpPr>
      <xdr:spPr bwMode="auto">
        <a:xfrm>
          <a:off x="12611100" y="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14</xdr:col>
      <xdr:colOff>28575</xdr:colOff>
      <xdr:row>0</xdr:row>
      <xdr:rowOff>0</xdr:rowOff>
    </xdr:to>
    <xdr:sp macro="" textlink="">
      <xdr:nvSpPr>
        <xdr:cNvPr id="4383971" name="Line 19">
          <a:extLst>
            <a:ext uri="{FF2B5EF4-FFF2-40B4-BE49-F238E27FC236}">
              <a16:creationId xmlns="" xmlns:a16="http://schemas.microsoft.com/office/drawing/2014/main" id="{00000000-0008-0000-2200-0000E3E44200}"/>
            </a:ext>
          </a:extLst>
        </xdr:cNvPr>
        <xdr:cNvSpPr>
          <a:spLocks noChangeShapeType="1"/>
        </xdr:cNvSpPr>
      </xdr:nvSpPr>
      <xdr:spPr bwMode="auto">
        <a:xfrm flipV="1">
          <a:off x="12744450" y="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28575</xdr:colOff>
      <xdr:row>0</xdr:row>
      <xdr:rowOff>0</xdr:rowOff>
    </xdr:from>
    <xdr:to>
      <xdr:col>14</xdr:col>
      <xdr:colOff>152400</xdr:colOff>
      <xdr:row>0</xdr:row>
      <xdr:rowOff>0</xdr:rowOff>
    </xdr:to>
    <xdr:sp macro="" textlink="">
      <xdr:nvSpPr>
        <xdr:cNvPr id="4383972" name="Line 20">
          <a:extLst>
            <a:ext uri="{FF2B5EF4-FFF2-40B4-BE49-F238E27FC236}">
              <a16:creationId xmlns="" xmlns:a16="http://schemas.microsoft.com/office/drawing/2014/main" id="{00000000-0008-0000-2200-0000E4E44200}"/>
            </a:ext>
          </a:extLst>
        </xdr:cNvPr>
        <xdr:cNvSpPr>
          <a:spLocks noChangeShapeType="1"/>
        </xdr:cNvSpPr>
      </xdr:nvSpPr>
      <xdr:spPr bwMode="auto">
        <a:xfrm>
          <a:off x="133540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152400</xdr:colOff>
      <xdr:row>0</xdr:row>
      <xdr:rowOff>0</xdr:rowOff>
    </xdr:from>
    <xdr:to>
      <xdr:col>14</xdr:col>
      <xdr:colOff>266700</xdr:colOff>
      <xdr:row>0</xdr:row>
      <xdr:rowOff>0</xdr:rowOff>
    </xdr:to>
    <xdr:sp macro="" textlink="">
      <xdr:nvSpPr>
        <xdr:cNvPr id="4383973" name="Line 21">
          <a:extLst>
            <a:ext uri="{FF2B5EF4-FFF2-40B4-BE49-F238E27FC236}">
              <a16:creationId xmlns="" xmlns:a16="http://schemas.microsoft.com/office/drawing/2014/main" id="{00000000-0008-0000-2200-0000E5E44200}"/>
            </a:ext>
          </a:extLst>
        </xdr:cNvPr>
        <xdr:cNvSpPr>
          <a:spLocks noChangeShapeType="1"/>
        </xdr:cNvSpPr>
      </xdr:nvSpPr>
      <xdr:spPr bwMode="auto">
        <a:xfrm flipV="1">
          <a:off x="134778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266700</xdr:colOff>
      <xdr:row>0</xdr:row>
      <xdr:rowOff>0</xdr:rowOff>
    </xdr:from>
    <xdr:to>
      <xdr:col>14</xdr:col>
      <xdr:colOff>381000</xdr:colOff>
      <xdr:row>0</xdr:row>
      <xdr:rowOff>0</xdr:rowOff>
    </xdr:to>
    <xdr:sp macro="" textlink="">
      <xdr:nvSpPr>
        <xdr:cNvPr id="4383974" name="Line 22">
          <a:extLst>
            <a:ext uri="{FF2B5EF4-FFF2-40B4-BE49-F238E27FC236}">
              <a16:creationId xmlns="" xmlns:a16="http://schemas.microsoft.com/office/drawing/2014/main" id="{00000000-0008-0000-2200-0000E6E44200}"/>
            </a:ext>
          </a:extLst>
        </xdr:cNvPr>
        <xdr:cNvSpPr>
          <a:spLocks noChangeShapeType="1"/>
        </xdr:cNvSpPr>
      </xdr:nvSpPr>
      <xdr:spPr bwMode="auto">
        <a:xfrm>
          <a:off x="135921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381000</xdr:colOff>
      <xdr:row>0</xdr:row>
      <xdr:rowOff>0</xdr:rowOff>
    </xdr:from>
    <xdr:to>
      <xdr:col>14</xdr:col>
      <xdr:colOff>495300</xdr:colOff>
      <xdr:row>0</xdr:row>
      <xdr:rowOff>0</xdr:rowOff>
    </xdr:to>
    <xdr:sp macro="" textlink="">
      <xdr:nvSpPr>
        <xdr:cNvPr id="4383975" name="Line 23">
          <a:extLst>
            <a:ext uri="{FF2B5EF4-FFF2-40B4-BE49-F238E27FC236}">
              <a16:creationId xmlns="" xmlns:a16="http://schemas.microsoft.com/office/drawing/2014/main" id="{00000000-0008-0000-2200-0000E7E44200}"/>
            </a:ext>
          </a:extLst>
        </xdr:cNvPr>
        <xdr:cNvSpPr>
          <a:spLocks noChangeShapeType="1"/>
        </xdr:cNvSpPr>
      </xdr:nvSpPr>
      <xdr:spPr bwMode="auto">
        <a:xfrm flipV="1">
          <a:off x="137064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495300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83976" name="Line 24">
          <a:extLst>
            <a:ext uri="{FF2B5EF4-FFF2-40B4-BE49-F238E27FC236}">
              <a16:creationId xmlns="" xmlns:a16="http://schemas.microsoft.com/office/drawing/2014/main" id="{00000000-0008-0000-2200-0000E8E44200}"/>
            </a:ext>
          </a:extLst>
        </xdr:cNvPr>
        <xdr:cNvSpPr>
          <a:spLocks noChangeShapeType="1"/>
        </xdr:cNvSpPr>
      </xdr:nvSpPr>
      <xdr:spPr bwMode="auto">
        <a:xfrm>
          <a:off x="138207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83977" name="Line 25">
          <a:extLst>
            <a:ext uri="{FF2B5EF4-FFF2-40B4-BE49-F238E27FC236}">
              <a16:creationId xmlns="" xmlns:a16="http://schemas.microsoft.com/office/drawing/2014/main" id="{00000000-0008-0000-2200-0000E9E442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66675</xdr:colOff>
      <xdr:row>0</xdr:row>
      <xdr:rowOff>0</xdr:rowOff>
    </xdr:to>
    <xdr:sp macro="" textlink="">
      <xdr:nvSpPr>
        <xdr:cNvPr id="4383978" name="Line 26">
          <a:extLst>
            <a:ext uri="{FF2B5EF4-FFF2-40B4-BE49-F238E27FC236}">
              <a16:creationId xmlns="" xmlns:a16="http://schemas.microsoft.com/office/drawing/2014/main" id="{00000000-0008-0000-2200-0000EAE44200}"/>
            </a:ext>
          </a:extLst>
        </xdr:cNvPr>
        <xdr:cNvSpPr>
          <a:spLocks noChangeShapeType="1"/>
        </xdr:cNvSpPr>
      </xdr:nvSpPr>
      <xdr:spPr bwMode="auto">
        <a:xfrm flipV="1">
          <a:off x="11953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83979" name="Line 27">
          <a:extLst>
            <a:ext uri="{FF2B5EF4-FFF2-40B4-BE49-F238E27FC236}">
              <a16:creationId xmlns="" xmlns:a16="http://schemas.microsoft.com/office/drawing/2014/main" id="{00000000-0008-0000-2200-0000EBE442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83980" name="Line 28">
          <a:extLst>
            <a:ext uri="{FF2B5EF4-FFF2-40B4-BE49-F238E27FC236}">
              <a16:creationId xmlns="" xmlns:a16="http://schemas.microsoft.com/office/drawing/2014/main" id="{00000000-0008-0000-2200-0000ECE44200}"/>
            </a:ext>
          </a:extLst>
        </xdr:cNvPr>
        <xdr:cNvSpPr>
          <a:spLocks noChangeShapeType="1"/>
        </xdr:cNvSpPr>
      </xdr:nvSpPr>
      <xdr:spPr bwMode="auto">
        <a:xfrm>
          <a:off x="12011025" y="0"/>
          <a:ext cx="1933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352425</xdr:colOff>
      <xdr:row>0</xdr:row>
      <xdr:rowOff>0</xdr:rowOff>
    </xdr:from>
    <xdr:to>
      <xdr:col>2</xdr:col>
      <xdr:colOff>352425</xdr:colOff>
      <xdr:row>0</xdr:row>
      <xdr:rowOff>0</xdr:rowOff>
    </xdr:to>
    <xdr:sp macro="" textlink="">
      <xdr:nvSpPr>
        <xdr:cNvPr id="4383981" name="Line 29">
          <a:extLst>
            <a:ext uri="{FF2B5EF4-FFF2-40B4-BE49-F238E27FC236}">
              <a16:creationId xmlns="" xmlns:a16="http://schemas.microsoft.com/office/drawing/2014/main" id="{00000000-0008-0000-2200-0000EDE44200}"/>
            </a:ext>
          </a:extLst>
        </xdr:cNvPr>
        <xdr:cNvSpPr>
          <a:spLocks noChangeShapeType="1"/>
        </xdr:cNvSpPr>
      </xdr:nvSpPr>
      <xdr:spPr bwMode="auto">
        <a:xfrm>
          <a:off x="2981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152400</xdr:colOff>
      <xdr:row>0</xdr:row>
      <xdr:rowOff>0</xdr:rowOff>
    </xdr:to>
    <xdr:sp macro="" textlink="">
      <xdr:nvSpPr>
        <xdr:cNvPr id="4383982" name="Line 30">
          <a:extLst>
            <a:ext uri="{FF2B5EF4-FFF2-40B4-BE49-F238E27FC236}">
              <a16:creationId xmlns="" xmlns:a16="http://schemas.microsoft.com/office/drawing/2014/main" id="{00000000-0008-0000-2200-0000EEE4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723900</xdr:colOff>
      <xdr:row>0</xdr:row>
      <xdr:rowOff>0</xdr:rowOff>
    </xdr:from>
    <xdr:to>
      <xdr:col>4</xdr:col>
      <xdr:colOff>723900</xdr:colOff>
      <xdr:row>0</xdr:row>
      <xdr:rowOff>0</xdr:rowOff>
    </xdr:to>
    <xdr:sp macro="" textlink="">
      <xdr:nvSpPr>
        <xdr:cNvPr id="4383983" name="Line 31">
          <a:extLst>
            <a:ext uri="{FF2B5EF4-FFF2-40B4-BE49-F238E27FC236}">
              <a16:creationId xmlns="" xmlns:a16="http://schemas.microsoft.com/office/drawing/2014/main" id="{00000000-0008-0000-2200-0000EFE44200}"/>
            </a:ext>
          </a:extLst>
        </xdr:cNvPr>
        <xdr:cNvSpPr>
          <a:spLocks noChangeShapeType="1"/>
        </xdr:cNvSpPr>
      </xdr:nvSpPr>
      <xdr:spPr bwMode="auto">
        <a:xfrm>
          <a:off x="63722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285750</xdr:colOff>
      <xdr:row>0</xdr:row>
      <xdr:rowOff>0</xdr:rowOff>
    </xdr:from>
    <xdr:to>
      <xdr:col>2</xdr:col>
      <xdr:colOff>285750</xdr:colOff>
      <xdr:row>0</xdr:row>
      <xdr:rowOff>0</xdr:rowOff>
    </xdr:to>
    <xdr:sp macro="" textlink="">
      <xdr:nvSpPr>
        <xdr:cNvPr id="4383984" name="Line 32">
          <a:extLst>
            <a:ext uri="{FF2B5EF4-FFF2-40B4-BE49-F238E27FC236}">
              <a16:creationId xmlns="" xmlns:a16="http://schemas.microsoft.com/office/drawing/2014/main" id="{00000000-0008-0000-2200-0000F0E44200}"/>
            </a:ext>
          </a:extLst>
        </xdr:cNvPr>
        <xdr:cNvSpPr>
          <a:spLocks noChangeShapeType="1"/>
        </xdr:cNvSpPr>
      </xdr:nvSpPr>
      <xdr:spPr bwMode="auto">
        <a:xfrm>
          <a:off x="29146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590550</xdr:colOff>
      <xdr:row>0</xdr:row>
      <xdr:rowOff>0</xdr:rowOff>
    </xdr:from>
    <xdr:to>
      <xdr:col>4</xdr:col>
      <xdr:colOff>590550</xdr:colOff>
      <xdr:row>0</xdr:row>
      <xdr:rowOff>0</xdr:rowOff>
    </xdr:to>
    <xdr:sp macro="" textlink="">
      <xdr:nvSpPr>
        <xdr:cNvPr id="4383985" name="Line 33">
          <a:extLst>
            <a:ext uri="{FF2B5EF4-FFF2-40B4-BE49-F238E27FC236}">
              <a16:creationId xmlns="" xmlns:a16="http://schemas.microsoft.com/office/drawing/2014/main" id="{00000000-0008-0000-2200-0000F1E44200}"/>
            </a:ext>
          </a:extLst>
        </xdr:cNvPr>
        <xdr:cNvSpPr>
          <a:spLocks noChangeShapeType="1"/>
        </xdr:cNvSpPr>
      </xdr:nvSpPr>
      <xdr:spPr bwMode="auto">
        <a:xfrm flipH="1">
          <a:off x="6238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83986" name="Line 34">
          <a:extLst>
            <a:ext uri="{FF2B5EF4-FFF2-40B4-BE49-F238E27FC236}">
              <a16:creationId xmlns="" xmlns:a16="http://schemas.microsoft.com/office/drawing/2014/main" id="{00000000-0008-0000-2200-0000F2E442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95250</xdr:colOff>
      <xdr:row>0</xdr:row>
      <xdr:rowOff>0</xdr:rowOff>
    </xdr:to>
    <xdr:grpSp>
      <xdr:nvGrpSpPr>
        <xdr:cNvPr id="4383987" name="Group 35">
          <a:extLst>
            <a:ext uri="{FF2B5EF4-FFF2-40B4-BE49-F238E27FC236}">
              <a16:creationId xmlns="" xmlns:a16="http://schemas.microsoft.com/office/drawing/2014/main" id="{00000000-0008-0000-2200-0000F3E44200}"/>
            </a:ext>
          </a:extLst>
        </xdr:cNvPr>
        <xdr:cNvGrpSpPr>
          <a:grpSpLocks/>
        </xdr:cNvGrpSpPr>
      </xdr:nvGrpSpPr>
      <xdr:grpSpPr bwMode="auto">
        <a:xfrm>
          <a:off x="9853613" y="0"/>
          <a:ext cx="5600700" cy="0"/>
          <a:chOff x="630" y="359"/>
          <a:chExt cx="361" cy="60"/>
        </a:xfrm>
      </xdr:grpSpPr>
      <xdr:sp macro="" textlink="">
        <xdr:nvSpPr>
          <xdr:cNvPr id="4384155" name="Line 36">
            <a:extLst>
              <a:ext uri="{FF2B5EF4-FFF2-40B4-BE49-F238E27FC236}">
                <a16:creationId xmlns="" xmlns:a16="http://schemas.microsoft.com/office/drawing/2014/main" id="{00000000-0008-0000-2200-00009BE5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0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4156" name="Line 37">
            <a:extLst>
              <a:ext uri="{FF2B5EF4-FFF2-40B4-BE49-F238E27FC236}">
                <a16:creationId xmlns="" xmlns:a16="http://schemas.microsoft.com/office/drawing/2014/main" id="{00000000-0008-0000-2200-00009CE5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91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4157" name="Line 38">
            <a:extLst>
              <a:ext uri="{FF2B5EF4-FFF2-40B4-BE49-F238E27FC236}">
                <a16:creationId xmlns="" xmlns:a16="http://schemas.microsoft.com/office/drawing/2014/main" id="{00000000-0008-0000-2200-00009DE54200}"/>
              </a:ext>
            </a:extLst>
          </xdr:cNvPr>
          <xdr:cNvSpPr>
            <a:spLocks noChangeShapeType="1"/>
          </xdr:cNvSpPr>
        </xdr:nvSpPr>
        <xdr:spPr bwMode="auto">
          <a:xfrm>
            <a:off x="630" y="381"/>
            <a:ext cx="3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7</xdr:col>
      <xdr:colOff>590550</xdr:colOff>
      <xdr:row>0</xdr:row>
      <xdr:rowOff>0</xdr:rowOff>
    </xdr:to>
    <xdr:sp macro="" textlink="">
      <xdr:nvSpPr>
        <xdr:cNvPr id="4383988" name="Line 39">
          <a:extLst>
            <a:ext uri="{FF2B5EF4-FFF2-40B4-BE49-F238E27FC236}">
              <a16:creationId xmlns="" xmlns:a16="http://schemas.microsoft.com/office/drawing/2014/main" id="{00000000-0008-0000-2200-0000F4E442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10</xdr:col>
      <xdr:colOff>47625</xdr:colOff>
      <xdr:row>0</xdr:row>
      <xdr:rowOff>0</xdr:rowOff>
    </xdr:to>
    <xdr:sp macro="" textlink="">
      <xdr:nvSpPr>
        <xdr:cNvPr id="4383989" name="Line 40">
          <a:extLst>
            <a:ext uri="{FF2B5EF4-FFF2-40B4-BE49-F238E27FC236}">
              <a16:creationId xmlns="" xmlns:a16="http://schemas.microsoft.com/office/drawing/2014/main" id="{00000000-0008-0000-2200-0000F5E44200}"/>
            </a:ext>
          </a:extLst>
        </xdr:cNvPr>
        <xdr:cNvSpPr>
          <a:spLocks noChangeShapeType="1"/>
        </xdr:cNvSpPr>
      </xdr:nvSpPr>
      <xdr:spPr bwMode="auto">
        <a:xfrm flipV="1">
          <a:off x="9382125" y="0"/>
          <a:ext cx="1581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10</xdr:col>
      <xdr:colOff>914400</xdr:colOff>
      <xdr:row>0</xdr:row>
      <xdr:rowOff>0</xdr:rowOff>
    </xdr:to>
    <xdr:sp macro="" textlink="">
      <xdr:nvSpPr>
        <xdr:cNvPr id="4383990" name="Line 41">
          <a:extLst>
            <a:ext uri="{FF2B5EF4-FFF2-40B4-BE49-F238E27FC236}">
              <a16:creationId xmlns="" xmlns:a16="http://schemas.microsoft.com/office/drawing/2014/main" id="{00000000-0008-0000-2200-0000F6E442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1733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28575</xdr:colOff>
      <xdr:row>0</xdr:row>
      <xdr:rowOff>0</xdr:rowOff>
    </xdr:to>
    <xdr:sp macro="" textlink="">
      <xdr:nvSpPr>
        <xdr:cNvPr id="4383991" name="Line 42">
          <a:extLst>
            <a:ext uri="{FF2B5EF4-FFF2-40B4-BE49-F238E27FC236}">
              <a16:creationId xmlns="" xmlns:a16="http://schemas.microsoft.com/office/drawing/2014/main" id="{00000000-0008-0000-2200-0000F7E442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2076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552450</xdr:colOff>
      <xdr:row>0</xdr:row>
      <xdr:rowOff>0</xdr:rowOff>
    </xdr:from>
    <xdr:to>
      <xdr:col>13</xdr:col>
      <xdr:colOff>400050</xdr:colOff>
      <xdr:row>0</xdr:row>
      <xdr:rowOff>0</xdr:rowOff>
    </xdr:to>
    <xdr:sp macro="" textlink="">
      <xdr:nvSpPr>
        <xdr:cNvPr id="4383992" name="Line 43">
          <a:extLst>
            <a:ext uri="{FF2B5EF4-FFF2-40B4-BE49-F238E27FC236}">
              <a16:creationId xmlns="" xmlns:a16="http://schemas.microsoft.com/office/drawing/2014/main" id="{00000000-0008-0000-2200-0000F8E44200}"/>
            </a:ext>
          </a:extLst>
        </xdr:cNvPr>
        <xdr:cNvSpPr>
          <a:spLocks noChangeShapeType="1"/>
        </xdr:cNvSpPr>
      </xdr:nvSpPr>
      <xdr:spPr bwMode="auto">
        <a:xfrm flipH="1">
          <a:off x="980122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10</xdr:col>
      <xdr:colOff>57150</xdr:colOff>
      <xdr:row>0</xdr:row>
      <xdr:rowOff>0</xdr:rowOff>
    </xdr:to>
    <xdr:grpSp>
      <xdr:nvGrpSpPr>
        <xdr:cNvPr id="4383993" name="Group 44">
          <a:extLst>
            <a:ext uri="{FF2B5EF4-FFF2-40B4-BE49-F238E27FC236}">
              <a16:creationId xmlns="" xmlns:a16="http://schemas.microsoft.com/office/drawing/2014/main" id="{00000000-0008-0000-2200-0000F9E44200}"/>
            </a:ext>
          </a:extLst>
        </xdr:cNvPr>
        <xdr:cNvGrpSpPr>
          <a:grpSpLocks/>
        </xdr:cNvGrpSpPr>
      </xdr:nvGrpSpPr>
      <xdr:grpSpPr bwMode="auto">
        <a:xfrm>
          <a:off x="9882188" y="0"/>
          <a:ext cx="1104900" cy="0"/>
          <a:chOff x="554" y="439"/>
          <a:chExt cx="10" cy="76"/>
        </a:xfrm>
      </xdr:grpSpPr>
      <xdr:sp macro="" textlink="">
        <xdr:nvSpPr>
          <xdr:cNvPr id="4384153" name="Line 45">
            <a:extLst>
              <a:ext uri="{FF2B5EF4-FFF2-40B4-BE49-F238E27FC236}">
                <a16:creationId xmlns="" xmlns:a16="http://schemas.microsoft.com/office/drawing/2014/main" id="{00000000-0008-0000-2200-000099E54200}"/>
              </a:ext>
            </a:extLst>
          </xdr:cNvPr>
          <xdr:cNvSpPr>
            <a:spLocks noChangeShapeType="1"/>
          </xdr:cNvSpPr>
        </xdr:nvSpPr>
        <xdr:spPr bwMode="auto">
          <a:xfrm>
            <a:off x="558" y="439"/>
            <a:ext cx="0" cy="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4154" name="Line 46">
            <a:extLst>
              <a:ext uri="{FF2B5EF4-FFF2-40B4-BE49-F238E27FC236}">
                <a16:creationId xmlns="" xmlns:a16="http://schemas.microsoft.com/office/drawing/2014/main" id="{00000000-0008-0000-2200-00009AE54200}"/>
              </a:ext>
            </a:extLst>
          </xdr:cNvPr>
          <xdr:cNvSpPr>
            <a:spLocks noChangeShapeType="1"/>
          </xdr:cNvSpPr>
        </xdr:nvSpPr>
        <xdr:spPr bwMode="auto">
          <a:xfrm>
            <a:off x="554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10</xdr:col>
      <xdr:colOff>628650</xdr:colOff>
      <xdr:row>0</xdr:row>
      <xdr:rowOff>0</xdr:rowOff>
    </xdr:from>
    <xdr:to>
      <xdr:col>11</xdr:col>
      <xdr:colOff>38100</xdr:colOff>
      <xdr:row>0</xdr:row>
      <xdr:rowOff>0</xdr:rowOff>
    </xdr:to>
    <xdr:grpSp>
      <xdr:nvGrpSpPr>
        <xdr:cNvPr id="4383994" name="Group 47">
          <a:extLst>
            <a:ext uri="{FF2B5EF4-FFF2-40B4-BE49-F238E27FC236}">
              <a16:creationId xmlns="" xmlns:a16="http://schemas.microsoft.com/office/drawing/2014/main" id="{00000000-0008-0000-2200-0000FAE44200}"/>
            </a:ext>
          </a:extLst>
        </xdr:cNvPr>
        <xdr:cNvGrpSpPr>
          <a:grpSpLocks/>
        </xdr:cNvGrpSpPr>
      </xdr:nvGrpSpPr>
      <xdr:grpSpPr bwMode="auto">
        <a:xfrm>
          <a:off x="11558588" y="0"/>
          <a:ext cx="76200" cy="0"/>
          <a:chOff x="680" y="439"/>
          <a:chExt cx="10" cy="98"/>
        </a:xfrm>
      </xdr:grpSpPr>
      <xdr:sp macro="" textlink="">
        <xdr:nvSpPr>
          <xdr:cNvPr id="4384151" name="Line 48">
            <a:extLst>
              <a:ext uri="{FF2B5EF4-FFF2-40B4-BE49-F238E27FC236}">
                <a16:creationId xmlns="" xmlns:a16="http://schemas.microsoft.com/office/drawing/2014/main" id="{00000000-0008-0000-2200-000097E54200}"/>
              </a:ext>
            </a:extLst>
          </xdr:cNvPr>
          <xdr:cNvSpPr>
            <a:spLocks noChangeShapeType="1"/>
          </xdr:cNvSpPr>
        </xdr:nvSpPr>
        <xdr:spPr bwMode="auto">
          <a:xfrm>
            <a:off x="685" y="439"/>
            <a:ext cx="0" cy="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4152" name="Line 49">
            <a:extLst>
              <a:ext uri="{FF2B5EF4-FFF2-40B4-BE49-F238E27FC236}">
                <a16:creationId xmlns="" xmlns:a16="http://schemas.microsoft.com/office/drawing/2014/main" id="{00000000-0008-0000-2200-000098E54200}"/>
              </a:ext>
            </a:extLst>
          </xdr:cNvPr>
          <xdr:cNvSpPr>
            <a:spLocks noChangeShapeType="1"/>
          </xdr:cNvSpPr>
        </xdr:nvSpPr>
        <xdr:spPr bwMode="auto">
          <a:xfrm>
            <a:off x="680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4383995" name="Group 50">
          <a:extLst>
            <a:ext uri="{FF2B5EF4-FFF2-40B4-BE49-F238E27FC236}">
              <a16:creationId xmlns="" xmlns:a16="http://schemas.microsoft.com/office/drawing/2014/main" id="{00000000-0008-0000-2200-0000FBE44200}"/>
            </a:ext>
          </a:extLst>
        </xdr:cNvPr>
        <xdr:cNvGrpSpPr>
          <a:grpSpLocks/>
        </xdr:cNvGrpSpPr>
      </xdr:nvGrpSpPr>
      <xdr:grpSpPr bwMode="auto">
        <a:xfrm>
          <a:off x="11906250" y="0"/>
          <a:ext cx="142875" cy="0"/>
          <a:chOff x="759" y="438"/>
          <a:chExt cx="10" cy="121"/>
        </a:xfrm>
      </xdr:grpSpPr>
      <xdr:sp macro="" textlink="">
        <xdr:nvSpPr>
          <xdr:cNvPr id="4384149" name="Line 51">
            <a:extLst>
              <a:ext uri="{FF2B5EF4-FFF2-40B4-BE49-F238E27FC236}">
                <a16:creationId xmlns="" xmlns:a16="http://schemas.microsoft.com/office/drawing/2014/main" id="{00000000-0008-0000-2200-000095E542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4150" name="Line 52">
            <a:extLst>
              <a:ext uri="{FF2B5EF4-FFF2-40B4-BE49-F238E27FC236}">
                <a16:creationId xmlns="" xmlns:a16="http://schemas.microsoft.com/office/drawing/2014/main" id="{00000000-0008-0000-2200-000096E542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13</xdr:col>
      <xdr:colOff>76200</xdr:colOff>
      <xdr:row>0</xdr:row>
      <xdr:rowOff>0</xdr:rowOff>
    </xdr:from>
    <xdr:to>
      <xdr:col>13</xdr:col>
      <xdr:colOff>676275</xdr:colOff>
      <xdr:row>0</xdr:row>
      <xdr:rowOff>0</xdr:rowOff>
    </xdr:to>
    <xdr:grpSp>
      <xdr:nvGrpSpPr>
        <xdr:cNvPr id="4383996" name="Group 53">
          <a:extLst>
            <a:ext uri="{FF2B5EF4-FFF2-40B4-BE49-F238E27FC236}">
              <a16:creationId xmlns="" xmlns:a16="http://schemas.microsoft.com/office/drawing/2014/main" id="{00000000-0008-0000-2200-0000FCE44200}"/>
            </a:ext>
          </a:extLst>
        </xdr:cNvPr>
        <xdr:cNvGrpSpPr>
          <a:grpSpLocks/>
        </xdr:cNvGrpSpPr>
      </xdr:nvGrpSpPr>
      <xdr:grpSpPr bwMode="auto">
        <a:xfrm>
          <a:off x="12220575" y="0"/>
          <a:ext cx="600075" cy="0"/>
          <a:chOff x="842" y="438"/>
          <a:chExt cx="10" cy="147"/>
        </a:xfrm>
      </xdr:grpSpPr>
      <xdr:sp macro="" textlink="">
        <xdr:nvSpPr>
          <xdr:cNvPr id="4384147" name="Line 54">
            <a:extLst>
              <a:ext uri="{FF2B5EF4-FFF2-40B4-BE49-F238E27FC236}">
                <a16:creationId xmlns="" xmlns:a16="http://schemas.microsoft.com/office/drawing/2014/main" id="{00000000-0008-0000-2200-000093E542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4148" name="Line 55">
            <a:extLst>
              <a:ext uri="{FF2B5EF4-FFF2-40B4-BE49-F238E27FC236}">
                <a16:creationId xmlns="" xmlns:a16="http://schemas.microsoft.com/office/drawing/2014/main" id="{00000000-0008-0000-2200-000094E542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76200</xdr:colOff>
      <xdr:row>0</xdr:row>
      <xdr:rowOff>0</xdr:rowOff>
    </xdr:to>
    <xdr:sp macro="" textlink="">
      <xdr:nvSpPr>
        <xdr:cNvPr id="4383997" name="Rectangle 56">
          <a:extLst>
            <a:ext uri="{FF2B5EF4-FFF2-40B4-BE49-F238E27FC236}">
              <a16:creationId xmlns="" xmlns:a16="http://schemas.microsoft.com/office/drawing/2014/main" id="{00000000-0008-0000-2200-0000FDE44200}"/>
            </a:ext>
          </a:extLst>
        </xdr:cNvPr>
        <xdr:cNvSpPr>
          <a:spLocks noChangeArrowheads="1"/>
        </xdr:cNvSpPr>
      </xdr:nvSpPr>
      <xdr:spPr bwMode="auto">
        <a:xfrm>
          <a:off x="9839325" y="0"/>
          <a:ext cx="55721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4383998" name="Line 57">
          <a:extLst>
            <a:ext uri="{FF2B5EF4-FFF2-40B4-BE49-F238E27FC236}">
              <a16:creationId xmlns="" xmlns:a16="http://schemas.microsoft.com/office/drawing/2014/main" id="{00000000-0008-0000-2200-0000FEE44200}"/>
            </a:ext>
          </a:extLst>
        </xdr:cNvPr>
        <xdr:cNvSpPr>
          <a:spLocks noChangeShapeType="1"/>
        </xdr:cNvSpPr>
      </xdr:nvSpPr>
      <xdr:spPr bwMode="auto">
        <a:xfrm>
          <a:off x="153352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638175</xdr:colOff>
      <xdr:row>0</xdr:row>
      <xdr:rowOff>0</xdr:rowOff>
    </xdr:from>
    <xdr:to>
      <xdr:col>16</xdr:col>
      <xdr:colOff>47625</xdr:colOff>
      <xdr:row>0</xdr:row>
      <xdr:rowOff>0</xdr:rowOff>
    </xdr:to>
    <xdr:sp macro="" textlink="">
      <xdr:nvSpPr>
        <xdr:cNvPr id="4383999" name="Line 58">
          <a:extLst>
            <a:ext uri="{FF2B5EF4-FFF2-40B4-BE49-F238E27FC236}">
              <a16:creationId xmlns="" xmlns:a16="http://schemas.microsoft.com/office/drawing/2014/main" id="{00000000-0008-0000-2200-0000FFE44200}"/>
            </a:ext>
          </a:extLst>
        </xdr:cNvPr>
        <xdr:cNvSpPr>
          <a:spLocks noChangeShapeType="1"/>
        </xdr:cNvSpPr>
      </xdr:nvSpPr>
      <xdr:spPr bwMode="auto">
        <a:xfrm>
          <a:off x="14887575" y="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15</xdr:col>
      <xdr:colOff>1181100</xdr:colOff>
      <xdr:row>0</xdr:row>
      <xdr:rowOff>0</xdr:rowOff>
    </xdr:to>
    <xdr:sp macro="" textlink="">
      <xdr:nvSpPr>
        <xdr:cNvPr id="4384000" name="Line 59">
          <a:extLst>
            <a:ext uri="{FF2B5EF4-FFF2-40B4-BE49-F238E27FC236}">
              <a16:creationId xmlns="" xmlns:a16="http://schemas.microsoft.com/office/drawing/2014/main" id="{00000000-0008-0000-2200-000000E54200}"/>
            </a:ext>
          </a:extLst>
        </xdr:cNvPr>
        <xdr:cNvSpPr>
          <a:spLocks noChangeShapeType="1"/>
        </xdr:cNvSpPr>
      </xdr:nvSpPr>
      <xdr:spPr bwMode="auto">
        <a:xfrm flipV="1">
          <a:off x="9867900" y="0"/>
          <a:ext cx="546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666750</xdr:colOff>
      <xdr:row>0</xdr:row>
      <xdr:rowOff>0</xdr:rowOff>
    </xdr:from>
    <xdr:to>
      <xdr:col>14</xdr:col>
      <xdr:colOff>838200</xdr:colOff>
      <xdr:row>0</xdr:row>
      <xdr:rowOff>0</xdr:rowOff>
    </xdr:to>
    <xdr:grpSp>
      <xdr:nvGrpSpPr>
        <xdr:cNvPr id="4384001" name="Group 60">
          <a:extLst>
            <a:ext uri="{FF2B5EF4-FFF2-40B4-BE49-F238E27FC236}">
              <a16:creationId xmlns="" xmlns:a16="http://schemas.microsoft.com/office/drawing/2014/main" id="{00000000-0008-0000-2200-000001E54200}"/>
            </a:ext>
          </a:extLst>
        </xdr:cNvPr>
        <xdr:cNvGrpSpPr>
          <a:grpSpLocks/>
        </xdr:cNvGrpSpPr>
      </xdr:nvGrpSpPr>
      <xdr:grpSpPr bwMode="auto">
        <a:xfrm>
          <a:off x="14001750" y="0"/>
          <a:ext cx="171450" cy="0"/>
          <a:chOff x="912" y="438"/>
          <a:chExt cx="11" cy="175"/>
        </a:xfrm>
      </xdr:grpSpPr>
      <xdr:sp macro="" textlink="">
        <xdr:nvSpPr>
          <xdr:cNvPr id="4384145" name="Line 61">
            <a:extLst>
              <a:ext uri="{FF2B5EF4-FFF2-40B4-BE49-F238E27FC236}">
                <a16:creationId xmlns="" xmlns:a16="http://schemas.microsoft.com/office/drawing/2014/main" id="{00000000-0008-0000-2200-000091E542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4146" name="Line 62">
            <a:extLst>
              <a:ext uri="{FF2B5EF4-FFF2-40B4-BE49-F238E27FC236}">
                <a16:creationId xmlns="" xmlns:a16="http://schemas.microsoft.com/office/drawing/2014/main" id="{00000000-0008-0000-2200-000092E542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171450</xdr:colOff>
      <xdr:row>0</xdr:row>
      <xdr:rowOff>0</xdr:rowOff>
    </xdr:from>
    <xdr:to>
      <xdr:col>4</xdr:col>
      <xdr:colOff>542925</xdr:colOff>
      <xdr:row>0</xdr:row>
      <xdr:rowOff>0</xdr:rowOff>
    </xdr:to>
    <xdr:sp macro="" textlink="">
      <xdr:nvSpPr>
        <xdr:cNvPr id="4384002" name="Line 63">
          <a:extLst>
            <a:ext uri="{FF2B5EF4-FFF2-40B4-BE49-F238E27FC236}">
              <a16:creationId xmlns="" xmlns:a16="http://schemas.microsoft.com/office/drawing/2014/main" id="{00000000-0008-0000-2200-000002E54200}"/>
            </a:ext>
          </a:extLst>
        </xdr:cNvPr>
        <xdr:cNvSpPr>
          <a:spLocks noChangeShapeType="1"/>
        </xdr:cNvSpPr>
      </xdr:nvSpPr>
      <xdr:spPr bwMode="auto">
        <a:xfrm>
          <a:off x="2800350" y="0"/>
          <a:ext cx="3390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190500</xdr:colOff>
      <xdr:row>0</xdr:row>
      <xdr:rowOff>0</xdr:rowOff>
    </xdr:from>
    <xdr:to>
      <xdr:col>4</xdr:col>
      <xdr:colOff>571500</xdr:colOff>
      <xdr:row>0</xdr:row>
      <xdr:rowOff>0</xdr:rowOff>
    </xdr:to>
    <xdr:sp macro="" textlink="">
      <xdr:nvSpPr>
        <xdr:cNvPr id="4384003" name="Line 64">
          <a:extLst>
            <a:ext uri="{FF2B5EF4-FFF2-40B4-BE49-F238E27FC236}">
              <a16:creationId xmlns="" xmlns:a16="http://schemas.microsoft.com/office/drawing/2014/main" id="{00000000-0008-0000-2200-000003E54200}"/>
            </a:ext>
          </a:extLst>
        </xdr:cNvPr>
        <xdr:cNvSpPr>
          <a:spLocks noChangeShapeType="1"/>
        </xdr:cNvSpPr>
      </xdr:nvSpPr>
      <xdr:spPr bwMode="auto">
        <a:xfrm>
          <a:off x="2819400" y="0"/>
          <a:ext cx="3400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84004" name="Line 65">
          <a:extLst>
            <a:ext uri="{FF2B5EF4-FFF2-40B4-BE49-F238E27FC236}">
              <a16:creationId xmlns="" xmlns:a16="http://schemas.microsoft.com/office/drawing/2014/main" id="{00000000-0008-0000-2200-000004E542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876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4</xdr:col>
      <xdr:colOff>676275</xdr:colOff>
      <xdr:row>0</xdr:row>
      <xdr:rowOff>0</xdr:rowOff>
    </xdr:to>
    <xdr:sp macro="" textlink="">
      <xdr:nvSpPr>
        <xdr:cNvPr id="4384005" name="Line 66">
          <a:extLst>
            <a:ext uri="{FF2B5EF4-FFF2-40B4-BE49-F238E27FC236}">
              <a16:creationId xmlns="" xmlns:a16="http://schemas.microsoft.com/office/drawing/2014/main" id="{00000000-0008-0000-2200-000005E542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219075</xdr:colOff>
      <xdr:row>0</xdr:row>
      <xdr:rowOff>0</xdr:rowOff>
    </xdr:from>
    <xdr:to>
      <xdr:col>2</xdr:col>
      <xdr:colOff>219075</xdr:colOff>
      <xdr:row>0</xdr:row>
      <xdr:rowOff>0</xdr:rowOff>
    </xdr:to>
    <xdr:sp macro="" textlink="">
      <xdr:nvSpPr>
        <xdr:cNvPr id="4384006" name="Line 67">
          <a:extLst>
            <a:ext uri="{FF2B5EF4-FFF2-40B4-BE49-F238E27FC236}">
              <a16:creationId xmlns="" xmlns:a16="http://schemas.microsoft.com/office/drawing/2014/main" id="{00000000-0008-0000-2200-000006E54200}"/>
            </a:ext>
          </a:extLst>
        </xdr:cNvPr>
        <xdr:cNvSpPr>
          <a:spLocks noChangeShapeType="1"/>
        </xdr:cNvSpPr>
      </xdr:nvSpPr>
      <xdr:spPr bwMode="auto">
        <a:xfrm>
          <a:off x="28479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266700</xdr:colOff>
      <xdr:row>0</xdr:row>
      <xdr:rowOff>0</xdr:rowOff>
    </xdr:from>
    <xdr:to>
      <xdr:col>2</xdr:col>
      <xdr:colOff>266700</xdr:colOff>
      <xdr:row>0</xdr:row>
      <xdr:rowOff>0</xdr:rowOff>
    </xdr:to>
    <xdr:sp macro="" textlink="">
      <xdr:nvSpPr>
        <xdr:cNvPr id="4384007" name="Line 68">
          <a:extLst>
            <a:ext uri="{FF2B5EF4-FFF2-40B4-BE49-F238E27FC236}">
              <a16:creationId xmlns="" xmlns:a16="http://schemas.microsoft.com/office/drawing/2014/main" id="{00000000-0008-0000-2200-000007E54200}"/>
            </a:ext>
          </a:extLst>
        </xdr:cNvPr>
        <xdr:cNvSpPr>
          <a:spLocks noChangeShapeType="1"/>
        </xdr:cNvSpPr>
      </xdr:nvSpPr>
      <xdr:spPr bwMode="auto">
        <a:xfrm>
          <a:off x="2895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333375</xdr:colOff>
      <xdr:row>0</xdr:row>
      <xdr:rowOff>0</xdr:rowOff>
    </xdr:from>
    <xdr:to>
      <xdr:col>2</xdr:col>
      <xdr:colOff>333375</xdr:colOff>
      <xdr:row>0</xdr:row>
      <xdr:rowOff>0</xdr:rowOff>
    </xdr:to>
    <xdr:sp macro="" textlink="">
      <xdr:nvSpPr>
        <xdr:cNvPr id="4384008" name="Line 69">
          <a:extLst>
            <a:ext uri="{FF2B5EF4-FFF2-40B4-BE49-F238E27FC236}">
              <a16:creationId xmlns="" xmlns:a16="http://schemas.microsoft.com/office/drawing/2014/main" id="{00000000-0008-0000-2200-000008E54200}"/>
            </a:ext>
          </a:extLst>
        </xdr:cNvPr>
        <xdr:cNvSpPr>
          <a:spLocks noChangeShapeType="1"/>
        </xdr:cNvSpPr>
      </xdr:nvSpPr>
      <xdr:spPr bwMode="auto">
        <a:xfrm>
          <a:off x="29622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0</xdr:row>
      <xdr:rowOff>0</xdr:rowOff>
    </xdr:from>
    <xdr:to>
      <xdr:col>2</xdr:col>
      <xdr:colOff>390525</xdr:colOff>
      <xdr:row>0</xdr:row>
      <xdr:rowOff>0</xdr:rowOff>
    </xdr:to>
    <xdr:sp macro="" textlink="">
      <xdr:nvSpPr>
        <xdr:cNvPr id="4384009" name="Line 70">
          <a:extLst>
            <a:ext uri="{FF2B5EF4-FFF2-40B4-BE49-F238E27FC236}">
              <a16:creationId xmlns="" xmlns:a16="http://schemas.microsoft.com/office/drawing/2014/main" id="{00000000-0008-0000-2200-000009E54200}"/>
            </a:ext>
          </a:extLst>
        </xdr:cNvPr>
        <xdr:cNvSpPr>
          <a:spLocks noChangeShapeType="1"/>
        </xdr:cNvSpPr>
      </xdr:nvSpPr>
      <xdr:spPr bwMode="auto">
        <a:xfrm>
          <a:off x="3019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447675</xdr:colOff>
      <xdr:row>0</xdr:row>
      <xdr:rowOff>0</xdr:rowOff>
    </xdr:to>
    <xdr:sp macro="" textlink="">
      <xdr:nvSpPr>
        <xdr:cNvPr id="4384010" name="Line 71">
          <a:extLst>
            <a:ext uri="{FF2B5EF4-FFF2-40B4-BE49-F238E27FC236}">
              <a16:creationId xmlns="" xmlns:a16="http://schemas.microsoft.com/office/drawing/2014/main" id="{00000000-0008-0000-2200-00000AE542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4384011" name="Line 72">
          <a:extLst>
            <a:ext uri="{FF2B5EF4-FFF2-40B4-BE49-F238E27FC236}">
              <a16:creationId xmlns="" xmlns:a16="http://schemas.microsoft.com/office/drawing/2014/main" id="{00000000-0008-0000-2200-00000BE5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314325</xdr:colOff>
      <xdr:row>0</xdr:row>
      <xdr:rowOff>0</xdr:rowOff>
    </xdr:to>
    <xdr:sp macro="" textlink="">
      <xdr:nvSpPr>
        <xdr:cNvPr id="4384012" name="Line 73">
          <a:extLst>
            <a:ext uri="{FF2B5EF4-FFF2-40B4-BE49-F238E27FC236}">
              <a16:creationId xmlns="" xmlns:a16="http://schemas.microsoft.com/office/drawing/2014/main" id="{00000000-0008-0000-2200-00000CE542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657225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84013" name="Line 74">
          <a:extLst>
            <a:ext uri="{FF2B5EF4-FFF2-40B4-BE49-F238E27FC236}">
              <a16:creationId xmlns="" xmlns:a16="http://schemas.microsoft.com/office/drawing/2014/main" id="{00000000-0008-0000-2200-00000DE542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266700</xdr:colOff>
      <xdr:row>0</xdr:row>
      <xdr:rowOff>0</xdr:rowOff>
    </xdr:from>
    <xdr:to>
      <xdr:col>11</xdr:col>
      <xdr:colOff>352425</xdr:colOff>
      <xdr:row>0</xdr:row>
      <xdr:rowOff>0</xdr:rowOff>
    </xdr:to>
    <xdr:sp macro="" textlink="">
      <xdr:nvSpPr>
        <xdr:cNvPr id="4384014" name="Text Box 75">
          <a:extLst>
            <a:ext uri="{FF2B5EF4-FFF2-40B4-BE49-F238E27FC236}">
              <a16:creationId xmlns="" xmlns:a16="http://schemas.microsoft.com/office/drawing/2014/main" id="{00000000-0008-0000-2200-00000EE54200}"/>
            </a:ext>
          </a:extLst>
        </xdr:cNvPr>
        <xdr:cNvSpPr txBox="1">
          <a:spLocks noChangeArrowheads="1"/>
        </xdr:cNvSpPr>
      </xdr:nvSpPr>
      <xdr:spPr bwMode="auto">
        <a:xfrm>
          <a:off x="11182350" y="0"/>
          <a:ext cx="7048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209550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4384015" name="Line 76">
          <a:extLst>
            <a:ext uri="{FF2B5EF4-FFF2-40B4-BE49-F238E27FC236}">
              <a16:creationId xmlns="" xmlns:a16="http://schemas.microsoft.com/office/drawing/2014/main" id="{00000000-0008-0000-2200-00000FE54200}"/>
            </a:ext>
          </a:extLst>
        </xdr:cNvPr>
        <xdr:cNvSpPr>
          <a:spLocks noChangeShapeType="1"/>
        </xdr:cNvSpPr>
      </xdr:nvSpPr>
      <xdr:spPr bwMode="auto">
        <a:xfrm flipV="1">
          <a:off x="7267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819150</xdr:colOff>
      <xdr:row>0</xdr:row>
      <xdr:rowOff>0</xdr:rowOff>
    </xdr:to>
    <xdr:sp macro="" textlink="">
      <xdr:nvSpPr>
        <xdr:cNvPr id="4384016" name="Line 77">
          <a:extLst>
            <a:ext uri="{FF2B5EF4-FFF2-40B4-BE49-F238E27FC236}">
              <a16:creationId xmlns="" xmlns:a16="http://schemas.microsoft.com/office/drawing/2014/main" id="{00000000-0008-0000-2200-000010E54200}"/>
            </a:ext>
          </a:extLst>
        </xdr:cNvPr>
        <xdr:cNvSpPr>
          <a:spLocks noChangeShapeType="1"/>
        </xdr:cNvSpPr>
      </xdr:nvSpPr>
      <xdr:spPr bwMode="auto">
        <a:xfrm>
          <a:off x="7553325" y="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114300</xdr:colOff>
      <xdr:row>0</xdr:row>
      <xdr:rowOff>0</xdr:rowOff>
    </xdr:from>
    <xdr:to>
      <xdr:col>5</xdr:col>
      <xdr:colOff>323850</xdr:colOff>
      <xdr:row>0</xdr:row>
      <xdr:rowOff>0</xdr:rowOff>
    </xdr:to>
    <xdr:sp macro="" textlink="">
      <xdr:nvSpPr>
        <xdr:cNvPr id="4384017" name="Line 78">
          <a:extLst>
            <a:ext uri="{FF2B5EF4-FFF2-40B4-BE49-F238E27FC236}">
              <a16:creationId xmlns="" xmlns:a16="http://schemas.microsoft.com/office/drawing/2014/main" id="{00000000-0008-0000-2200-000011E54200}"/>
            </a:ext>
          </a:extLst>
        </xdr:cNvPr>
        <xdr:cNvSpPr>
          <a:spLocks noChangeShapeType="1"/>
        </xdr:cNvSpPr>
      </xdr:nvSpPr>
      <xdr:spPr bwMode="auto">
        <a:xfrm>
          <a:off x="7172325" y="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4018" name="Rectangle 79">
          <a:extLst>
            <a:ext uri="{FF2B5EF4-FFF2-40B4-BE49-F238E27FC236}">
              <a16:creationId xmlns="" xmlns:a16="http://schemas.microsoft.com/office/drawing/2014/main" id="{00000000-0008-0000-2200-000012E54200}"/>
            </a:ext>
          </a:extLst>
        </xdr:cNvPr>
        <xdr:cNvSpPr>
          <a:spLocks noChangeArrowheads="1"/>
        </xdr:cNvSpPr>
      </xdr:nvSpPr>
      <xdr:spPr bwMode="auto">
        <a:xfrm>
          <a:off x="16573500" y="0"/>
          <a:ext cx="325755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84019" name="Line 80">
          <a:extLst>
            <a:ext uri="{FF2B5EF4-FFF2-40B4-BE49-F238E27FC236}">
              <a16:creationId xmlns="" xmlns:a16="http://schemas.microsoft.com/office/drawing/2014/main" id="{00000000-0008-0000-2200-000013E54200}"/>
            </a:ext>
          </a:extLst>
        </xdr:cNvPr>
        <xdr:cNvSpPr>
          <a:spLocks noChangeShapeType="1"/>
        </xdr:cNvSpPr>
      </xdr:nvSpPr>
      <xdr:spPr bwMode="auto">
        <a:xfrm flipV="1">
          <a:off x="16725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4020" name="Line 81">
          <a:extLst>
            <a:ext uri="{FF2B5EF4-FFF2-40B4-BE49-F238E27FC236}">
              <a16:creationId xmlns="" xmlns:a16="http://schemas.microsoft.com/office/drawing/2014/main" id="{00000000-0008-0000-2200-000014E5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84021" name="Line 82">
          <a:extLst>
            <a:ext uri="{FF2B5EF4-FFF2-40B4-BE49-F238E27FC236}">
              <a16:creationId xmlns="" xmlns:a16="http://schemas.microsoft.com/office/drawing/2014/main" id="{00000000-0008-0000-2200-000015E54200}"/>
            </a:ext>
          </a:extLst>
        </xdr:cNvPr>
        <xdr:cNvSpPr>
          <a:spLocks noChangeShapeType="1"/>
        </xdr:cNvSpPr>
      </xdr:nvSpPr>
      <xdr:spPr bwMode="auto">
        <a:xfrm flipV="1">
          <a:off x="16725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4022" name="Line 83">
          <a:extLst>
            <a:ext uri="{FF2B5EF4-FFF2-40B4-BE49-F238E27FC236}">
              <a16:creationId xmlns="" xmlns:a16="http://schemas.microsoft.com/office/drawing/2014/main" id="{00000000-0008-0000-2200-000016E5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19050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4023" name="Line 84">
          <a:extLst>
            <a:ext uri="{FF2B5EF4-FFF2-40B4-BE49-F238E27FC236}">
              <a16:creationId xmlns="" xmlns:a16="http://schemas.microsoft.com/office/drawing/2014/main" id="{00000000-0008-0000-2200-000017E54200}"/>
            </a:ext>
          </a:extLst>
        </xdr:cNvPr>
        <xdr:cNvSpPr>
          <a:spLocks noChangeShapeType="1"/>
        </xdr:cNvSpPr>
      </xdr:nvSpPr>
      <xdr:spPr bwMode="auto">
        <a:xfrm>
          <a:off x="16744950" y="0"/>
          <a:ext cx="3086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609600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4024" name="Line 85">
          <a:extLst>
            <a:ext uri="{FF2B5EF4-FFF2-40B4-BE49-F238E27FC236}">
              <a16:creationId xmlns="" xmlns:a16="http://schemas.microsoft.com/office/drawing/2014/main" id="{00000000-0008-0000-2200-000018E54200}"/>
            </a:ext>
          </a:extLst>
        </xdr:cNvPr>
        <xdr:cNvSpPr>
          <a:spLocks noChangeShapeType="1"/>
        </xdr:cNvSpPr>
      </xdr:nvSpPr>
      <xdr:spPr bwMode="auto">
        <a:xfrm>
          <a:off x="16592550" y="0"/>
          <a:ext cx="3238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628650</xdr:colOff>
      <xdr:row>0</xdr:row>
      <xdr:rowOff>0</xdr:rowOff>
    </xdr:from>
    <xdr:to>
      <xdr:col>17</xdr:col>
      <xdr:colOff>628650</xdr:colOff>
      <xdr:row>0</xdr:row>
      <xdr:rowOff>0</xdr:rowOff>
    </xdr:to>
    <xdr:sp macro="" textlink="">
      <xdr:nvSpPr>
        <xdr:cNvPr id="4384025" name="Line 86">
          <a:extLst>
            <a:ext uri="{FF2B5EF4-FFF2-40B4-BE49-F238E27FC236}">
              <a16:creationId xmlns="" xmlns:a16="http://schemas.microsoft.com/office/drawing/2014/main" id="{00000000-0008-0000-2200-000019E54200}"/>
            </a:ext>
          </a:extLst>
        </xdr:cNvPr>
        <xdr:cNvSpPr>
          <a:spLocks noChangeShapeType="1"/>
        </xdr:cNvSpPr>
      </xdr:nvSpPr>
      <xdr:spPr bwMode="auto">
        <a:xfrm flipV="1">
          <a:off x="16611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4026" name="Line 87">
          <a:extLst>
            <a:ext uri="{FF2B5EF4-FFF2-40B4-BE49-F238E27FC236}">
              <a16:creationId xmlns="" xmlns:a16="http://schemas.microsoft.com/office/drawing/2014/main" id="{00000000-0008-0000-2200-00001AE5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38100</xdr:colOff>
      <xdr:row>0</xdr:row>
      <xdr:rowOff>0</xdr:rowOff>
    </xdr:to>
    <xdr:sp macro="" textlink="">
      <xdr:nvSpPr>
        <xdr:cNvPr id="4384027" name="Rectangle 88">
          <a:extLst>
            <a:ext uri="{FF2B5EF4-FFF2-40B4-BE49-F238E27FC236}">
              <a16:creationId xmlns="" xmlns:a16="http://schemas.microsoft.com/office/drawing/2014/main" id="{00000000-0008-0000-2200-00001BE54200}"/>
            </a:ext>
          </a:extLst>
        </xdr:cNvPr>
        <xdr:cNvSpPr>
          <a:spLocks noChangeArrowheads="1"/>
        </xdr:cNvSpPr>
      </xdr:nvSpPr>
      <xdr:spPr bwMode="auto">
        <a:xfrm>
          <a:off x="19831050" y="0"/>
          <a:ext cx="38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4028" name="Line 89">
          <a:extLst>
            <a:ext uri="{FF2B5EF4-FFF2-40B4-BE49-F238E27FC236}">
              <a16:creationId xmlns="" xmlns:a16="http://schemas.microsoft.com/office/drawing/2014/main" id="{00000000-0008-0000-2200-00001CE5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4029" name="Line 90">
          <a:extLst>
            <a:ext uri="{FF2B5EF4-FFF2-40B4-BE49-F238E27FC236}">
              <a16:creationId xmlns="" xmlns:a16="http://schemas.microsoft.com/office/drawing/2014/main" id="{00000000-0008-0000-2200-00001DE54200}"/>
            </a:ext>
          </a:extLst>
        </xdr:cNvPr>
        <xdr:cNvSpPr>
          <a:spLocks noChangeShapeType="1"/>
        </xdr:cNvSpPr>
      </xdr:nvSpPr>
      <xdr:spPr bwMode="auto">
        <a:xfrm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22</xdr:col>
      <xdr:colOff>19050</xdr:colOff>
      <xdr:row>0</xdr:row>
      <xdr:rowOff>0</xdr:rowOff>
    </xdr:from>
    <xdr:to>
      <xdr:col>22</xdr:col>
      <xdr:colOff>19050</xdr:colOff>
      <xdr:row>0</xdr:row>
      <xdr:rowOff>0</xdr:rowOff>
    </xdr:to>
    <xdr:sp macro="" textlink="">
      <xdr:nvSpPr>
        <xdr:cNvPr id="4384030" name="Line 91">
          <a:extLst>
            <a:ext uri="{FF2B5EF4-FFF2-40B4-BE49-F238E27FC236}">
              <a16:creationId xmlns="" xmlns:a16="http://schemas.microsoft.com/office/drawing/2014/main" id="{00000000-0008-0000-2200-00001EE54200}"/>
            </a:ext>
          </a:extLst>
        </xdr:cNvPr>
        <xdr:cNvSpPr>
          <a:spLocks noChangeShapeType="1"/>
        </xdr:cNvSpPr>
      </xdr:nvSpPr>
      <xdr:spPr bwMode="auto">
        <a:xfrm>
          <a:off x="198501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400050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84031" name="Line 92">
          <a:extLst>
            <a:ext uri="{FF2B5EF4-FFF2-40B4-BE49-F238E27FC236}">
              <a16:creationId xmlns="" xmlns:a16="http://schemas.microsoft.com/office/drawing/2014/main" id="{00000000-0008-0000-2200-00001FE54200}"/>
            </a:ext>
          </a:extLst>
        </xdr:cNvPr>
        <xdr:cNvSpPr>
          <a:spLocks noChangeShapeType="1"/>
        </xdr:cNvSpPr>
      </xdr:nvSpPr>
      <xdr:spPr bwMode="auto">
        <a:xfrm flipH="1" flipV="1">
          <a:off x="13725525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14</xdr:col>
      <xdr:colOff>781050</xdr:colOff>
      <xdr:row>0</xdr:row>
      <xdr:rowOff>0</xdr:rowOff>
    </xdr:to>
    <xdr:sp macro="" textlink="">
      <xdr:nvSpPr>
        <xdr:cNvPr id="4384032" name="Line 93">
          <a:extLst>
            <a:ext uri="{FF2B5EF4-FFF2-40B4-BE49-F238E27FC236}">
              <a16:creationId xmlns="" xmlns:a16="http://schemas.microsoft.com/office/drawing/2014/main" id="{00000000-0008-0000-2200-000020E54200}"/>
            </a:ext>
          </a:extLst>
        </xdr:cNvPr>
        <xdr:cNvSpPr>
          <a:spLocks noChangeShapeType="1"/>
        </xdr:cNvSpPr>
      </xdr:nvSpPr>
      <xdr:spPr bwMode="auto">
        <a:xfrm flipH="1">
          <a:off x="9867900" y="0"/>
          <a:ext cx="4238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4</xdr:col>
      <xdr:colOff>704850</xdr:colOff>
      <xdr:row>0</xdr:row>
      <xdr:rowOff>0</xdr:rowOff>
    </xdr:to>
    <xdr:sp macro="" textlink="">
      <xdr:nvSpPr>
        <xdr:cNvPr id="4384033" name="Line 94">
          <a:extLst>
            <a:ext uri="{FF2B5EF4-FFF2-40B4-BE49-F238E27FC236}">
              <a16:creationId xmlns="" xmlns:a16="http://schemas.microsoft.com/office/drawing/2014/main" id="{00000000-0008-0000-2200-000021E5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3571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84034" name="Line 95">
          <a:extLst>
            <a:ext uri="{FF2B5EF4-FFF2-40B4-BE49-F238E27FC236}">
              <a16:creationId xmlns="" xmlns:a16="http://schemas.microsoft.com/office/drawing/2014/main" id="{00000000-0008-0000-2200-000022E54200}"/>
            </a:ext>
          </a:extLst>
        </xdr:cNvPr>
        <xdr:cNvSpPr>
          <a:spLocks noChangeShapeType="1"/>
        </xdr:cNvSpPr>
      </xdr:nvSpPr>
      <xdr:spPr bwMode="auto">
        <a:xfrm>
          <a:off x="116681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247650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4035" name="Line 96">
          <a:extLst>
            <a:ext uri="{FF2B5EF4-FFF2-40B4-BE49-F238E27FC236}">
              <a16:creationId xmlns="" xmlns:a16="http://schemas.microsoft.com/office/drawing/2014/main" id="{00000000-0008-0000-2200-000023E5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1047750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4036" name="Line 97">
          <a:extLst>
            <a:ext uri="{FF2B5EF4-FFF2-40B4-BE49-F238E27FC236}">
              <a16:creationId xmlns="" xmlns:a16="http://schemas.microsoft.com/office/drawing/2014/main" id="{00000000-0008-0000-2200-000024E5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571500</xdr:colOff>
      <xdr:row>0</xdr:row>
      <xdr:rowOff>0</xdr:rowOff>
    </xdr:from>
    <xdr:to>
      <xdr:col>13</xdr:col>
      <xdr:colOff>571500</xdr:colOff>
      <xdr:row>0</xdr:row>
      <xdr:rowOff>0</xdr:rowOff>
    </xdr:to>
    <xdr:sp macro="" textlink="">
      <xdr:nvSpPr>
        <xdr:cNvPr id="4384037" name="Line 98">
          <a:extLst>
            <a:ext uri="{FF2B5EF4-FFF2-40B4-BE49-F238E27FC236}">
              <a16:creationId xmlns="" xmlns:a16="http://schemas.microsoft.com/office/drawing/2014/main" id="{00000000-0008-0000-2200-000025E54200}"/>
            </a:ext>
          </a:extLst>
        </xdr:cNvPr>
        <xdr:cNvSpPr>
          <a:spLocks noChangeShapeType="1"/>
        </xdr:cNvSpPr>
      </xdr:nvSpPr>
      <xdr:spPr bwMode="auto">
        <a:xfrm>
          <a:off x="12706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14</xdr:col>
      <xdr:colOff>457200</xdr:colOff>
      <xdr:row>0</xdr:row>
      <xdr:rowOff>0</xdr:rowOff>
    </xdr:to>
    <xdr:sp macro="" textlink="">
      <xdr:nvSpPr>
        <xdr:cNvPr id="4384038" name="Line 99">
          <a:extLst>
            <a:ext uri="{FF2B5EF4-FFF2-40B4-BE49-F238E27FC236}">
              <a16:creationId xmlns="" xmlns:a16="http://schemas.microsoft.com/office/drawing/2014/main" id="{00000000-0008-0000-2200-000026E54200}"/>
            </a:ext>
          </a:extLst>
        </xdr:cNvPr>
        <xdr:cNvSpPr>
          <a:spLocks noChangeShapeType="1"/>
        </xdr:cNvSpPr>
      </xdr:nvSpPr>
      <xdr:spPr bwMode="auto">
        <a:xfrm>
          <a:off x="137826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323850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84039" name="Line 100">
          <a:extLst>
            <a:ext uri="{FF2B5EF4-FFF2-40B4-BE49-F238E27FC236}">
              <a16:creationId xmlns="" xmlns:a16="http://schemas.microsoft.com/office/drawing/2014/main" id="{00000000-0008-0000-2200-000027E54200}"/>
            </a:ext>
          </a:extLst>
        </xdr:cNvPr>
        <xdr:cNvSpPr>
          <a:spLocks noChangeShapeType="1"/>
        </xdr:cNvSpPr>
      </xdr:nvSpPr>
      <xdr:spPr bwMode="auto">
        <a:xfrm flipH="1">
          <a:off x="9572625" y="0"/>
          <a:ext cx="2095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15</xdr:col>
      <xdr:colOff>161925</xdr:colOff>
      <xdr:row>0</xdr:row>
      <xdr:rowOff>0</xdr:rowOff>
    </xdr:to>
    <xdr:sp macro="" textlink="">
      <xdr:nvSpPr>
        <xdr:cNvPr id="4384040" name="Line 101">
          <a:extLst>
            <a:ext uri="{FF2B5EF4-FFF2-40B4-BE49-F238E27FC236}">
              <a16:creationId xmlns="" xmlns:a16="http://schemas.microsoft.com/office/drawing/2014/main" id="{00000000-0008-0000-2200-000028E54200}"/>
            </a:ext>
          </a:extLst>
        </xdr:cNvPr>
        <xdr:cNvSpPr>
          <a:spLocks noChangeShapeType="1"/>
        </xdr:cNvSpPr>
      </xdr:nvSpPr>
      <xdr:spPr bwMode="auto">
        <a:xfrm>
          <a:off x="13782675" y="0"/>
          <a:ext cx="628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84041" name="Line 102">
          <a:extLst>
            <a:ext uri="{FF2B5EF4-FFF2-40B4-BE49-F238E27FC236}">
              <a16:creationId xmlns="" xmlns:a16="http://schemas.microsoft.com/office/drawing/2014/main" id="{00000000-0008-0000-2200-000029E54200}"/>
            </a:ext>
          </a:extLst>
        </xdr:cNvPr>
        <xdr:cNvSpPr>
          <a:spLocks noChangeShapeType="1"/>
        </xdr:cNvSpPr>
      </xdr:nvSpPr>
      <xdr:spPr bwMode="auto">
        <a:xfrm flipV="1">
          <a:off x="12744450" y="0"/>
          <a:ext cx="165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1066800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84042" name="Line 103">
          <a:extLst>
            <a:ext uri="{FF2B5EF4-FFF2-40B4-BE49-F238E27FC236}">
              <a16:creationId xmlns="" xmlns:a16="http://schemas.microsoft.com/office/drawing/2014/main" id="{00000000-0008-0000-2200-00002AE5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266700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84043" name="Line 104">
          <a:extLst>
            <a:ext uri="{FF2B5EF4-FFF2-40B4-BE49-F238E27FC236}">
              <a16:creationId xmlns="" xmlns:a16="http://schemas.microsoft.com/office/drawing/2014/main" id="{00000000-0008-0000-2200-00002BE5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84044" name="Line 105">
          <a:extLst>
            <a:ext uri="{FF2B5EF4-FFF2-40B4-BE49-F238E27FC236}">
              <a16:creationId xmlns="" xmlns:a16="http://schemas.microsoft.com/office/drawing/2014/main" id="{00000000-0008-0000-2200-00002CE54200}"/>
            </a:ext>
          </a:extLst>
        </xdr:cNvPr>
        <xdr:cNvSpPr>
          <a:spLocks noChangeShapeType="1"/>
        </xdr:cNvSpPr>
      </xdr:nvSpPr>
      <xdr:spPr bwMode="auto">
        <a:xfrm>
          <a:off x="1166812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495300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4045" name="Line 106">
          <a:extLst>
            <a:ext uri="{FF2B5EF4-FFF2-40B4-BE49-F238E27FC236}">
              <a16:creationId xmlns="" xmlns:a16="http://schemas.microsoft.com/office/drawing/2014/main" id="{00000000-0008-0000-2200-00002DE54200}"/>
            </a:ext>
          </a:extLst>
        </xdr:cNvPr>
        <xdr:cNvSpPr>
          <a:spLocks noChangeShapeType="1"/>
        </xdr:cNvSpPr>
      </xdr:nvSpPr>
      <xdr:spPr bwMode="auto">
        <a:xfrm flipH="1">
          <a:off x="9744075" y="0"/>
          <a:ext cx="2390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1028700</xdr:colOff>
      <xdr:row>0</xdr:row>
      <xdr:rowOff>0</xdr:rowOff>
    </xdr:to>
    <xdr:sp macro="" textlink="">
      <xdr:nvSpPr>
        <xdr:cNvPr id="4384046" name="Line 107">
          <a:extLst>
            <a:ext uri="{FF2B5EF4-FFF2-40B4-BE49-F238E27FC236}">
              <a16:creationId xmlns="" xmlns:a16="http://schemas.microsoft.com/office/drawing/2014/main" id="{00000000-0008-0000-2200-00002EE54200}"/>
            </a:ext>
          </a:extLst>
        </xdr:cNvPr>
        <xdr:cNvSpPr>
          <a:spLocks noChangeShapeType="1"/>
        </xdr:cNvSpPr>
      </xdr:nvSpPr>
      <xdr:spPr bwMode="auto">
        <a:xfrm flipH="1">
          <a:off x="9839325" y="0"/>
          <a:ext cx="2295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171450</xdr:colOff>
      <xdr:row>0</xdr:row>
      <xdr:rowOff>0</xdr:rowOff>
    </xdr:from>
    <xdr:to>
      <xdr:col>13</xdr:col>
      <xdr:colOff>552450</xdr:colOff>
      <xdr:row>0</xdr:row>
      <xdr:rowOff>0</xdr:rowOff>
    </xdr:to>
    <xdr:sp macro="" textlink="">
      <xdr:nvSpPr>
        <xdr:cNvPr id="4384047" name="Line 108">
          <a:extLst>
            <a:ext uri="{FF2B5EF4-FFF2-40B4-BE49-F238E27FC236}">
              <a16:creationId xmlns="" xmlns:a16="http://schemas.microsoft.com/office/drawing/2014/main" id="{00000000-0008-0000-2200-00002FE54200}"/>
            </a:ext>
          </a:extLst>
        </xdr:cNvPr>
        <xdr:cNvSpPr>
          <a:spLocks noChangeShapeType="1"/>
        </xdr:cNvSpPr>
      </xdr:nvSpPr>
      <xdr:spPr bwMode="auto">
        <a:xfrm flipH="1">
          <a:off x="11087100" y="0"/>
          <a:ext cx="1600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457200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84048" name="Line 109">
          <a:extLst>
            <a:ext uri="{FF2B5EF4-FFF2-40B4-BE49-F238E27FC236}">
              <a16:creationId xmlns="" xmlns:a16="http://schemas.microsoft.com/office/drawing/2014/main" id="{00000000-0008-0000-2200-000030E54200}"/>
            </a:ext>
          </a:extLst>
        </xdr:cNvPr>
        <xdr:cNvSpPr>
          <a:spLocks noChangeShapeType="1"/>
        </xdr:cNvSpPr>
      </xdr:nvSpPr>
      <xdr:spPr bwMode="auto">
        <a:xfrm flipH="1">
          <a:off x="11372850" y="0"/>
          <a:ext cx="2371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1104900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84049" name="Line 110">
          <a:extLst>
            <a:ext uri="{FF2B5EF4-FFF2-40B4-BE49-F238E27FC236}">
              <a16:creationId xmlns="" xmlns:a16="http://schemas.microsoft.com/office/drawing/2014/main" id="{00000000-0008-0000-2200-000031E54200}"/>
            </a:ext>
          </a:extLst>
        </xdr:cNvPr>
        <xdr:cNvSpPr>
          <a:spLocks noChangeShapeType="1"/>
        </xdr:cNvSpPr>
      </xdr:nvSpPr>
      <xdr:spPr bwMode="auto">
        <a:xfrm>
          <a:off x="1157287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1085850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84050" name="Line 111">
          <a:extLst>
            <a:ext uri="{FF2B5EF4-FFF2-40B4-BE49-F238E27FC236}">
              <a16:creationId xmlns="" xmlns:a16="http://schemas.microsoft.com/office/drawing/2014/main" id="{00000000-0008-0000-2200-000032E54200}"/>
            </a:ext>
          </a:extLst>
        </xdr:cNvPr>
        <xdr:cNvSpPr>
          <a:spLocks noChangeShapeType="1"/>
        </xdr:cNvSpPr>
      </xdr:nvSpPr>
      <xdr:spPr bwMode="auto">
        <a:xfrm>
          <a:off x="1157287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123825</xdr:colOff>
      <xdr:row>0</xdr:row>
      <xdr:rowOff>0</xdr:rowOff>
    </xdr:from>
    <xdr:to>
      <xdr:col>21</xdr:col>
      <xdr:colOff>438150</xdr:colOff>
      <xdr:row>0</xdr:row>
      <xdr:rowOff>0</xdr:rowOff>
    </xdr:to>
    <xdr:sp macro="" textlink="">
      <xdr:nvSpPr>
        <xdr:cNvPr id="113" name="Text Box 112">
          <a:extLst>
            <a:ext uri="{FF2B5EF4-FFF2-40B4-BE49-F238E27FC236}">
              <a16:creationId xmlns="" xmlns:a16="http://schemas.microsoft.com/office/drawing/2014/main" id="{00000000-0008-0000-2200-000071000000}"/>
            </a:ext>
          </a:extLst>
        </xdr:cNvPr>
        <xdr:cNvSpPr txBox="1">
          <a:spLocks noChangeArrowheads="1"/>
        </xdr:cNvSpPr>
      </xdr:nvSpPr>
      <xdr:spPr bwMode="auto">
        <a:xfrm>
          <a:off x="19516725" y="0"/>
          <a:ext cx="3143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1°</a:t>
          </a:r>
        </a:p>
      </xdr:txBody>
    </xdr:sp>
    <xdr:clientData/>
  </xdr:twoCellAnchor>
  <xdr:twoCellAnchor>
    <xdr:from>
      <xdr:col>19</xdr:col>
      <xdr:colOff>1285875</xdr:colOff>
      <xdr:row>0</xdr:row>
      <xdr:rowOff>0</xdr:rowOff>
    </xdr:from>
    <xdr:to>
      <xdr:col>21</xdr:col>
      <xdr:colOff>333375</xdr:colOff>
      <xdr:row>0</xdr:row>
      <xdr:rowOff>0</xdr:rowOff>
    </xdr:to>
    <xdr:sp macro="" textlink="">
      <xdr:nvSpPr>
        <xdr:cNvPr id="114" name="Text Box 113">
          <a:extLst>
            <a:ext uri="{FF2B5EF4-FFF2-40B4-BE49-F238E27FC236}">
              <a16:creationId xmlns="" xmlns:a16="http://schemas.microsoft.com/office/drawing/2014/main" id="{00000000-0008-0000-2200-000072000000}"/>
            </a:ext>
          </a:extLst>
        </xdr:cNvPr>
        <xdr:cNvSpPr txBox="1">
          <a:spLocks noChangeArrowheads="1"/>
        </xdr:cNvSpPr>
      </xdr:nvSpPr>
      <xdr:spPr bwMode="auto">
        <a:xfrm>
          <a:off x="18630900" y="0"/>
          <a:ext cx="10953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3°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5" name="Text Box 114">
          <a:extLst>
            <a:ext uri="{FF2B5EF4-FFF2-40B4-BE49-F238E27FC236}">
              <a16:creationId xmlns="" xmlns:a16="http://schemas.microsoft.com/office/drawing/2014/main" id="{00000000-0008-0000-2200-000073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21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6" name="Text Box 115">
          <a:extLst>
            <a:ext uri="{FF2B5EF4-FFF2-40B4-BE49-F238E27FC236}">
              <a16:creationId xmlns="" xmlns:a16="http://schemas.microsoft.com/office/drawing/2014/main" id="{00000000-0008-0000-2200-000074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19</xdr:col>
      <xdr:colOff>819150</xdr:colOff>
      <xdr:row>0</xdr:row>
      <xdr:rowOff>0</xdr:rowOff>
    </xdr:from>
    <xdr:to>
      <xdr:col>19</xdr:col>
      <xdr:colOff>1000125</xdr:colOff>
      <xdr:row>0</xdr:row>
      <xdr:rowOff>0</xdr:rowOff>
    </xdr:to>
    <xdr:sp macro="" textlink="">
      <xdr:nvSpPr>
        <xdr:cNvPr id="117" name="Text Box 116">
          <a:extLst>
            <a:ext uri="{FF2B5EF4-FFF2-40B4-BE49-F238E27FC236}">
              <a16:creationId xmlns="" xmlns:a16="http://schemas.microsoft.com/office/drawing/2014/main" id="{00000000-0008-0000-2200-000075000000}"/>
            </a:ext>
          </a:extLst>
        </xdr:cNvPr>
        <xdr:cNvSpPr txBox="1">
          <a:spLocks noChangeArrowheads="1"/>
        </xdr:cNvSpPr>
      </xdr:nvSpPr>
      <xdr:spPr bwMode="auto">
        <a:xfrm>
          <a:off x="18183225" y="0"/>
          <a:ext cx="1809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5°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8" name="Text Box 117">
          <a:extLst>
            <a:ext uri="{FF2B5EF4-FFF2-40B4-BE49-F238E27FC236}">
              <a16:creationId xmlns="" xmlns:a16="http://schemas.microsoft.com/office/drawing/2014/main" id="{00000000-0008-0000-2200-000076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6°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1" i="0" strike="noStrike">
              <a:solidFill>
                <a:srgbClr val="000000"/>
              </a:solidFill>
              <a:latin typeface="Times New Roman"/>
              <a:cs typeface="Times New Roman"/>
            </a:rPr>
            <a:t>6</a:t>
          </a:r>
        </a:p>
      </xdr:txBody>
    </xdr:sp>
    <xdr:clientData/>
  </xdr:twoCellAnchor>
  <xdr:twoCellAnchor>
    <xdr:from>
      <xdr:col>14</xdr:col>
      <xdr:colOff>266700</xdr:colOff>
      <xdr:row>15</xdr:row>
      <xdr:rowOff>38100</xdr:rowOff>
    </xdr:from>
    <xdr:to>
      <xdr:col>15</xdr:col>
      <xdr:colOff>352425</xdr:colOff>
      <xdr:row>16</xdr:row>
      <xdr:rowOff>161925</xdr:rowOff>
    </xdr:to>
    <xdr:sp macro="" textlink="">
      <xdr:nvSpPr>
        <xdr:cNvPr id="4384057" name="Text Box 118">
          <a:extLst>
            <a:ext uri="{FF2B5EF4-FFF2-40B4-BE49-F238E27FC236}">
              <a16:creationId xmlns="" xmlns:a16="http://schemas.microsoft.com/office/drawing/2014/main" id="{00000000-0008-0000-2200-000039E54200}"/>
            </a:ext>
          </a:extLst>
        </xdr:cNvPr>
        <xdr:cNvSpPr txBox="1">
          <a:spLocks noChangeArrowheads="1"/>
        </xdr:cNvSpPr>
      </xdr:nvSpPr>
      <xdr:spPr bwMode="auto">
        <a:xfrm>
          <a:off x="13592175" y="5600700"/>
          <a:ext cx="1009650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19</xdr:col>
      <xdr:colOff>990600</xdr:colOff>
      <xdr:row>37</xdr:row>
      <xdr:rowOff>0</xdr:rowOff>
    </xdr:from>
    <xdr:to>
      <xdr:col>19</xdr:col>
      <xdr:colOff>990600</xdr:colOff>
      <xdr:row>37</xdr:row>
      <xdr:rowOff>0</xdr:rowOff>
    </xdr:to>
    <xdr:sp macro="" textlink="">
      <xdr:nvSpPr>
        <xdr:cNvPr id="4384058" name="Line 119">
          <a:extLst>
            <a:ext uri="{FF2B5EF4-FFF2-40B4-BE49-F238E27FC236}">
              <a16:creationId xmlns="" xmlns:a16="http://schemas.microsoft.com/office/drawing/2014/main" id="{00000000-0008-0000-2200-00003AE54200}"/>
            </a:ext>
          </a:extLst>
        </xdr:cNvPr>
        <xdr:cNvSpPr>
          <a:spLocks noChangeShapeType="1"/>
        </xdr:cNvSpPr>
      </xdr:nvSpPr>
      <xdr:spPr bwMode="auto">
        <a:xfrm>
          <a:off x="18354675" y="136588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oneCell">
    <xdr:from>
      <xdr:col>2</xdr:col>
      <xdr:colOff>400050</xdr:colOff>
      <xdr:row>15</xdr:row>
      <xdr:rowOff>85725</xdr:rowOff>
    </xdr:from>
    <xdr:to>
      <xdr:col>4</xdr:col>
      <xdr:colOff>114300</xdr:colOff>
      <xdr:row>19</xdr:row>
      <xdr:rowOff>57150</xdr:rowOff>
    </xdr:to>
    <xdr:grpSp>
      <xdr:nvGrpSpPr>
        <xdr:cNvPr id="4384059" name="Group 120">
          <a:extLst>
            <a:ext uri="{FF2B5EF4-FFF2-40B4-BE49-F238E27FC236}">
              <a16:creationId xmlns="" xmlns:a16="http://schemas.microsoft.com/office/drawing/2014/main" id="{00000000-0008-0000-2200-00003BE54200}"/>
            </a:ext>
          </a:extLst>
        </xdr:cNvPr>
        <xdr:cNvGrpSpPr>
          <a:grpSpLocks/>
        </xdr:cNvGrpSpPr>
      </xdr:nvGrpSpPr>
      <xdr:grpSpPr bwMode="auto">
        <a:xfrm>
          <a:off x="3043238" y="5634038"/>
          <a:ext cx="2738437" cy="1352550"/>
          <a:chOff x="358" y="540"/>
          <a:chExt cx="293" cy="139"/>
        </a:xfrm>
      </xdr:grpSpPr>
      <xdr:sp macro="" textlink="">
        <xdr:nvSpPr>
          <xdr:cNvPr id="4384086" name="Line 121">
            <a:extLst>
              <a:ext uri="{FF2B5EF4-FFF2-40B4-BE49-F238E27FC236}">
                <a16:creationId xmlns="" xmlns:a16="http://schemas.microsoft.com/office/drawing/2014/main" id="{00000000-0008-0000-2200-000056E542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84087" name="Group 122">
            <a:extLst>
              <a:ext uri="{FF2B5EF4-FFF2-40B4-BE49-F238E27FC236}">
                <a16:creationId xmlns="" xmlns:a16="http://schemas.microsoft.com/office/drawing/2014/main" id="{00000000-0008-0000-2200-000057E542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384143" name="Line 123">
              <a:extLst>
                <a:ext uri="{FF2B5EF4-FFF2-40B4-BE49-F238E27FC236}">
                  <a16:creationId xmlns="" xmlns:a16="http://schemas.microsoft.com/office/drawing/2014/main" id="{00000000-0008-0000-2200-00008FE5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84144" name="Line 124">
              <a:extLst>
                <a:ext uri="{FF2B5EF4-FFF2-40B4-BE49-F238E27FC236}">
                  <a16:creationId xmlns="" xmlns:a16="http://schemas.microsoft.com/office/drawing/2014/main" id="{00000000-0008-0000-2200-000090E5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84088" name="Line 125">
            <a:extLst>
              <a:ext uri="{FF2B5EF4-FFF2-40B4-BE49-F238E27FC236}">
                <a16:creationId xmlns="" xmlns:a16="http://schemas.microsoft.com/office/drawing/2014/main" id="{00000000-0008-0000-2200-000058E5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4089" name="Line 126">
            <a:extLst>
              <a:ext uri="{FF2B5EF4-FFF2-40B4-BE49-F238E27FC236}">
                <a16:creationId xmlns="" xmlns:a16="http://schemas.microsoft.com/office/drawing/2014/main" id="{00000000-0008-0000-2200-000059E5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4090" name="Line 127">
            <a:extLst>
              <a:ext uri="{FF2B5EF4-FFF2-40B4-BE49-F238E27FC236}">
                <a16:creationId xmlns="" xmlns:a16="http://schemas.microsoft.com/office/drawing/2014/main" id="{00000000-0008-0000-2200-00005AE5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4091" name="Line 128">
            <a:extLst>
              <a:ext uri="{FF2B5EF4-FFF2-40B4-BE49-F238E27FC236}">
                <a16:creationId xmlns="" xmlns:a16="http://schemas.microsoft.com/office/drawing/2014/main" id="{00000000-0008-0000-2200-00005BE542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4092" name="Line 129">
            <a:extLst>
              <a:ext uri="{FF2B5EF4-FFF2-40B4-BE49-F238E27FC236}">
                <a16:creationId xmlns="" xmlns:a16="http://schemas.microsoft.com/office/drawing/2014/main" id="{00000000-0008-0000-2200-00005CE542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84093" name="Group 130">
            <a:extLst>
              <a:ext uri="{FF2B5EF4-FFF2-40B4-BE49-F238E27FC236}">
                <a16:creationId xmlns="" xmlns:a16="http://schemas.microsoft.com/office/drawing/2014/main" id="{00000000-0008-0000-2200-00005DE542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384137" name="Line 131">
              <a:extLst>
                <a:ext uri="{FF2B5EF4-FFF2-40B4-BE49-F238E27FC236}">
                  <a16:creationId xmlns="" xmlns:a16="http://schemas.microsoft.com/office/drawing/2014/main" id="{00000000-0008-0000-2200-000089E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4138" name="Group 132">
              <a:extLst>
                <a:ext uri="{FF2B5EF4-FFF2-40B4-BE49-F238E27FC236}">
                  <a16:creationId xmlns="" xmlns:a16="http://schemas.microsoft.com/office/drawing/2014/main" id="{00000000-0008-0000-2200-00008AE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4139" name="Line 133">
                <a:extLst>
                  <a:ext uri="{FF2B5EF4-FFF2-40B4-BE49-F238E27FC236}">
                    <a16:creationId xmlns="" xmlns:a16="http://schemas.microsoft.com/office/drawing/2014/main" id="{00000000-0008-0000-2200-00008BE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4140" name="Group 134">
                <a:extLst>
                  <a:ext uri="{FF2B5EF4-FFF2-40B4-BE49-F238E27FC236}">
                    <a16:creationId xmlns="" xmlns:a16="http://schemas.microsoft.com/office/drawing/2014/main" id="{00000000-0008-0000-2200-00008CE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4141" name="Line 135">
                  <a:extLst>
                    <a:ext uri="{FF2B5EF4-FFF2-40B4-BE49-F238E27FC236}">
                      <a16:creationId xmlns="" xmlns:a16="http://schemas.microsoft.com/office/drawing/2014/main" id="{00000000-0008-0000-2200-00008DE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4142" name="Line 136">
                  <a:extLst>
                    <a:ext uri="{FF2B5EF4-FFF2-40B4-BE49-F238E27FC236}">
                      <a16:creationId xmlns="" xmlns:a16="http://schemas.microsoft.com/office/drawing/2014/main" id="{00000000-0008-0000-2200-00008EE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4094" name="Group 137">
            <a:extLst>
              <a:ext uri="{FF2B5EF4-FFF2-40B4-BE49-F238E27FC236}">
                <a16:creationId xmlns="" xmlns:a16="http://schemas.microsoft.com/office/drawing/2014/main" id="{00000000-0008-0000-2200-00005EE542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384131" name="Line 138">
              <a:extLst>
                <a:ext uri="{FF2B5EF4-FFF2-40B4-BE49-F238E27FC236}">
                  <a16:creationId xmlns="" xmlns:a16="http://schemas.microsoft.com/office/drawing/2014/main" id="{00000000-0008-0000-2200-000083E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4132" name="Group 139">
              <a:extLst>
                <a:ext uri="{FF2B5EF4-FFF2-40B4-BE49-F238E27FC236}">
                  <a16:creationId xmlns="" xmlns:a16="http://schemas.microsoft.com/office/drawing/2014/main" id="{00000000-0008-0000-2200-000084E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4133" name="Line 140">
                <a:extLst>
                  <a:ext uri="{FF2B5EF4-FFF2-40B4-BE49-F238E27FC236}">
                    <a16:creationId xmlns="" xmlns:a16="http://schemas.microsoft.com/office/drawing/2014/main" id="{00000000-0008-0000-2200-000085E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4134" name="Group 141">
                <a:extLst>
                  <a:ext uri="{FF2B5EF4-FFF2-40B4-BE49-F238E27FC236}">
                    <a16:creationId xmlns="" xmlns:a16="http://schemas.microsoft.com/office/drawing/2014/main" id="{00000000-0008-0000-2200-000086E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4135" name="Line 142">
                  <a:extLst>
                    <a:ext uri="{FF2B5EF4-FFF2-40B4-BE49-F238E27FC236}">
                      <a16:creationId xmlns="" xmlns:a16="http://schemas.microsoft.com/office/drawing/2014/main" id="{00000000-0008-0000-2200-000087E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4136" name="Line 143">
                  <a:extLst>
                    <a:ext uri="{FF2B5EF4-FFF2-40B4-BE49-F238E27FC236}">
                      <a16:creationId xmlns="" xmlns:a16="http://schemas.microsoft.com/office/drawing/2014/main" id="{00000000-0008-0000-2200-000088E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4095" name="Group 144">
            <a:extLst>
              <a:ext uri="{FF2B5EF4-FFF2-40B4-BE49-F238E27FC236}">
                <a16:creationId xmlns="" xmlns:a16="http://schemas.microsoft.com/office/drawing/2014/main" id="{00000000-0008-0000-2200-00005FE542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384125" name="Line 145">
              <a:extLst>
                <a:ext uri="{FF2B5EF4-FFF2-40B4-BE49-F238E27FC236}">
                  <a16:creationId xmlns="" xmlns:a16="http://schemas.microsoft.com/office/drawing/2014/main" id="{00000000-0008-0000-2200-00007DE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4126" name="Group 146">
              <a:extLst>
                <a:ext uri="{FF2B5EF4-FFF2-40B4-BE49-F238E27FC236}">
                  <a16:creationId xmlns="" xmlns:a16="http://schemas.microsoft.com/office/drawing/2014/main" id="{00000000-0008-0000-2200-00007EE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4127" name="Line 147">
                <a:extLst>
                  <a:ext uri="{FF2B5EF4-FFF2-40B4-BE49-F238E27FC236}">
                    <a16:creationId xmlns="" xmlns:a16="http://schemas.microsoft.com/office/drawing/2014/main" id="{00000000-0008-0000-2200-00007FE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4128" name="Group 148">
                <a:extLst>
                  <a:ext uri="{FF2B5EF4-FFF2-40B4-BE49-F238E27FC236}">
                    <a16:creationId xmlns="" xmlns:a16="http://schemas.microsoft.com/office/drawing/2014/main" id="{00000000-0008-0000-2200-000080E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4129" name="Line 149">
                  <a:extLst>
                    <a:ext uri="{FF2B5EF4-FFF2-40B4-BE49-F238E27FC236}">
                      <a16:creationId xmlns="" xmlns:a16="http://schemas.microsoft.com/office/drawing/2014/main" id="{00000000-0008-0000-2200-000081E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4130" name="Line 150">
                  <a:extLst>
                    <a:ext uri="{FF2B5EF4-FFF2-40B4-BE49-F238E27FC236}">
                      <a16:creationId xmlns="" xmlns:a16="http://schemas.microsoft.com/office/drawing/2014/main" id="{00000000-0008-0000-2200-000082E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4096" name="Group 151">
            <a:extLst>
              <a:ext uri="{FF2B5EF4-FFF2-40B4-BE49-F238E27FC236}">
                <a16:creationId xmlns="" xmlns:a16="http://schemas.microsoft.com/office/drawing/2014/main" id="{00000000-0008-0000-2200-000060E542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384119" name="Line 152">
              <a:extLst>
                <a:ext uri="{FF2B5EF4-FFF2-40B4-BE49-F238E27FC236}">
                  <a16:creationId xmlns="" xmlns:a16="http://schemas.microsoft.com/office/drawing/2014/main" id="{00000000-0008-0000-2200-000077E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4120" name="Group 153">
              <a:extLst>
                <a:ext uri="{FF2B5EF4-FFF2-40B4-BE49-F238E27FC236}">
                  <a16:creationId xmlns="" xmlns:a16="http://schemas.microsoft.com/office/drawing/2014/main" id="{00000000-0008-0000-2200-000078E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4121" name="Line 154">
                <a:extLst>
                  <a:ext uri="{FF2B5EF4-FFF2-40B4-BE49-F238E27FC236}">
                    <a16:creationId xmlns="" xmlns:a16="http://schemas.microsoft.com/office/drawing/2014/main" id="{00000000-0008-0000-2200-000079E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4122" name="Group 155">
                <a:extLst>
                  <a:ext uri="{FF2B5EF4-FFF2-40B4-BE49-F238E27FC236}">
                    <a16:creationId xmlns="" xmlns:a16="http://schemas.microsoft.com/office/drawing/2014/main" id="{00000000-0008-0000-2200-00007AE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4123" name="Line 156">
                  <a:extLst>
                    <a:ext uri="{FF2B5EF4-FFF2-40B4-BE49-F238E27FC236}">
                      <a16:creationId xmlns="" xmlns:a16="http://schemas.microsoft.com/office/drawing/2014/main" id="{00000000-0008-0000-2200-00007BE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4124" name="Line 157">
                  <a:extLst>
                    <a:ext uri="{FF2B5EF4-FFF2-40B4-BE49-F238E27FC236}">
                      <a16:creationId xmlns="" xmlns:a16="http://schemas.microsoft.com/office/drawing/2014/main" id="{00000000-0008-0000-2200-00007CE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4097" name="Group 158">
            <a:extLst>
              <a:ext uri="{FF2B5EF4-FFF2-40B4-BE49-F238E27FC236}">
                <a16:creationId xmlns="" xmlns:a16="http://schemas.microsoft.com/office/drawing/2014/main" id="{00000000-0008-0000-2200-000061E542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384113" name="Line 159">
              <a:extLst>
                <a:ext uri="{FF2B5EF4-FFF2-40B4-BE49-F238E27FC236}">
                  <a16:creationId xmlns="" xmlns:a16="http://schemas.microsoft.com/office/drawing/2014/main" id="{00000000-0008-0000-2200-000071E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4114" name="Group 160">
              <a:extLst>
                <a:ext uri="{FF2B5EF4-FFF2-40B4-BE49-F238E27FC236}">
                  <a16:creationId xmlns="" xmlns:a16="http://schemas.microsoft.com/office/drawing/2014/main" id="{00000000-0008-0000-2200-000072E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4115" name="Line 161">
                <a:extLst>
                  <a:ext uri="{FF2B5EF4-FFF2-40B4-BE49-F238E27FC236}">
                    <a16:creationId xmlns="" xmlns:a16="http://schemas.microsoft.com/office/drawing/2014/main" id="{00000000-0008-0000-2200-000073E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4116" name="Group 162">
                <a:extLst>
                  <a:ext uri="{FF2B5EF4-FFF2-40B4-BE49-F238E27FC236}">
                    <a16:creationId xmlns="" xmlns:a16="http://schemas.microsoft.com/office/drawing/2014/main" id="{00000000-0008-0000-2200-000074E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4117" name="Line 163">
                  <a:extLst>
                    <a:ext uri="{FF2B5EF4-FFF2-40B4-BE49-F238E27FC236}">
                      <a16:creationId xmlns="" xmlns:a16="http://schemas.microsoft.com/office/drawing/2014/main" id="{00000000-0008-0000-2200-000075E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4118" name="Line 164">
                  <a:extLst>
                    <a:ext uri="{FF2B5EF4-FFF2-40B4-BE49-F238E27FC236}">
                      <a16:creationId xmlns="" xmlns:a16="http://schemas.microsoft.com/office/drawing/2014/main" id="{00000000-0008-0000-2200-000076E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4098" name="Group 165">
            <a:extLst>
              <a:ext uri="{FF2B5EF4-FFF2-40B4-BE49-F238E27FC236}">
                <a16:creationId xmlns="" xmlns:a16="http://schemas.microsoft.com/office/drawing/2014/main" id="{00000000-0008-0000-2200-000062E542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384107" name="Line 166">
              <a:extLst>
                <a:ext uri="{FF2B5EF4-FFF2-40B4-BE49-F238E27FC236}">
                  <a16:creationId xmlns="" xmlns:a16="http://schemas.microsoft.com/office/drawing/2014/main" id="{00000000-0008-0000-2200-00006BE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4108" name="Group 167">
              <a:extLst>
                <a:ext uri="{FF2B5EF4-FFF2-40B4-BE49-F238E27FC236}">
                  <a16:creationId xmlns="" xmlns:a16="http://schemas.microsoft.com/office/drawing/2014/main" id="{00000000-0008-0000-2200-00006CE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4109" name="Line 168">
                <a:extLst>
                  <a:ext uri="{FF2B5EF4-FFF2-40B4-BE49-F238E27FC236}">
                    <a16:creationId xmlns="" xmlns:a16="http://schemas.microsoft.com/office/drawing/2014/main" id="{00000000-0008-0000-2200-00006DE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4110" name="Group 169">
                <a:extLst>
                  <a:ext uri="{FF2B5EF4-FFF2-40B4-BE49-F238E27FC236}">
                    <a16:creationId xmlns="" xmlns:a16="http://schemas.microsoft.com/office/drawing/2014/main" id="{00000000-0008-0000-2200-00006EE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4111" name="Line 170">
                  <a:extLst>
                    <a:ext uri="{FF2B5EF4-FFF2-40B4-BE49-F238E27FC236}">
                      <a16:creationId xmlns="" xmlns:a16="http://schemas.microsoft.com/office/drawing/2014/main" id="{00000000-0008-0000-2200-00006FE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4112" name="Line 171">
                  <a:extLst>
                    <a:ext uri="{FF2B5EF4-FFF2-40B4-BE49-F238E27FC236}">
                      <a16:creationId xmlns="" xmlns:a16="http://schemas.microsoft.com/office/drawing/2014/main" id="{00000000-0008-0000-2200-000070E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4099" name="Group 172">
            <a:extLst>
              <a:ext uri="{FF2B5EF4-FFF2-40B4-BE49-F238E27FC236}">
                <a16:creationId xmlns="" xmlns:a16="http://schemas.microsoft.com/office/drawing/2014/main" id="{00000000-0008-0000-2200-000063E542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384101" name="Line 173">
              <a:extLst>
                <a:ext uri="{FF2B5EF4-FFF2-40B4-BE49-F238E27FC236}">
                  <a16:creationId xmlns="" xmlns:a16="http://schemas.microsoft.com/office/drawing/2014/main" id="{00000000-0008-0000-2200-000065E5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4102" name="Group 174">
              <a:extLst>
                <a:ext uri="{FF2B5EF4-FFF2-40B4-BE49-F238E27FC236}">
                  <a16:creationId xmlns="" xmlns:a16="http://schemas.microsoft.com/office/drawing/2014/main" id="{00000000-0008-0000-2200-000066E5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4103" name="Line 175">
                <a:extLst>
                  <a:ext uri="{FF2B5EF4-FFF2-40B4-BE49-F238E27FC236}">
                    <a16:creationId xmlns="" xmlns:a16="http://schemas.microsoft.com/office/drawing/2014/main" id="{00000000-0008-0000-2200-000067E5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4104" name="Group 176">
                <a:extLst>
                  <a:ext uri="{FF2B5EF4-FFF2-40B4-BE49-F238E27FC236}">
                    <a16:creationId xmlns="" xmlns:a16="http://schemas.microsoft.com/office/drawing/2014/main" id="{00000000-0008-0000-2200-000068E5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4105" name="Line 177">
                  <a:extLst>
                    <a:ext uri="{FF2B5EF4-FFF2-40B4-BE49-F238E27FC236}">
                      <a16:creationId xmlns="" xmlns:a16="http://schemas.microsoft.com/office/drawing/2014/main" id="{00000000-0008-0000-2200-000069E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4106" name="Line 178">
                  <a:extLst>
                    <a:ext uri="{FF2B5EF4-FFF2-40B4-BE49-F238E27FC236}">
                      <a16:creationId xmlns="" xmlns:a16="http://schemas.microsoft.com/office/drawing/2014/main" id="{00000000-0008-0000-2200-00006AE5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84100" name="Line 179">
            <a:extLst>
              <a:ext uri="{FF2B5EF4-FFF2-40B4-BE49-F238E27FC236}">
                <a16:creationId xmlns="" xmlns:a16="http://schemas.microsoft.com/office/drawing/2014/main" id="{00000000-0008-0000-2200-000064E542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0</xdr:row>
      <xdr:rowOff>133350</xdr:rowOff>
    </xdr:from>
    <xdr:to>
      <xdr:col>21</xdr:col>
      <xdr:colOff>1314450</xdr:colOff>
      <xdr:row>2</xdr:row>
      <xdr:rowOff>28575</xdr:rowOff>
    </xdr:to>
    <xdr:sp macro="" textlink="">
      <xdr:nvSpPr>
        <xdr:cNvPr id="4323028" name="Rectangle 250">
          <a:extLst>
            <a:ext uri="{FF2B5EF4-FFF2-40B4-BE49-F238E27FC236}">
              <a16:creationId xmlns="" xmlns:a16="http://schemas.microsoft.com/office/drawing/2014/main" id="{00000000-0008-0000-2200-0000D4F64100}"/>
            </a:ext>
          </a:extLst>
        </xdr:cNvPr>
        <xdr:cNvSpPr>
          <a:spLocks noChangeArrowheads="1"/>
        </xdr:cNvSpPr>
      </xdr:nvSpPr>
      <xdr:spPr bwMode="auto">
        <a:xfrm>
          <a:off x="2324100" y="133350"/>
          <a:ext cx="17506950" cy="5524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  <xdr:txBody>
        <a:bodyPr/>
        <a:lstStyle/>
        <a:p>
          <a:endParaRPr lang="it-IT"/>
        </a:p>
      </xdr:txBody>
    </xdr:sp>
    <xdr:clientData/>
  </xdr:twoCellAnchor>
  <xdr:twoCellAnchor>
    <xdr:from>
      <xdr:col>19</xdr:col>
      <xdr:colOff>990600</xdr:colOff>
      <xdr:row>36</xdr:row>
      <xdr:rowOff>0</xdr:rowOff>
    </xdr:from>
    <xdr:to>
      <xdr:col>19</xdr:col>
      <xdr:colOff>990600</xdr:colOff>
      <xdr:row>36</xdr:row>
      <xdr:rowOff>0</xdr:rowOff>
    </xdr:to>
    <xdr:sp macro="" textlink="">
      <xdr:nvSpPr>
        <xdr:cNvPr id="4384061" name="Line 251">
          <a:extLst>
            <a:ext uri="{FF2B5EF4-FFF2-40B4-BE49-F238E27FC236}">
              <a16:creationId xmlns="" xmlns:a16="http://schemas.microsoft.com/office/drawing/2014/main" id="{00000000-0008-0000-2200-00003DE54200}"/>
            </a:ext>
          </a:extLst>
        </xdr:cNvPr>
        <xdr:cNvSpPr>
          <a:spLocks noChangeShapeType="1"/>
        </xdr:cNvSpPr>
      </xdr:nvSpPr>
      <xdr:spPr bwMode="auto">
        <a:xfrm>
          <a:off x="18354675" y="132016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0</xdr:colOff>
      <xdr:row>23</xdr:row>
      <xdr:rowOff>95250</xdr:rowOff>
    </xdr:from>
    <xdr:to>
      <xdr:col>10</xdr:col>
      <xdr:colOff>647700</xdr:colOff>
      <xdr:row>34</xdr:row>
      <xdr:rowOff>190500</xdr:rowOff>
    </xdr:to>
    <xdr:grpSp>
      <xdr:nvGrpSpPr>
        <xdr:cNvPr id="4384062" name="Gruppo 254">
          <a:extLst>
            <a:ext uri="{FF2B5EF4-FFF2-40B4-BE49-F238E27FC236}">
              <a16:creationId xmlns="" xmlns:a16="http://schemas.microsoft.com/office/drawing/2014/main" id="{00000000-0008-0000-2200-00003EE54200}"/>
            </a:ext>
          </a:extLst>
        </xdr:cNvPr>
        <xdr:cNvGrpSpPr>
          <a:grpSpLocks/>
        </xdr:cNvGrpSpPr>
      </xdr:nvGrpSpPr>
      <xdr:grpSpPr bwMode="auto">
        <a:xfrm>
          <a:off x="2643188" y="7977188"/>
          <a:ext cx="8934450" cy="4214812"/>
          <a:chOff x="32032547" y="4916090"/>
          <a:chExt cx="6320731" cy="4069880"/>
        </a:xfrm>
      </xdr:grpSpPr>
      <xdr:sp macro="" textlink="">
        <xdr:nvSpPr>
          <xdr:cNvPr id="4384064" name="Line 181">
            <a:extLst>
              <a:ext uri="{FF2B5EF4-FFF2-40B4-BE49-F238E27FC236}">
                <a16:creationId xmlns="" xmlns:a16="http://schemas.microsoft.com/office/drawing/2014/main" id="{00000000-0008-0000-2200-000040E5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039228" y="6007380"/>
            <a:ext cx="48107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4065" name="Line 182">
            <a:extLst>
              <a:ext uri="{FF2B5EF4-FFF2-40B4-BE49-F238E27FC236}">
                <a16:creationId xmlns="" xmlns:a16="http://schemas.microsoft.com/office/drawing/2014/main" id="{00000000-0008-0000-2200-000041E54200}"/>
              </a:ext>
            </a:extLst>
          </xdr:cNvPr>
          <xdr:cNvSpPr>
            <a:spLocks noChangeShapeType="1"/>
          </xdr:cNvSpPr>
        </xdr:nvSpPr>
        <xdr:spPr bwMode="auto">
          <a:xfrm>
            <a:off x="32039228" y="5327889"/>
            <a:ext cx="0" cy="365808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4066" name="Line 183">
            <a:extLst>
              <a:ext uri="{FF2B5EF4-FFF2-40B4-BE49-F238E27FC236}">
                <a16:creationId xmlns="" xmlns:a16="http://schemas.microsoft.com/office/drawing/2014/main" id="{00000000-0008-0000-2200-000042E54200}"/>
              </a:ext>
            </a:extLst>
          </xdr:cNvPr>
          <xdr:cNvSpPr>
            <a:spLocks noChangeShapeType="1"/>
          </xdr:cNvSpPr>
        </xdr:nvSpPr>
        <xdr:spPr bwMode="auto">
          <a:xfrm>
            <a:off x="32045909" y="6407627"/>
            <a:ext cx="13630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4067" name="Line 184">
            <a:extLst>
              <a:ext uri="{FF2B5EF4-FFF2-40B4-BE49-F238E27FC236}">
                <a16:creationId xmlns="" xmlns:a16="http://schemas.microsoft.com/office/drawing/2014/main" id="{00000000-0008-0000-2200-000043E54200}"/>
              </a:ext>
            </a:extLst>
          </xdr:cNvPr>
          <xdr:cNvSpPr>
            <a:spLocks noChangeShapeType="1"/>
          </xdr:cNvSpPr>
        </xdr:nvSpPr>
        <xdr:spPr bwMode="auto">
          <a:xfrm>
            <a:off x="32039228" y="6863724"/>
            <a:ext cx="22316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4068" name="Line 185">
            <a:extLst>
              <a:ext uri="{FF2B5EF4-FFF2-40B4-BE49-F238E27FC236}">
                <a16:creationId xmlns="" xmlns:a16="http://schemas.microsoft.com/office/drawing/2014/main" id="{00000000-0008-0000-2200-000044E5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45909" y="7254664"/>
            <a:ext cx="306014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4069" name="Line 186">
            <a:extLst>
              <a:ext uri="{FF2B5EF4-FFF2-40B4-BE49-F238E27FC236}">
                <a16:creationId xmlns="" xmlns:a16="http://schemas.microsoft.com/office/drawing/2014/main" id="{00000000-0008-0000-2200-000045E54200}"/>
              </a:ext>
            </a:extLst>
          </xdr:cNvPr>
          <xdr:cNvSpPr>
            <a:spLocks noChangeShapeType="1"/>
          </xdr:cNvSpPr>
        </xdr:nvSpPr>
        <xdr:spPr bwMode="auto">
          <a:xfrm>
            <a:off x="32520299" y="4964873"/>
            <a:ext cx="0" cy="115420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4070" name="Line 187">
            <a:extLst>
              <a:ext uri="{FF2B5EF4-FFF2-40B4-BE49-F238E27FC236}">
                <a16:creationId xmlns="" xmlns:a16="http://schemas.microsoft.com/office/drawing/2014/main" id="{00000000-0008-0000-2200-000046E54200}"/>
              </a:ext>
            </a:extLst>
          </xdr:cNvPr>
          <xdr:cNvSpPr>
            <a:spLocks noChangeShapeType="1"/>
          </xdr:cNvSpPr>
        </xdr:nvSpPr>
        <xdr:spPr bwMode="auto">
          <a:xfrm>
            <a:off x="32065954" y="5030029"/>
            <a:ext cx="414255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4071" name="Line 188">
            <a:extLst>
              <a:ext uri="{FF2B5EF4-FFF2-40B4-BE49-F238E27FC236}">
                <a16:creationId xmlns="" xmlns:a16="http://schemas.microsoft.com/office/drawing/2014/main" id="{00000000-0008-0000-2200-000047E54200}"/>
              </a:ext>
            </a:extLst>
          </xdr:cNvPr>
          <xdr:cNvSpPr>
            <a:spLocks noChangeShapeType="1"/>
          </xdr:cNvSpPr>
        </xdr:nvSpPr>
        <xdr:spPr bwMode="auto">
          <a:xfrm>
            <a:off x="33408943" y="4955565"/>
            <a:ext cx="0" cy="149860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4072" name="Line 189">
            <a:extLst>
              <a:ext uri="{FF2B5EF4-FFF2-40B4-BE49-F238E27FC236}">
                <a16:creationId xmlns="" xmlns:a16="http://schemas.microsoft.com/office/drawing/2014/main" id="{00000000-0008-0000-2200-000048E54200}"/>
              </a:ext>
            </a:extLst>
          </xdr:cNvPr>
          <xdr:cNvSpPr>
            <a:spLocks noChangeShapeType="1"/>
          </xdr:cNvSpPr>
        </xdr:nvSpPr>
        <xdr:spPr bwMode="auto">
          <a:xfrm>
            <a:off x="32841012" y="5039338"/>
            <a:ext cx="88864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4073" name="Line 191">
            <a:extLst>
              <a:ext uri="{FF2B5EF4-FFF2-40B4-BE49-F238E27FC236}">
                <a16:creationId xmlns="" xmlns:a16="http://schemas.microsoft.com/office/drawing/2014/main" id="{00000000-0008-0000-2200-000049E54200}"/>
              </a:ext>
            </a:extLst>
          </xdr:cNvPr>
          <xdr:cNvSpPr>
            <a:spLocks noChangeShapeType="1"/>
          </xdr:cNvSpPr>
        </xdr:nvSpPr>
        <xdr:spPr bwMode="auto">
          <a:xfrm>
            <a:off x="34241720" y="5042775"/>
            <a:ext cx="0" cy="209917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4074" name="Rectangle 196">
            <a:extLst>
              <a:ext uri="{FF2B5EF4-FFF2-40B4-BE49-F238E27FC236}">
                <a16:creationId xmlns="" xmlns:a16="http://schemas.microsoft.com/office/drawing/2014/main" id="{00000000-0008-0000-2200-00004AE54200}"/>
              </a:ext>
            </a:extLst>
          </xdr:cNvPr>
          <xdr:cNvSpPr>
            <a:spLocks noChangeArrowheads="1"/>
          </xdr:cNvSpPr>
        </xdr:nvSpPr>
        <xdr:spPr bwMode="auto">
          <a:xfrm>
            <a:off x="32039227" y="4918332"/>
            <a:ext cx="6314051" cy="363016"/>
          </a:xfrm>
          <a:prstGeom prst="rect">
            <a:avLst/>
          </a:prstGeom>
          <a:noFill/>
          <a:ln w="158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84075" name="Line 197">
            <a:extLst>
              <a:ext uri="{FF2B5EF4-FFF2-40B4-BE49-F238E27FC236}">
                <a16:creationId xmlns="" xmlns:a16="http://schemas.microsoft.com/office/drawing/2014/main" id="{00000000-0008-0000-2200-00004BE54200}"/>
              </a:ext>
            </a:extLst>
          </xdr:cNvPr>
          <xdr:cNvSpPr>
            <a:spLocks noChangeShapeType="1"/>
          </xdr:cNvSpPr>
        </xdr:nvSpPr>
        <xdr:spPr bwMode="auto">
          <a:xfrm>
            <a:off x="38039246" y="4955565"/>
            <a:ext cx="0" cy="398386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4076" name="Line 199">
            <a:extLst>
              <a:ext uri="{FF2B5EF4-FFF2-40B4-BE49-F238E27FC236}">
                <a16:creationId xmlns="" xmlns:a16="http://schemas.microsoft.com/office/drawing/2014/main" id="{00000000-0008-0000-2200-00004CE5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032547" y="8939429"/>
            <a:ext cx="600001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4077" name="Line 201">
            <a:extLst>
              <a:ext uri="{FF2B5EF4-FFF2-40B4-BE49-F238E27FC236}">
                <a16:creationId xmlns="" xmlns:a16="http://schemas.microsoft.com/office/drawing/2014/main" id="{00000000-0008-0000-2200-00004DE5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5082562" y="5032371"/>
            <a:ext cx="0" cy="2362448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4078" name="Line 202">
            <a:extLst>
              <a:ext uri="{FF2B5EF4-FFF2-40B4-BE49-F238E27FC236}">
                <a16:creationId xmlns="" xmlns:a16="http://schemas.microsoft.com/office/drawing/2014/main" id="{00000000-0008-0000-2200-00004EE5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7758028" y="5032371"/>
            <a:ext cx="8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4079" name="Line 203">
            <a:extLst>
              <a:ext uri="{FF2B5EF4-FFF2-40B4-BE49-F238E27FC236}">
                <a16:creationId xmlns="" xmlns:a16="http://schemas.microsoft.com/office/drawing/2014/main" id="{00000000-0008-0000-2200-00004FE5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7692145"/>
            <a:ext cx="388865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4080" name="Line 204">
            <a:extLst>
              <a:ext uri="{FF2B5EF4-FFF2-40B4-BE49-F238E27FC236}">
                <a16:creationId xmlns="" xmlns:a16="http://schemas.microsoft.com/office/drawing/2014/main" id="{00000000-0008-0000-2200-000050E5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8148242"/>
            <a:ext cx="469711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4081" name="Line 205">
            <a:extLst>
              <a:ext uri="{FF2B5EF4-FFF2-40B4-BE49-F238E27FC236}">
                <a16:creationId xmlns="" xmlns:a16="http://schemas.microsoft.com/office/drawing/2014/main" id="{00000000-0008-0000-2200-000051E5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8529873"/>
            <a:ext cx="5405362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4082" name="Line 207">
            <a:extLst>
              <a:ext uri="{FF2B5EF4-FFF2-40B4-BE49-F238E27FC236}">
                <a16:creationId xmlns="" xmlns:a16="http://schemas.microsoft.com/office/drawing/2014/main" id="{00000000-0008-0000-2200-000052E54200}"/>
              </a:ext>
            </a:extLst>
          </xdr:cNvPr>
          <xdr:cNvSpPr>
            <a:spLocks noChangeShapeType="1"/>
          </xdr:cNvSpPr>
        </xdr:nvSpPr>
        <xdr:spPr bwMode="auto">
          <a:xfrm>
            <a:off x="35903589" y="4964873"/>
            <a:ext cx="0" cy="291533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4083" name="Line 210">
            <a:extLst>
              <a:ext uri="{FF2B5EF4-FFF2-40B4-BE49-F238E27FC236}">
                <a16:creationId xmlns="" xmlns:a16="http://schemas.microsoft.com/office/drawing/2014/main" id="{00000000-0008-0000-2200-000053E54200}"/>
              </a:ext>
            </a:extLst>
          </xdr:cNvPr>
          <xdr:cNvSpPr>
            <a:spLocks noChangeShapeType="1"/>
          </xdr:cNvSpPr>
        </xdr:nvSpPr>
        <xdr:spPr bwMode="auto">
          <a:xfrm>
            <a:off x="37410345" y="4985564"/>
            <a:ext cx="0" cy="3620849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4084" name="Line 212">
            <a:extLst>
              <a:ext uri="{FF2B5EF4-FFF2-40B4-BE49-F238E27FC236}">
                <a16:creationId xmlns="" xmlns:a16="http://schemas.microsoft.com/office/drawing/2014/main" id="{00000000-0008-0000-2200-000054E54200}"/>
              </a:ext>
            </a:extLst>
          </xdr:cNvPr>
          <xdr:cNvSpPr>
            <a:spLocks noChangeShapeType="1"/>
          </xdr:cNvSpPr>
        </xdr:nvSpPr>
        <xdr:spPr bwMode="auto">
          <a:xfrm>
            <a:off x="37945705" y="5039338"/>
            <a:ext cx="17372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4085" name="Line 210">
            <a:extLst>
              <a:ext uri="{FF2B5EF4-FFF2-40B4-BE49-F238E27FC236}">
                <a16:creationId xmlns="" xmlns:a16="http://schemas.microsoft.com/office/drawing/2014/main" id="{00000000-0008-0000-2200-000055E54200}"/>
              </a:ext>
            </a:extLst>
          </xdr:cNvPr>
          <xdr:cNvSpPr>
            <a:spLocks noChangeShapeType="1"/>
          </xdr:cNvSpPr>
        </xdr:nvSpPr>
        <xdr:spPr bwMode="auto">
          <a:xfrm>
            <a:off x="36723957" y="4916090"/>
            <a:ext cx="0" cy="3347106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12</xdr:col>
      <xdr:colOff>219075</xdr:colOff>
      <xdr:row>17</xdr:row>
      <xdr:rowOff>371475</xdr:rowOff>
    </xdr:from>
    <xdr:to>
      <xdr:col>22</xdr:col>
      <xdr:colOff>419100</xdr:colOff>
      <xdr:row>34</xdr:row>
      <xdr:rowOff>209550</xdr:rowOff>
    </xdr:to>
    <xdr:pic>
      <xdr:nvPicPr>
        <xdr:cNvPr id="4384063" name="Picture 69">
          <a:extLst>
            <a:ext uri="{FF2B5EF4-FFF2-40B4-BE49-F238E27FC236}">
              <a16:creationId xmlns="" xmlns:a16="http://schemas.microsoft.com/office/drawing/2014/main" id="{00000000-0008-0000-2200-00003FE54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2106275" y="6515100"/>
          <a:ext cx="8143875" cy="5781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86001" name="Line 1">
          <a:extLst>
            <a:ext uri="{FF2B5EF4-FFF2-40B4-BE49-F238E27FC236}">
              <a16:creationId xmlns="" xmlns:a16="http://schemas.microsoft.com/office/drawing/2014/main" id="{00000000-0008-0000-2300-0000D1EC4200}"/>
            </a:ext>
          </a:extLst>
        </xdr:cNvPr>
        <xdr:cNvSpPr>
          <a:spLocks noChangeShapeType="1"/>
        </xdr:cNvSpPr>
      </xdr:nvSpPr>
      <xdr:spPr bwMode="auto">
        <a:xfrm flipV="1"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86002" name="Line 2">
          <a:extLst>
            <a:ext uri="{FF2B5EF4-FFF2-40B4-BE49-F238E27FC236}">
              <a16:creationId xmlns="" xmlns:a16="http://schemas.microsoft.com/office/drawing/2014/main" id="{00000000-0008-0000-2300-0000D2EC4200}"/>
            </a:ext>
          </a:extLst>
        </xdr:cNvPr>
        <xdr:cNvSpPr>
          <a:spLocks noChangeShapeType="1"/>
        </xdr:cNvSpPr>
      </xdr:nvSpPr>
      <xdr:spPr bwMode="auto">
        <a:xfrm flipV="1">
          <a:off x="70580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676275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86003" name="Line 3">
          <a:extLst>
            <a:ext uri="{FF2B5EF4-FFF2-40B4-BE49-F238E27FC236}">
              <a16:creationId xmlns="" xmlns:a16="http://schemas.microsoft.com/office/drawing/2014/main" id="{00000000-0008-0000-2300-0000D3EC42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442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95250</xdr:colOff>
      <xdr:row>0</xdr:row>
      <xdr:rowOff>0</xdr:rowOff>
    </xdr:from>
    <xdr:to>
      <xdr:col>6</xdr:col>
      <xdr:colOff>200025</xdr:colOff>
      <xdr:row>0</xdr:row>
      <xdr:rowOff>0</xdr:rowOff>
    </xdr:to>
    <xdr:sp macro="" textlink="">
      <xdr:nvSpPr>
        <xdr:cNvPr id="4386004" name="Line 4">
          <a:extLst>
            <a:ext uri="{FF2B5EF4-FFF2-40B4-BE49-F238E27FC236}">
              <a16:creationId xmlns="" xmlns:a16="http://schemas.microsoft.com/office/drawing/2014/main" id="{00000000-0008-0000-2300-0000D4EC4200}"/>
            </a:ext>
          </a:extLst>
        </xdr:cNvPr>
        <xdr:cNvSpPr>
          <a:spLocks noChangeShapeType="1"/>
        </xdr:cNvSpPr>
      </xdr:nvSpPr>
      <xdr:spPr bwMode="auto">
        <a:xfrm>
          <a:off x="7153275" y="0"/>
          <a:ext cx="1104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104775</xdr:colOff>
      <xdr:row>0</xdr:row>
      <xdr:rowOff>0</xdr:rowOff>
    </xdr:from>
    <xdr:to>
      <xdr:col>6</xdr:col>
      <xdr:colOff>104775</xdr:colOff>
      <xdr:row>0</xdr:row>
      <xdr:rowOff>0</xdr:rowOff>
    </xdr:to>
    <xdr:sp macro="" textlink="">
      <xdr:nvSpPr>
        <xdr:cNvPr id="4386005" name="Line 5">
          <a:extLst>
            <a:ext uri="{FF2B5EF4-FFF2-40B4-BE49-F238E27FC236}">
              <a16:creationId xmlns="" xmlns:a16="http://schemas.microsoft.com/office/drawing/2014/main" id="{00000000-0008-0000-2300-0000D5EC4200}"/>
            </a:ext>
          </a:extLst>
        </xdr:cNvPr>
        <xdr:cNvSpPr>
          <a:spLocks noChangeShapeType="1"/>
        </xdr:cNvSpPr>
      </xdr:nvSpPr>
      <xdr:spPr bwMode="auto">
        <a:xfrm>
          <a:off x="81629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0</xdr:row>
      <xdr:rowOff>0</xdr:rowOff>
    </xdr:from>
    <xdr:to>
      <xdr:col>6</xdr:col>
      <xdr:colOff>114300</xdr:colOff>
      <xdr:row>0</xdr:row>
      <xdr:rowOff>0</xdr:rowOff>
    </xdr:to>
    <xdr:sp macro="" textlink="">
      <xdr:nvSpPr>
        <xdr:cNvPr id="4386006" name="Line 6">
          <a:extLst>
            <a:ext uri="{FF2B5EF4-FFF2-40B4-BE49-F238E27FC236}">
              <a16:creationId xmlns="" xmlns:a16="http://schemas.microsoft.com/office/drawing/2014/main" id="{00000000-0008-0000-2300-0000D6EC4200}"/>
            </a:ext>
          </a:extLst>
        </xdr:cNvPr>
        <xdr:cNvSpPr>
          <a:spLocks noChangeShapeType="1"/>
        </xdr:cNvSpPr>
      </xdr:nvSpPr>
      <xdr:spPr bwMode="auto">
        <a:xfrm>
          <a:off x="81724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85725</xdr:colOff>
      <xdr:row>0</xdr:row>
      <xdr:rowOff>0</xdr:rowOff>
    </xdr:from>
    <xdr:to>
      <xdr:col>6</xdr:col>
      <xdr:colOff>228600</xdr:colOff>
      <xdr:row>0</xdr:row>
      <xdr:rowOff>0</xdr:rowOff>
    </xdr:to>
    <xdr:sp macro="" textlink="">
      <xdr:nvSpPr>
        <xdr:cNvPr id="4386007" name="Line 7">
          <a:extLst>
            <a:ext uri="{FF2B5EF4-FFF2-40B4-BE49-F238E27FC236}">
              <a16:creationId xmlns="" xmlns:a16="http://schemas.microsoft.com/office/drawing/2014/main" id="{00000000-0008-0000-2300-0000D7EC4200}"/>
            </a:ext>
          </a:extLst>
        </xdr:cNvPr>
        <xdr:cNvSpPr>
          <a:spLocks noChangeShapeType="1"/>
        </xdr:cNvSpPr>
      </xdr:nvSpPr>
      <xdr:spPr bwMode="auto">
        <a:xfrm>
          <a:off x="7143750" y="0"/>
          <a:ext cx="1143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533400</xdr:colOff>
      <xdr:row>0</xdr:row>
      <xdr:rowOff>0</xdr:rowOff>
    </xdr:from>
    <xdr:to>
      <xdr:col>12</xdr:col>
      <xdr:colOff>123825</xdr:colOff>
      <xdr:row>0</xdr:row>
      <xdr:rowOff>0</xdr:rowOff>
    </xdr:to>
    <xdr:sp macro="" textlink="">
      <xdr:nvSpPr>
        <xdr:cNvPr id="4386008" name="Line 8">
          <a:extLst>
            <a:ext uri="{FF2B5EF4-FFF2-40B4-BE49-F238E27FC236}">
              <a16:creationId xmlns="" xmlns:a16="http://schemas.microsoft.com/office/drawing/2014/main" id="{00000000-0008-0000-2300-0000D8EC4200}"/>
            </a:ext>
          </a:extLst>
        </xdr:cNvPr>
        <xdr:cNvSpPr>
          <a:spLocks noChangeShapeType="1"/>
        </xdr:cNvSpPr>
      </xdr:nvSpPr>
      <xdr:spPr bwMode="auto">
        <a:xfrm>
          <a:off x="11887200" y="0"/>
          <a:ext cx="12382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12</xdr:col>
      <xdr:colOff>238125</xdr:colOff>
      <xdr:row>0</xdr:row>
      <xdr:rowOff>0</xdr:rowOff>
    </xdr:to>
    <xdr:sp macro="" textlink="">
      <xdr:nvSpPr>
        <xdr:cNvPr id="4386009" name="Line 9">
          <a:extLst>
            <a:ext uri="{FF2B5EF4-FFF2-40B4-BE49-F238E27FC236}">
              <a16:creationId xmlns="" xmlns:a16="http://schemas.microsoft.com/office/drawing/2014/main" id="{00000000-0008-0000-2300-0000D9EC4200}"/>
            </a:ext>
          </a:extLst>
        </xdr:cNvPr>
        <xdr:cNvSpPr>
          <a:spLocks noChangeShapeType="1"/>
        </xdr:cNvSpPr>
      </xdr:nvSpPr>
      <xdr:spPr bwMode="auto">
        <a:xfrm flipV="1">
          <a:off x="120110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238125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6010" name="Line 10">
          <a:extLst>
            <a:ext uri="{FF2B5EF4-FFF2-40B4-BE49-F238E27FC236}">
              <a16:creationId xmlns="" xmlns:a16="http://schemas.microsoft.com/office/drawing/2014/main" id="{00000000-0008-0000-2300-0000DAEC4200}"/>
            </a:ext>
          </a:extLst>
        </xdr:cNvPr>
        <xdr:cNvSpPr>
          <a:spLocks noChangeShapeType="1"/>
        </xdr:cNvSpPr>
      </xdr:nvSpPr>
      <xdr:spPr bwMode="auto">
        <a:xfrm>
          <a:off x="12125325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361950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6011" name="Line 11">
          <a:extLst>
            <a:ext uri="{FF2B5EF4-FFF2-40B4-BE49-F238E27FC236}">
              <a16:creationId xmlns="" xmlns:a16="http://schemas.microsoft.com/office/drawing/2014/main" id="{00000000-0008-0000-2300-0000DBEC4200}"/>
            </a:ext>
          </a:extLst>
        </xdr:cNvPr>
        <xdr:cNvSpPr>
          <a:spLocks noChangeShapeType="1"/>
        </xdr:cNvSpPr>
      </xdr:nvSpPr>
      <xdr:spPr bwMode="auto">
        <a:xfrm flipV="1"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466725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6012" name="Line 12">
          <a:extLst>
            <a:ext uri="{FF2B5EF4-FFF2-40B4-BE49-F238E27FC236}">
              <a16:creationId xmlns="" xmlns:a16="http://schemas.microsoft.com/office/drawing/2014/main" id="{00000000-0008-0000-2300-0000DCEC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581025</xdr:colOff>
      <xdr:row>0</xdr:row>
      <xdr:rowOff>0</xdr:rowOff>
    </xdr:from>
    <xdr:to>
      <xdr:col>13</xdr:col>
      <xdr:colOff>0</xdr:colOff>
      <xdr:row>0</xdr:row>
      <xdr:rowOff>0</xdr:rowOff>
    </xdr:to>
    <xdr:sp macro="" textlink="">
      <xdr:nvSpPr>
        <xdr:cNvPr id="4386013" name="Line 13">
          <a:extLst>
            <a:ext uri="{FF2B5EF4-FFF2-40B4-BE49-F238E27FC236}">
              <a16:creationId xmlns="" xmlns:a16="http://schemas.microsoft.com/office/drawing/2014/main" id="{00000000-0008-0000-2300-0000DDEC4200}"/>
            </a:ext>
          </a:extLst>
        </xdr:cNvPr>
        <xdr:cNvSpPr>
          <a:spLocks noChangeShapeType="1"/>
        </xdr:cNvSpPr>
      </xdr:nvSpPr>
      <xdr:spPr bwMode="auto">
        <a:xfrm flipV="1"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0</xdr:row>
      <xdr:rowOff>0</xdr:rowOff>
    </xdr:from>
    <xdr:to>
      <xdr:col>13</xdr:col>
      <xdr:colOff>123825</xdr:colOff>
      <xdr:row>0</xdr:row>
      <xdr:rowOff>0</xdr:rowOff>
    </xdr:to>
    <xdr:sp macro="" textlink="">
      <xdr:nvSpPr>
        <xdr:cNvPr id="4386014" name="Line 14">
          <a:extLst>
            <a:ext uri="{FF2B5EF4-FFF2-40B4-BE49-F238E27FC236}">
              <a16:creationId xmlns="" xmlns:a16="http://schemas.microsoft.com/office/drawing/2014/main" id="{00000000-0008-0000-2300-0000DEEC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123825</xdr:colOff>
      <xdr:row>0</xdr:row>
      <xdr:rowOff>0</xdr:rowOff>
    </xdr:from>
    <xdr:to>
      <xdr:col>13</xdr:col>
      <xdr:colOff>238125</xdr:colOff>
      <xdr:row>0</xdr:row>
      <xdr:rowOff>0</xdr:rowOff>
    </xdr:to>
    <xdr:sp macro="" textlink="">
      <xdr:nvSpPr>
        <xdr:cNvPr id="4386015" name="Line 15">
          <a:extLst>
            <a:ext uri="{FF2B5EF4-FFF2-40B4-BE49-F238E27FC236}">
              <a16:creationId xmlns="" xmlns:a16="http://schemas.microsoft.com/office/drawing/2014/main" id="{00000000-0008-0000-2300-0000DFEC4200}"/>
            </a:ext>
          </a:extLst>
        </xdr:cNvPr>
        <xdr:cNvSpPr>
          <a:spLocks noChangeShapeType="1"/>
        </xdr:cNvSpPr>
      </xdr:nvSpPr>
      <xdr:spPr bwMode="auto">
        <a:xfrm flipV="1">
          <a:off x="122586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238125</xdr:colOff>
      <xdr:row>0</xdr:row>
      <xdr:rowOff>0</xdr:rowOff>
    </xdr:from>
    <xdr:to>
      <xdr:col>13</xdr:col>
      <xdr:colOff>361950</xdr:colOff>
      <xdr:row>0</xdr:row>
      <xdr:rowOff>0</xdr:rowOff>
    </xdr:to>
    <xdr:sp macro="" textlink="">
      <xdr:nvSpPr>
        <xdr:cNvPr id="4386016" name="Line 16">
          <a:extLst>
            <a:ext uri="{FF2B5EF4-FFF2-40B4-BE49-F238E27FC236}">
              <a16:creationId xmlns="" xmlns:a16="http://schemas.microsoft.com/office/drawing/2014/main" id="{00000000-0008-0000-2300-0000E0EC4200}"/>
            </a:ext>
          </a:extLst>
        </xdr:cNvPr>
        <xdr:cNvSpPr>
          <a:spLocks noChangeShapeType="1"/>
        </xdr:cNvSpPr>
      </xdr:nvSpPr>
      <xdr:spPr bwMode="auto">
        <a:xfrm>
          <a:off x="123729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361950</xdr:colOff>
      <xdr:row>0</xdr:row>
      <xdr:rowOff>0</xdr:rowOff>
    </xdr:from>
    <xdr:to>
      <xdr:col>13</xdr:col>
      <xdr:colOff>476250</xdr:colOff>
      <xdr:row>0</xdr:row>
      <xdr:rowOff>0</xdr:rowOff>
    </xdr:to>
    <xdr:sp macro="" textlink="">
      <xdr:nvSpPr>
        <xdr:cNvPr id="4386017" name="Line 17">
          <a:extLst>
            <a:ext uri="{FF2B5EF4-FFF2-40B4-BE49-F238E27FC236}">
              <a16:creationId xmlns="" xmlns:a16="http://schemas.microsoft.com/office/drawing/2014/main" id="{00000000-0008-0000-2300-0000E1EC4200}"/>
            </a:ext>
          </a:extLst>
        </xdr:cNvPr>
        <xdr:cNvSpPr>
          <a:spLocks noChangeShapeType="1"/>
        </xdr:cNvSpPr>
      </xdr:nvSpPr>
      <xdr:spPr bwMode="auto">
        <a:xfrm flipV="1">
          <a:off x="1249680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476250</xdr:colOff>
      <xdr:row>0</xdr:row>
      <xdr:rowOff>0</xdr:rowOff>
    </xdr:from>
    <xdr:to>
      <xdr:col>13</xdr:col>
      <xdr:colOff>609600</xdr:colOff>
      <xdr:row>0</xdr:row>
      <xdr:rowOff>0</xdr:rowOff>
    </xdr:to>
    <xdr:sp macro="" textlink="">
      <xdr:nvSpPr>
        <xdr:cNvPr id="4386018" name="Line 18">
          <a:extLst>
            <a:ext uri="{FF2B5EF4-FFF2-40B4-BE49-F238E27FC236}">
              <a16:creationId xmlns="" xmlns:a16="http://schemas.microsoft.com/office/drawing/2014/main" id="{00000000-0008-0000-2300-0000E2EC4200}"/>
            </a:ext>
          </a:extLst>
        </xdr:cNvPr>
        <xdr:cNvSpPr>
          <a:spLocks noChangeShapeType="1"/>
        </xdr:cNvSpPr>
      </xdr:nvSpPr>
      <xdr:spPr bwMode="auto">
        <a:xfrm>
          <a:off x="12611100" y="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14</xdr:col>
      <xdr:colOff>28575</xdr:colOff>
      <xdr:row>0</xdr:row>
      <xdr:rowOff>0</xdr:rowOff>
    </xdr:to>
    <xdr:sp macro="" textlink="">
      <xdr:nvSpPr>
        <xdr:cNvPr id="4386019" name="Line 19">
          <a:extLst>
            <a:ext uri="{FF2B5EF4-FFF2-40B4-BE49-F238E27FC236}">
              <a16:creationId xmlns="" xmlns:a16="http://schemas.microsoft.com/office/drawing/2014/main" id="{00000000-0008-0000-2300-0000E3EC4200}"/>
            </a:ext>
          </a:extLst>
        </xdr:cNvPr>
        <xdr:cNvSpPr>
          <a:spLocks noChangeShapeType="1"/>
        </xdr:cNvSpPr>
      </xdr:nvSpPr>
      <xdr:spPr bwMode="auto">
        <a:xfrm flipV="1">
          <a:off x="12744450" y="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28575</xdr:colOff>
      <xdr:row>0</xdr:row>
      <xdr:rowOff>0</xdr:rowOff>
    </xdr:from>
    <xdr:to>
      <xdr:col>14</xdr:col>
      <xdr:colOff>152400</xdr:colOff>
      <xdr:row>0</xdr:row>
      <xdr:rowOff>0</xdr:rowOff>
    </xdr:to>
    <xdr:sp macro="" textlink="">
      <xdr:nvSpPr>
        <xdr:cNvPr id="4386020" name="Line 20">
          <a:extLst>
            <a:ext uri="{FF2B5EF4-FFF2-40B4-BE49-F238E27FC236}">
              <a16:creationId xmlns="" xmlns:a16="http://schemas.microsoft.com/office/drawing/2014/main" id="{00000000-0008-0000-2300-0000E4EC4200}"/>
            </a:ext>
          </a:extLst>
        </xdr:cNvPr>
        <xdr:cNvSpPr>
          <a:spLocks noChangeShapeType="1"/>
        </xdr:cNvSpPr>
      </xdr:nvSpPr>
      <xdr:spPr bwMode="auto">
        <a:xfrm>
          <a:off x="1335405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152400</xdr:colOff>
      <xdr:row>0</xdr:row>
      <xdr:rowOff>0</xdr:rowOff>
    </xdr:from>
    <xdr:to>
      <xdr:col>14</xdr:col>
      <xdr:colOff>266700</xdr:colOff>
      <xdr:row>0</xdr:row>
      <xdr:rowOff>0</xdr:rowOff>
    </xdr:to>
    <xdr:sp macro="" textlink="">
      <xdr:nvSpPr>
        <xdr:cNvPr id="4386021" name="Line 21">
          <a:extLst>
            <a:ext uri="{FF2B5EF4-FFF2-40B4-BE49-F238E27FC236}">
              <a16:creationId xmlns="" xmlns:a16="http://schemas.microsoft.com/office/drawing/2014/main" id="{00000000-0008-0000-2300-0000E5EC4200}"/>
            </a:ext>
          </a:extLst>
        </xdr:cNvPr>
        <xdr:cNvSpPr>
          <a:spLocks noChangeShapeType="1"/>
        </xdr:cNvSpPr>
      </xdr:nvSpPr>
      <xdr:spPr bwMode="auto">
        <a:xfrm flipV="1">
          <a:off x="134778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266700</xdr:colOff>
      <xdr:row>0</xdr:row>
      <xdr:rowOff>0</xdr:rowOff>
    </xdr:from>
    <xdr:to>
      <xdr:col>14</xdr:col>
      <xdr:colOff>381000</xdr:colOff>
      <xdr:row>0</xdr:row>
      <xdr:rowOff>0</xdr:rowOff>
    </xdr:to>
    <xdr:sp macro="" textlink="">
      <xdr:nvSpPr>
        <xdr:cNvPr id="4386022" name="Line 22">
          <a:extLst>
            <a:ext uri="{FF2B5EF4-FFF2-40B4-BE49-F238E27FC236}">
              <a16:creationId xmlns="" xmlns:a16="http://schemas.microsoft.com/office/drawing/2014/main" id="{00000000-0008-0000-2300-0000E6EC4200}"/>
            </a:ext>
          </a:extLst>
        </xdr:cNvPr>
        <xdr:cNvSpPr>
          <a:spLocks noChangeShapeType="1"/>
        </xdr:cNvSpPr>
      </xdr:nvSpPr>
      <xdr:spPr bwMode="auto">
        <a:xfrm>
          <a:off x="135921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381000</xdr:colOff>
      <xdr:row>0</xdr:row>
      <xdr:rowOff>0</xdr:rowOff>
    </xdr:from>
    <xdr:to>
      <xdr:col>14</xdr:col>
      <xdr:colOff>495300</xdr:colOff>
      <xdr:row>0</xdr:row>
      <xdr:rowOff>0</xdr:rowOff>
    </xdr:to>
    <xdr:sp macro="" textlink="">
      <xdr:nvSpPr>
        <xdr:cNvPr id="4386023" name="Line 23">
          <a:extLst>
            <a:ext uri="{FF2B5EF4-FFF2-40B4-BE49-F238E27FC236}">
              <a16:creationId xmlns="" xmlns:a16="http://schemas.microsoft.com/office/drawing/2014/main" id="{00000000-0008-0000-2300-0000E7EC4200}"/>
            </a:ext>
          </a:extLst>
        </xdr:cNvPr>
        <xdr:cNvSpPr>
          <a:spLocks noChangeShapeType="1"/>
        </xdr:cNvSpPr>
      </xdr:nvSpPr>
      <xdr:spPr bwMode="auto">
        <a:xfrm flipV="1">
          <a:off x="137064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495300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86024" name="Line 24">
          <a:extLst>
            <a:ext uri="{FF2B5EF4-FFF2-40B4-BE49-F238E27FC236}">
              <a16:creationId xmlns="" xmlns:a16="http://schemas.microsoft.com/office/drawing/2014/main" id="{00000000-0008-0000-2300-0000E8EC4200}"/>
            </a:ext>
          </a:extLst>
        </xdr:cNvPr>
        <xdr:cNvSpPr>
          <a:spLocks noChangeShapeType="1"/>
        </xdr:cNvSpPr>
      </xdr:nvSpPr>
      <xdr:spPr bwMode="auto">
        <a:xfrm>
          <a:off x="1382077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86025" name="Line 25">
          <a:extLst>
            <a:ext uri="{FF2B5EF4-FFF2-40B4-BE49-F238E27FC236}">
              <a16:creationId xmlns="" xmlns:a16="http://schemas.microsoft.com/office/drawing/2014/main" id="{00000000-0008-0000-2300-0000E9EC42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66675</xdr:colOff>
      <xdr:row>0</xdr:row>
      <xdr:rowOff>0</xdr:rowOff>
    </xdr:to>
    <xdr:sp macro="" textlink="">
      <xdr:nvSpPr>
        <xdr:cNvPr id="4386026" name="Line 26">
          <a:extLst>
            <a:ext uri="{FF2B5EF4-FFF2-40B4-BE49-F238E27FC236}">
              <a16:creationId xmlns="" xmlns:a16="http://schemas.microsoft.com/office/drawing/2014/main" id="{00000000-0008-0000-2300-0000EAEC4200}"/>
            </a:ext>
          </a:extLst>
        </xdr:cNvPr>
        <xdr:cNvSpPr>
          <a:spLocks noChangeShapeType="1"/>
        </xdr:cNvSpPr>
      </xdr:nvSpPr>
      <xdr:spPr bwMode="auto">
        <a:xfrm flipV="1">
          <a:off x="11953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86027" name="Line 27">
          <a:extLst>
            <a:ext uri="{FF2B5EF4-FFF2-40B4-BE49-F238E27FC236}">
              <a16:creationId xmlns="" xmlns:a16="http://schemas.microsoft.com/office/drawing/2014/main" id="{00000000-0008-0000-2300-0000EBEC42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86028" name="Line 28">
          <a:extLst>
            <a:ext uri="{FF2B5EF4-FFF2-40B4-BE49-F238E27FC236}">
              <a16:creationId xmlns="" xmlns:a16="http://schemas.microsoft.com/office/drawing/2014/main" id="{00000000-0008-0000-2300-0000ECEC4200}"/>
            </a:ext>
          </a:extLst>
        </xdr:cNvPr>
        <xdr:cNvSpPr>
          <a:spLocks noChangeShapeType="1"/>
        </xdr:cNvSpPr>
      </xdr:nvSpPr>
      <xdr:spPr bwMode="auto">
        <a:xfrm>
          <a:off x="12011025" y="0"/>
          <a:ext cx="1933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352425</xdr:colOff>
      <xdr:row>0</xdr:row>
      <xdr:rowOff>0</xdr:rowOff>
    </xdr:from>
    <xdr:to>
      <xdr:col>2</xdr:col>
      <xdr:colOff>352425</xdr:colOff>
      <xdr:row>0</xdr:row>
      <xdr:rowOff>0</xdr:rowOff>
    </xdr:to>
    <xdr:sp macro="" textlink="">
      <xdr:nvSpPr>
        <xdr:cNvPr id="4386029" name="Line 29">
          <a:extLst>
            <a:ext uri="{FF2B5EF4-FFF2-40B4-BE49-F238E27FC236}">
              <a16:creationId xmlns="" xmlns:a16="http://schemas.microsoft.com/office/drawing/2014/main" id="{00000000-0008-0000-2300-0000EDEC4200}"/>
            </a:ext>
          </a:extLst>
        </xdr:cNvPr>
        <xdr:cNvSpPr>
          <a:spLocks noChangeShapeType="1"/>
        </xdr:cNvSpPr>
      </xdr:nvSpPr>
      <xdr:spPr bwMode="auto">
        <a:xfrm>
          <a:off x="2981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152400</xdr:colOff>
      <xdr:row>0</xdr:row>
      <xdr:rowOff>0</xdr:rowOff>
    </xdr:to>
    <xdr:sp macro="" textlink="">
      <xdr:nvSpPr>
        <xdr:cNvPr id="4386030" name="Line 30">
          <a:extLst>
            <a:ext uri="{FF2B5EF4-FFF2-40B4-BE49-F238E27FC236}">
              <a16:creationId xmlns="" xmlns:a16="http://schemas.microsoft.com/office/drawing/2014/main" id="{00000000-0008-0000-2300-0000EEEC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723900</xdr:colOff>
      <xdr:row>0</xdr:row>
      <xdr:rowOff>0</xdr:rowOff>
    </xdr:from>
    <xdr:to>
      <xdr:col>4</xdr:col>
      <xdr:colOff>723900</xdr:colOff>
      <xdr:row>0</xdr:row>
      <xdr:rowOff>0</xdr:rowOff>
    </xdr:to>
    <xdr:sp macro="" textlink="">
      <xdr:nvSpPr>
        <xdr:cNvPr id="4386031" name="Line 31">
          <a:extLst>
            <a:ext uri="{FF2B5EF4-FFF2-40B4-BE49-F238E27FC236}">
              <a16:creationId xmlns="" xmlns:a16="http://schemas.microsoft.com/office/drawing/2014/main" id="{00000000-0008-0000-2300-0000EFEC4200}"/>
            </a:ext>
          </a:extLst>
        </xdr:cNvPr>
        <xdr:cNvSpPr>
          <a:spLocks noChangeShapeType="1"/>
        </xdr:cNvSpPr>
      </xdr:nvSpPr>
      <xdr:spPr bwMode="auto">
        <a:xfrm>
          <a:off x="63722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285750</xdr:colOff>
      <xdr:row>0</xdr:row>
      <xdr:rowOff>0</xdr:rowOff>
    </xdr:from>
    <xdr:to>
      <xdr:col>2</xdr:col>
      <xdr:colOff>285750</xdr:colOff>
      <xdr:row>0</xdr:row>
      <xdr:rowOff>0</xdr:rowOff>
    </xdr:to>
    <xdr:sp macro="" textlink="">
      <xdr:nvSpPr>
        <xdr:cNvPr id="4386032" name="Line 32">
          <a:extLst>
            <a:ext uri="{FF2B5EF4-FFF2-40B4-BE49-F238E27FC236}">
              <a16:creationId xmlns="" xmlns:a16="http://schemas.microsoft.com/office/drawing/2014/main" id="{00000000-0008-0000-2300-0000F0EC4200}"/>
            </a:ext>
          </a:extLst>
        </xdr:cNvPr>
        <xdr:cNvSpPr>
          <a:spLocks noChangeShapeType="1"/>
        </xdr:cNvSpPr>
      </xdr:nvSpPr>
      <xdr:spPr bwMode="auto">
        <a:xfrm>
          <a:off x="29146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590550</xdr:colOff>
      <xdr:row>0</xdr:row>
      <xdr:rowOff>0</xdr:rowOff>
    </xdr:from>
    <xdr:to>
      <xdr:col>4</xdr:col>
      <xdr:colOff>590550</xdr:colOff>
      <xdr:row>0</xdr:row>
      <xdr:rowOff>0</xdr:rowOff>
    </xdr:to>
    <xdr:sp macro="" textlink="">
      <xdr:nvSpPr>
        <xdr:cNvPr id="4386033" name="Line 33">
          <a:extLst>
            <a:ext uri="{FF2B5EF4-FFF2-40B4-BE49-F238E27FC236}">
              <a16:creationId xmlns="" xmlns:a16="http://schemas.microsoft.com/office/drawing/2014/main" id="{00000000-0008-0000-2300-0000F1EC4200}"/>
            </a:ext>
          </a:extLst>
        </xdr:cNvPr>
        <xdr:cNvSpPr>
          <a:spLocks noChangeShapeType="1"/>
        </xdr:cNvSpPr>
      </xdr:nvSpPr>
      <xdr:spPr bwMode="auto">
        <a:xfrm flipH="1">
          <a:off x="6238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86034" name="Line 34">
          <a:extLst>
            <a:ext uri="{FF2B5EF4-FFF2-40B4-BE49-F238E27FC236}">
              <a16:creationId xmlns="" xmlns:a16="http://schemas.microsoft.com/office/drawing/2014/main" id="{00000000-0008-0000-2300-0000F2EC4200}"/>
            </a:ext>
          </a:extLst>
        </xdr:cNvPr>
        <xdr:cNvSpPr>
          <a:spLocks noChangeShapeType="1"/>
        </xdr:cNvSpPr>
      </xdr:nvSpPr>
      <xdr:spPr bwMode="auto">
        <a:xfrm flipV="1">
          <a:off x="1394460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95250</xdr:colOff>
      <xdr:row>0</xdr:row>
      <xdr:rowOff>0</xdr:rowOff>
    </xdr:to>
    <xdr:grpSp>
      <xdr:nvGrpSpPr>
        <xdr:cNvPr id="4386035" name="Group 35">
          <a:extLst>
            <a:ext uri="{FF2B5EF4-FFF2-40B4-BE49-F238E27FC236}">
              <a16:creationId xmlns="" xmlns:a16="http://schemas.microsoft.com/office/drawing/2014/main" id="{00000000-0008-0000-2300-0000F3EC4200}"/>
            </a:ext>
          </a:extLst>
        </xdr:cNvPr>
        <xdr:cNvGrpSpPr>
          <a:grpSpLocks/>
        </xdr:cNvGrpSpPr>
      </xdr:nvGrpSpPr>
      <xdr:grpSpPr bwMode="auto">
        <a:xfrm>
          <a:off x="9853613" y="0"/>
          <a:ext cx="5600700" cy="0"/>
          <a:chOff x="630" y="359"/>
          <a:chExt cx="361" cy="60"/>
        </a:xfrm>
      </xdr:grpSpPr>
      <xdr:sp macro="" textlink="">
        <xdr:nvSpPr>
          <xdr:cNvPr id="4386203" name="Line 36">
            <a:extLst>
              <a:ext uri="{FF2B5EF4-FFF2-40B4-BE49-F238E27FC236}">
                <a16:creationId xmlns="" xmlns:a16="http://schemas.microsoft.com/office/drawing/2014/main" id="{00000000-0008-0000-2300-00009BED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0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6204" name="Line 37">
            <a:extLst>
              <a:ext uri="{FF2B5EF4-FFF2-40B4-BE49-F238E27FC236}">
                <a16:creationId xmlns="" xmlns:a16="http://schemas.microsoft.com/office/drawing/2014/main" id="{00000000-0008-0000-2300-00009CED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91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6205" name="Line 38">
            <a:extLst>
              <a:ext uri="{FF2B5EF4-FFF2-40B4-BE49-F238E27FC236}">
                <a16:creationId xmlns="" xmlns:a16="http://schemas.microsoft.com/office/drawing/2014/main" id="{00000000-0008-0000-2300-00009DED4200}"/>
              </a:ext>
            </a:extLst>
          </xdr:cNvPr>
          <xdr:cNvSpPr>
            <a:spLocks noChangeShapeType="1"/>
          </xdr:cNvSpPr>
        </xdr:nvSpPr>
        <xdr:spPr bwMode="auto">
          <a:xfrm>
            <a:off x="630" y="381"/>
            <a:ext cx="3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7</xdr:col>
      <xdr:colOff>590550</xdr:colOff>
      <xdr:row>0</xdr:row>
      <xdr:rowOff>0</xdr:rowOff>
    </xdr:to>
    <xdr:sp macro="" textlink="">
      <xdr:nvSpPr>
        <xdr:cNvPr id="4386036" name="Line 39">
          <a:extLst>
            <a:ext uri="{FF2B5EF4-FFF2-40B4-BE49-F238E27FC236}">
              <a16:creationId xmlns="" xmlns:a16="http://schemas.microsoft.com/office/drawing/2014/main" id="{00000000-0008-0000-2300-0000F4EC42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10</xdr:col>
      <xdr:colOff>47625</xdr:colOff>
      <xdr:row>0</xdr:row>
      <xdr:rowOff>0</xdr:rowOff>
    </xdr:to>
    <xdr:sp macro="" textlink="">
      <xdr:nvSpPr>
        <xdr:cNvPr id="4386037" name="Line 40">
          <a:extLst>
            <a:ext uri="{FF2B5EF4-FFF2-40B4-BE49-F238E27FC236}">
              <a16:creationId xmlns="" xmlns:a16="http://schemas.microsoft.com/office/drawing/2014/main" id="{00000000-0008-0000-2300-0000F5EC4200}"/>
            </a:ext>
          </a:extLst>
        </xdr:cNvPr>
        <xdr:cNvSpPr>
          <a:spLocks noChangeShapeType="1"/>
        </xdr:cNvSpPr>
      </xdr:nvSpPr>
      <xdr:spPr bwMode="auto">
        <a:xfrm flipV="1">
          <a:off x="9382125" y="0"/>
          <a:ext cx="1581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10</xdr:col>
      <xdr:colOff>914400</xdr:colOff>
      <xdr:row>0</xdr:row>
      <xdr:rowOff>0</xdr:rowOff>
    </xdr:to>
    <xdr:sp macro="" textlink="">
      <xdr:nvSpPr>
        <xdr:cNvPr id="4386038" name="Line 41">
          <a:extLst>
            <a:ext uri="{FF2B5EF4-FFF2-40B4-BE49-F238E27FC236}">
              <a16:creationId xmlns="" xmlns:a16="http://schemas.microsoft.com/office/drawing/2014/main" id="{00000000-0008-0000-2300-0000F6EC42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1733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28575</xdr:colOff>
      <xdr:row>0</xdr:row>
      <xdr:rowOff>0</xdr:rowOff>
    </xdr:to>
    <xdr:sp macro="" textlink="">
      <xdr:nvSpPr>
        <xdr:cNvPr id="4386039" name="Line 42">
          <a:extLst>
            <a:ext uri="{FF2B5EF4-FFF2-40B4-BE49-F238E27FC236}">
              <a16:creationId xmlns="" xmlns:a16="http://schemas.microsoft.com/office/drawing/2014/main" id="{00000000-0008-0000-2300-0000F7EC4200}"/>
            </a:ext>
          </a:extLst>
        </xdr:cNvPr>
        <xdr:cNvSpPr>
          <a:spLocks noChangeShapeType="1"/>
        </xdr:cNvSpPr>
      </xdr:nvSpPr>
      <xdr:spPr bwMode="auto">
        <a:xfrm>
          <a:off x="9839325" y="0"/>
          <a:ext cx="2076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552450</xdr:colOff>
      <xdr:row>0</xdr:row>
      <xdr:rowOff>0</xdr:rowOff>
    </xdr:from>
    <xdr:to>
      <xdr:col>13</xdr:col>
      <xdr:colOff>400050</xdr:colOff>
      <xdr:row>0</xdr:row>
      <xdr:rowOff>0</xdr:rowOff>
    </xdr:to>
    <xdr:sp macro="" textlink="">
      <xdr:nvSpPr>
        <xdr:cNvPr id="4386040" name="Line 43">
          <a:extLst>
            <a:ext uri="{FF2B5EF4-FFF2-40B4-BE49-F238E27FC236}">
              <a16:creationId xmlns="" xmlns:a16="http://schemas.microsoft.com/office/drawing/2014/main" id="{00000000-0008-0000-2300-0000F8EC4200}"/>
            </a:ext>
          </a:extLst>
        </xdr:cNvPr>
        <xdr:cNvSpPr>
          <a:spLocks noChangeShapeType="1"/>
        </xdr:cNvSpPr>
      </xdr:nvSpPr>
      <xdr:spPr bwMode="auto">
        <a:xfrm flipH="1">
          <a:off x="980122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10</xdr:col>
      <xdr:colOff>57150</xdr:colOff>
      <xdr:row>0</xdr:row>
      <xdr:rowOff>0</xdr:rowOff>
    </xdr:to>
    <xdr:grpSp>
      <xdr:nvGrpSpPr>
        <xdr:cNvPr id="4386041" name="Group 44">
          <a:extLst>
            <a:ext uri="{FF2B5EF4-FFF2-40B4-BE49-F238E27FC236}">
              <a16:creationId xmlns="" xmlns:a16="http://schemas.microsoft.com/office/drawing/2014/main" id="{00000000-0008-0000-2300-0000F9EC4200}"/>
            </a:ext>
          </a:extLst>
        </xdr:cNvPr>
        <xdr:cNvGrpSpPr>
          <a:grpSpLocks/>
        </xdr:cNvGrpSpPr>
      </xdr:nvGrpSpPr>
      <xdr:grpSpPr bwMode="auto">
        <a:xfrm>
          <a:off x="9882188" y="0"/>
          <a:ext cx="1104900" cy="0"/>
          <a:chOff x="554" y="439"/>
          <a:chExt cx="10" cy="76"/>
        </a:xfrm>
      </xdr:grpSpPr>
      <xdr:sp macro="" textlink="">
        <xdr:nvSpPr>
          <xdr:cNvPr id="4386201" name="Line 45">
            <a:extLst>
              <a:ext uri="{FF2B5EF4-FFF2-40B4-BE49-F238E27FC236}">
                <a16:creationId xmlns="" xmlns:a16="http://schemas.microsoft.com/office/drawing/2014/main" id="{00000000-0008-0000-2300-000099ED4200}"/>
              </a:ext>
            </a:extLst>
          </xdr:cNvPr>
          <xdr:cNvSpPr>
            <a:spLocks noChangeShapeType="1"/>
          </xdr:cNvSpPr>
        </xdr:nvSpPr>
        <xdr:spPr bwMode="auto">
          <a:xfrm>
            <a:off x="558" y="439"/>
            <a:ext cx="0" cy="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6202" name="Line 46">
            <a:extLst>
              <a:ext uri="{FF2B5EF4-FFF2-40B4-BE49-F238E27FC236}">
                <a16:creationId xmlns="" xmlns:a16="http://schemas.microsoft.com/office/drawing/2014/main" id="{00000000-0008-0000-2300-00009AED4200}"/>
              </a:ext>
            </a:extLst>
          </xdr:cNvPr>
          <xdr:cNvSpPr>
            <a:spLocks noChangeShapeType="1"/>
          </xdr:cNvSpPr>
        </xdr:nvSpPr>
        <xdr:spPr bwMode="auto">
          <a:xfrm>
            <a:off x="554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10</xdr:col>
      <xdr:colOff>628650</xdr:colOff>
      <xdr:row>0</xdr:row>
      <xdr:rowOff>0</xdr:rowOff>
    </xdr:from>
    <xdr:to>
      <xdr:col>11</xdr:col>
      <xdr:colOff>38100</xdr:colOff>
      <xdr:row>0</xdr:row>
      <xdr:rowOff>0</xdr:rowOff>
    </xdr:to>
    <xdr:grpSp>
      <xdr:nvGrpSpPr>
        <xdr:cNvPr id="4386042" name="Group 47">
          <a:extLst>
            <a:ext uri="{FF2B5EF4-FFF2-40B4-BE49-F238E27FC236}">
              <a16:creationId xmlns="" xmlns:a16="http://schemas.microsoft.com/office/drawing/2014/main" id="{00000000-0008-0000-2300-0000FAEC4200}"/>
            </a:ext>
          </a:extLst>
        </xdr:cNvPr>
        <xdr:cNvGrpSpPr>
          <a:grpSpLocks/>
        </xdr:cNvGrpSpPr>
      </xdr:nvGrpSpPr>
      <xdr:grpSpPr bwMode="auto">
        <a:xfrm>
          <a:off x="11558588" y="0"/>
          <a:ext cx="76200" cy="0"/>
          <a:chOff x="680" y="439"/>
          <a:chExt cx="10" cy="98"/>
        </a:xfrm>
      </xdr:grpSpPr>
      <xdr:sp macro="" textlink="">
        <xdr:nvSpPr>
          <xdr:cNvPr id="4386199" name="Line 48">
            <a:extLst>
              <a:ext uri="{FF2B5EF4-FFF2-40B4-BE49-F238E27FC236}">
                <a16:creationId xmlns="" xmlns:a16="http://schemas.microsoft.com/office/drawing/2014/main" id="{00000000-0008-0000-2300-000097ED4200}"/>
              </a:ext>
            </a:extLst>
          </xdr:cNvPr>
          <xdr:cNvSpPr>
            <a:spLocks noChangeShapeType="1"/>
          </xdr:cNvSpPr>
        </xdr:nvSpPr>
        <xdr:spPr bwMode="auto">
          <a:xfrm>
            <a:off x="685" y="439"/>
            <a:ext cx="0" cy="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6200" name="Line 49">
            <a:extLst>
              <a:ext uri="{FF2B5EF4-FFF2-40B4-BE49-F238E27FC236}">
                <a16:creationId xmlns="" xmlns:a16="http://schemas.microsoft.com/office/drawing/2014/main" id="{00000000-0008-0000-2300-000098ED4200}"/>
              </a:ext>
            </a:extLst>
          </xdr:cNvPr>
          <xdr:cNvSpPr>
            <a:spLocks noChangeShapeType="1"/>
          </xdr:cNvSpPr>
        </xdr:nvSpPr>
        <xdr:spPr bwMode="auto">
          <a:xfrm>
            <a:off x="680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4386043" name="Group 50">
          <a:extLst>
            <a:ext uri="{FF2B5EF4-FFF2-40B4-BE49-F238E27FC236}">
              <a16:creationId xmlns="" xmlns:a16="http://schemas.microsoft.com/office/drawing/2014/main" id="{00000000-0008-0000-2300-0000FBEC4200}"/>
            </a:ext>
          </a:extLst>
        </xdr:cNvPr>
        <xdr:cNvGrpSpPr>
          <a:grpSpLocks/>
        </xdr:cNvGrpSpPr>
      </xdr:nvGrpSpPr>
      <xdr:grpSpPr bwMode="auto">
        <a:xfrm>
          <a:off x="11906250" y="0"/>
          <a:ext cx="142875" cy="0"/>
          <a:chOff x="759" y="438"/>
          <a:chExt cx="10" cy="121"/>
        </a:xfrm>
      </xdr:grpSpPr>
      <xdr:sp macro="" textlink="">
        <xdr:nvSpPr>
          <xdr:cNvPr id="4386197" name="Line 51">
            <a:extLst>
              <a:ext uri="{FF2B5EF4-FFF2-40B4-BE49-F238E27FC236}">
                <a16:creationId xmlns="" xmlns:a16="http://schemas.microsoft.com/office/drawing/2014/main" id="{00000000-0008-0000-2300-000095ED42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6198" name="Line 52">
            <a:extLst>
              <a:ext uri="{FF2B5EF4-FFF2-40B4-BE49-F238E27FC236}">
                <a16:creationId xmlns="" xmlns:a16="http://schemas.microsoft.com/office/drawing/2014/main" id="{00000000-0008-0000-2300-000096ED42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13</xdr:col>
      <xdr:colOff>76200</xdr:colOff>
      <xdr:row>0</xdr:row>
      <xdr:rowOff>0</xdr:rowOff>
    </xdr:from>
    <xdr:to>
      <xdr:col>13</xdr:col>
      <xdr:colOff>676275</xdr:colOff>
      <xdr:row>0</xdr:row>
      <xdr:rowOff>0</xdr:rowOff>
    </xdr:to>
    <xdr:grpSp>
      <xdr:nvGrpSpPr>
        <xdr:cNvPr id="4386044" name="Group 53">
          <a:extLst>
            <a:ext uri="{FF2B5EF4-FFF2-40B4-BE49-F238E27FC236}">
              <a16:creationId xmlns="" xmlns:a16="http://schemas.microsoft.com/office/drawing/2014/main" id="{00000000-0008-0000-2300-0000FCEC4200}"/>
            </a:ext>
          </a:extLst>
        </xdr:cNvPr>
        <xdr:cNvGrpSpPr>
          <a:grpSpLocks/>
        </xdr:cNvGrpSpPr>
      </xdr:nvGrpSpPr>
      <xdr:grpSpPr bwMode="auto">
        <a:xfrm>
          <a:off x="12220575" y="0"/>
          <a:ext cx="600075" cy="0"/>
          <a:chOff x="842" y="438"/>
          <a:chExt cx="10" cy="147"/>
        </a:xfrm>
      </xdr:grpSpPr>
      <xdr:sp macro="" textlink="">
        <xdr:nvSpPr>
          <xdr:cNvPr id="4386195" name="Line 54">
            <a:extLst>
              <a:ext uri="{FF2B5EF4-FFF2-40B4-BE49-F238E27FC236}">
                <a16:creationId xmlns="" xmlns:a16="http://schemas.microsoft.com/office/drawing/2014/main" id="{00000000-0008-0000-2300-000093ED42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6196" name="Line 55">
            <a:extLst>
              <a:ext uri="{FF2B5EF4-FFF2-40B4-BE49-F238E27FC236}">
                <a16:creationId xmlns="" xmlns:a16="http://schemas.microsoft.com/office/drawing/2014/main" id="{00000000-0008-0000-2300-000094ED42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76200</xdr:colOff>
      <xdr:row>0</xdr:row>
      <xdr:rowOff>0</xdr:rowOff>
    </xdr:to>
    <xdr:sp macro="" textlink="">
      <xdr:nvSpPr>
        <xdr:cNvPr id="4386045" name="Rectangle 56">
          <a:extLst>
            <a:ext uri="{FF2B5EF4-FFF2-40B4-BE49-F238E27FC236}">
              <a16:creationId xmlns="" xmlns:a16="http://schemas.microsoft.com/office/drawing/2014/main" id="{00000000-0008-0000-2300-0000FDEC4200}"/>
            </a:ext>
          </a:extLst>
        </xdr:cNvPr>
        <xdr:cNvSpPr>
          <a:spLocks noChangeArrowheads="1"/>
        </xdr:cNvSpPr>
      </xdr:nvSpPr>
      <xdr:spPr bwMode="auto">
        <a:xfrm>
          <a:off x="9839325" y="0"/>
          <a:ext cx="55721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4386046" name="Line 57">
          <a:extLst>
            <a:ext uri="{FF2B5EF4-FFF2-40B4-BE49-F238E27FC236}">
              <a16:creationId xmlns="" xmlns:a16="http://schemas.microsoft.com/office/drawing/2014/main" id="{00000000-0008-0000-2300-0000FEEC4200}"/>
            </a:ext>
          </a:extLst>
        </xdr:cNvPr>
        <xdr:cNvSpPr>
          <a:spLocks noChangeShapeType="1"/>
        </xdr:cNvSpPr>
      </xdr:nvSpPr>
      <xdr:spPr bwMode="auto">
        <a:xfrm>
          <a:off x="153352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638175</xdr:colOff>
      <xdr:row>0</xdr:row>
      <xdr:rowOff>0</xdr:rowOff>
    </xdr:from>
    <xdr:to>
      <xdr:col>16</xdr:col>
      <xdr:colOff>47625</xdr:colOff>
      <xdr:row>0</xdr:row>
      <xdr:rowOff>0</xdr:rowOff>
    </xdr:to>
    <xdr:sp macro="" textlink="">
      <xdr:nvSpPr>
        <xdr:cNvPr id="4386047" name="Line 58">
          <a:extLst>
            <a:ext uri="{FF2B5EF4-FFF2-40B4-BE49-F238E27FC236}">
              <a16:creationId xmlns="" xmlns:a16="http://schemas.microsoft.com/office/drawing/2014/main" id="{00000000-0008-0000-2300-0000FFEC4200}"/>
            </a:ext>
          </a:extLst>
        </xdr:cNvPr>
        <xdr:cNvSpPr>
          <a:spLocks noChangeShapeType="1"/>
        </xdr:cNvSpPr>
      </xdr:nvSpPr>
      <xdr:spPr bwMode="auto">
        <a:xfrm>
          <a:off x="14887575" y="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15</xdr:col>
      <xdr:colOff>1181100</xdr:colOff>
      <xdr:row>0</xdr:row>
      <xdr:rowOff>0</xdr:rowOff>
    </xdr:to>
    <xdr:sp macro="" textlink="">
      <xdr:nvSpPr>
        <xdr:cNvPr id="4386048" name="Line 59">
          <a:extLst>
            <a:ext uri="{FF2B5EF4-FFF2-40B4-BE49-F238E27FC236}">
              <a16:creationId xmlns="" xmlns:a16="http://schemas.microsoft.com/office/drawing/2014/main" id="{00000000-0008-0000-2300-000000ED4200}"/>
            </a:ext>
          </a:extLst>
        </xdr:cNvPr>
        <xdr:cNvSpPr>
          <a:spLocks noChangeShapeType="1"/>
        </xdr:cNvSpPr>
      </xdr:nvSpPr>
      <xdr:spPr bwMode="auto">
        <a:xfrm flipV="1">
          <a:off x="9867900" y="0"/>
          <a:ext cx="546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666750</xdr:colOff>
      <xdr:row>0</xdr:row>
      <xdr:rowOff>0</xdr:rowOff>
    </xdr:from>
    <xdr:to>
      <xdr:col>14</xdr:col>
      <xdr:colOff>838200</xdr:colOff>
      <xdr:row>0</xdr:row>
      <xdr:rowOff>0</xdr:rowOff>
    </xdr:to>
    <xdr:grpSp>
      <xdr:nvGrpSpPr>
        <xdr:cNvPr id="4386049" name="Group 60">
          <a:extLst>
            <a:ext uri="{FF2B5EF4-FFF2-40B4-BE49-F238E27FC236}">
              <a16:creationId xmlns="" xmlns:a16="http://schemas.microsoft.com/office/drawing/2014/main" id="{00000000-0008-0000-2300-000001ED4200}"/>
            </a:ext>
          </a:extLst>
        </xdr:cNvPr>
        <xdr:cNvGrpSpPr>
          <a:grpSpLocks/>
        </xdr:cNvGrpSpPr>
      </xdr:nvGrpSpPr>
      <xdr:grpSpPr bwMode="auto">
        <a:xfrm>
          <a:off x="14001750" y="0"/>
          <a:ext cx="171450" cy="0"/>
          <a:chOff x="912" y="438"/>
          <a:chExt cx="11" cy="175"/>
        </a:xfrm>
      </xdr:grpSpPr>
      <xdr:sp macro="" textlink="">
        <xdr:nvSpPr>
          <xdr:cNvPr id="4386193" name="Line 61">
            <a:extLst>
              <a:ext uri="{FF2B5EF4-FFF2-40B4-BE49-F238E27FC236}">
                <a16:creationId xmlns="" xmlns:a16="http://schemas.microsoft.com/office/drawing/2014/main" id="{00000000-0008-0000-2300-000091ED42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6194" name="Line 62">
            <a:extLst>
              <a:ext uri="{FF2B5EF4-FFF2-40B4-BE49-F238E27FC236}">
                <a16:creationId xmlns="" xmlns:a16="http://schemas.microsoft.com/office/drawing/2014/main" id="{00000000-0008-0000-2300-000092ED42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171450</xdr:colOff>
      <xdr:row>0</xdr:row>
      <xdr:rowOff>0</xdr:rowOff>
    </xdr:from>
    <xdr:to>
      <xdr:col>4</xdr:col>
      <xdr:colOff>542925</xdr:colOff>
      <xdr:row>0</xdr:row>
      <xdr:rowOff>0</xdr:rowOff>
    </xdr:to>
    <xdr:sp macro="" textlink="">
      <xdr:nvSpPr>
        <xdr:cNvPr id="4386050" name="Line 63">
          <a:extLst>
            <a:ext uri="{FF2B5EF4-FFF2-40B4-BE49-F238E27FC236}">
              <a16:creationId xmlns="" xmlns:a16="http://schemas.microsoft.com/office/drawing/2014/main" id="{00000000-0008-0000-2300-000002ED4200}"/>
            </a:ext>
          </a:extLst>
        </xdr:cNvPr>
        <xdr:cNvSpPr>
          <a:spLocks noChangeShapeType="1"/>
        </xdr:cNvSpPr>
      </xdr:nvSpPr>
      <xdr:spPr bwMode="auto">
        <a:xfrm>
          <a:off x="2800350" y="0"/>
          <a:ext cx="3390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190500</xdr:colOff>
      <xdr:row>0</xdr:row>
      <xdr:rowOff>0</xdr:rowOff>
    </xdr:from>
    <xdr:to>
      <xdr:col>4</xdr:col>
      <xdr:colOff>571500</xdr:colOff>
      <xdr:row>0</xdr:row>
      <xdr:rowOff>0</xdr:rowOff>
    </xdr:to>
    <xdr:sp macro="" textlink="">
      <xdr:nvSpPr>
        <xdr:cNvPr id="4386051" name="Line 64">
          <a:extLst>
            <a:ext uri="{FF2B5EF4-FFF2-40B4-BE49-F238E27FC236}">
              <a16:creationId xmlns="" xmlns:a16="http://schemas.microsoft.com/office/drawing/2014/main" id="{00000000-0008-0000-2300-000003ED4200}"/>
            </a:ext>
          </a:extLst>
        </xdr:cNvPr>
        <xdr:cNvSpPr>
          <a:spLocks noChangeShapeType="1"/>
        </xdr:cNvSpPr>
      </xdr:nvSpPr>
      <xdr:spPr bwMode="auto">
        <a:xfrm>
          <a:off x="2819400" y="0"/>
          <a:ext cx="3400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86052" name="Line 65">
          <a:extLst>
            <a:ext uri="{FF2B5EF4-FFF2-40B4-BE49-F238E27FC236}">
              <a16:creationId xmlns="" xmlns:a16="http://schemas.microsoft.com/office/drawing/2014/main" id="{00000000-0008-0000-2300-000004ED42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876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4</xdr:col>
      <xdr:colOff>676275</xdr:colOff>
      <xdr:row>0</xdr:row>
      <xdr:rowOff>0</xdr:rowOff>
    </xdr:to>
    <xdr:sp macro="" textlink="">
      <xdr:nvSpPr>
        <xdr:cNvPr id="4386053" name="Line 66">
          <a:extLst>
            <a:ext uri="{FF2B5EF4-FFF2-40B4-BE49-F238E27FC236}">
              <a16:creationId xmlns="" xmlns:a16="http://schemas.microsoft.com/office/drawing/2014/main" id="{00000000-0008-0000-2300-000005ED4200}"/>
            </a:ext>
          </a:extLst>
        </xdr:cNvPr>
        <xdr:cNvSpPr>
          <a:spLocks noChangeShapeType="1"/>
        </xdr:cNvSpPr>
      </xdr:nvSpPr>
      <xdr:spPr bwMode="auto">
        <a:xfrm>
          <a:off x="6181725" y="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219075</xdr:colOff>
      <xdr:row>0</xdr:row>
      <xdr:rowOff>0</xdr:rowOff>
    </xdr:from>
    <xdr:to>
      <xdr:col>2</xdr:col>
      <xdr:colOff>219075</xdr:colOff>
      <xdr:row>0</xdr:row>
      <xdr:rowOff>0</xdr:rowOff>
    </xdr:to>
    <xdr:sp macro="" textlink="">
      <xdr:nvSpPr>
        <xdr:cNvPr id="4386054" name="Line 67">
          <a:extLst>
            <a:ext uri="{FF2B5EF4-FFF2-40B4-BE49-F238E27FC236}">
              <a16:creationId xmlns="" xmlns:a16="http://schemas.microsoft.com/office/drawing/2014/main" id="{00000000-0008-0000-2300-000006ED4200}"/>
            </a:ext>
          </a:extLst>
        </xdr:cNvPr>
        <xdr:cNvSpPr>
          <a:spLocks noChangeShapeType="1"/>
        </xdr:cNvSpPr>
      </xdr:nvSpPr>
      <xdr:spPr bwMode="auto">
        <a:xfrm>
          <a:off x="28479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266700</xdr:colOff>
      <xdr:row>0</xdr:row>
      <xdr:rowOff>0</xdr:rowOff>
    </xdr:from>
    <xdr:to>
      <xdr:col>2</xdr:col>
      <xdr:colOff>266700</xdr:colOff>
      <xdr:row>0</xdr:row>
      <xdr:rowOff>0</xdr:rowOff>
    </xdr:to>
    <xdr:sp macro="" textlink="">
      <xdr:nvSpPr>
        <xdr:cNvPr id="4386055" name="Line 68">
          <a:extLst>
            <a:ext uri="{FF2B5EF4-FFF2-40B4-BE49-F238E27FC236}">
              <a16:creationId xmlns="" xmlns:a16="http://schemas.microsoft.com/office/drawing/2014/main" id="{00000000-0008-0000-2300-000007ED4200}"/>
            </a:ext>
          </a:extLst>
        </xdr:cNvPr>
        <xdr:cNvSpPr>
          <a:spLocks noChangeShapeType="1"/>
        </xdr:cNvSpPr>
      </xdr:nvSpPr>
      <xdr:spPr bwMode="auto">
        <a:xfrm>
          <a:off x="2895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333375</xdr:colOff>
      <xdr:row>0</xdr:row>
      <xdr:rowOff>0</xdr:rowOff>
    </xdr:from>
    <xdr:to>
      <xdr:col>2</xdr:col>
      <xdr:colOff>333375</xdr:colOff>
      <xdr:row>0</xdr:row>
      <xdr:rowOff>0</xdr:rowOff>
    </xdr:to>
    <xdr:sp macro="" textlink="">
      <xdr:nvSpPr>
        <xdr:cNvPr id="4386056" name="Line 69">
          <a:extLst>
            <a:ext uri="{FF2B5EF4-FFF2-40B4-BE49-F238E27FC236}">
              <a16:creationId xmlns="" xmlns:a16="http://schemas.microsoft.com/office/drawing/2014/main" id="{00000000-0008-0000-2300-000008ED4200}"/>
            </a:ext>
          </a:extLst>
        </xdr:cNvPr>
        <xdr:cNvSpPr>
          <a:spLocks noChangeShapeType="1"/>
        </xdr:cNvSpPr>
      </xdr:nvSpPr>
      <xdr:spPr bwMode="auto">
        <a:xfrm>
          <a:off x="29622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0</xdr:row>
      <xdr:rowOff>0</xdr:rowOff>
    </xdr:from>
    <xdr:to>
      <xdr:col>2</xdr:col>
      <xdr:colOff>390525</xdr:colOff>
      <xdr:row>0</xdr:row>
      <xdr:rowOff>0</xdr:rowOff>
    </xdr:to>
    <xdr:sp macro="" textlink="">
      <xdr:nvSpPr>
        <xdr:cNvPr id="4386057" name="Line 70">
          <a:extLst>
            <a:ext uri="{FF2B5EF4-FFF2-40B4-BE49-F238E27FC236}">
              <a16:creationId xmlns="" xmlns:a16="http://schemas.microsoft.com/office/drawing/2014/main" id="{00000000-0008-0000-2300-000009ED4200}"/>
            </a:ext>
          </a:extLst>
        </xdr:cNvPr>
        <xdr:cNvSpPr>
          <a:spLocks noChangeShapeType="1"/>
        </xdr:cNvSpPr>
      </xdr:nvSpPr>
      <xdr:spPr bwMode="auto">
        <a:xfrm>
          <a:off x="3019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447675</xdr:colOff>
      <xdr:row>0</xdr:row>
      <xdr:rowOff>0</xdr:rowOff>
    </xdr:to>
    <xdr:sp macro="" textlink="">
      <xdr:nvSpPr>
        <xdr:cNvPr id="4386058" name="Line 71">
          <a:extLst>
            <a:ext uri="{FF2B5EF4-FFF2-40B4-BE49-F238E27FC236}">
              <a16:creationId xmlns="" xmlns:a16="http://schemas.microsoft.com/office/drawing/2014/main" id="{00000000-0008-0000-2300-00000AED42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4386059" name="Line 72">
          <a:extLst>
            <a:ext uri="{FF2B5EF4-FFF2-40B4-BE49-F238E27FC236}">
              <a16:creationId xmlns="" xmlns:a16="http://schemas.microsoft.com/office/drawing/2014/main" id="{00000000-0008-0000-2300-00000BED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314325</xdr:colOff>
      <xdr:row>0</xdr:row>
      <xdr:rowOff>0</xdr:rowOff>
    </xdr:to>
    <xdr:sp macro="" textlink="">
      <xdr:nvSpPr>
        <xdr:cNvPr id="4386060" name="Line 73">
          <a:extLst>
            <a:ext uri="{FF2B5EF4-FFF2-40B4-BE49-F238E27FC236}">
              <a16:creationId xmlns="" xmlns:a16="http://schemas.microsoft.com/office/drawing/2014/main" id="{00000000-0008-0000-2300-00000CED42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657225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86061" name="Line 74">
          <a:extLst>
            <a:ext uri="{FF2B5EF4-FFF2-40B4-BE49-F238E27FC236}">
              <a16:creationId xmlns="" xmlns:a16="http://schemas.microsoft.com/office/drawing/2014/main" id="{00000000-0008-0000-2300-00000DED42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266700</xdr:colOff>
      <xdr:row>0</xdr:row>
      <xdr:rowOff>0</xdr:rowOff>
    </xdr:from>
    <xdr:to>
      <xdr:col>11</xdr:col>
      <xdr:colOff>352425</xdr:colOff>
      <xdr:row>0</xdr:row>
      <xdr:rowOff>0</xdr:rowOff>
    </xdr:to>
    <xdr:sp macro="" textlink="">
      <xdr:nvSpPr>
        <xdr:cNvPr id="4386062" name="Text Box 75">
          <a:extLst>
            <a:ext uri="{FF2B5EF4-FFF2-40B4-BE49-F238E27FC236}">
              <a16:creationId xmlns="" xmlns:a16="http://schemas.microsoft.com/office/drawing/2014/main" id="{00000000-0008-0000-2300-00000EED4200}"/>
            </a:ext>
          </a:extLst>
        </xdr:cNvPr>
        <xdr:cNvSpPr txBox="1">
          <a:spLocks noChangeArrowheads="1"/>
        </xdr:cNvSpPr>
      </xdr:nvSpPr>
      <xdr:spPr bwMode="auto">
        <a:xfrm>
          <a:off x="11182350" y="0"/>
          <a:ext cx="7048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209550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4386063" name="Line 76">
          <a:extLst>
            <a:ext uri="{FF2B5EF4-FFF2-40B4-BE49-F238E27FC236}">
              <a16:creationId xmlns="" xmlns:a16="http://schemas.microsoft.com/office/drawing/2014/main" id="{00000000-0008-0000-2300-00000FED4200}"/>
            </a:ext>
          </a:extLst>
        </xdr:cNvPr>
        <xdr:cNvSpPr>
          <a:spLocks noChangeShapeType="1"/>
        </xdr:cNvSpPr>
      </xdr:nvSpPr>
      <xdr:spPr bwMode="auto">
        <a:xfrm flipV="1">
          <a:off x="72675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819150</xdr:colOff>
      <xdr:row>0</xdr:row>
      <xdr:rowOff>0</xdr:rowOff>
    </xdr:to>
    <xdr:sp macro="" textlink="">
      <xdr:nvSpPr>
        <xdr:cNvPr id="4386064" name="Line 77">
          <a:extLst>
            <a:ext uri="{FF2B5EF4-FFF2-40B4-BE49-F238E27FC236}">
              <a16:creationId xmlns="" xmlns:a16="http://schemas.microsoft.com/office/drawing/2014/main" id="{00000000-0008-0000-2300-000010ED4200}"/>
            </a:ext>
          </a:extLst>
        </xdr:cNvPr>
        <xdr:cNvSpPr>
          <a:spLocks noChangeShapeType="1"/>
        </xdr:cNvSpPr>
      </xdr:nvSpPr>
      <xdr:spPr bwMode="auto">
        <a:xfrm>
          <a:off x="7553325" y="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114300</xdr:colOff>
      <xdr:row>0</xdr:row>
      <xdr:rowOff>0</xdr:rowOff>
    </xdr:from>
    <xdr:to>
      <xdr:col>5</xdr:col>
      <xdr:colOff>323850</xdr:colOff>
      <xdr:row>0</xdr:row>
      <xdr:rowOff>0</xdr:rowOff>
    </xdr:to>
    <xdr:sp macro="" textlink="">
      <xdr:nvSpPr>
        <xdr:cNvPr id="4386065" name="Line 78">
          <a:extLst>
            <a:ext uri="{FF2B5EF4-FFF2-40B4-BE49-F238E27FC236}">
              <a16:creationId xmlns="" xmlns:a16="http://schemas.microsoft.com/office/drawing/2014/main" id="{00000000-0008-0000-2300-000011ED4200}"/>
            </a:ext>
          </a:extLst>
        </xdr:cNvPr>
        <xdr:cNvSpPr>
          <a:spLocks noChangeShapeType="1"/>
        </xdr:cNvSpPr>
      </xdr:nvSpPr>
      <xdr:spPr bwMode="auto">
        <a:xfrm>
          <a:off x="7172325" y="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6066" name="Rectangle 79">
          <a:extLst>
            <a:ext uri="{FF2B5EF4-FFF2-40B4-BE49-F238E27FC236}">
              <a16:creationId xmlns="" xmlns:a16="http://schemas.microsoft.com/office/drawing/2014/main" id="{00000000-0008-0000-2300-000012ED4200}"/>
            </a:ext>
          </a:extLst>
        </xdr:cNvPr>
        <xdr:cNvSpPr>
          <a:spLocks noChangeArrowheads="1"/>
        </xdr:cNvSpPr>
      </xdr:nvSpPr>
      <xdr:spPr bwMode="auto">
        <a:xfrm>
          <a:off x="16573500" y="0"/>
          <a:ext cx="325755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86067" name="Line 80">
          <a:extLst>
            <a:ext uri="{FF2B5EF4-FFF2-40B4-BE49-F238E27FC236}">
              <a16:creationId xmlns="" xmlns:a16="http://schemas.microsoft.com/office/drawing/2014/main" id="{00000000-0008-0000-2300-000013ED4200}"/>
            </a:ext>
          </a:extLst>
        </xdr:cNvPr>
        <xdr:cNvSpPr>
          <a:spLocks noChangeShapeType="1"/>
        </xdr:cNvSpPr>
      </xdr:nvSpPr>
      <xdr:spPr bwMode="auto">
        <a:xfrm flipV="1">
          <a:off x="16725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6068" name="Line 81">
          <a:extLst>
            <a:ext uri="{FF2B5EF4-FFF2-40B4-BE49-F238E27FC236}">
              <a16:creationId xmlns="" xmlns:a16="http://schemas.microsoft.com/office/drawing/2014/main" id="{00000000-0008-0000-2300-000014ED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86069" name="Line 82">
          <a:extLst>
            <a:ext uri="{FF2B5EF4-FFF2-40B4-BE49-F238E27FC236}">
              <a16:creationId xmlns="" xmlns:a16="http://schemas.microsoft.com/office/drawing/2014/main" id="{00000000-0008-0000-2300-000015ED4200}"/>
            </a:ext>
          </a:extLst>
        </xdr:cNvPr>
        <xdr:cNvSpPr>
          <a:spLocks noChangeShapeType="1"/>
        </xdr:cNvSpPr>
      </xdr:nvSpPr>
      <xdr:spPr bwMode="auto">
        <a:xfrm flipV="1">
          <a:off x="16725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6070" name="Line 83">
          <a:extLst>
            <a:ext uri="{FF2B5EF4-FFF2-40B4-BE49-F238E27FC236}">
              <a16:creationId xmlns="" xmlns:a16="http://schemas.microsoft.com/office/drawing/2014/main" id="{00000000-0008-0000-2300-000016ED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19050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6071" name="Line 84">
          <a:extLst>
            <a:ext uri="{FF2B5EF4-FFF2-40B4-BE49-F238E27FC236}">
              <a16:creationId xmlns="" xmlns:a16="http://schemas.microsoft.com/office/drawing/2014/main" id="{00000000-0008-0000-2300-000017ED4200}"/>
            </a:ext>
          </a:extLst>
        </xdr:cNvPr>
        <xdr:cNvSpPr>
          <a:spLocks noChangeShapeType="1"/>
        </xdr:cNvSpPr>
      </xdr:nvSpPr>
      <xdr:spPr bwMode="auto">
        <a:xfrm>
          <a:off x="16744950" y="0"/>
          <a:ext cx="3086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609600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6072" name="Line 85">
          <a:extLst>
            <a:ext uri="{FF2B5EF4-FFF2-40B4-BE49-F238E27FC236}">
              <a16:creationId xmlns="" xmlns:a16="http://schemas.microsoft.com/office/drawing/2014/main" id="{00000000-0008-0000-2300-000018ED4200}"/>
            </a:ext>
          </a:extLst>
        </xdr:cNvPr>
        <xdr:cNvSpPr>
          <a:spLocks noChangeShapeType="1"/>
        </xdr:cNvSpPr>
      </xdr:nvSpPr>
      <xdr:spPr bwMode="auto">
        <a:xfrm>
          <a:off x="16592550" y="0"/>
          <a:ext cx="3238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628650</xdr:colOff>
      <xdr:row>0</xdr:row>
      <xdr:rowOff>0</xdr:rowOff>
    </xdr:from>
    <xdr:to>
      <xdr:col>17</xdr:col>
      <xdr:colOff>628650</xdr:colOff>
      <xdr:row>0</xdr:row>
      <xdr:rowOff>0</xdr:rowOff>
    </xdr:to>
    <xdr:sp macro="" textlink="">
      <xdr:nvSpPr>
        <xdr:cNvPr id="4386073" name="Line 86">
          <a:extLst>
            <a:ext uri="{FF2B5EF4-FFF2-40B4-BE49-F238E27FC236}">
              <a16:creationId xmlns="" xmlns:a16="http://schemas.microsoft.com/office/drawing/2014/main" id="{00000000-0008-0000-2300-000019ED4200}"/>
            </a:ext>
          </a:extLst>
        </xdr:cNvPr>
        <xdr:cNvSpPr>
          <a:spLocks noChangeShapeType="1"/>
        </xdr:cNvSpPr>
      </xdr:nvSpPr>
      <xdr:spPr bwMode="auto">
        <a:xfrm flipV="1">
          <a:off x="16611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6074" name="Line 87">
          <a:extLst>
            <a:ext uri="{FF2B5EF4-FFF2-40B4-BE49-F238E27FC236}">
              <a16:creationId xmlns="" xmlns:a16="http://schemas.microsoft.com/office/drawing/2014/main" id="{00000000-0008-0000-2300-00001AED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38100</xdr:colOff>
      <xdr:row>0</xdr:row>
      <xdr:rowOff>0</xdr:rowOff>
    </xdr:to>
    <xdr:sp macro="" textlink="">
      <xdr:nvSpPr>
        <xdr:cNvPr id="4386075" name="Rectangle 88">
          <a:extLst>
            <a:ext uri="{FF2B5EF4-FFF2-40B4-BE49-F238E27FC236}">
              <a16:creationId xmlns="" xmlns:a16="http://schemas.microsoft.com/office/drawing/2014/main" id="{00000000-0008-0000-2300-00001BED4200}"/>
            </a:ext>
          </a:extLst>
        </xdr:cNvPr>
        <xdr:cNvSpPr>
          <a:spLocks noChangeArrowheads="1"/>
        </xdr:cNvSpPr>
      </xdr:nvSpPr>
      <xdr:spPr bwMode="auto">
        <a:xfrm>
          <a:off x="19831050" y="0"/>
          <a:ext cx="38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6076" name="Line 89">
          <a:extLst>
            <a:ext uri="{FF2B5EF4-FFF2-40B4-BE49-F238E27FC236}">
              <a16:creationId xmlns="" xmlns:a16="http://schemas.microsoft.com/office/drawing/2014/main" id="{00000000-0008-0000-2300-00001CED4200}"/>
            </a:ext>
          </a:extLst>
        </xdr:cNvPr>
        <xdr:cNvSpPr>
          <a:spLocks noChangeShapeType="1"/>
        </xdr:cNvSpPr>
      </xdr:nvSpPr>
      <xdr:spPr bwMode="auto">
        <a:xfrm flipV="1"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6077" name="Line 90">
          <a:extLst>
            <a:ext uri="{FF2B5EF4-FFF2-40B4-BE49-F238E27FC236}">
              <a16:creationId xmlns="" xmlns:a16="http://schemas.microsoft.com/office/drawing/2014/main" id="{00000000-0008-0000-2300-00001DED4200}"/>
            </a:ext>
          </a:extLst>
        </xdr:cNvPr>
        <xdr:cNvSpPr>
          <a:spLocks noChangeShapeType="1"/>
        </xdr:cNvSpPr>
      </xdr:nvSpPr>
      <xdr:spPr bwMode="auto">
        <a:xfrm>
          <a:off x="198310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22</xdr:col>
      <xdr:colOff>19050</xdr:colOff>
      <xdr:row>0</xdr:row>
      <xdr:rowOff>0</xdr:rowOff>
    </xdr:from>
    <xdr:to>
      <xdr:col>22</xdr:col>
      <xdr:colOff>19050</xdr:colOff>
      <xdr:row>0</xdr:row>
      <xdr:rowOff>0</xdr:rowOff>
    </xdr:to>
    <xdr:sp macro="" textlink="">
      <xdr:nvSpPr>
        <xdr:cNvPr id="4386078" name="Line 91">
          <a:extLst>
            <a:ext uri="{FF2B5EF4-FFF2-40B4-BE49-F238E27FC236}">
              <a16:creationId xmlns="" xmlns:a16="http://schemas.microsoft.com/office/drawing/2014/main" id="{00000000-0008-0000-2300-00001EED4200}"/>
            </a:ext>
          </a:extLst>
        </xdr:cNvPr>
        <xdr:cNvSpPr>
          <a:spLocks noChangeShapeType="1"/>
        </xdr:cNvSpPr>
      </xdr:nvSpPr>
      <xdr:spPr bwMode="auto">
        <a:xfrm>
          <a:off x="198501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400050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86079" name="Line 92">
          <a:extLst>
            <a:ext uri="{FF2B5EF4-FFF2-40B4-BE49-F238E27FC236}">
              <a16:creationId xmlns="" xmlns:a16="http://schemas.microsoft.com/office/drawing/2014/main" id="{00000000-0008-0000-2300-00001FED4200}"/>
            </a:ext>
          </a:extLst>
        </xdr:cNvPr>
        <xdr:cNvSpPr>
          <a:spLocks noChangeShapeType="1"/>
        </xdr:cNvSpPr>
      </xdr:nvSpPr>
      <xdr:spPr bwMode="auto">
        <a:xfrm flipH="1" flipV="1">
          <a:off x="13725525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14</xdr:col>
      <xdr:colOff>781050</xdr:colOff>
      <xdr:row>0</xdr:row>
      <xdr:rowOff>0</xdr:rowOff>
    </xdr:to>
    <xdr:sp macro="" textlink="">
      <xdr:nvSpPr>
        <xdr:cNvPr id="4386080" name="Line 93">
          <a:extLst>
            <a:ext uri="{FF2B5EF4-FFF2-40B4-BE49-F238E27FC236}">
              <a16:creationId xmlns="" xmlns:a16="http://schemas.microsoft.com/office/drawing/2014/main" id="{00000000-0008-0000-2300-000020ED4200}"/>
            </a:ext>
          </a:extLst>
        </xdr:cNvPr>
        <xdr:cNvSpPr>
          <a:spLocks noChangeShapeType="1"/>
        </xdr:cNvSpPr>
      </xdr:nvSpPr>
      <xdr:spPr bwMode="auto">
        <a:xfrm flipH="1">
          <a:off x="9867900" y="0"/>
          <a:ext cx="4238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4</xdr:col>
      <xdr:colOff>704850</xdr:colOff>
      <xdr:row>0</xdr:row>
      <xdr:rowOff>0</xdr:rowOff>
    </xdr:to>
    <xdr:sp macro="" textlink="">
      <xdr:nvSpPr>
        <xdr:cNvPr id="4386081" name="Line 94">
          <a:extLst>
            <a:ext uri="{FF2B5EF4-FFF2-40B4-BE49-F238E27FC236}">
              <a16:creationId xmlns="" xmlns:a16="http://schemas.microsoft.com/office/drawing/2014/main" id="{00000000-0008-0000-2300-000021ED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3571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86082" name="Line 95">
          <a:extLst>
            <a:ext uri="{FF2B5EF4-FFF2-40B4-BE49-F238E27FC236}">
              <a16:creationId xmlns="" xmlns:a16="http://schemas.microsoft.com/office/drawing/2014/main" id="{00000000-0008-0000-2300-000022ED4200}"/>
            </a:ext>
          </a:extLst>
        </xdr:cNvPr>
        <xdr:cNvSpPr>
          <a:spLocks noChangeShapeType="1"/>
        </xdr:cNvSpPr>
      </xdr:nvSpPr>
      <xdr:spPr bwMode="auto">
        <a:xfrm>
          <a:off x="116681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247650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6083" name="Line 96">
          <a:extLst>
            <a:ext uri="{FF2B5EF4-FFF2-40B4-BE49-F238E27FC236}">
              <a16:creationId xmlns="" xmlns:a16="http://schemas.microsoft.com/office/drawing/2014/main" id="{00000000-0008-0000-2300-000023ED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1047750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6084" name="Line 97">
          <a:extLst>
            <a:ext uri="{FF2B5EF4-FFF2-40B4-BE49-F238E27FC236}">
              <a16:creationId xmlns="" xmlns:a16="http://schemas.microsoft.com/office/drawing/2014/main" id="{00000000-0008-0000-2300-000024ED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571500</xdr:colOff>
      <xdr:row>0</xdr:row>
      <xdr:rowOff>0</xdr:rowOff>
    </xdr:from>
    <xdr:to>
      <xdr:col>13</xdr:col>
      <xdr:colOff>571500</xdr:colOff>
      <xdr:row>0</xdr:row>
      <xdr:rowOff>0</xdr:rowOff>
    </xdr:to>
    <xdr:sp macro="" textlink="">
      <xdr:nvSpPr>
        <xdr:cNvPr id="4386085" name="Line 98">
          <a:extLst>
            <a:ext uri="{FF2B5EF4-FFF2-40B4-BE49-F238E27FC236}">
              <a16:creationId xmlns="" xmlns:a16="http://schemas.microsoft.com/office/drawing/2014/main" id="{00000000-0008-0000-2300-000025ED4200}"/>
            </a:ext>
          </a:extLst>
        </xdr:cNvPr>
        <xdr:cNvSpPr>
          <a:spLocks noChangeShapeType="1"/>
        </xdr:cNvSpPr>
      </xdr:nvSpPr>
      <xdr:spPr bwMode="auto">
        <a:xfrm>
          <a:off x="12706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14</xdr:col>
      <xdr:colOff>457200</xdr:colOff>
      <xdr:row>0</xdr:row>
      <xdr:rowOff>0</xdr:rowOff>
    </xdr:to>
    <xdr:sp macro="" textlink="">
      <xdr:nvSpPr>
        <xdr:cNvPr id="4386086" name="Line 99">
          <a:extLst>
            <a:ext uri="{FF2B5EF4-FFF2-40B4-BE49-F238E27FC236}">
              <a16:creationId xmlns="" xmlns:a16="http://schemas.microsoft.com/office/drawing/2014/main" id="{00000000-0008-0000-2300-000026ED4200}"/>
            </a:ext>
          </a:extLst>
        </xdr:cNvPr>
        <xdr:cNvSpPr>
          <a:spLocks noChangeShapeType="1"/>
        </xdr:cNvSpPr>
      </xdr:nvSpPr>
      <xdr:spPr bwMode="auto">
        <a:xfrm>
          <a:off x="137826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323850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86087" name="Line 100">
          <a:extLst>
            <a:ext uri="{FF2B5EF4-FFF2-40B4-BE49-F238E27FC236}">
              <a16:creationId xmlns="" xmlns:a16="http://schemas.microsoft.com/office/drawing/2014/main" id="{00000000-0008-0000-2300-000027ED4200}"/>
            </a:ext>
          </a:extLst>
        </xdr:cNvPr>
        <xdr:cNvSpPr>
          <a:spLocks noChangeShapeType="1"/>
        </xdr:cNvSpPr>
      </xdr:nvSpPr>
      <xdr:spPr bwMode="auto">
        <a:xfrm flipH="1">
          <a:off x="9572625" y="0"/>
          <a:ext cx="2095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15</xdr:col>
      <xdr:colOff>161925</xdr:colOff>
      <xdr:row>0</xdr:row>
      <xdr:rowOff>0</xdr:rowOff>
    </xdr:to>
    <xdr:sp macro="" textlink="">
      <xdr:nvSpPr>
        <xdr:cNvPr id="4386088" name="Line 101">
          <a:extLst>
            <a:ext uri="{FF2B5EF4-FFF2-40B4-BE49-F238E27FC236}">
              <a16:creationId xmlns="" xmlns:a16="http://schemas.microsoft.com/office/drawing/2014/main" id="{00000000-0008-0000-2300-000028ED4200}"/>
            </a:ext>
          </a:extLst>
        </xdr:cNvPr>
        <xdr:cNvSpPr>
          <a:spLocks noChangeShapeType="1"/>
        </xdr:cNvSpPr>
      </xdr:nvSpPr>
      <xdr:spPr bwMode="auto">
        <a:xfrm>
          <a:off x="13782675" y="0"/>
          <a:ext cx="628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86089" name="Line 102">
          <a:extLst>
            <a:ext uri="{FF2B5EF4-FFF2-40B4-BE49-F238E27FC236}">
              <a16:creationId xmlns="" xmlns:a16="http://schemas.microsoft.com/office/drawing/2014/main" id="{00000000-0008-0000-2300-000029ED4200}"/>
            </a:ext>
          </a:extLst>
        </xdr:cNvPr>
        <xdr:cNvSpPr>
          <a:spLocks noChangeShapeType="1"/>
        </xdr:cNvSpPr>
      </xdr:nvSpPr>
      <xdr:spPr bwMode="auto">
        <a:xfrm flipV="1">
          <a:off x="12744450" y="0"/>
          <a:ext cx="165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1066800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86090" name="Line 103">
          <a:extLst>
            <a:ext uri="{FF2B5EF4-FFF2-40B4-BE49-F238E27FC236}">
              <a16:creationId xmlns="" xmlns:a16="http://schemas.microsoft.com/office/drawing/2014/main" id="{00000000-0008-0000-2300-00002AED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266700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86091" name="Line 104">
          <a:extLst>
            <a:ext uri="{FF2B5EF4-FFF2-40B4-BE49-F238E27FC236}">
              <a16:creationId xmlns="" xmlns:a16="http://schemas.microsoft.com/office/drawing/2014/main" id="{00000000-0008-0000-2300-00002BED4200}"/>
            </a:ext>
          </a:extLst>
        </xdr:cNvPr>
        <xdr:cNvSpPr>
          <a:spLocks noChangeShapeType="1"/>
        </xdr:cNvSpPr>
      </xdr:nvSpPr>
      <xdr:spPr bwMode="auto">
        <a:xfrm>
          <a:off x="1213485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86092" name="Line 105">
          <a:extLst>
            <a:ext uri="{FF2B5EF4-FFF2-40B4-BE49-F238E27FC236}">
              <a16:creationId xmlns="" xmlns:a16="http://schemas.microsoft.com/office/drawing/2014/main" id="{00000000-0008-0000-2300-00002CED4200}"/>
            </a:ext>
          </a:extLst>
        </xdr:cNvPr>
        <xdr:cNvSpPr>
          <a:spLocks noChangeShapeType="1"/>
        </xdr:cNvSpPr>
      </xdr:nvSpPr>
      <xdr:spPr bwMode="auto">
        <a:xfrm>
          <a:off x="1166812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495300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6093" name="Line 106">
          <a:extLst>
            <a:ext uri="{FF2B5EF4-FFF2-40B4-BE49-F238E27FC236}">
              <a16:creationId xmlns="" xmlns:a16="http://schemas.microsoft.com/office/drawing/2014/main" id="{00000000-0008-0000-2300-00002DED4200}"/>
            </a:ext>
          </a:extLst>
        </xdr:cNvPr>
        <xdr:cNvSpPr>
          <a:spLocks noChangeShapeType="1"/>
        </xdr:cNvSpPr>
      </xdr:nvSpPr>
      <xdr:spPr bwMode="auto">
        <a:xfrm flipH="1">
          <a:off x="9744075" y="0"/>
          <a:ext cx="2390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1028700</xdr:colOff>
      <xdr:row>0</xdr:row>
      <xdr:rowOff>0</xdr:rowOff>
    </xdr:to>
    <xdr:sp macro="" textlink="">
      <xdr:nvSpPr>
        <xdr:cNvPr id="4386094" name="Line 107">
          <a:extLst>
            <a:ext uri="{FF2B5EF4-FFF2-40B4-BE49-F238E27FC236}">
              <a16:creationId xmlns="" xmlns:a16="http://schemas.microsoft.com/office/drawing/2014/main" id="{00000000-0008-0000-2300-00002EED4200}"/>
            </a:ext>
          </a:extLst>
        </xdr:cNvPr>
        <xdr:cNvSpPr>
          <a:spLocks noChangeShapeType="1"/>
        </xdr:cNvSpPr>
      </xdr:nvSpPr>
      <xdr:spPr bwMode="auto">
        <a:xfrm flipH="1">
          <a:off x="9839325" y="0"/>
          <a:ext cx="2295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171450</xdr:colOff>
      <xdr:row>0</xdr:row>
      <xdr:rowOff>0</xdr:rowOff>
    </xdr:from>
    <xdr:to>
      <xdr:col>13</xdr:col>
      <xdr:colOff>552450</xdr:colOff>
      <xdr:row>0</xdr:row>
      <xdr:rowOff>0</xdr:rowOff>
    </xdr:to>
    <xdr:sp macro="" textlink="">
      <xdr:nvSpPr>
        <xdr:cNvPr id="4386095" name="Line 108">
          <a:extLst>
            <a:ext uri="{FF2B5EF4-FFF2-40B4-BE49-F238E27FC236}">
              <a16:creationId xmlns="" xmlns:a16="http://schemas.microsoft.com/office/drawing/2014/main" id="{00000000-0008-0000-2300-00002FED4200}"/>
            </a:ext>
          </a:extLst>
        </xdr:cNvPr>
        <xdr:cNvSpPr>
          <a:spLocks noChangeShapeType="1"/>
        </xdr:cNvSpPr>
      </xdr:nvSpPr>
      <xdr:spPr bwMode="auto">
        <a:xfrm flipH="1">
          <a:off x="11087100" y="0"/>
          <a:ext cx="1600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457200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86096" name="Line 109">
          <a:extLst>
            <a:ext uri="{FF2B5EF4-FFF2-40B4-BE49-F238E27FC236}">
              <a16:creationId xmlns="" xmlns:a16="http://schemas.microsoft.com/office/drawing/2014/main" id="{00000000-0008-0000-2300-000030ED4200}"/>
            </a:ext>
          </a:extLst>
        </xdr:cNvPr>
        <xdr:cNvSpPr>
          <a:spLocks noChangeShapeType="1"/>
        </xdr:cNvSpPr>
      </xdr:nvSpPr>
      <xdr:spPr bwMode="auto">
        <a:xfrm flipH="1">
          <a:off x="11372850" y="0"/>
          <a:ext cx="2371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1104900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86097" name="Line 110">
          <a:extLst>
            <a:ext uri="{FF2B5EF4-FFF2-40B4-BE49-F238E27FC236}">
              <a16:creationId xmlns="" xmlns:a16="http://schemas.microsoft.com/office/drawing/2014/main" id="{00000000-0008-0000-2300-000031ED4200}"/>
            </a:ext>
          </a:extLst>
        </xdr:cNvPr>
        <xdr:cNvSpPr>
          <a:spLocks noChangeShapeType="1"/>
        </xdr:cNvSpPr>
      </xdr:nvSpPr>
      <xdr:spPr bwMode="auto">
        <a:xfrm>
          <a:off x="1157287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1085850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86098" name="Line 111">
          <a:extLst>
            <a:ext uri="{FF2B5EF4-FFF2-40B4-BE49-F238E27FC236}">
              <a16:creationId xmlns="" xmlns:a16="http://schemas.microsoft.com/office/drawing/2014/main" id="{00000000-0008-0000-2300-000032ED4200}"/>
            </a:ext>
          </a:extLst>
        </xdr:cNvPr>
        <xdr:cNvSpPr>
          <a:spLocks noChangeShapeType="1"/>
        </xdr:cNvSpPr>
      </xdr:nvSpPr>
      <xdr:spPr bwMode="auto">
        <a:xfrm>
          <a:off x="1157287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123825</xdr:colOff>
      <xdr:row>0</xdr:row>
      <xdr:rowOff>0</xdr:rowOff>
    </xdr:from>
    <xdr:to>
      <xdr:col>21</xdr:col>
      <xdr:colOff>438150</xdr:colOff>
      <xdr:row>0</xdr:row>
      <xdr:rowOff>0</xdr:rowOff>
    </xdr:to>
    <xdr:sp macro="" textlink="">
      <xdr:nvSpPr>
        <xdr:cNvPr id="113" name="Text Box 112">
          <a:extLst>
            <a:ext uri="{FF2B5EF4-FFF2-40B4-BE49-F238E27FC236}">
              <a16:creationId xmlns="" xmlns:a16="http://schemas.microsoft.com/office/drawing/2014/main" id="{00000000-0008-0000-2300-000071000000}"/>
            </a:ext>
          </a:extLst>
        </xdr:cNvPr>
        <xdr:cNvSpPr txBox="1">
          <a:spLocks noChangeArrowheads="1"/>
        </xdr:cNvSpPr>
      </xdr:nvSpPr>
      <xdr:spPr bwMode="auto">
        <a:xfrm>
          <a:off x="19516725" y="0"/>
          <a:ext cx="3143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1°</a:t>
          </a:r>
        </a:p>
      </xdr:txBody>
    </xdr:sp>
    <xdr:clientData/>
  </xdr:twoCellAnchor>
  <xdr:twoCellAnchor>
    <xdr:from>
      <xdr:col>19</xdr:col>
      <xdr:colOff>1285875</xdr:colOff>
      <xdr:row>0</xdr:row>
      <xdr:rowOff>0</xdr:rowOff>
    </xdr:from>
    <xdr:to>
      <xdr:col>21</xdr:col>
      <xdr:colOff>333375</xdr:colOff>
      <xdr:row>0</xdr:row>
      <xdr:rowOff>0</xdr:rowOff>
    </xdr:to>
    <xdr:sp macro="" textlink="">
      <xdr:nvSpPr>
        <xdr:cNvPr id="114" name="Text Box 113">
          <a:extLst>
            <a:ext uri="{FF2B5EF4-FFF2-40B4-BE49-F238E27FC236}">
              <a16:creationId xmlns="" xmlns:a16="http://schemas.microsoft.com/office/drawing/2014/main" id="{00000000-0008-0000-2300-000072000000}"/>
            </a:ext>
          </a:extLst>
        </xdr:cNvPr>
        <xdr:cNvSpPr txBox="1">
          <a:spLocks noChangeArrowheads="1"/>
        </xdr:cNvSpPr>
      </xdr:nvSpPr>
      <xdr:spPr bwMode="auto">
        <a:xfrm>
          <a:off x="18630900" y="0"/>
          <a:ext cx="10953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3°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5" name="Text Box 114">
          <a:extLst>
            <a:ext uri="{FF2B5EF4-FFF2-40B4-BE49-F238E27FC236}">
              <a16:creationId xmlns="" xmlns:a16="http://schemas.microsoft.com/office/drawing/2014/main" id="{00000000-0008-0000-2300-000073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21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6" name="Text Box 115">
          <a:extLst>
            <a:ext uri="{FF2B5EF4-FFF2-40B4-BE49-F238E27FC236}">
              <a16:creationId xmlns="" xmlns:a16="http://schemas.microsoft.com/office/drawing/2014/main" id="{00000000-0008-0000-2300-000074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19</xdr:col>
      <xdr:colOff>819150</xdr:colOff>
      <xdr:row>0</xdr:row>
      <xdr:rowOff>0</xdr:rowOff>
    </xdr:from>
    <xdr:to>
      <xdr:col>19</xdr:col>
      <xdr:colOff>1000125</xdr:colOff>
      <xdr:row>0</xdr:row>
      <xdr:rowOff>0</xdr:rowOff>
    </xdr:to>
    <xdr:sp macro="" textlink="">
      <xdr:nvSpPr>
        <xdr:cNvPr id="117" name="Text Box 116">
          <a:extLst>
            <a:ext uri="{FF2B5EF4-FFF2-40B4-BE49-F238E27FC236}">
              <a16:creationId xmlns="" xmlns:a16="http://schemas.microsoft.com/office/drawing/2014/main" id="{00000000-0008-0000-2300-000075000000}"/>
            </a:ext>
          </a:extLst>
        </xdr:cNvPr>
        <xdr:cNvSpPr txBox="1">
          <a:spLocks noChangeArrowheads="1"/>
        </xdr:cNvSpPr>
      </xdr:nvSpPr>
      <xdr:spPr bwMode="auto">
        <a:xfrm>
          <a:off x="18183225" y="0"/>
          <a:ext cx="1809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5°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8" name="Text Box 117">
          <a:extLst>
            <a:ext uri="{FF2B5EF4-FFF2-40B4-BE49-F238E27FC236}">
              <a16:creationId xmlns="" xmlns:a16="http://schemas.microsoft.com/office/drawing/2014/main" id="{00000000-0008-0000-2300-000076000000}"/>
            </a:ext>
          </a:extLst>
        </xdr:cNvPr>
        <xdr:cNvSpPr txBox="1">
          <a:spLocks noChangeArrowheads="1"/>
        </xdr:cNvSpPr>
      </xdr:nvSpPr>
      <xdr:spPr bwMode="auto">
        <a:xfrm>
          <a:off x="1983105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6°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1" i="0" strike="noStrike">
              <a:solidFill>
                <a:srgbClr val="000000"/>
              </a:solidFill>
              <a:latin typeface="Times New Roman"/>
              <a:cs typeface="Times New Roman"/>
            </a:rPr>
            <a:t>6</a:t>
          </a:r>
        </a:p>
      </xdr:txBody>
    </xdr:sp>
    <xdr:clientData/>
  </xdr:twoCellAnchor>
  <xdr:twoCellAnchor>
    <xdr:from>
      <xdr:col>14</xdr:col>
      <xdr:colOff>266700</xdr:colOff>
      <xdr:row>15</xdr:row>
      <xdr:rowOff>38100</xdr:rowOff>
    </xdr:from>
    <xdr:to>
      <xdr:col>15</xdr:col>
      <xdr:colOff>352425</xdr:colOff>
      <xdr:row>16</xdr:row>
      <xdr:rowOff>161925</xdr:rowOff>
    </xdr:to>
    <xdr:sp macro="" textlink="">
      <xdr:nvSpPr>
        <xdr:cNvPr id="4386105" name="Text Box 118">
          <a:extLst>
            <a:ext uri="{FF2B5EF4-FFF2-40B4-BE49-F238E27FC236}">
              <a16:creationId xmlns="" xmlns:a16="http://schemas.microsoft.com/office/drawing/2014/main" id="{00000000-0008-0000-2300-000039ED4200}"/>
            </a:ext>
          </a:extLst>
        </xdr:cNvPr>
        <xdr:cNvSpPr txBox="1">
          <a:spLocks noChangeArrowheads="1"/>
        </xdr:cNvSpPr>
      </xdr:nvSpPr>
      <xdr:spPr bwMode="auto">
        <a:xfrm>
          <a:off x="13592175" y="5600700"/>
          <a:ext cx="1009650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19</xdr:col>
      <xdr:colOff>990600</xdr:colOff>
      <xdr:row>37</xdr:row>
      <xdr:rowOff>0</xdr:rowOff>
    </xdr:from>
    <xdr:to>
      <xdr:col>19</xdr:col>
      <xdr:colOff>990600</xdr:colOff>
      <xdr:row>37</xdr:row>
      <xdr:rowOff>0</xdr:rowOff>
    </xdr:to>
    <xdr:sp macro="" textlink="">
      <xdr:nvSpPr>
        <xdr:cNvPr id="4386106" name="Line 119">
          <a:extLst>
            <a:ext uri="{FF2B5EF4-FFF2-40B4-BE49-F238E27FC236}">
              <a16:creationId xmlns="" xmlns:a16="http://schemas.microsoft.com/office/drawing/2014/main" id="{00000000-0008-0000-2300-00003AED4200}"/>
            </a:ext>
          </a:extLst>
        </xdr:cNvPr>
        <xdr:cNvSpPr>
          <a:spLocks noChangeShapeType="1"/>
        </xdr:cNvSpPr>
      </xdr:nvSpPr>
      <xdr:spPr bwMode="auto">
        <a:xfrm>
          <a:off x="18354675" y="13363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oneCell">
    <xdr:from>
      <xdr:col>2</xdr:col>
      <xdr:colOff>190500</xdr:colOff>
      <xdr:row>15</xdr:row>
      <xdr:rowOff>142875</xdr:rowOff>
    </xdr:from>
    <xdr:to>
      <xdr:col>4</xdr:col>
      <xdr:colOff>161925</xdr:colOff>
      <xdr:row>19</xdr:row>
      <xdr:rowOff>66675</xdr:rowOff>
    </xdr:to>
    <xdr:grpSp>
      <xdr:nvGrpSpPr>
        <xdr:cNvPr id="4386107" name="Group 120">
          <a:extLst>
            <a:ext uri="{FF2B5EF4-FFF2-40B4-BE49-F238E27FC236}">
              <a16:creationId xmlns="" xmlns:a16="http://schemas.microsoft.com/office/drawing/2014/main" id="{00000000-0008-0000-2300-00003BED4200}"/>
            </a:ext>
          </a:extLst>
        </xdr:cNvPr>
        <xdr:cNvGrpSpPr>
          <a:grpSpLocks/>
        </xdr:cNvGrpSpPr>
      </xdr:nvGrpSpPr>
      <xdr:grpSpPr bwMode="auto">
        <a:xfrm>
          <a:off x="2833688" y="5691188"/>
          <a:ext cx="2995612" cy="1304925"/>
          <a:chOff x="358" y="540"/>
          <a:chExt cx="293" cy="139"/>
        </a:xfrm>
      </xdr:grpSpPr>
      <xdr:sp macro="" textlink="">
        <xdr:nvSpPr>
          <xdr:cNvPr id="4386134" name="Line 121">
            <a:extLst>
              <a:ext uri="{FF2B5EF4-FFF2-40B4-BE49-F238E27FC236}">
                <a16:creationId xmlns="" xmlns:a16="http://schemas.microsoft.com/office/drawing/2014/main" id="{00000000-0008-0000-2300-000056ED42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86135" name="Group 122">
            <a:extLst>
              <a:ext uri="{FF2B5EF4-FFF2-40B4-BE49-F238E27FC236}">
                <a16:creationId xmlns="" xmlns:a16="http://schemas.microsoft.com/office/drawing/2014/main" id="{00000000-0008-0000-2300-000057ED42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386191" name="Line 123">
              <a:extLst>
                <a:ext uri="{FF2B5EF4-FFF2-40B4-BE49-F238E27FC236}">
                  <a16:creationId xmlns="" xmlns:a16="http://schemas.microsoft.com/office/drawing/2014/main" id="{00000000-0008-0000-2300-00008FED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86192" name="Line 124">
              <a:extLst>
                <a:ext uri="{FF2B5EF4-FFF2-40B4-BE49-F238E27FC236}">
                  <a16:creationId xmlns="" xmlns:a16="http://schemas.microsoft.com/office/drawing/2014/main" id="{00000000-0008-0000-2300-000090ED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86136" name="Line 125">
            <a:extLst>
              <a:ext uri="{FF2B5EF4-FFF2-40B4-BE49-F238E27FC236}">
                <a16:creationId xmlns="" xmlns:a16="http://schemas.microsoft.com/office/drawing/2014/main" id="{00000000-0008-0000-2300-000058ED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6137" name="Line 126">
            <a:extLst>
              <a:ext uri="{FF2B5EF4-FFF2-40B4-BE49-F238E27FC236}">
                <a16:creationId xmlns="" xmlns:a16="http://schemas.microsoft.com/office/drawing/2014/main" id="{00000000-0008-0000-2300-000059ED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6138" name="Line 127">
            <a:extLst>
              <a:ext uri="{FF2B5EF4-FFF2-40B4-BE49-F238E27FC236}">
                <a16:creationId xmlns="" xmlns:a16="http://schemas.microsoft.com/office/drawing/2014/main" id="{00000000-0008-0000-2300-00005AED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6139" name="Line 128">
            <a:extLst>
              <a:ext uri="{FF2B5EF4-FFF2-40B4-BE49-F238E27FC236}">
                <a16:creationId xmlns="" xmlns:a16="http://schemas.microsoft.com/office/drawing/2014/main" id="{00000000-0008-0000-2300-00005BED42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6140" name="Line 129">
            <a:extLst>
              <a:ext uri="{FF2B5EF4-FFF2-40B4-BE49-F238E27FC236}">
                <a16:creationId xmlns="" xmlns:a16="http://schemas.microsoft.com/office/drawing/2014/main" id="{00000000-0008-0000-2300-00005CED42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86141" name="Group 130">
            <a:extLst>
              <a:ext uri="{FF2B5EF4-FFF2-40B4-BE49-F238E27FC236}">
                <a16:creationId xmlns="" xmlns:a16="http://schemas.microsoft.com/office/drawing/2014/main" id="{00000000-0008-0000-2300-00005DED42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386185" name="Line 131">
              <a:extLst>
                <a:ext uri="{FF2B5EF4-FFF2-40B4-BE49-F238E27FC236}">
                  <a16:creationId xmlns="" xmlns:a16="http://schemas.microsoft.com/office/drawing/2014/main" id="{00000000-0008-0000-2300-000089E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6186" name="Group 132">
              <a:extLst>
                <a:ext uri="{FF2B5EF4-FFF2-40B4-BE49-F238E27FC236}">
                  <a16:creationId xmlns="" xmlns:a16="http://schemas.microsoft.com/office/drawing/2014/main" id="{00000000-0008-0000-2300-00008AED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6187" name="Line 133">
                <a:extLst>
                  <a:ext uri="{FF2B5EF4-FFF2-40B4-BE49-F238E27FC236}">
                    <a16:creationId xmlns="" xmlns:a16="http://schemas.microsoft.com/office/drawing/2014/main" id="{00000000-0008-0000-2300-00008BED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6188" name="Group 134">
                <a:extLst>
                  <a:ext uri="{FF2B5EF4-FFF2-40B4-BE49-F238E27FC236}">
                    <a16:creationId xmlns="" xmlns:a16="http://schemas.microsoft.com/office/drawing/2014/main" id="{00000000-0008-0000-2300-00008CED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6189" name="Line 135">
                  <a:extLst>
                    <a:ext uri="{FF2B5EF4-FFF2-40B4-BE49-F238E27FC236}">
                      <a16:creationId xmlns="" xmlns:a16="http://schemas.microsoft.com/office/drawing/2014/main" id="{00000000-0008-0000-2300-00008DE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6190" name="Line 136">
                  <a:extLst>
                    <a:ext uri="{FF2B5EF4-FFF2-40B4-BE49-F238E27FC236}">
                      <a16:creationId xmlns="" xmlns:a16="http://schemas.microsoft.com/office/drawing/2014/main" id="{00000000-0008-0000-2300-00008EE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6142" name="Group 137">
            <a:extLst>
              <a:ext uri="{FF2B5EF4-FFF2-40B4-BE49-F238E27FC236}">
                <a16:creationId xmlns="" xmlns:a16="http://schemas.microsoft.com/office/drawing/2014/main" id="{00000000-0008-0000-2300-00005EED42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386179" name="Line 138">
              <a:extLst>
                <a:ext uri="{FF2B5EF4-FFF2-40B4-BE49-F238E27FC236}">
                  <a16:creationId xmlns="" xmlns:a16="http://schemas.microsoft.com/office/drawing/2014/main" id="{00000000-0008-0000-2300-000083E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6180" name="Group 139">
              <a:extLst>
                <a:ext uri="{FF2B5EF4-FFF2-40B4-BE49-F238E27FC236}">
                  <a16:creationId xmlns="" xmlns:a16="http://schemas.microsoft.com/office/drawing/2014/main" id="{00000000-0008-0000-2300-000084ED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6181" name="Line 140">
                <a:extLst>
                  <a:ext uri="{FF2B5EF4-FFF2-40B4-BE49-F238E27FC236}">
                    <a16:creationId xmlns="" xmlns:a16="http://schemas.microsoft.com/office/drawing/2014/main" id="{00000000-0008-0000-2300-000085ED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6182" name="Group 141">
                <a:extLst>
                  <a:ext uri="{FF2B5EF4-FFF2-40B4-BE49-F238E27FC236}">
                    <a16:creationId xmlns="" xmlns:a16="http://schemas.microsoft.com/office/drawing/2014/main" id="{00000000-0008-0000-2300-000086ED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6183" name="Line 142">
                  <a:extLst>
                    <a:ext uri="{FF2B5EF4-FFF2-40B4-BE49-F238E27FC236}">
                      <a16:creationId xmlns="" xmlns:a16="http://schemas.microsoft.com/office/drawing/2014/main" id="{00000000-0008-0000-2300-000087E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6184" name="Line 143">
                  <a:extLst>
                    <a:ext uri="{FF2B5EF4-FFF2-40B4-BE49-F238E27FC236}">
                      <a16:creationId xmlns="" xmlns:a16="http://schemas.microsoft.com/office/drawing/2014/main" id="{00000000-0008-0000-2300-000088E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6143" name="Group 144">
            <a:extLst>
              <a:ext uri="{FF2B5EF4-FFF2-40B4-BE49-F238E27FC236}">
                <a16:creationId xmlns="" xmlns:a16="http://schemas.microsoft.com/office/drawing/2014/main" id="{00000000-0008-0000-2300-00005FED42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386173" name="Line 145">
              <a:extLst>
                <a:ext uri="{FF2B5EF4-FFF2-40B4-BE49-F238E27FC236}">
                  <a16:creationId xmlns="" xmlns:a16="http://schemas.microsoft.com/office/drawing/2014/main" id="{00000000-0008-0000-2300-00007DE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6174" name="Group 146">
              <a:extLst>
                <a:ext uri="{FF2B5EF4-FFF2-40B4-BE49-F238E27FC236}">
                  <a16:creationId xmlns="" xmlns:a16="http://schemas.microsoft.com/office/drawing/2014/main" id="{00000000-0008-0000-2300-00007EED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6175" name="Line 147">
                <a:extLst>
                  <a:ext uri="{FF2B5EF4-FFF2-40B4-BE49-F238E27FC236}">
                    <a16:creationId xmlns="" xmlns:a16="http://schemas.microsoft.com/office/drawing/2014/main" id="{00000000-0008-0000-2300-00007FED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6176" name="Group 148">
                <a:extLst>
                  <a:ext uri="{FF2B5EF4-FFF2-40B4-BE49-F238E27FC236}">
                    <a16:creationId xmlns="" xmlns:a16="http://schemas.microsoft.com/office/drawing/2014/main" id="{00000000-0008-0000-2300-000080ED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6177" name="Line 149">
                  <a:extLst>
                    <a:ext uri="{FF2B5EF4-FFF2-40B4-BE49-F238E27FC236}">
                      <a16:creationId xmlns="" xmlns:a16="http://schemas.microsoft.com/office/drawing/2014/main" id="{00000000-0008-0000-2300-000081E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6178" name="Line 150">
                  <a:extLst>
                    <a:ext uri="{FF2B5EF4-FFF2-40B4-BE49-F238E27FC236}">
                      <a16:creationId xmlns="" xmlns:a16="http://schemas.microsoft.com/office/drawing/2014/main" id="{00000000-0008-0000-2300-000082E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6144" name="Group 151">
            <a:extLst>
              <a:ext uri="{FF2B5EF4-FFF2-40B4-BE49-F238E27FC236}">
                <a16:creationId xmlns="" xmlns:a16="http://schemas.microsoft.com/office/drawing/2014/main" id="{00000000-0008-0000-2300-000060ED42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386167" name="Line 152">
              <a:extLst>
                <a:ext uri="{FF2B5EF4-FFF2-40B4-BE49-F238E27FC236}">
                  <a16:creationId xmlns="" xmlns:a16="http://schemas.microsoft.com/office/drawing/2014/main" id="{00000000-0008-0000-2300-000077E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6168" name="Group 153">
              <a:extLst>
                <a:ext uri="{FF2B5EF4-FFF2-40B4-BE49-F238E27FC236}">
                  <a16:creationId xmlns="" xmlns:a16="http://schemas.microsoft.com/office/drawing/2014/main" id="{00000000-0008-0000-2300-000078ED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6169" name="Line 154">
                <a:extLst>
                  <a:ext uri="{FF2B5EF4-FFF2-40B4-BE49-F238E27FC236}">
                    <a16:creationId xmlns="" xmlns:a16="http://schemas.microsoft.com/office/drawing/2014/main" id="{00000000-0008-0000-2300-000079ED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6170" name="Group 155">
                <a:extLst>
                  <a:ext uri="{FF2B5EF4-FFF2-40B4-BE49-F238E27FC236}">
                    <a16:creationId xmlns="" xmlns:a16="http://schemas.microsoft.com/office/drawing/2014/main" id="{00000000-0008-0000-2300-00007AED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6171" name="Line 156">
                  <a:extLst>
                    <a:ext uri="{FF2B5EF4-FFF2-40B4-BE49-F238E27FC236}">
                      <a16:creationId xmlns="" xmlns:a16="http://schemas.microsoft.com/office/drawing/2014/main" id="{00000000-0008-0000-2300-00007BE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6172" name="Line 157">
                  <a:extLst>
                    <a:ext uri="{FF2B5EF4-FFF2-40B4-BE49-F238E27FC236}">
                      <a16:creationId xmlns="" xmlns:a16="http://schemas.microsoft.com/office/drawing/2014/main" id="{00000000-0008-0000-2300-00007CE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6145" name="Group 158">
            <a:extLst>
              <a:ext uri="{FF2B5EF4-FFF2-40B4-BE49-F238E27FC236}">
                <a16:creationId xmlns="" xmlns:a16="http://schemas.microsoft.com/office/drawing/2014/main" id="{00000000-0008-0000-2300-000061ED42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386161" name="Line 159">
              <a:extLst>
                <a:ext uri="{FF2B5EF4-FFF2-40B4-BE49-F238E27FC236}">
                  <a16:creationId xmlns="" xmlns:a16="http://schemas.microsoft.com/office/drawing/2014/main" id="{00000000-0008-0000-2300-000071E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6162" name="Group 160">
              <a:extLst>
                <a:ext uri="{FF2B5EF4-FFF2-40B4-BE49-F238E27FC236}">
                  <a16:creationId xmlns="" xmlns:a16="http://schemas.microsoft.com/office/drawing/2014/main" id="{00000000-0008-0000-2300-000072ED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6163" name="Line 161">
                <a:extLst>
                  <a:ext uri="{FF2B5EF4-FFF2-40B4-BE49-F238E27FC236}">
                    <a16:creationId xmlns="" xmlns:a16="http://schemas.microsoft.com/office/drawing/2014/main" id="{00000000-0008-0000-2300-000073ED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6164" name="Group 162">
                <a:extLst>
                  <a:ext uri="{FF2B5EF4-FFF2-40B4-BE49-F238E27FC236}">
                    <a16:creationId xmlns="" xmlns:a16="http://schemas.microsoft.com/office/drawing/2014/main" id="{00000000-0008-0000-2300-000074ED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6165" name="Line 163">
                  <a:extLst>
                    <a:ext uri="{FF2B5EF4-FFF2-40B4-BE49-F238E27FC236}">
                      <a16:creationId xmlns="" xmlns:a16="http://schemas.microsoft.com/office/drawing/2014/main" id="{00000000-0008-0000-2300-000075E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6166" name="Line 164">
                  <a:extLst>
                    <a:ext uri="{FF2B5EF4-FFF2-40B4-BE49-F238E27FC236}">
                      <a16:creationId xmlns="" xmlns:a16="http://schemas.microsoft.com/office/drawing/2014/main" id="{00000000-0008-0000-2300-000076E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6146" name="Group 165">
            <a:extLst>
              <a:ext uri="{FF2B5EF4-FFF2-40B4-BE49-F238E27FC236}">
                <a16:creationId xmlns="" xmlns:a16="http://schemas.microsoft.com/office/drawing/2014/main" id="{00000000-0008-0000-2300-000062ED42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386155" name="Line 166">
              <a:extLst>
                <a:ext uri="{FF2B5EF4-FFF2-40B4-BE49-F238E27FC236}">
                  <a16:creationId xmlns="" xmlns:a16="http://schemas.microsoft.com/office/drawing/2014/main" id="{00000000-0008-0000-2300-00006BE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6156" name="Group 167">
              <a:extLst>
                <a:ext uri="{FF2B5EF4-FFF2-40B4-BE49-F238E27FC236}">
                  <a16:creationId xmlns="" xmlns:a16="http://schemas.microsoft.com/office/drawing/2014/main" id="{00000000-0008-0000-2300-00006CED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6157" name="Line 168">
                <a:extLst>
                  <a:ext uri="{FF2B5EF4-FFF2-40B4-BE49-F238E27FC236}">
                    <a16:creationId xmlns="" xmlns:a16="http://schemas.microsoft.com/office/drawing/2014/main" id="{00000000-0008-0000-2300-00006DED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6158" name="Group 169">
                <a:extLst>
                  <a:ext uri="{FF2B5EF4-FFF2-40B4-BE49-F238E27FC236}">
                    <a16:creationId xmlns="" xmlns:a16="http://schemas.microsoft.com/office/drawing/2014/main" id="{00000000-0008-0000-2300-00006EED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6159" name="Line 170">
                  <a:extLst>
                    <a:ext uri="{FF2B5EF4-FFF2-40B4-BE49-F238E27FC236}">
                      <a16:creationId xmlns="" xmlns:a16="http://schemas.microsoft.com/office/drawing/2014/main" id="{00000000-0008-0000-2300-00006FE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6160" name="Line 171">
                  <a:extLst>
                    <a:ext uri="{FF2B5EF4-FFF2-40B4-BE49-F238E27FC236}">
                      <a16:creationId xmlns="" xmlns:a16="http://schemas.microsoft.com/office/drawing/2014/main" id="{00000000-0008-0000-2300-000070E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6147" name="Group 172">
            <a:extLst>
              <a:ext uri="{FF2B5EF4-FFF2-40B4-BE49-F238E27FC236}">
                <a16:creationId xmlns="" xmlns:a16="http://schemas.microsoft.com/office/drawing/2014/main" id="{00000000-0008-0000-2300-000063ED42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386149" name="Line 173">
              <a:extLst>
                <a:ext uri="{FF2B5EF4-FFF2-40B4-BE49-F238E27FC236}">
                  <a16:creationId xmlns="" xmlns:a16="http://schemas.microsoft.com/office/drawing/2014/main" id="{00000000-0008-0000-2300-000065ED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6150" name="Group 174">
              <a:extLst>
                <a:ext uri="{FF2B5EF4-FFF2-40B4-BE49-F238E27FC236}">
                  <a16:creationId xmlns="" xmlns:a16="http://schemas.microsoft.com/office/drawing/2014/main" id="{00000000-0008-0000-2300-000066ED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6151" name="Line 175">
                <a:extLst>
                  <a:ext uri="{FF2B5EF4-FFF2-40B4-BE49-F238E27FC236}">
                    <a16:creationId xmlns="" xmlns:a16="http://schemas.microsoft.com/office/drawing/2014/main" id="{00000000-0008-0000-2300-000067ED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6152" name="Group 176">
                <a:extLst>
                  <a:ext uri="{FF2B5EF4-FFF2-40B4-BE49-F238E27FC236}">
                    <a16:creationId xmlns="" xmlns:a16="http://schemas.microsoft.com/office/drawing/2014/main" id="{00000000-0008-0000-2300-000068ED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6153" name="Line 177">
                  <a:extLst>
                    <a:ext uri="{FF2B5EF4-FFF2-40B4-BE49-F238E27FC236}">
                      <a16:creationId xmlns="" xmlns:a16="http://schemas.microsoft.com/office/drawing/2014/main" id="{00000000-0008-0000-2300-000069E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6154" name="Line 178">
                  <a:extLst>
                    <a:ext uri="{FF2B5EF4-FFF2-40B4-BE49-F238E27FC236}">
                      <a16:creationId xmlns="" xmlns:a16="http://schemas.microsoft.com/office/drawing/2014/main" id="{00000000-0008-0000-2300-00006AED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86148" name="Line 179">
            <a:extLst>
              <a:ext uri="{FF2B5EF4-FFF2-40B4-BE49-F238E27FC236}">
                <a16:creationId xmlns="" xmlns:a16="http://schemas.microsoft.com/office/drawing/2014/main" id="{00000000-0008-0000-2300-000064ED42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0</xdr:row>
      <xdr:rowOff>133350</xdr:rowOff>
    </xdr:from>
    <xdr:to>
      <xdr:col>21</xdr:col>
      <xdr:colOff>1314450</xdr:colOff>
      <xdr:row>2</xdr:row>
      <xdr:rowOff>28575</xdr:rowOff>
    </xdr:to>
    <xdr:sp macro="" textlink="">
      <xdr:nvSpPr>
        <xdr:cNvPr id="4325076" name="Rectangle 250">
          <a:extLst>
            <a:ext uri="{FF2B5EF4-FFF2-40B4-BE49-F238E27FC236}">
              <a16:creationId xmlns="" xmlns:a16="http://schemas.microsoft.com/office/drawing/2014/main" id="{00000000-0008-0000-2300-0000D4FE4100}"/>
            </a:ext>
          </a:extLst>
        </xdr:cNvPr>
        <xdr:cNvSpPr>
          <a:spLocks noChangeArrowheads="1"/>
        </xdr:cNvSpPr>
      </xdr:nvSpPr>
      <xdr:spPr bwMode="auto">
        <a:xfrm>
          <a:off x="2324100" y="133350"/>
          <a:ext cx="17506950" cy="5524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  <xdr:txBody>
        <a:bodyPr/>
        <a:lstStyle/>
        <a:p>
          <a:endParaRPr lang="it-IT"/>
        </a:p>
      </xdr:txBody>
    </xdr:sp>
    <xdr:clientData/>
  </xdr:twoCellAnchor>
  <xdr:twoCellAnchor>
    <xdr:from>
      <xdr:col>19</xdr:col>
      <xdr:colOff>990600</xdr:colOff>
      <xdr:row>36</xdr:row>
      <xdr:rowOff>0</xdr:rowOff>
    </xdr:from>
    <xdr:to>
      <xdr:col>19</xdr:col>
      <xdr:colOff>990600</xdr:colOff>
      <xdr:row>36</xdr:row>
      <xdr:rowOff>0</xdr:rowOff>
    </xdr:to>
    <xdr:sp macro="" textlink="">
      <xdr:nvSpPr>
        <xdr:cNvPr id="4386109" name="Line 251">
          <a:extLst>
            <a:ext uri="{FF2B5EF4-FFF2-40B4-BE49-F238E27FC236}">
              <a16:creationId xmlns="" xmlns:a16="http://schemas.microsoft.com/office/drawing/2014/main" id="{00000000-0008-0000-2300-00003DED4200}"/>
            </a:ext>
          </a:extLst>
        </xdr:cNvPr>
        <xdr:cNvSpPr>
          <a:spLocks noChangeShapeType="1"/>
        </xdr:cNvSpPr>
      </xdr:nvSpPr>
      <xdr:spPr bwMode="auto">
        <a:xfrm>
          <a:off x="18354675" y="129063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285750</xdr:colOff>
      <xdr:row>22</xdr:row>
      <xdr:rowOff>95250</xdr:rowOff>
    </xdr:from>
    <xdr:to>
      <xdr:col>11</xdr:col>
      <xdr:colOff>9525</xdr:colOff>
      <xdr:row>34</xdr:row>
      <xdr:rowOff>171450</xdr:rowOff>
    </xdr:to>
    <xdr:grpSp>
      <xdr:nvGrpSpPr>
        <xdr:cNvPr id="4386110" name="Gruppo 254">
          <a:extLst>
            <a:ext uri="{FF2B5EF4-FFF2-40B4-BE49-F238E27FC236}">
              <a16:creationId xmlns="" xmlns:a16="http://schemas.microsoft.com/office/drawing/2014/main" id="{00000000-0008-0000-2300-00003EED4200}"/>
            </a:ext>
          </a:extLst>
        </xdr:cNvPr>
        <xdr:cNvGrpSpPr>
          <a:grpSpLocks/>
        </xdr:cNvGrpSpPr>
      </xdr:nvGrpSpPr>
      <xdr:grpSpPr bwMode="auto">
        <a:xfrm>
          <a:off x="2619375" y="7786688"/>
          <a:ext cx="8986838" cy="4386262"/>
          <a:chOff x="32032547" y="4916090"/>
          <a:chExt cx="6320731" cy="4069880"/>
        </a:xfrm>
      </xdr:grpSpPr>
      <xdr:sp macro="" textlink="">
        <xdr:nvSpPr>
          <xdr:cNvPr id="4386112" name="Line 181">
            <a:extLst>
              <a:ext uri="{FF2B5EF4-FFF2-40B4-BE49-F238E27FC236}">
                <a16:creationId xmlns="" xmlns:a16="http://schemas.microsoft.com/office/drawing/2014/main" id="{00000000-0008-0000-2300-000040ED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039228" y="6007380"/>
            <a:ext cx="48107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6113" name="Line 182">
            <a:extLst>
              <a:ext uri="{FF2B5EF4-FFF2-40B4-BE49-F238E27FC236}">
                <a16:creationId xmlns="" xmlns:a16="http://schemas.microsoft.com/office/drawing/2014/main" id="{00000000-0008-0000-2300-000041ED4200}"/>
              </a:ext>
            </a:extLst>
          </xdr:cNvPr>
          <xdr:cNvSpPr>
            <a:spLocks noChangeShapeType="1"/>
          </xdr:cNvSpPr>
        </xdr:nvSpPr>
        <xdr:spPr bwMode="auto">
          <a:xfrm>
            <a:off x="32039228" y="5327889"/>
            <a:ext cx="0" cy="365808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6114" name="Line 183">
            <a:extLst>
              <a:ext uri="{FF2B5EF4-FFF2-40B4-BE49-F238E27FC236}">
                <a16:creationId xmlns="" xmlns:a16="http://schemas.microsoft.com/office/drawing/2014/main" id="{00000000-0008-0000-2300-000042ED4200}"/>
              </a:ext>
            </a:extLst>
          </xdr:cNvPr>
          <xdr:cNvSpPr>
            <a:spLocks noChangeShapeType="1"/>
          </xdr:cNvSpPr>
        </xdr:nvSpPr>
        <xdr:spPr bwMode="auto">
          <a:xfrm>
            <a:off x="32045909" y="6407627"/>
            <a:ext cx="13630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6115" name="Line 184">
            <a:extLst>
              <a:ext uri="{FF2B5EF4-FFF2-40B4-BE49-F238E27FC236}">
                <a16:creationId xmlns="" xmlns:a16="http://schemas.microsoft.com/office/drawing/2014/main" id="{00000000-0008-0000-2300-000043ED4200}"/>
              </a:ext>
            </a:extLst>
          </xdr:cNvPr>
          <xdr:cNvSpPr>
            <a:spLocks noChangeShapeType="1"/>
          </xdr:cNvSpPr>
        </xdr:nvSpPr>
        <xdr:spPr bwMode="auto">
          <a:xfrm>
            <a:off x="32039228" y="6863724"/>
            <a:ext cx="22316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6116" name="Line 185">
            <a:extLst>
              <a:ext uri="{FF2B5EF4-FFF2-40B4-BE49-F238E27FC236}">
                <a16:creationId xmlns="" xmlns:a16="http://schemas.microsoft.com/office/drawing/2014/main" id="{00000000-0008-0000-2300-000044ED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45909" y="7254664"/>
            <a:ext cx="306014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6117" name="Line 186">
            <a:extLst>
              <a:ext uri="{FF2B5EF4-FFF2-40B4-BE49-F238E27FC236}">
                <a16:creationId xmlns="" xmlns:a16="http://schemas.microsoft.com/office/drawing/2014/main" id="{00000000-0008-0000-2300-000045ED4200}"/>
              </a:ext>
            </a:extLst>
          </xdr:cNvPr>
          <xdr:cNvSpPr>
            <a:spLocks noChangeShapeType="1"/>
          </xdr:cNvSpPr>
        </xdr:nvSpPr>
        <xdr:spPr bwMode="auto">
          <a:xfrm>
            <a:off x="32520299" y="4964873"/>
            <a:ext cx="0" cy="115420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6118" name="Line 187">
            <a:extLst>
              <a:ext uri="{FF2B5EF4-FFF2-40B4-BE49-F238E27FC236}">
                <a16:creationId xmlns="" xmlns:a16="http://schemas.microsoft.com/office/drawing/2014/main" id="{00000000-0008-0000-2300-000046ED4200}"/>
              </a:ext>
            </a:extLst>
          </xdr:cNvPr>
          <xdr:cNvSpPr>
            <a:spLocks noChangeShapeType="1"/>
          </xdr:cNvSpPr>
        </xdr:nvSpPr>
        <xdr:spPr bwMode="auto">
          <a:xfrm>
            <a:off x="32065954" y="5030029"/>
            <a:ext cx="414255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6119" name="Line 188">
            <a:extLst>
              <a:ext uri="{FF2B5EF4-FFF2-40B4-BE49-F238E27FC236}">
                <a16:creationId xmlns="" xmlns:a16="http://schemas.microsoft.com/office/drawing/2014/main" id="{00000000-0008-0000-2300-000047ED4200}"/>
              </a:ext>
            </a:extLst>
          </xdr:cNvPr>
          <xdr:cNvSpPr>
            <a:spLocks noChangeShapeType="1"/>
          </xdr:cNvSpPr>
        </xdr:nvSpPr>
        <xdr:spPr bwMode="auto">
          <a:xfrm>
            <a:off x="33408943" y="4955565"/>
            <a:ext cx="0" cy="149860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6120" name="Line 189">
            <a:extLst>
              <a:ext uri="{FF2B5EF4-FFF2-40B4-BE49-F238E27FC236}">
                <a16:creationId xmlns="" xmlns:a16="http://schemas.microsoft.com/office/drawing/2014/main" id="{00000000-0008-0000-2300-000048ED4200}"/>
              </a:ext>
            </a:extLst>
          </xdr:cNvPr>
          <xdr:cNvSpPr>
            <a:spLocks noChangeShapeType="1"/>
          </xdr:cNvSpPr>
        </xdr:nvSpPr>
        <xdr:spPr bwMode="auto">
          <a:xfrm>
            <a:off x="32841012" y="5039338"/>
            <a:ext cx="88864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6121" name="Line 191">
            <a:extLst>
              <a:ext uri="{FF2B5EF4-FFF2-40B4-BE49-F238E27FC236}">
                <a16:creationId xmlns="" xmlns:a16="http://schemas.microsoft.com/office/drawing/2014/main" id="{00000000-0008-0000-2300-000049ED4200}"/>
              </a:ext>
            </a:extLst>
          </xdr:cNvPr>
          <xdr:cNvSpPr>
            <a:spLocks noChangeShapeType="1"/>
          </xdr:cNvSpPr>
        </xdr:nvSpPr>
        <xdr:spPr bwMode="auto">
          <a:xfrm>
            <a:off x="34241720" y="5042775"/>
            <a:ext cx="0" cy="209917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6122" name="Rectangle 196">
            <a:extLst>
              <a:ext uri="{FF2B5EF4-FFF2-40B4-BE49-F238E27FC236}">
                <a16:creationId xmlns="" xmlns:a16="http://schemas.microsoft.com/office/drawing/2014/main" id="{00000000-0008-0000-2300-00004AED4200}"/>
              </a:ext>
            </a:extLst>
          </xdr:cNvPr>
          <xdr:cNvSpPr>
            <a:spLocks noChangeArrowheads="1"/>
          </xdr:cNvSpPr>
        </xdr:nvSpPr>
        <xdr:spPr bwMode="auto">
          <a:xfrm>
            <a:off x="32039227" y="4918332"/>
            <a:ext cx="6314051" cy="363016"/>
          </a:xfrm>
          <a:prstGeom prst="rect">
            <a:avLst/>
          </a:prstGeom>
          <a:noFill/>
          <a:ln w="158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86123" name="Line 197">
            <a:extLst>
              <a:ext uri="{FF2B5EF4-FFF2-40B4-BE49-F238E27FC236}">
                <a16:creationId xmlns="" xmlns:a16="http://schemas.microsoft.com/office/drawing/2014/main" id="{00000000-0008-0000-2300-00004BED4200}"/>
              </a:ext>
            </a:extLst>
          </xdr:cNvPr>
          <xdr:cNvSpPr>
            <a:spLocks noChangeShapeType="1"/>
          </xdr:cNvSpPr>
        </xdr:nvSpPr>
        <xdr:spPr bwMode="auto">
          <a:xfrm>
            <a:off x="38039246" y="4955565"/>
            <a:ext cx="0" cy="398386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6124" name="Line 199">
            <a:extLst>
              <a:ext uri="{FF2B5EF4-FFF2-40B4-BE49-F238E27FC236}">
                <a16:creationId xmlns="" xmlns:a16="http://schemas.microsoft.com/office/drawing/2014/main" id="{00000000-0008-0000-2300-00004CED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032547" y="8939429"/>
            <a:ext cx="600001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6125" name="Line 201">
            <a:extLst>
              <a:ext uri="{FF2B5EF4-FFF2-40B4-BE49-F238E27FC236}">
                <a16:creationId xmlns="" xmlns:a16="http://schemas.microsoft.com/office/drawing/2014/main" id="{00000000-0008-0000-2300-00004DED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5082562" y="5032371"/>
            <a:ext cx="0" cy="2362448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6126" name="Line 202">
            <a:extLst>
              <a:ext uri="{FF2B5EF4-FFF2-40B4-BE49-F238E27FC236}">
                <a16:creationId xmlns="" xmlns:a16="http://schemas.microsoft.com/office/drawing/2014/main" id="{00000000-0008-0000-2300-00004EED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7758028" y="5032371"/>
            <a:ext cx="8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6127" name="Line 203">
            <a:extLst>
              <a:ext uri="{FF2B5EF4-FFF2-40B4-BE49-F238E27FC236}">
                <a16:creationId xmlns="" xmlns:a16="http://schemas.microsoft.com/office/drawing/2014/main" id="{00000000-0008-0000-2300-00004FED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7692145"/>
            <a:ext cx="388865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6128" name="Line 204">
            <a:extLst>
              <a:ext uri="{FF2B5EF4-FFF2-40B4-BE49-F238E27FC236}">
                <a16:creationId xmlns="" xmlns:a16="http://schemas.microsoft.com/office/drawing/2014/main" id="{00000000-0008-0000-2300-000050ED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8148242"/>
            <a:ext cx="469711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6129" name="Line 205">
            <a:extLst>
              <a:ext uri="{FF2B5EF4-FFF2-40B4-BE49-F238E27FC236}">
                <a16:creationId xmlns="" xmlns:a16="http://schemas.microsoft.com/office/drawing/2014/main" id="{00000000-0008-0000-2300-000051ED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8529873"/>
            <a:ext cx="5405362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6130" name="Line 207">
            <a:extLst>
              <a:ext uri="{FF2B5EF4-FFF2-40B4-BE49-F238E27FC236}">
                <a16:creationId xmlns="" xmlns:a16="http://schemas.microsoft.com/office/drawing/2014/main" id="{00000000-0008-0000-2300-000052ED4200}"/>
              </a:ext>
            </a:extLst>
          </xdr:cNvPr>
          <xdr:cNvSpPr>
            <a:spLocks noChangeShapeType="1"/>
          </xdr:cNvSpPr>
        </xdr:nvSpPr>
        <xdr:spPr bwMode="auto">
          <a:xfrm>
            <a:off x="35903589" y="4964873"/>
            <a:ext cx="0" cy="291533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6131" name="Line 210">
            <a:extLst>
              <a:ext uri="{FF2B5EF4-FFF2-40B4-BE49-F238E27FC236}">
                <a16:creationId xmlns="" xmlns:a16="http://schemas.microsoft.com/office/drawing/2014/main" id="{00000000-0008-0000-2300-000053ED4200}"/>
              </a:ext>
            </a:extLst>
          </xdr:cNvPr>
          <xdr:cNvSpPr>
            <a:spLocks noChangeShapeType="1"/>
          </xdr:cNvSpPr>
        </xdr:nvSpPr>
        <xdr:spPr bwMode="auto">
          <a:xfrm>
            <a:off x="37410345" y="4985564"/>
            <a:ext cx="0" cy="3620849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6132" name="Line 212">
            <a:extLst>
              <a:ext uri="{FF2B5EF4-FFF2-40B4-BE49-F238E27FC236}">
                <a16:creationId xmlns="" xmlns:a16="http://schemas.microsoft.com/office/drawing/2014/main" id="{00000000-0008-0000-2300-000054ED4200}"/>
              </a:ext>
            </a:extLst>
          </xdr:cNvPr>
          <xdr:cNvSpPr>
            <a:spLocks noChangeShapeType="1"/>
          </xdr:cNvSpPr>
        </xdr:nvSpPr>
        <xdr:spPr bwMode="auto">
          <a:xfrm>
            <a:off x="37945705" y="5039338"/>
            <a:ext cx="17372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6133" name="Line 210">
            <a:extLst>
              <a:ext uri="{FF2B5EF4-FFF2-40B4-BE49-F238E27FC236}">
                <a16:creationId xmlns="" xmlns:a16="http://schemas.microsoft.com/office/drawing/2014/main" id="{00000000-0008-0000-2300-000055ED4200}"/>
              </a:ext>
            </a:extLst>
          </xdr:cNvPr>
          <xdr:cNvSpPr>
            <a:spLocks noChangeShapeType="1"/>
          </xdr:cNvSpPr>
        </xdr:nvSpPr>
        <xdr:spPr bwMode="auto">
          <a:xfrm>
            <a:off x="36723957" y="4916090"/>
            <a:ext cx="0" cy="3347106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12</xdr:col>
      <xdr:colOff>190500</xdr:colOff>
      <xdr:row>17</xdr:row>
      <xdr:rowOff>200025</xdr:rowOff>
    </xdr:from>
    <xdr:to>
      <xdr:col>21</xdr:col>
      <xdr:colOff>209550</xdr:colOff>
      <xdr:row>29</xdr:row>
      <xdr:rowOff>361950</xdr:rowOff>
    </xdr:to>
    <xdr:pic>
      <xdr:nvPicPr>
        <xdr:cNvPr id="4386111" name="Picture 103">
          <a:extLst>
            <a:ext uri="{FF2B5EF4-FFF2-40B4-BE49-F238E27FC236}">
              <a16:creationId xmlns="" xmlns:a16="http://schemas.microsoft.com/office/drawing/2014/main" id="{00000000-0008-0000-2300-00003FED4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2077700" y="6343650"/>
          <a:ext cx="7524750" cy="381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87073" name="Line 1">
          <a:extLst>
            <a:ext uri="{FF2B5EF4-FFF2-40B4-BE49-F238E27FC236}">
              <a16:creationId xmlns="" xmlns:a16="http://schemas.microsoft.com/office/drawing/2014/main" id="{00000000-0008-0000-2400-000001F14200}"/>
            </a:ext>
          </a:extLst>
        </xdr:cNvPr>
        <xdr:cNvSpPr>
          <a:spLocks noChangeShapeType="1"/>
        </xdr:cNvSpPr>
      </xdr:nvSpPr>
      <xdr:spPr bwMode="auto">
        <a:xfrm flipV="1"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87074" name="Line 2">
          <a:extLst>
            <a:ext uri="{FF2B5EF4-FFF2-40B4-BE49-F238E27FC236}">
              <a16:creationId xmlns="" xmlns:a16="http://schemas.microsoft.com/office/drawing/2014/main" id="{00000000-0008-0000-2400-000002F14200}"/>
            </a:ext>
          </a:extLst>
        </xdr:cNvPr>
        <xdr:cNvSpPr>
          <a:spLocks noChangeShapeType="1"/>
        </xdr:cNvSpPr>
      </xdr:nvSpPr>
      <xdr:spPr bwMode="auto">
        <a:xfrm flipV="1">
          <a:off x="81819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676275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87075" name="Line 3">
          <a:extLst>
            <a:ext uri="{FF2B5EF4-FFF2-40B4-BE49-F238E27FC236}">
              <a16:creationId xmlns="" xmlns:a16="http://schemas.microsoft.com/office/drawing/2014/main" id="{00000000-0008-0000-2400-000003F142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5553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95250</xdr:colOff>
      <xdr:row>0</xdr:row>
      <xdr:rowOff>0</xdr:rowOff>
    </xdr:from>
    <xdr:to>
      <xdr:col>6</xdr:col>
      <xdr:colOff>200025</xdr:colOff>
      <xdr:row>0</xdr:row>
      <xdr:rowOff>0</xdr:rowOff>
    </xdr:to>
    <xdr:sp macro="" textlink="">
      <xdr:nvSpPr>
        <xdr:cNvPr id="4387076" name="Line 4">
          <a:extLst>
            <a:ext uri="{FF2B5EF4-FFF2-40B4-BE49-F238E27FC236}">
              <a16:creationId xmlns="" xmlns:a16="http://schemas.microsoft.com/office/drawing/2014/main" id="{00000000-0008-0000-2400-000004F14200}"/>
            </a:ext>
          </a:extLst>
        </xdr:cNvPr>
        <xdr:cNvSpPr>
          <a:spLocks noChangeShapeType="1"/>
        </xdr:cNvSpPr>
      </xdr:nvSpPr>
      <xdr:spPr bwMode="auto">
        <a:xfrm>
          <a:off x="8277225" y="0"/>
          <a:ext cx="1104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104775</xdr:colOff>
      <xdr:row>0</xdr:row>
      <xdr:rowOff>0</xdr:rowOff>
    </xdr:from>
    <xdr:to>
      <xdr:col>6</xdr:col>
      <xdr:colOff>104775</xdr:colOff>
      <xdr:row>0</xdr:row>
      <xdr:rowOff>0</xdr:rowOff>
    </xdr:to>
    <xdr:sp macro="" textlink="">
      <xdr:nvSpPr>
        <xdr:cNvPr id="4387077" name="Line 5">
          <a:extLst>
            <a:ext uri="{FF2B5EF4-FFF2-40B4-BE49-F238E27FC236}">
              <a16:creationId xmlns="" xmlns:a16="http://schemas.microsoft.com/office/drawing/2014/main" id="{00000000-0008-0000-2400-000005F14200}"/>
            </a:ext>
          </a:extLst>
        </xdr:cNvPr>
        <xdr:cNvSpPr>
          <a:spLocks noChangeShapeType="1"/>
        </xdr:cNvSpPr>
      </xdr:nvSpPr>
      <xdr:spPr bwMode="auto">
        <a:xfrm>
          <a:off x="92868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0</xdr:row>
      <xdr:rowOff>0</xdr:rowOff>
    </xdr:from>
    <xdr:to>
      <xdr:col>6</xdr:col>
      <xdr:colOff>114300</xdr:colOff>
      <xdr:row>0</xdr:row>
      <xdr:rowOff>0</xdr:rowOff>
    </xdr:to>
    <xdr:sp macro="" textlink="">
      <xdr:nvSpPr>
        <xdr:cNvPr id="4387078" name="Line 6">
          <a:extLst>
            <a:ext uri="{FF2B5EF4-FFF2-40B4-BE49-F238E27FC236}">
              <a16:creationId xmlns="" xmlns:a16="http://schemas.microsoft.com/office/drawing/2014/main" id="{00000000-0008-0000-2400-000006F14200}"/>
            </a:ext>
          </a:extLst>
        </xdr:cNvPr>
        <xdr:cNvSpPr>
          <a:spLocks noChangeShapeType="1"/>
        </xdr:cNvSpPr>
      </xdr:nvSpPr>
      <xdr:spPr bwMode="auto">
        <a:xfrm>
          <a:off x="92964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85725</xdr:colOff>
      <xdr:row>0</xdr:row>
      <xdr:rowOff>0</xdr:rowOff>
    </xdr:from>
    <xdr:to>
      <xdr:col>6</xdr:col>
      <xdr:colOff>228600</xdr:colOff>
      <xdr:row>0</xdr:row>
      <xdr:rowOff>0</xdr:rowOff>
    </xdr:to>
    <xdr:sp macro="" textlink="">
      <xdr:nvSpPr>
        <xdr:cNvPr id="4387079" name="Line 7">
          <a:extLst>
            <a:ext uri="{FF2B5EF4-FFF2-40B4-BE49-F238E27FC236}">
              <a16:creationId xmlns="" xmlns:a16="http://schemas.microsoft.com/office/drawing/2014/main" id="{00000000-0008-0000-2400-000007F14200}"/>
            </a:ext>
          </a:extLst>
        </xdr:cNvPr>
        <xdr:cNvSpPr>
          <a:spLocks noChangeShapeType="1"/>
        </xdr:cNvSpPr>
      </xdr:nvSpPr>
      <xdr:spPr bwMode="auto">
        <a:xfrm>
          <a:off x="8267700" y="0"/>
          <a:ext cx="1143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533400</xdr:colOff>
      <xdr:row>0</xdr:row>
      <xdr:rowOff>0</xdr:rowOff>
    </xdr:from>
    <xdr:to>
      <xdr:col>12</xdr:col>
      <xdr:colOff>123825</xdr:colOff>
      <xdr:row>0</xdr:row>
      <xdr:rowOff>0</xdr:rowOff>
    </xdr:to>
    <xdr:sp macro="" textlink="">
      <xdr:nvSpPr>
        <xdr:cNvPr id="4387080" name="Line 8">
          <a:extLst>
            <a:ext uri="{FF2B5EF4-FFF2-40B4-BE49-F238E27FC236}">
              <a16:creationId xmlns="" xmlns:a16="http://schemas.microsoft.com/office/drawing/2014/main" id="{00000000-0008-0000-2400-000008F14200}"/>
            </a:ext>
          </a:extLst>
        </xdr:cNvPr>
        <xdr:cNvSpPr>
          <a:spLocks noChangeShapeType="1"/>
        </xdr:cNvSpPr>
      </xdr:nvSpPr>
      <xdr:spPr bwMode="auto">
        <a:xfrm>
          <a:off x="13011150" y="0"/>
          <a:ext cx="123825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12</xdr:col>
      <xdr:colOff>238125</xdr:colOff>
      <xdr:row>0</xdr:row>
      <xdr:rowOff>0</xdr:rowOff>
    </xdr:to>
    <xdr:sp macro="" textlink="">
      <xdr:nvSpPr>
        <xdr:cNvPr id="4387081" name="Line 9">
          <a:extLst>
            <a:ext uri="{FF2B5EF4-FFF2-40B4-BE49-F238E27FC236}">
              <a16:creationId xmlns="" xmlns:a16="http://schemas.microsoft.com/office/drawing/2014/main" id="{00000000-0008-0000-2400-000009F14200}"/>
            </a:ext>
          </a:extLst>
        </xdr:cNvPr>
        <xdr:cNvSpPr>
          <a:spLocks noChangeShapeType="1"/>
        </xdr:cNvSpPr>
      </xdr:nvSpPr>
      <xdr:spPr bwMode="auto">
        <a:xfrm flipV="1">
          <a:off x="1313497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238125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7082" name="Line 10">
          <a:extLst>
            <a:ext uri="{FF2B5EF4-FFF2-40B4-BE49-F238E27FC236}">
              <a16:creationId xmlns="" xmlns:a16="http://schemas.microsoft.com/office/drawing/2014/main" id="{00000000-0008-0000-2400-00000AF14200}"/>
            </a:ext>
          </a:extLst>
        </xdr:cNvPr>
        <xdr:cNvSpPr>
          <a:spLocks noChangeShapeType="1"/>
        </xdr:cNvSpPr>
      </xdr:nvSpPr>
      <xdr:spPr bwMode="auto">
        <a:xfrm>
          <a:off x="13249275" y="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361950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7083" name="Line 11">
          <a:extLst>
            <a:ext uri="{FF2B5EF4-FFF2-40B4-BE49-F238E27FC236}">
              <a16:creationId xmlns="" xmlns:a16="http://schemas.microsoft.com/office/drawing/2014/main" id="{00000000-0008-0000-2400-00000BF14200}"/>
            </a:ext>
          </a:extLst>
        </xdr:cNvPr>
        <xdr:cNvSpPr>
          <a:spLocks noChangeShapeType="1"/>
        </xdr:cNvSpPr>
      </xdr:nvSpPr>
      <xdr:spPr bwMode="auto">
        <a:xfrm flipV="1">
          <a:off x="132588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466725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7084" name="Line 12">
          <a:extLst>
            <a:ext uri="{FF2B5EF4-FFF2-40B4-BE49-F238E27FC236}">
              <a16:creationId xmlns="" xmlns:a16="http://schemas.microsoft.com/office/drawing/2014/main" id="{00000000-0008-0000-2400-00000CF14200}"/>
            </a:ext>
          </a:extLst>
        </xdr:cNvPr>
        <xdr:cNvSpPr>
          <a:spLocks noChangeShapeType="1"/>
        </xdr:cNvSpPr>
      </xdr:nvSpPr>
      <xdr:spPr bwMode="auto">
        <a:xfrm>
          <a:off x="132588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581025</xdr:colOff>
      <xdr:row>0</xdr:row>
      <xdr:rowOff>0</xdr:rowOff>
    </xdr:from>
    <xdr:to>
      <xdr:col>13</xdr:col>
      <xdr:colOff>0</xdr:colOff>
      <xdr:row>0</xdr:row>
      <xdr:rowOff>0</xdr:rowOff>
    </xdr:to>
    <xdr:sp macro="" textlink="">
      <xdr:nvSpPr>
        <xdr:cNvPr id="4387085" name="Line 13">
          <a:extLst>
            <a:ext uri="{FF2B5EF4-FFF2-40B4-BE49-F238E27FC236}">
              <a16:creationId xmlns="" xmlns:a16="http://schemas.microsoft.com/office/drawing/2014/main" id="{00000000-0008-0000-2400-00000DF14200}"/>
            </a:ext>
          </a:extLst>
        </xdr:cNvPr>
        <xdr:cNvSpPr>
          <a:spLocks noChangeShapeType="1"/>
        </xdr:cNvSpPr>
      </xdr:nvSpPr>
      <xdr:spPr bwMode="auto">
        <a:xfrm flipV="1">
          <a:off x="132588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0</xdr:row>
      <xdr:rowOff>0</xdr:rowOff>
    </xdr:from>
    <xdr:to>
      <xdr:col>13</xdr:col>
      <xdr:colOff>123825</xdr:colOff>
      <xdr:row>0</xdr:row>
      <xdr:rowOff>0</xdr:rowOff>
    </xdr:to>
    <xdr:sp macro="" textlink="">
      <xdr:nvSpPr>
        <xdr:cNvPr id="4387086" name="Line 14">
          <a:extLst>
            <a:ext uri="{FF2B5EF4-FFF2-40B4-BE49-F238E27FC236}">
              <a16:creationId xmlns="" xmlns:a16="http://schemas.microsoft.com/office/drawing/2014/main" id="{00000000-0008-0000-2400-00000EF14200}"/>
            </a:ext>
          </a:extLst>
        </xdr:cNvPr>
        <xdr:cNvSpPr>
          <a:spLocks noChangeShapeType="1"/>
        </xdr:cNvSpPr>
      </xdr:nvSpPr>
      <xdr:spPr bwMode="auto">
        <a:xfrm>
          <a:off x="1325880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123825</xdr:colOff>
      <xdr:row>0</xdr:row>
      <xdr:rowOff>0</xdr:rowOff>
    </xdr:from>
    <xdr:to>
      <xdr:col>13</xdr:col>
      <xdr:colOff>238125</xdr:colOff>
      <xdr:row>0</xdr:row>
      <xdr:rowOff>0</xdr:rowOff>
    </xdr:to>
    <xdr:sp macro="" textlink="">
      <xdr:nvSpPr>
        <xdr:cNvPr id="4387087" name="Line 15">
          <a:extLst>
            <a:ext uri="{FF2B5EF4-FFF2-40B4-BE49-F238E27FC236}">
              <a16:creationId xmlns="" xmlns:a16="http://schemas.microsoft.com/office/drawing/2014/main" id="{00000000-0008-0000-2400-00000FF14200}"/>
            </a:ext>
          </a:extLst>
        </xdr:cNvPr>
        <xdr:cNvSpPr>
          <a:spLocks noChangeShapeType="1"/>
        </xdr:cNvSpPr>
      </xdr:nvSpPr>
      <xdr:spPr bwMode="auto">
        <a:xfrm flipV="1">
          <a:off x="133826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238125</xdr:colOff>
      <xdr:row>0</xdr:row>
      <xdr:rowOff>0</xdr:rowOff>
    </xdr:from>
    <xdr:to>
      <xdr:col>13</xdr:col>
      <xdr:colOff>361950</xdr:colOff>
      <xdr:row>0</xdr:row>
      <xdr:rowOff>0</xdr:rowOff>
    </xdr:to>
    <xdr:sp macro="" textlink="">
      <xdr:nvSpPr>
        <xdr:cNvPr id="4387088" name="Line 16">
          <a:extLst>
            <a:ext uri="{FF2B5EF4-FFF2-40B4-BE49-F238E27FC236}">
              <a16:creationId xmlns="" xmlns:a16="http://schemas.microsoft.com/office/drawing/2014/main" id="{00000000-0008-0000-2400-000010F14200}"/>
            </a:ext>
          </a:extLst>
        </xdr:cNvPr>
        <xdr:cNvSpPr>
          <a:spLocks noChangeShapeType="1"/>
        </xdr:cNvSpPr>
      </xdr:nvSpPr>
      <xdr:spPr bwMode="auto">
        <a:xfrm>
          <a:off x="1349692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361950</xdr:colOff>
      <xdr:row>0</xdr:row>
      <xdr:rowOff>0</xdr:rowOff>
    </xdr:from>
    <xdr:to>
      <xdr:col>13</xdr:col>
      <xdr:colOff>476250</xdr:colOff>
      <xdr:row>0</xdr:row>
      <xdr:rowOff>0</xdr:rowOff>
    </xdr:to>
    <xdr:sp macro="" textlink="">
      <xdr:nvSpPr>
        <xdr:cNvPr id="4387089" name="Line 17">
          <a:extLst>
            <a:ext uri="{FF2B5EF4-FFF2-40B4-BE49-F238E27FC236}">
              <a16:creationId xmlns="" xmlns:a16="http://schemas.microsoft.com/office/drawing/2014/main" id="{00000000-0008-0000-2400-000011F14200}"/>
            </a:ext>
          </a:extLst>
        </xdr:cNvPr>
        <xdr:cNvSpPr>
          <a:spLocks noChangeShapeType="1"/>
        </xdr:cNvSpPr>
      </xdr:nvSpPr>
      <xdr:spPr bwMode="auto">
        <a:xfrm flipV="1">
          <a:off x="13620750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476250</xdr:colOff>
      <xdr:row>0</xdr:row>
      <xdr:rowOff>0</xdr:rowOff>
    </xdr:from>
    <xdr:to>
      <xdr:col>13</xdr:col>
      <xdr:colOff>609600</xdr:colOff>
      <xdr:row>0</xdr:row>
      <xdr:rowOff>0</xdr:rowOff>
    </xdr:to>
    <xdr:sp macro="" textlink="">
      <xdr:nvSpPr>
        <xdr:cNvPr id="4387090" name="Line 18">
          <a:extLst>
            <a:ext uri="{FF2B5EF4-FFF2-40B4-BE49-F238E27FC236}">
              <a16:creationId xmlns="" xmlns:a16="http://schemas.microsoft.com/office/drawing/2014/main" id="{00000000-0008-0000-2400-000012F14200}"/>
            </a:ext>
          </a:extLst>
        </xdr:cNvPr>
        <xdr:cNvSpPr>
          <a:spLocks noChangeShapeType="1"/>
        </xdr:cNvSpPr>
      </xdr:nvSpPr>
      <xdr:spPr bwMode="auto">
        <a:xfrm>
          <a:off x="13735050" y="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14</xdr:col>
      <xdr:colOff>28575</xdr:colOff>
      <xdr:row>0</xdr:row>
      <xdr:rowOff>0</xdr:rowOff>
    </xdr:to>
    <xdr:sp macro="" textlink="">
      <xdr:nvSpPr>
        <xdr:cNvPr id="4387091" name="Line 19">
          <a:extLst>
            <a:ext uri="{FF2B5EF4-FFF2-40B4-BE49-F238E27FC236}">
              <a16:creationId xmlns="" xmlns:a16="http://schemas.microsoft.com/office/drawing/2014/main" id="{00000000-0008-0000-2400-000013F14200}"/>
            </a:ext>
          </a:extLst>
        </xdr:cNvPr>
        <xdr:cNvSpPr>
          <a:spLocks noChangeShapeType="1"/>
        </xdr:cNvSpPr>
      </xdr:nvSpPr>
      <xdr:spPr bwMode="auto">
        <a:xfrm flipV="1">
          <a:off x="13868400" y="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28575</xdr:colOff>
      <xdr:row>0</xdr:row>
      <xdr:rowOff>0</xdr:rowOff>
    </xdr:from>
    <xdr:to>
      <xdr:col>14</xdr:col>
      <xdr:colOff>152400</xdr:colOff>
      <xdr:row>0</xdr:row>
      <xdr:rowOff>0</xdr:rowOff>
    </xdr:to>
    <xdr:sp macro="" textlink="">
      <xdr:nvSpPr>
        <xdr:cNvPr id="4387092" name="Line 20">
          <a:extLst>
            <a:ext uri="{FF2B5EF4-FFF2-40B4-BE49-F238E27FC236}">
              <a16:creationId xmlns="" xmlns:a16="http://schemas.microsoft.com/office/drawing/2014/main" id="{00000000-0008-0000-2400-000014F14200}"/>
            </a:ext>
          </a:extLst>
        </xdr:cNvPr>
        <xdr:cNvSpPr>
          <a:spLocks noChangeShapeType="1"/>
        </xdr:cNvSpPr>
      </xdr:nvSpPr>
      <xdr:spPr bwMode="auto">
        <a:xfrm>
          <a:off x="14478000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152400</xdr:colOff>
      <xdr:row>0</xdr:row>
      <xdr:rowOff>0</xdr:rowOff>
    </xdr:from>
    <xdr:to>
      <xdr:col>14</xdr:col>
      <xdr:colOff>266700</xdr:colOff>
      <xdr:row>0</xdr:row>
      <xdr:rowOff>0</xdr:rowOff>
    </xdr:to>
    <xdr:sp macro="" textlink="">
      <xdr:nvSpPr>
        <xdr:cNvPr id="4387093" name="Line 21">
          <a:extLst>
            <a:ext uri="{FF2B5EF4-FFF2-40B4-BE49-F238E27FC236}">
              <a16:creationId xmlns="" xmlns:a16="http://schemas.microsoft.com/office/drawing/2014/main" id="{00000000-0008-0000-2400-000015F14200}"/>
            </a:ext>
          </a:extLst>
        </xdr:cNvPr>
        <xdr:cNvSpPr>
          <a:spLocks noChangeShapeType="1"/>
        </xdr:cNvSpPr>
      </xdr:nvSpPr>
      <xdr:spPr bwMode="auto">
        <a:xfrm flipV="1">
          <a:off x="146018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266700</xdr:colOff>
      <xdr:row>0</xdr:row>
      <xdr:rowOff>0</xdr:rowOff>
    </xdr:from>
    <xdr:to>
      <xdr:col>14</xdr:col>
      <xdr:colOff>381000</xdr:colOff>
      <xdr:row>0</xdr:row>
      <xdr:rowOff>0</xdr:rowOff>
    </xdr:to>
    <xdr:sp macro="" textlink="">
      <xdr:nvSpPr>
        <xdr:cNvPr id="4387094" name="Line 22">
          <a:extLst>
            <a:ext uri="{FF2B5EF4-FFF2-40B4-BE49-F238E27FC236}">
              <a16:creationId xmlns="" xmlns:a16="http://schemas.microsoft.com/office/drawing/2014/main" id="{00000000-0008-0000-2400-000016F14200}"/>
            </a:ext>
          </a:extLst>
        </xdr:cNvPr>
        <xdr:cNvSpPr>
          <a:spLocks noChangeShapeType="1"/>
        </xdr:cNvSpPr>
      </xdr:nvSpPr>
      <xdr:spPr bwMode="auto">
        <a:xfrm>
          <a:off x="147161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381000</xdr:colOff>
      <xdr:row>0</xdr:row>
      <xdr:rowOff>0</xdr:rowOff>
    </xdr:from>
    <xdr:to>
      <xdr:col>14</xdr:col>
      <xdr:colOff>495300</xdr:colOff>
      <xdr:row>0</xdr:row>
      <xdr:rowOff>0</xdr:rowOff>
    </xdr:to>
    <xdr:sp macro="" textlink="">
      <xdr:nvSpPr>
        <xdr:cNvPr id="4387095" name="Line 23">
          <a:extLst>
            <a:ext uri="{FF2B5EF4-FFF2-40B4-BE49-F238E27FC236}">
              <a16:creationId xmlns="" xmlns:a16="http://schemas.microsoft.com/office/drawing/2014/main" id="{00000000-0008-0000-2400-000017F14200}"/>
            </a:ext>
          </a:extLst>
        </xdr:cNvPr>
        <xdr:cNvSpPr>
          <a:spLocks noChangeShapeType="1"/>
        </xdr:cNvSpPr>
      </xdr:nvSpPr>
      <xdr:spPr bwMode="auto">
        <a:xfrm flipV="1">
          <a:off x="14830425" y="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495300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87096" name="Line 24">
          <a:extLst>
            <a:ext uri="{FF2B5EF4-FFF2-40B4-BE49-F238E27FC236}">
              <a16:creationId xmlns="" xmlns:a16="http://schemas.microsoft.com/office/drawing/2014/main" id="{00000000-0008-0000-2400-000018F14200}"/>
            </a:ext>
          </a:extLst>
        </xdr:cNvPr>
        <xdr:cNvSpPr>
          <a:spLocks noChangeShapeType="1"/>
        </xdr:cNvSpPr>
      </xdr:nvSpPr>
      <xdr:spPr bwMode="auto">
        <a:xfrm>
          <a:off x="14944725" y="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87097" name="Line 25">
          <a:extLst>
            <a:ext uri="{FF2B5EF4-FFF2-40B4-BE49-F238E27FC236}">
              <a16:creationId xmlns="" xmlns:a16="http://schemas.microsoft.com/office/drawing/2014/main" id="{00000000-0008-0000-2400-000019F14200}"/>
            </a:ext>
          </a:extLst>
        </xdr:cNvPr>
        <xdr:cNvSpPr>
          <a:spLocks noChangeShapeType="1"/>
        </xdr:cNvSpPr>
      </xdr:nvSpPr>
      <xdr:spPr bwMode="auto">
        <a:xfrm flipV="1">
          <a:off x="1506855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66675</xdr:colOff>
      <xdr:row>0</xdr:row>
      <xdr:rowOff>0</xdr:rowOff>
    </xdr:to>
    <xdr:sp macro="" textlink="">
      <xdr:nvSpPr>
        <xdr:cNvPr id="4387098" name="Line 26">
          <a:extLst>
            <a:ext uri="{FF2B5EF4-FFF2-40B4-BE49-F238E27FC236}">
              <a16:creationId xmlns="" xmlns:a16="http://schemas.microsoft.com/office/drawing/2014/main" id="{00000000-0008-0000-2400-00001AF14200}"/>
            </a:ext>
          </a:extLst>
        </xdr:cNvPr>
        <xdr:cNvSpPr>
          <a:spLocks noChangeShapeType="1"/>
        </xdr:cNvSpPr>
      </xdr:nvSpPr>
      <xdr:spPr bwMode="auto">
        <a:xfrm flipV="1">
          <a:off x="130778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87099" name="Line 27">
          <a:extLst>
            <a:ext uri="{FF2B5EF4-FFF2-40B4-BE49-F238E27FC236}">
              <a16:creationId xmlns="" xmlns:a16="http://schemas.microsoft.com/office/drawing/2014/main" id="{00000000-0008-0000-2400-00001BF14200}"/>
            </a:ext>
          </a:extLst>
        </xdr:cNvPr>
        <xdr:cNvSpPr>
          <a:spLocks noChangeShapeType="1"/>
        </xdr:cNvSpPr>
      </xdr:nvSpPr>
      <xdr:spPr bwMode="auto">
        <a:xfrm flipV="1">
          <a:off x="150685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123825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4387100" name="Line 28">
          <a:extLst>
            <a:ext uri="{FF2B5EF4-FFF2-40B4-BE49-F238E27FC236}">
              <a16:creationId xmlns="" xmlns:a16="http://schemas.microsoft.com/office/drawing/2014/main" id="{00000000-0008-0000-2400-00001CF14200}"/>
            </a:ext>
          </a:extLst>
        </xdr:cNvPr>
        <xdr:cNvSpPr>
          <a:spLocks noChangeShapeType="1"/>
        </xdr:cNvSpPr>
      </xdr:nvSpPr>
      <xdr:spPr bwMode="auto">
        <a:xfrm>
          <a:off x="13134975" y="0"/>
          <a:ext cx="1933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352425</xdr:colOff>
      <xdr:row>0</xdr:row>
      <xdr:rowOff>0</xdr:rowOff>
    </xdr:from>
    <xdr:to>
      <xdr:col>2</xdr:col>
      <xdr:colOff>352425</xdr:colOff>
      <xdr:row>0</xdr:row>
      <xdr:rowOff>0</xdr:rowOff>
    </xdr:to>
    <xdr:sp macro="" textlink="">
      <xdr:nvSpPr>
        <xdr:cNvPr id="4387101" name="Line 29">
          <a:extLst>
            <a:ext uri="{FF2B5EF4-FFF2-40B4-BE49-F238E27FC236}">
              <a16:creationId xmlns="" xmlns:a16="http://schemas.microsoft.com/office/drawing/2014/main" id="{00000000-0008-0000-2400-00001DF14200}"/>
            </a:ext>
          </a:extLst>
        </xdr:cNvPr>
        <xdr:cNvSpPr>
          <a:spLocks noChangeShapeType="1"/>
        </xdr:cNvSpPr>
      </xdr:nvSpPr>
      <xdr:spPr bwMode="auto">
        <a:xfrm>
          <a:off x="29813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152400</xdr:colOff>
      <xdr:row>0</xdr:row>
      <xdr:rowOff>0</xdr:rowOff>
    </xdr:to>
    <xdr:sp macro="" textlink="">
      <xdr:nvSpPr>
        <xdr:cNvPr id="4387102" name="Line 30">
          <a:extLst>
            <a:ext uri="{FF2B5EF4-FFF2-40B4-BE49-F238E27FC236}">
              <a16:creationId xmlns="" xmlns:a16="http://schemas.microsoft.com/office/drawing/2014/main" id="{00000000-0008-0000-2400-00001EF1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723900</xdr:colOff>
      <xdr:row>0</xdr:row>
      <xdr:rowOff>0</xdr:rowOff>
    </xdr:from>
    <xdr:to>
      <xdr:col>4</xdr:col>
      <xdr:colOff>723900</xdr:colOff>
      <xdr:row>0</xdr:row>
      <xdr:rowOff>0</xdr:rowOff>
    </xdr:to>
    <xdr:sp macro="" textlink="">
      <xdr:nvSpPr>
        <xdr:cNvPr id="4387103" name="Line 31">
          <a:extLst>
            <a:ext uri="{FF2B5EF4-FFF2-40B4-BE49-F238E27FC236}">
              <a16:creationId xmlns="" xmlns:a16="http://schemas.microsoft.com/office/drawing/2014/main" id="{00000000-0008-0000-2400-00001FF14200}"/>
            </a:ext>
          </a:extLst>
        </xdr:cNvPr>
        <xdr:cNvSpPr>
          <a:spLocks noChangeShapeType="1"/>
        </xdr:cNvSpPr>
      </xdr:nvSpPr>
      <xdr:spPr bwMode="auto">
        <a:xfrm>
          <a:off x="7496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285750</xdr:colOff>
      <xdr:row>0</xdr:row>
      <xdr:rowOff>0</xdr:rowOff>
    </xdr:from>
    <xdr:to>
      <xdr:col>2</xdr:col>
      <xdr:colOff>285750</xdr:colOff>
      <xdr:row>0</xdr:row>
      <xdr:rowOff>0</xdr:rowOff>
    </xdr:to>
    <xdr:sp macro="" textlink="">
      <xdr:nvSpPr>
        <xdr:cNvPr id="4387104" name="Line 32">
          <a:extLst>
            <a:ext uri="{FF2B5EF4-FFF2-40B4-BE49-F238E27FC236}">
              <a16:creationId xmlns="" xmlns:a16="http://schemas.microsoft.com/office/drawing/2014/main" id="{00000000-0008-0000-2400-000020F14200}"/>
            </a:ext>
          </a:extLst>
        </xdr:cNvPr>
        <xdr:cNvSpPr>
          <a:spLocks noChangeShapeType="1"/>
        </xdr:cNvSpPr>
      </xdr:nvSpPr>
      <xdr:spPr bwMode="auto">
        <a:xfrm>
          <a:off x="29146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590550</xdr:colOff>
      <xdr:row>0</xdr:row>
      <xdr:rowOff>0</xdr:rowOff>
    </xdr:from>
    <xdr:to>
      <xdr:col>4</xdr:col>
      <xdr:colOff>590550</xdr:colOff>
      <xdr:row>0</xdr:row>
      <xdr:rowOff>0</xdr:rowOff>
    </xdr:to>
    <xdr:sp macro="" textlink="">
      <xdr:nvSpPr>
        <xdr:cNvPr id="4387105" name="Line 33">
          <a:extLst>
            <a:ext uri="{FF2B5EF4-FFF2-40B4-BE49-F238E27FC236}">
              <a16:creationId xmlns="" xmlns:a16="http://schemas.microsoft.com/office/drawing/2014/main" id="{00000000-0008-0000-2400-000021F14200}"/>
            </a:ext>
          </a:extLst>
        </xdr:cNvPr>
        <xdr:cNvSpPr>
          <a:spLocks noChangeShapeType="1"/>
        </xdr:cNvSpPr>
      </xdr:nvSpPr>
      <xdr:spPr bwMode="auto">
        <a:xfrm flipH="1">
          <a:off x="73628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619125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4387106" name="Line 34">
          <a:extLst>
            <a:ext uri="{FF2B5EF4-FFF2-40B4-BE49-F238E27FC236}">
              <a16:creationId xmlns="" xmlns:a16="http://schemas.microsoft.com/office/drawing/2014/main" id="{00000000-0008-0000-2400-000022F14200}"/>
            </a:ext>
          </a:extLst>
        </xdr:cNvPr>
        <xdr:cNvSpPr>
          <a:spLocks noChangeShapeType="1"/>
        </xdr:cNvSpPr>
      </xdr:nvSpPr>
      <xdr:spPr bwMode="auto">
        <a:xfrm flipV="1">
          <a:off x="15068550" y="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95250</xdr:colOff>
      <xdr:row>0</xdr:row>
      <xdr:rowOff>0</xdr:rowOff>
    </xdr:to>
    <xdr:grpSp>
      <xdr:nvGrpSpPr>
        <xdr:cNvPr id="4387107" name="Group 35">
          <a:extLst>
            <a:ext uri="{FF2B5EF4-FFF2-40B4-BE49-F238E27FC236}">
              <a16:creationId xmlns="" xmlns:a16="http://schemas.microsoft.com/office/drawing/2014/main" id="{00000000-0008-0000-2400-000023F14200}"/>
            </a:ext>
          </a:extLst>
        </xdr:cNvPr>
        <xdr:cNvGrpSpPr>
          <a:grpSpLocks/>
        </xdr:cNvGrpSpPr>
      </xdr:nvGrpSpPr>
      <xdr:grpSpPr bwMode="auto">
        <a:xfrm>
          <a:off x="10991850" y="0"/>
          <a:ext cx="5657850" cy="0"/>
          <a:chOff x="630" y="359"/>
          <a:chExt cx="361" cy="60"/>
        </a:xfrm>
      </xdr:grpSpPr>
      <xdr:sp macro="" textlink="">
        <xdr:nvSpPr>
          <xdr:cNvPr id="4387278" name="Line 36">
            <a:extLst>
              <a:ext uri="{FF2B5EF4-FFF2-40B4-BE49-F238E27FC236}">
                <a16:creationId xmlns="" xmlns:a16="http://schemas.microsoft.com/office/drawing/2014/main" id="{00000000-0008-0000-2400-0000CEF1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0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7279" name="Line 37">
            <a:extLst>
              <a:ext uri="{FF2B5EF4-FFF2-40B4-BE49-F238E27FC236}">
                <a16:creationId xmlns="" xmlns:a16="http://schemas.microsoft.com/office/drawing/2014/main" id="{00000000-0008-0000-2400-0000CFF1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91" y="359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7280" name="Line 38">
            <a:extLst>
              <a:ext uri="{FF2B5EF4-FFF2-40B4-BE49-F238E27FC236}">
                <a16:creationId xmlns="" xmlns:a16="http://schemas.microsoft.com/office/drawing/2014/main" id="{00000000-0008-0000-2400-0000D0F14200}"/>
              </a:ext>
            </a:extLst>
          </xdr:cNvPr>
          <xdr:cNvSpPr>
            <a:spLocks noChangeShapeType="1"/>
          </xdr:cNvSpPr>
        </xdr:nvSpPr>
        <xdr:spPr bwMode="auto">
          <a:xfrm>
            <a:off x="630" y="381"/>
            <a:ext cx="36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7</xdr:col>
      <xdr:colOff>590550</xdr:colOff>
      <xdr:row>0</xdr:row>
      <xdr:rowOff>0</xdr:rowOff>
    </xdr:to>
    <xdr:sp macro="" textlink="">
      <xdr:nvSpPr>
        <xdr:cNvPr id="4387108" name="Line 39">
          <a:extLst>
            <a:ext uri="{FF2B5EF4-FFF2-40B4-BE49-F238E27FC236}">
              <a16:creationId xmlns="" xmlns:a16="http://schemas.microsoft.com/office/drawing/2014/main" id="{00000000-0008-0000-2400-000024F14200}"/>
            </a:ext>
          </a:extLst>
        </xdr:cNvPr>
        <xdr:cNvSpPr>
          <a:spLocks noChangeShapeType="1"/>
        </xdr:cNvSpPr>
      </xdr:nvSpPr>
      <xdr:spPr bwMode="auto">
        <a:xfrm>
          <a:off x="109632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10</xdr:col>
      <xdr:colOff>47625</xdr:colOff>
      <xdr:row>0</xdr:row>
      <xdr:rowOff>0</xdr:rowOff>
    </xdr:to>
    <xdr:sp macro="" textlink="">
      <xdr:nvSpPr>
        <xdr:cNvPr id="4387109" name="Line 40">
          <a:extLst>
            <a:ext uri="{FF2B5EF4-FFF2-40B4-BE49-F238E27FC236}">
              <a16:creationId xmlns="" xmlns:a16="http://schemas.microsoft.com/office/drawing/2014/main" id="{00000000-0008-0000-2400-000025F14200}"/>
            </a:ext>
          </a:extLst>
        </xdr:cNvPr>
        <xdr:cNvSpPr>
          <a:spLocks noChangeShapeType="1"/>
        </xdr:cNvSpPr>
      </xdr:nvSpPr>
      <xdr:spPr bwMode="auto">
        <a:xfrm flipV="1">
          <a:off x="10506075" y="0"/>
          <a:ext cx="1581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10</xdr:col>
      <xdr:colOff>914400</xdr:colOff>
      <xdr:row>0</xdr:row>
      <xdr:rowOff>0</xdr:rowOff>
    </xdr:to>
    <xdr:sp macro="" textlink="">
      <xdr:nvSpPr>
        <xdr:cNvPr id="4387110" name="Line 41">
          <a:extLst>
            <a:ext uri="{FF2B5EF4-FFF2-40B4-BE49-F238E27FC236}">
              <a16:creationId xmlns="" xmlns:a16="http://schemas.microsoft.com/office/drawing/2014/main" id="{00000000-0008-0000-2400-000026F14200}"/>
            </a:ext>
          </a:extLst>
        </xdr:cNvPr>
        <xdr:cNvSpPr>
          <a:spLocks noChangeShapeType="1"/>
        </xdr:cNvSpPr>
      </xdr:nvSpPr>
      <xdr:spPr bwMode="auto">
        <a:xfrm>
          <a:off x="10963275" y="0"/>
          <a:ext cx="1733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28575</xdr:colOff>
      <xdr:row>0</xdr:row>
      <xdr:rowOff>0</xdr:rowOff>
    </xdr:to>
    <xdr:sp macro="" textlink="">
      <xdr:nvSpPr>
        <xdr:cNvPr id="4387111" name="Line 42">
          <a:extLst>
            <a:ext uri="{FF2B5EF4-FFF2-40B4-BE49-F238E27FC236}">
              <a16:creationId xmlns="" xmlns:a16="http://schemas.microsoft.com/office/drawing/2014/main" id="{00000000-0008-0000-2400-000027F14200}"/>
            </a:ext>
          </a:extLst>
        </xdr:cNvPr>
        <xdr:cNvSpPr>
          <a:spLocks noChangeShapeType="1"/>
        </xdr:cNvSpPr>
      </xdr:nvSpPr>
      <xdr:spPr bwMode="auto">
        <a:xfrm>
          <a:off x="10963275" y="0"/>
          <a:ext cx="2076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552450</xdr:colOff>
      <xdr:row>0</xdr:row>
      <xdr:rowOff>0</xdr:rowOff>
    </xdr:from>
    <xdr:to>
      <xdr:col>13</xdr:col>
      <xdr:colOff>400050</xdr:colOff>
      <xdr:row>0</xdr:row>
      <xdr:rowOff>0</xdr:rowOff>
    </xdr:to>
    <xdr:sp macro="" textlink="">
      <xdr:nvSpPr>
        <xdr:cNvPr id="4387112" name="Line 43">
          <a:extLst>
            <a:ext uri="{FF2B5EF4-FFF2-40B4-BE49-F238E27FC236}">
              <a16:creationId xmlns="" xmlns:a16="http://schemas.microsoft.com/office/drawing/2014/main" id="{00000000-0008-0000-2400-000028F14200}"/>
            </a:ext>
          </a:extLst>
        </xdr:cNvPr>
        <xdr:cNvSpPr>
          <a:spLocks noChangeShapeType="1"/>
        </xdr:cNvSpPr>
      </xdr:nvSpPr>
      <xdr:spPr bwMode="auto">
        <a:xfrm flipH="1">
          <a:off x="1092517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10</xdr:col>
      <xdr:colOff>57150</xdr:colOff>
      <xdr:row>0</xdr:row>
      <xdr:rowOff>0</xdr:rowOff>
    </xdr:to>
    <xdr:grpSp>
      <xdr:nvGrpSpPr>
        <xdr:cNvPr id="4387113" name="Group 44">
          <a:extLst>
            <a:ext uri="{FF2B5EF4-FFF2-40B4-BE49-F238E27FC236}">
              <a16:creationId xmlns="" xmlns:a16="http://schemas.microsoft.com/office/drawing/2014/main" id="{00000000-0008-0000-2400-000029F14200}"/>
            </a:ext>
          </a:extLst>
        </xdr:cNvPr>
        <xdr:cNvGrpSpPr>
          <a:grpSpLocks/>
        </xdr:cNvGrpSpPr>
      </xdr:nvGrpSpPr>
      <xdr:grpSpPr bwMode="auto">
        <a:xfrm>
          <a:off x="11029950" y="0"/>
          <a:ext cx="1123950" cy="0"/>
          <a:chOff x="554" y="439"/>
          <a:chExt cx="10" cy="76"/>
        </a:xfrm>
      </xdr:grpSpPr>
      <xdr:sp macro="" textlink="">
        <xdr:nvSpPr>
          <xdr:cNvPr id="4387276" name="Line 45">
            <a:extLst>
              <a:ext uri="{FF2B5EF4-FFF2-40B4-BE49-F238E27FC236}">
                <a16:creationId xmlns="" xmlns:a16="http://schemas.microsoft.com/office/drawing/2014/main" id="{00000000-0008-0000-2400-0000CCF14200}"/>
              </a:ext>
            </a:extLst>
          </xdr:cNvPr>
          <xdr:cNvSpPr>
            <a:spLocks noChangeShapeType="1"/>
          </xdr:cNvSpPr>
        </xdr:nvSpPr>
        <xdr:spPr bwMode="auto">
          <a:xfrm>
            <a:off x="558" y="439"/>
            <a:ext cx="0" cy="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7277" name="Line 46">
            <a:extLst>
              <a:ext uri="{FF2B5EF4-FFF2-40B4-BE49-F238E27FC236}">
                <a16:creationId xmlns="" xmlns:a16="http://schemas.microsoft.com/office/drawing/2014/main" id="{00000000-0008-0000-2400-0000CDF14200}"/>
              </a:ext>
            </a:extLst>
          </xdr:cNvPr>
          <xdr:cNvSpPr>
            <a:spLocks noChangeShapeType="1"/>
          </xdr:cNvSpPr>
        </xdr:nvSpPr>
        <xdr:spPr bwMode="auto">
          <a:xfrm>
            <a:off x="554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10</xdr:col>
      <xdr:colOff>628650</xdr:colOff>
      <xdr:row>0</xdr:row>
      <xdr:rowOff>0</xdr:rowOff>
    </xdr:from>
    <xdr:to>
      <xdr:col>11</xdr:col>
      <xdr:colOff>38100</xdr:colOff>
      <xdr:row>0</xdr:row>
      <xdr:rowOff>0</xdr:rowOff>
    </xdr:to>
    <xdr:grpSp>
      <xdr:nvGrpSpPr>
        <xdr:cNvPr id="4387114" name="Group 47">
          <a:extLst>
            <a:ext uri="{FF2B5EF4-FFF2-40B4-BE49-F238E27FC236}">
              <a16:creationId xmlns="" xmlns:a16="http://schemas.microsoft.com/office/drawing/2014/main" id="{00000000-0008-0000-2400-00002AF14200}"/>
            </a:ext>
          </a:extLst>
        </xdr:cNvPr>
        <xdr:cNvGrpSpPr>
          <a:grpSpLocks/>
        </xdr:cNvGrpSpPr>
      </xdr:nvGrpSpPr>
      <xdr:grpSpPr bwMode="auto">
        <a:xfrm>
          <a:off x="12725400" y="0"/>
          <a:ext cx="76200" cy="0"/>
          <a:chOff x="680" y="439"/>
          <a:chExt cx="10" cy="98"/>
        </a:xfrm>
      </xdr:grpSpPr>
      <xdr:sp macro="" textlink="">
        <xdr:nvSpPr>
          <xdr:cNvPr id="4387274" name="Line 48">
            <a:extLst>
              <a:ext uri="{FF2B5EF4-FFF2-40B4-BE49-F238E27FC236}">
                <a16:creationId xmlns="" xmlns:a16="http://schemas.microsoft.com/office/drawing/2014/main" id="{00000000-0008-0000-2400-0000CAF14200}"/>
              </a:ext>
            </a:extLst>
          </xdr:cNvPr>
          <xdr:cNvSpPr>
            <a:spLocks noChangeShapeType="1"/>
          </xdr:cNvSpPr>
        </xdr:nvSpPr>
        <xdr:spPr bwMode="auto">
          <a:xfrm>
            <a:off x="685" y="439"/>
            <a:ext cx="0" cy="9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7275" name="Line 49">
            <a:extLst>
              <a:ext uri="{FF2B5EF4-FFF2-40B4-BE49-F238E27FC236}">
                <a16:creationId xmlns="" xmlns:a16="http://schemas.microsoft.com/office/drawing/2014/main" id="{00000000-0008-0000-2400-0000CBF14200}"/>
              </a:ext>
            </a:extLst>
          </xdr:cNvPr>
          <xdr:cNvSpPr>
            <a:spLocks noChangeShapeType="1"/>
          </xdr:cNvSpPr>
        </xdr:nvSpPr>
        <xdr:spPr bwMode="auto">
          <a:xfrm>
            <a:off x="680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12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4387115" name="Group 50">
          <a:extLst>
            <a:ext uri="{FF2B5EF4-FFF2-40B4-BE49-F238E27FC236}">
              <a16:creationId xmlns="" xmlns:a16="http://schemas.microsoft.com/office/drawing/2014/main" id="{00000000-0008-0000-2400-00002BF14200}"/>
            </a:ext>
          </a:extLst>
        </xdr:cNvPr>
        <xdr:cNvGrpSpPr>
          <a:grpSpLocks/>
        </xdr:cNvGrpSpPr>
      </xdr:nvGrpSpPr>
      <xdr:grpSpPr bwMode="auto">
        <a:xfrm>
          <a:off x="13087350" y="0"/>
          <a:ext cx="142875" cy="0"/>
          <a:chOff x="759" y="438"/>
          <a:chExt cx="10" cy="121"/>
        </a:xfrm>
      </xdr:grpSpPr>
      <xdr:sp macro="" textlink="">
        <xdr:nvSpPr>
          <xdr:cNvPr id="4387272" name="Line 51">
            <a:extLst>
              <a:ext uri="{FF2B5EF4-FFF2-40B4-BE49-F238E27FC236}">
                <a16:creationId xmlns="" xmlns:a16="http://schemas.microsoft.com/office/drawing/2014/main" id="{00000000-0008-0000-2400-0000C8F14200}"/>
              </a:ext>
            </a:extLst>
          </xdr:cNvPr>
          <xdr:cNvSpPr>
            <a:spLocks noChangeShapeType="1"/>
          </xdr:cNvSpPr>
        </xdr:nvSpPr>
        <xdr:spPr bwMode="auto">
          <a:xfrm>
            <a:off x="764" y="438"/>
            <a:ext cx="0" cy="12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7273" name="Line 52">
            <a:extLst>
              <a:ext uri="{FF2B5EF4-FFF2-40B4-BE49-F238E27FC236}">
                <a16:creationId xmlns="" xmlns:a16="http://schemas.microsoft.com/office/drawing/2014/main" id="{00000000-0008-0000-2400-0000C9F14200}"/>
              </a:ext>
            </a:extLst>
          </xdr:cNvPr>
          <xdr:cNvSpPr>
            <a:spLocks noChangeShapeType="1"/>
          </xdr:cNvSpPr>
        </xdr:nvSpPr>
        <xdr:spPr bwMode="auto">
          <a:xfrm>
            <a:off x="759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13</xdr:col>
      <xdr:colOff>76200</xdr:colOff>
      <xdr:row>0</xdr:row>
      <xdr:rowOff>0</xdr:rowOff>
    </xdr:from>
    <xdr:to>
      <xdr:col>13</xdr:col>
      <xdr:colOff>676275</xdr:colOff>
      <xdr:row>0</xdr:row>
      <xdr:rowOff>0</xdr:rowOff>
    </xdr:to>
    <xdr:grpSp>
      <xdr:nvGrpSpPr>
        <xdr:cNvPr id="4387116" name="Group 53">
          <a:extLst>
            <a:ext uri="{FF2B5EF4-FFF2-40B4-BE49-F238E27FC236}">
              <a16:creationId xmlns="" xmlns:a16="http://schemas.microsoft.com/office/drawing/2014/main" id="{00000000-0008-0000-2400-00002CF14200}"/>
            </a:ext>
          </a:extLst>
        </xdr:cNvPr>
        <xdr:cNvGrpSpPr>
          <a:grpSpLocks/>
        </xdr:cNvGrpSpPr>
      </xdr:nvGrpSpPr>
      <xdr:grpSpPr bwMode="auto">
        <a:xfrm>
          <a:off x="13411200" y="0"/>
          <a:ext cx="600075" cy="0"/>
          <a:chOff x="842" y="438"/>
          <a:chExt cx="10" cy="147"/>
        </a:xfrm>
      </xdr:grpSpPr>
      <xdr:sp macro="" textlink="">
        <xdr:nvSpPr>
          <xdr:cNvPr id="4387270" name="Line 54">
            <a:extLst>
              <a:ext uri="{FF2B5EF4-FFF2-40B4-BE49-F238E27FC236}">
                <a16:creationId xmlns="" xmlns:a16="http://schemas.microsoft.com/office/drawing/2014/main" id="{00000000-0008-0000-2400-0000C6F142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7271" name="Line 55">
            <a:extLst>
              <a:ext uri="{FF2B5EF4-FFF2-40B4-BE49-F238E27FC236}">
                <a16:creationId xmlns="" xmlns:a16="http://schemas.microsoft.com/office/drawing/2014/main" id="{00000000-0008-0000-2400-0000C7F142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590550</xdr:colOff>
      <xdr:row>0</xdr:row>
      <xdr:rowOff>0</xdr:rowOff>
    </xdr:from>
    <xdr:to>
      <xdr:col>16</xdr:col>
      <xdr:colOff>76200</xdr:colOff>
      <xdr:row>0</xdr:row>
      <xdr:rowOff>0</xdr:rowOff>
    </xdr:to>
    <xdr:sp macro="" textlink="">
      <xdr:nvSpPr>
        <xdr:cNvPr id="4387117" name="Rectangle 56">
          <a:extLst>
            <a:ext uri="{FF2B5EF4-FFF2-40B4-BE49-F238E27FC236}">
              <a16:creationId xmlns="" xmlns:a16="http://schemas.microsoft.com/office/drawing/2014/main" id="{00000000-0008-0000-2400-00002DF14200}"/>
            </a:ext>
          </a:extLst>
        </xdr:cNvPr>
        <xdr:cNvSpPr>
          <a:spLocks noChangeArrowheads="1"/>
        </xdr:cNvSpPr>
      </xdr:nvSpPr>
      <xdr:spPr bwMode="auto">
        <a:xfrm>
          <a:off x="10963275" y="0"/>
          <a:ext cx="55721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0</xdr:colOff>
      <xdr:row>0</xdr:row>
      <xdr:rowOff>0</xdr:rowOff>
    </xdr:from>
    <xdr:to>
      <xdr:col>16</xdr:col>
      <xdr:colOff>0</xdr:colOff>
      <xdr:row>0</xdr:row>
      <xdr:rowOff>0</xdr:rowOff>
    </xdr:to>
    <xdr:sp macro="" textlink="">
      <xdr:nvSpPr>
        <xdr:cNvPr id="4387118" name="Line 57">
          <a:extLst>
            <a:ext uri="{FF2B5EF4-FFF2-40B4-BE49-F238E27FC236}">
              <a16:creationId xmlns="" xmlns:a16="http://schemas.microsoft.com/office/drawing/2014/main" id="{00000000-0008-0000-2400-00002EF14200}"/>
            </a:ext>
          </a:extLst>
        </xdr:cNvPr>
        <xdr:cNvSpPr>
          <a:spLocks noChangeShapeType="1"/>
        </xdr:cNvSpPr>
      </xdr:nvSpPr>
      <xdr:spPr bwMode="auto">
        <a:xfrm>
          <a:off x="164592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638175</xdr:colOff>
      <xdr:row>0</xdr:row>
      <xdr:rowOff>0</xdr:rowOff>
    </xdr:from>
    <xdr:to>
      <xdr:col>16</xdr:col>
      <xdr:colOff>47625</xdr:colOff>
      <xdr:row>0</xdr:row>
      <xdr:rowOff>0</xdr:rowOff>
    </xdr:to>
    <xdr:sp macro="" textlink="">
      <xdr:nvSpPr>
        <xdr:cNvPr id="4387119" name="Line 58">
          <a:extLst>
            <a:ext uri="{FF2B5EF4-FFF2-40B4-BE49-F238E27FC236}">
              <a16:creationId xmlns="" xmlns:a16="http://schemas.microsoft.com/office/drawing/2014/main" id="{00000000-0008-0000-2400-00002FF14200}"/>
            </a:ext>
          </a:extLst>
        </xdr:cNvPr>
        <xdr:cNvSpPr>
          <a:spLocks noChangeShapeType="1"/>
        </xdr:cNvSpPr>
      </xdr:nvSpPr>
      <xdr:spPr bwMode="auto">
        <a:xfrm>
          <a:off x="16011525" y="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15</xdr:col>
      <xdr:colOff>1181100</xdr:colOff>
      <xdr:row>0</xdr:row>
      <xdr:rowOff>0</xdr:rowOff>
    </xdr:to>
    <xdr:sp macro="" textlink="">
      <xdr:nvSpPr>
        <xdr:cNvPr id="4387120" name="Line 59">
          <a:extLst>
            <a:ext uri="{FF2B5EF4-FFF2-40B4-BE49-F238E27FC236}">
              <a16:creationId xmlns="" xmlns:a16="http://schemas.microsoft.com/office/drawing/2014/main" id="{00000000-0008-0000-2400-000030F14200}"/>
            </a:ext>
          </a:extLst>
        </xdr:cNvPr>
        <xdr:cNvSpPr>
          <a:spLocks noChangeShapeType="1"/>
        </xdr:cNvSpPr>
      </xdr:nvSpPr>
      <xdr:spPr bwMode="auto">
        <a:xfrm flipV="1">
          <a:off x="10991850" y="0"/>
          <a:ext cx="546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666750</xdr:colOff>
      <xdr:row>0</xdr:row>
      <xdr:rowOff>0</xdr:rowOff>
    </xdr:from>
    <xdr:to>
      <xdr:col>14</xdr:col>
      <xdr:colOff>838200</xdr:colOff>
      <xdr:row>0</xdr:row>
      <xdr:rowOff>0</xdr:rowOff>
    </xdr:to>
    <xdr:grpSp>
      <xdr:nvGrpSpPr>
        <xdr:cNvPr id="4387121" name="Group 60">
          <a:extLst>
            <a:ext uri="{FF2B5EF4-FFF2-40B4-BE49-F238E27FC236}">
              <a16:creationId xmlns="" xmlns:a16="http://schemas.microsoft.com/office/drawing/2014/main" id="{00000000-0008-0000-2400-000031F14200}"/>
            </a:ext>
          </a:extLst>
        </xdr:cNvPr>
        <xdr:cNvGrpSpPr>
          <a:grpSpLocks/>
        </xdr:cNvGrpSpPr>
      </xdr:nvGrpSpPr>
      <xdr:grpSpPr bwMode="auto">
        <a:xfrm>
          <a:off x="15201900" y="0"/>
          <a:ext cx="171450" cy="0"/>
          <a:chOff x="912" y="438"/>
          <a:chExt cx="11" cy="175"/>
        </a:xfrm>
      </xdr:grpSpPr>
      <xdr:sp macro="" textlink="">
        <xdr:nvSpPr>
          <xdr:cNvPr id="4387268" name="Line 61">
            <a:extLst>
              <a:ext uri="{FF2B5EF4-FFF2-40B4-BE49-F238E27FC236}">
                <a16:creationId xmlns="" xmlns:a16="http://schemas.microsoft.com/office/drawing/2014/main" id="{00000000-0008-0000-2400-0000C4F14200}"/>
              </a:ext>
            </a:extLst>
          </xdr:cNvPr>
          <xdr:cNvSpPr>
            <a:spLocks noChangeShapeType="1"/>
          </xdr:cNvSpPr>
        </xdr:nvSpPr>
        <xdr:spPr bwMode="auto">
          <a:xfrm>
            <a:off x="918" y="438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7269" name="Line 62">
            <a:extLst>
              <a:ext uri="{FF2B5EF4-FFF2-40B4-BE49-F238E27FC236}">
                <a16:creationId xmlns="" xmlns:a16="http://schemas.microsoft.com/office/drawing/2014/main" id="{00000000-0008-0000-2400-0000C5F14200}"/>
              </a:ext>
            </a:extLst>
          </xdr:cNvPr>
          <xdr:cNvSpPr>
            <a:spLocks noChangeShapeType="1"/>
          </xdr:cNvSpPr>
        </xdr:nvSpPr>
        <xdr:spPr bwMode="auto">
          <a:xfrm>
            <a:off x="912" y="443"/>
            <a:ext cx="1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171450</xdr:colOff>
      <xdr:row>0</xdr:row>
      <xdr:rowOff>0</xdr:rowOff>
    </xdr:from>
    <xdr:to>
      <xdr:col>4</xdr:col>
      <xdr:colOff>542925</xdr:colOff>
      <xdr:row>0</xdr:row>
      <xdr:rowOff>0</xdr:rowOff>
    </xdr:to>
    <xdr:sp macro="" textlink="">
      <xdr:nvSpPr>
        <xdr:cNvPr id="4387122" name="Line 63">
          <a:extLst>
            <a:ext uri="{FF2B5EF4-FFF2-40B4-BE49-F238E27FC236}">
              <a16:creationId xmlns="" xmlns:a16="http://schemas.microsoft.com/office/drawing/2014/main" id="{00000000-0008-0000-2400-000032F14200}"/>
            </a:ext>
          </a:extLst>
        </xdr:cNvPr>
        <xdr:cNvSpPr>
          <a:spLocks noChangeShapeType="1"/>
        </xdr:cNvSpPr>
      </xdr:nvSpPr>
      <xdr:spPr bwMode="auto">
        <a:xfrm>
          <a:off x="2800350" y="0"/>
          <a:ext cx="4514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190500</xdr:colOff>
      <xdr:row>0</xdr:row>
      <xdr:rowOff>0</xdr:rowOff>
    </xdr:from>
    <xdr:to>
      <xdr:col>4</xdr:col>
      <xdr:colOff>571500</xdr:colOff>
      <xdr:row>0</xdr:row>
      <xdr:rowOff>0</xdr:rowOff>
    </xdr:to>
    <xdr:sp macro="" textlink="">
      <xdr:nvSpPr>
        <xdr:cNvPr id="4387123" name="Line 64">
          <a:extLst>
            <a:ext uri="{FF2B5EF4-FFF2-40B4-BE49-F238E27FC236}">
              <a16:creationId xmlns="" xmlns:a16="http://schemas.microsoft.com/office/drawing/2014/main" id="{00000000-0008-0000-2400-000033F14200}"/>
            </a:ext>
          </a:extLst>
        </xdr:cNvPr>
        <xdr:cNvSpPr>
          <a:spLocks noChangeShapeType="1"/>
        </xdr:cNvSpPr>
      </xdr:nvSpPr>
      <xdr:spPr bwMode="auto">
        <a:xfrm>
          <a:off x="2819400" y="0"/>
          <a:ext cx="452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4387124" name="Line 65">
          <a:extLst>
            <a:ext uri="{FF2B5EF4-FFF2-40B4-BE49-F238E27FC236}">
              <a16:creationId xmlns="" xmlns:a16="http://schemas.microsoft.com/office/drawing/2014/main" id="{00000000-0008-0000-2400-000034F14200}"/>
            </a:ext>
          </a:extLst>
        </xdr:cNvPr>
        <xdr:cNvSpPr>
          <a:spLocks noChangeShapeType="1"/>
        </xdr:cNvSpPr>
      </xdr:nvSpPr>
      <xdr:spPr bwMode="auto">
        <a:xfrm>
          <a:off x="7305675" y="0"/>
          <a:ext cx="876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533400</xdr:colOff>
      <xdr:row>0</xdr:row>
      <xdr:rowOff>0</xdr:rowOff>
    </xdr:from>
    <xdr:to>
      <xdr:col>4</xdr:col>
      <xdr:colOff>676275</xdr:colOff>
      <xdr:row>0</xdr:row>
      <xdr:rowOff>0</xdr:rowOff>
    </xdr:to>
    <xdr:sp macro="" textlink="">
      <xdr:nvSpPr>
        <xdr:cNvPr id="4387125" name="Line 66">
          <a:extLst>
            <a:ext uri="{FF2B5EF4-FFF2-40B4-BE49-F238E27FC236}">
              <a16:creationId xmlns="" xmlns:a16="http://schemas.microsoft.com/office/drawing/2014/main" id="{00000000-0008-0000-2400-000035F14200}"/>
            </a:ext>
          </a:extLst>
        </xdr:cNvPr>
        <xdr:cNvSpPr>
          <a:spLocks noChangeShapeType="1"/>
        </xdr:cNvSpPr>
      </xdr:nvSpPr>
      <xdr:spPr bwMode="auto">
        <a:xfrm>
          <a:off x="7305675" y="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219075</xdr:colOff>
      <xdr:row>0</xdr:row>
      <xdr:rowOff>0</xdr:rowOff>
    </xdr:from>
    <xdr:to>
      <xdr:col>2</xdr:col>
      <xdr:colOff>219075</xdr:colOff>
      <xdr:row>0</xdr:row>
      <xdr:rowOff>0</xdr:rowOff>
    </xdr:to>
    <xdr:sp macro="" textlink="">
      <xdr:nvSpPr>
        <xdr:cNvPr id="4387126" name="Line 67">
          <a:extLst>
            <a:ext uri="{FF2B5EF4-FFF2-40B4-BE49-F238E27FC236}">
              <a16:creationId xmlns="" xmlns:a16="http://schemas.microsoft.com/office/drawing/2014/main" id="{00000000-0008-0000-2400-000036F14200}"/>
            </a:ext>
          </a:extLst>
        </xdr:cNvPr>
        <xdr:cNvSpPr>
          <a:spLocks noChangeShapeType="1"/>
        </xdr:cNvSpPr>
      </xdr:nvSpPr>
      <xdr:spPr bwMode="auto">
        <a:xfrm>
          <a:off x="28479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266700</xdr:colOff>
      <xdr:row>0</xdr:row>
      <xdr:rowOff>0</xdr:rowOff>
    </xdr:from>
    <xdr:to>
      <xdr:col>2</xdr:col>
      <xdr:colOff>266700</xdr:colOff>
      <xdr:row>0</xdr:row>
      <xdr:rowOff>0</xdr:rowOff>
    </xdr:to>
    <xdr:sp macro="" textlink="">
      <xdr:nvSpPr>
        <xdr:cNvPr id="4387127" name="Line 68">
          <a:extLst>
            <a:ext uri="{FF2B5EF4-FFF2-40B4-BE49-F238E27FC236}">
              <a16:creationId xmlns="" xmlns:a16="http://schemas.microsoft.com/office/drawing/2014/main" id="{00000000-0008-0000-2400-000037F14200}"/>
            </a:ext>
          </a:extLst>
        </xdr:cNvPr>
        <xdr:cNvSpPr>
          <a:spLocks noChangeShapeType="1"/>
        </xdr:cNvSpPr>
      </xdr:nvSpPr>
      <xdr:spPr bwMode="auto">
        <a:xfrm>
          <a:off x="28956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333375</xdr:colOff>
      <xdr:row>0</xdr:row>
      <xdr:rowOff>0</xdr:rowOff>
    </xdr:from>
    <xdr:to>
      <xdr:col>2</xdr:col>
      <xdr:colOff>333375</xdr:colOff>
      <xdr:row>0</xdr:row>
      <xdr:rowOff>0</xdr:rowOff>
    </xdr:to>
    <xdr:sp macro="" textlink="">
      <xdr:nvSpPr>
        <xdr:cNvPr id="4387128" name="Line 69">
          <a:extLst>
            <a:ext uri="{FF2B5EF4-FFF2-40B4-BE49-F238E27FC236}">
              <a16:creationId xmlns="" xmlns:a16="http://schemas.microsoft.com/office/drawing/2014/main" id="{00000000-0008-0000-2400-000038F14200}"/>
            </a:ext>
          </a:extLst>
        </xdr:cNvPr>
        <xdr:cNvSpPr>
          <a:spLocks noChangeShapeType="1"/>
        </xdr:cNvSpPr>
      </xdr:nvSpPr>
      <xdr:spPr bwMode="auto">
        <a:xfrm>
          <a:off x="29622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0</xdr:row>
      <xdr:rowOff>0</xdr:rowOff>
    </xdr:from>
    <xdr:to>
      <xdr:col>2</xdr:col>
      <xdr:colOff>390525</xdr:colOff>
      <xdr:row>0</xdr:row>
      <xdr:rowOff>0</xdr:rowOff>
    </xdr:to>
    <xdr:sp macro="" textlink="">
      <xdr:nvSpPr>
        <xdr:cNvPr id="4387129" name="Line 70">
          <a:extLst>
            <a:ext uri="{FF2B5EF4-FFF2-40B4-BE49-F238E27FC236}">
              <a16:creationId xmlns="" xmlns:a16="http://schemas.microsoft.com/office/drawing/2014/main" id="{00000000-0008-0000-2400-000039F14200}"/>
            </a:ext>
          </a:extLst>
        </xdr:cNvPr>
        <xdr:cNvSpPr>
          <a:spLocks noChangeShapeType="1"/>
        </xdr:cNvSpPr>
      </xdr:nvSpPr>
      <xdr:spPr bwMode="auto">
        <a:xfrm>
          <a:off x="30194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447675</xdr:colOff>
      <xdr:row>0</xdr:row>
      <xdr:rowOff>0</xdr:rowOff>
    </xdr:to>
    <xdr:sp macro="" textlink="">
      <xdr:nvSpPr>
        <xdr:cNvPr id="4387130" name="Line 71">
          <a:extLst>
            <a:ext uri="{FF2B5EF4-FFF2-40B4-BE49-F238E27FC236}">
              <a16:creationId xmlns="" xmlns:a16="http://schemas.microsoft.com/office/drawing/2014/main" id="{00000000-0008-0000-2400-00003AF142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4387131" name="Line 72">
          <a:extLst>
            <a:ext uri="{FF2B5EF4-FFF2-40B4-BE49-F238E27FC236}">
              <a16:creationId xmlns="" xmlns:a16="http://schemas.microsoft.com/office/drawing/2014/main" id="{00000000-0008-0000-2400-00003BF1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0</xdr:row>
      <xdr:rowOff>0</xdr:rowOff>
    </xdr:from>
    <xdr:to>
      <xdr:col>2</xdr:col>
      <xdr:colOff>314325</xdr:colOff>
      <xdr:row>0</xdr:row>
      <xdr:rowOff>0</xdr:rowOff>
    </xdr:to>
    <xdr:sp macro="" textlink="">
      <xdr:nvSpPr>
        <xdr:cNvPr id="4387132" name="Line 73">
          <a:extLst>
            <a:ext uri="{FF2B5EF4-FFF2-40B4-BE49-F238E27FC236}">
              <a16:creationId xmlns="" xmlns:a16="http://schemas.microsoft.com/office/drawing/2014/main" id="{00000000-0008-0000-2400-00003CF14200}"/>
            </a:ext>
          </a:extLst>
        </xdr:cNvPr>
        <xdr:cNvSpPr>
          <a:spLocks noChangeShapeType="1"/>
        </xdr:cNvSpPr>
      </xdr:nvSpPr>
      <xdr:spPr bwMode="auto">
        <a:xfrm>
          <a:off x="2790825" y="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657225</xdr:colOff>
      <xdr:row>0</xdr:row>
      <xdr:rowOff>0</xdr:rowOff>
    </xdr:from>
    <xdr:to>
      <xdr:col>1</xdr:col>
      <xdr:colOff>304800</xdr:colOff>
      <xdr:row>0</xdr:row>
      <xdr:rowOff>0</xdr:rowOff>
    </xdr:to>
    <xdr:sp macro="" textlink="">
      <xdr:nvSpPr>
        <xdr:cNvPr id="4387133" name="Line 74">
          <a:extLst>
            <a:ext uri="{FF2B5EF4-FFF2-40B4-BE49-F238E27FC236}">
              <a16:creationId xmlns="" xmlns:a16="http://schemas.microsoft.com/office/drawing/2014/main" id="{00000000-0008-0000-2400-00003DF14200}"/>
            </a:ext>
          </a:extLst>
        </xdr:cNvPr>
        <xdr:cNvSpPr>
          <a:spLocks noChangeShapeType="1"/>
        </xdr:cNvSpPr>
      </xdr:nvSpPr>
      <xdr:spPr bwMode="auto">
        <a:xfrm>
          <a:off x="26289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266700</xdr:colOff>
      <xdr:row>0</xdr:row>
      <xdr:rowOff>0</xdr:rowOff>
    </xdr:from>
    <xdr:to>
      <xdr:col>11</xdr:col>
      <xdr:colOff>352425</xdr:colOff>
      <xdr:row>0</xdr:row>
      <xdr:rowOff>0</xdr:rowOff>
    </xdr:to>
    <xdr:sp macro="" textlink="">
      <xdr:nvSpPr>
        <xdr:cNvPr id="4387134" name="Text Box 75">
          <a:extLst>
            <a:ext uri="{FF2B5EF4-FFF2-40B4-BE49-F238E27FC236}">
              <a16:creationId xmlns="" xmlns:a16="http://schemas.microsoft.com/office/drawing/2014/main" id="{00000000-0008-0000-2400-00003EF14200}"/>
            </a:ext>
          </a:extLst>
        </xdr:cNvPr>
        <xdr:cNvSpPr txBox="1">
          <a:spLocks noChangeArrowheads="1"/>
        </xdr:cNvSpPr>
      </xdr:nvSpPr>
      <xdr:spPr bwMode="auto">
        <a:xfrm>
          <a:off x="12306300" y="0"/>
          <a:ext cx="7048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209550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4387135" name="Line 76">
          <a:extLst>
            <a:ext uri="{FF2B5EF4-FFF2-40B4-BE49-F238E27FC236}">
              <a16:creationId xmlns="" xmlns:a16="http://schemas.microsoft.com/office/drawing/2014/main" id="{00000000-0008-0000-2400-00003FF14200}"/>
            </a:ext>
          </a:extLst>
        </xdr:cNvPr>
        <xdr:cNvSpPr>
          <a:spLocks noChangeShapeType="1"/>
        </xdr:cNvSpPr>
      </xdr:nvSpPr>
      <xdr:spPr bwMode="auto">
        <a:xfrm flipV="1">
          <a:off x="83915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819150</xdr:colOff>
      <xdr:row>0</xdr:row>
      <xdr:rowOff>0</xdr:rowOff>
    </xdr:to>
    <xdr:sp macro="" textlink="">
      <xdr:nvSpPr>
        <xdr:cNvPr id="4387136" name="Line 77">
          <a:extLst>
            <a:ext uri="{FF2B5EF4-FFF2-40B4-BE49-F238E27FC236}">
              <a16:creationId xmlns="" xmlns:a16="http://schemas.microsoft.com/office/drawing/2014/main" id="{00000000-0008-0000-2400-000040F14200}"/>
            </a:ext>
          </a:extLst>
        </xdr:cNvPr>
        <xdr:cNvSpPr>
          <a:spLocks noChangeShapeType="1"/>
        </xdr:cNvSpPr>
      </xdr:nvSpPr>
      <xdr:spPr bwMode="auto">
        <a:xfrm>
          <a:off x="8677275" y="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114300</xdr:colOff>
      <xdr:row>0</xdr:row>
      <xdr:rowOff>0</xdr:rowOff>
    </xdr:from>
    <xdr:to>
      <xdr:col>5</xdr:col>
      <xdr:colOff>323850</xdr:colOff>
      <xdr:row>0</xdr:row>
      <xdr:rowOff>0</xdr:rowOff>
    </xdr:to>
    <xdr:sp macro="" textlink="">
      <xdr:nvSpPr>
        <xdr:cNvPr id="4387137" name="Line 78">
          <a:extLst>
            <a:ext uri="{FF2B5EF4-FFF2-40B4-BE49-F238E27FC236}">
              <a16:creationId xmlns="" xmlns:a16="http://schemas.microsoft.com/office/drawing/2014/main" id="{00000000-0008-0000-2400-000041F14200}"/>
            </a:ext>
          </a:extLst>
        </xdr:cNvPr>
        <xdr:cNvSpPr>
          <a:spLocks noChangeShapeType="1"/>
        </xdr:cNvSpPr>
      </xdr:nvSpPr>
      <xdr:spPr bwMode="auto">
        <a:xfrm>
          <a:off x="8296275" y="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7138" name="Rectangle 79">
          <a:extLst>
            <a:ext uri="{FF2B5EF4-FFF2-40B4-BE49-F238E27FC236}">
              <a16:creationId xmlns="" xmlns:a16="http://schemas.microsoft.com/office/drawing/2014/main" id="{00000000-0008-0000-2400-000042F14200}"/>
            </a:ext>
          </a:extLst>
        </xdr:cNvPr>
        <xdr:cNvSpPr>
          <a:spLocks noChangeArrowheads="1"/>
        </xdr:cNvSpPr>
      </xdr:nvSpPr>
      <xdr:spPr bwMode="auto">
        <a:xfrm>
          <a:off x="17697450" y="0"/>
          <a:ext cx="325755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87139" name="Line 80">
          <a:extLst>
            <a:ext uri="{FF2B5EF4-FFF2-40B4-BE49-F238E27FC236}">
              <a16:creationId xmlns="" xmlns:a16="http://schemas.microsoft.com/office/drawing/2014/main" id="{00000000-0008-0000-2400-000043F14200}"/>
            </a:ext>
          </a:extLst>
        </xdr:cNvPr>
        <xdr:cNvSpPr>
          <a:spLocks noChangeShapeType="1"/>
        </xdr:cNvSpPr>
      </xdr:nvSpPr>
      <xdr:spPr bwMode="auto">
        <a:xfrm flipV="1">
          <a:off x="17849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7140" name="Line 81">
          <a:extLst>
            <a:ext uri="{FF2B5EF4-FFF2-40B4-BE49-F238E27FC236}">
              <a16:creationId xmlns="" xmlns:a16="http://schemas.microsoft.com/office/drawing/2014/main" id="{00000000-0008-0000-2400-000044F14200}"/>
            </a:ext>
          </a:extLst>
        </xdr:cNvPr>
        <xdr:cNvSpPr>
          <a:spLocks noChangeShapeType="1"/>
        </xdr:cNvSpPr>
      </xdr:nvSpPr>
      <xdr:spPr bwMode="auto">
        <a:xfrm flipV="1">
          <a:off x="20955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0</xdr:row>
      <xdr:rowOff>0</xdr:rowOff>
    </xdr:to>
    <xdr:sp macro="" textlink="">
      <xdr:nvSpPr>
        <xdr:cNvPr id="4387141" name="Line 82">
          <a:extLst>
            <a:ext uri="{FF2B5EF4-FFF2-40B4-BE49-F238E27FC236}">
              <a16:creationId xmlns="" xmlns:a16="http://schemas.microsoft.com/office/drawing/2014/main" id="{00000000-0008-0000-2400-000045F14200}"/>
            </a:ext>
          </a:extLst>
        </xdr:cNvPr>
        <xdr:cNvSpPr>
          <a:spLocks noChangeShapeType="1"/>
        </xdr:cNvSpPr>
      </xdr:nvSpPr>
      <xdr:spPr bwMode="auto">
        <a:xfrm flipV="1">
          <a:off x="17849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7142" name="Line 83">
          <a:extLst>
            <a:ext uri="{FF2B5EF4-FFF2-40B4-BE49-F238E27FC236}">
              <a16:creationId xmlns="" xmlns:a16="http://schemas.microsoft.com/office/drawing/2014/main" id="{00000000-0008-0000-2400-000046F14200}"/>
            </a:ext>
          </a:extLst>
        </xdr:cNvPr>
        <xdr:cNvSpPr>
          <a:spLocks noChangeShapeType="1"/>
        </xdr:cNvSpPr>
      </xdr:nvSpPr>
      <xdr:spPr bwMode="auto">
        <a:xfrm flipV="1">
          <a:off x="20955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19050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7143" name="Line 84">
          <a:extLst>
            <a:ext uri="{FF2B5EF4-FFF2-40B4-BE49-F238E27FC236}">
              <a16:creationId xmlns="" xmlns:a16="http://schemas.microsoft.com/office/drawing/2014/main" id="{00000000-0008-0000-2400-000047F14200}"/>
            </a:ext>
          </a:extLst>
        </xdr:cNvPr>
        <xdr:cNvSpPr>
          <a:spLocks noChangeShapeType="1"/>
        </xdr:cNvSpPr>
      </xdr:nvSpPr>
      <xdr:spPr bwMode="auto">
        <a:xfrm>
          <a:off x="17868900" y="0"/>
          <a:ext cx="3086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609600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7144" name="Line 85">
          <a:extLst>
            <a:ext uri="{FF2B5EF4-FFF2-40B4-BE49-F238E27FC236}">
              <a16:creationId xmlns="" xmlns:a16="http://schemas.microsoft.com/office/drawing/2014/main" id="{00000000-0008-0000-2400-000048F14200}"/>
            </a:ext>
          </a:extLst>
        </xdr:cNvPr>
        <xdr:cNvSpPr>
          <a:spLocks noChangeShapeType="1"/>
        </xdr:cNvSpPr>
      </xdr:nvSpPr>
      <xdr:spPr bwMode="auto">
        <a:xfrm>
          <a:off x="17716500" y="0"/>
          <a:ext cx="3238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17</xdr:col>
      <xdr:colOff>628650</xdr:colOff>
      <xdr:row>0</xdr:row>
      <xdr:rowOff>0</xdr:rowOff>
    </xdr:from>
    <xdr:to>
      <xdr:col>17</xdr:col>
      <xdr:colOff>628650</xdr:colOff>
      <xdr:row>0</xdr:row>
      <xdr:rowOff>0</xdr:rowOff>
    </xdr:to>
    <xdr:sp macro="" textlink="">
      <xdr:nvSpPr>
        <xdr:cNvPr id="4387145" name="Line 86">
          <a:extLst>
            <a:ext uri="{FF2B5EF4-FFF2-40B4-BE49-F238E27FC236}">
              <a16:creationId xmlns="" xmlns:a16="http://schemas.microsoft.com/office/drawing/2014/main" id="{00000000-0008-0000-2400-000049F14200}"/>
            </a:ext>
          </a:extLst>
        </xdr:cNvPr>
        <xdr:cNvSpPr>
          <a:spLocks noChangeShapeType="1"/>
        </xdr:cNvSpPr>
      </xdr:nvSpPr>
      <xdr:spPr bwMode="auto">
        <a:xfrm flipV="1">
          <a:off x="177355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7146" name="Line 87">
          <a:extLst>
            <a:ext uri="{FF2B5EF4-FFF2-40B4-BE49-F238E27FC236}">
              <a16:creationId xmlns="" xmlns:a16="http://schemas.microsoft.com/office/drawing/2014/main" id="{00000000-0008-0000-2400-00004AF14200}"/>
            </a:ext>
          </a:extLst>
        </xdr:cNvPr>
        <xdr:cNvSpPr>
          <a:spLocks noChangeShapeType="1"/>
        </xdr:cNvSpPr>
      </xdr:nvSpPr>
      <xdr:spPr bwMode="auto">
        <a:xfrm flipV="1">
          <a:off x="20955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38100</xdr:colOff>
      <xdr:row>0</xdr:row>
      <xdr:rowOff>0</xdr:rowOff>
    </xdr:to>
    <xdr:sp macro="" textlink="">
      <xdr:nvSpPr>
        <xdr:cNvPr id="4387147" name="Rectangle 88">
          <a:extLst>
            <a:ext uri="{FF2B5EF4-FFF2-40B4-BE49-F238E27FC236}">
              <a16:creationId xmlns="" xmlns:a16="http://schemas.microsoft.com/office/drawing/2014/main" id="{00000000-0008-0000-2400-00004BF14200}"/>
            </a:ext>
          </a:extLst>
        </xdr:cNvPr>
        <xdr:cNvSpPr>
          <a:spLocks noChangeArrowheads="1"/>
        </xdr:cNvSpPr>
      </xdr:nvSpPr>
      <xdr:spPr bwMode="auto">
        <a:xfrm>
          <a:off x="20955000" y="0"/>
          <a:ext cx="14097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4387148" name="Line 89">
          <a:extLst>
            <a:ext uri="{FF2B5EF4-FFF2-40B4-BE49-F238E27FC236}">
              <a16:creationId xmlns="" xmlns:a16="http://schemas.microsoft.com/office/drawing/2014/main" id="{00000000-0008-0000-2400-00004CF14200}"/>
            </a:ext>
          </a:extLst>
        </xdr:cNvPr>
        <xdr:cNvSpPr>
          <a:spLocks noChangeShapeType="1"/>
        </xdr:cNvSpPr>
      </xdr:nvSpPr>
      <xdr:spPr bwMode="auto">
        <a:xfrm flipV="1">
          <a:off x="209550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0</xdr:colOff>
      <xdr:row>0</xdr:row>
      <xdr:rowOff>0</xdr:rowOff>
    </xdr:to>
    <xdr:sp macro="" textlink="">
      <xdr:nvSpPr>
        <xdr:cNvPr id="4387149" name="Line 90">
          <a:extLst>
            <a:ext uri="{FF2B5EF4-FFF2-40B4-BE49-F238E27FC236}">
              <a16:creationId xmlns="" xmlns:a16="http://schemas.microsoft.com/office/drawing/2014/main" id="{00000000-0008-0000-2400-00004DF14200}"/>
            </a:ext>
          </a:extLst>
        </xdr:cNvPr>
        <xdr:cNvSpPr>
          <a:spLocks noChangeShapeType="1"/>
        </xdr:cNvSpPr>
      </xdr:nvSpPr>
      <xdr:spPr bwMode="auto">
        <a:xfrm>
          <a:off x="20955000" y="0"/>
          <a:ext cx="1371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24</xdr:col>
      <xdr:colOff>19050</xdr:colOff>
      <xdr:row>0</xdr:row>
      <xdr:rowOff>0</xdr:rowOff>
    </xdr:from>
    <xdr:to>
      <xdr:col>24</xdr:col>
      <xdr:colOff>19050</xdr:colOff>
      <xdr:row>0</xdr:row>
      <xdr:rowOff>0</xdr:rowOff>
    </xdr:to>
    <xdr:sp macro="" textlink="">
      <xdr:nvSpPr>
        <xdr:cNvPr id="4387150" name="Line 91">
          <a:extLst>
            <a:ext uri="{FF2B5EF4-FFF2-40B4-BE49-F238E27FC236}">
              <a16:creationId xmlns="" xmlns:a16="http://schemas.microsoft.com/office/drawing/2014/main" id="{00000000-0008-0000-2400-00004EF14200}"/>
            </a:ext>
          </a:extLst>
        </xdr:cNvPr>
        <xdr:cNvSpPr>
          <a:spLocks noChangeShapeType="1"/>
        </xdr:cNvSpPr>
      </xdr:nvSpPr>
      <xdr:spPr bwMode="auto">
        <a:xfrm>
          <a:off x="223456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400050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87151" name="Line 92">
          <a:extLst>
            <a:ext uri="{FF2B5EF4-FFF2-40B4-BE49-F238E27FC236}">
              <a16:creationId xmlns="" xmlns:a16="http://schemas.microsoft.com/office/drawing/2014/main" id="{00000000-0008-0000-2400-00004FF14200}"/>
            </a:ext>
          </a:extLst>
        </xdr:cNvPr>
        <xdr:cNvSpPr>
          <a:spLocks noChangeShapeType="1"/>
        </xdr:cNvSpPr>
      </xdr:nvSpPr>
      <xdr:spPr bwMode="auto">
        <a:xfrm flipH="1" flipV="1">
          <a:off x="14849475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647700</xdr:colOff>
      <xdr:row>0</xdr:row>
      <xdr:rowOff>0</xdr:rowOff>
    </xdr:from>
    <xdr:to>
      <xdr:col>14</xdr:col>
      <xdr:colOff>781050</xdr:colOff>
      <xdr:row>0</xdr:row>
      <xdr:rowOff>0</xdr:rowOff>
    </xdr:to>
    <xdr:sp macro="" textlink="">
      <xdr:nvSpPr>
        <xdr:cNvPr id="4387152" name="Line 93">
          <a:extLst>
            <a:ext uri="{FF2B5EF4-FFF2-40B4-BE49-F238E27FC236}">
              <a16:creationId xmlns="" xmlns:a16="http://schemas.microsoft.com/office/drawing/2014/main" id="{00000000-0008-0000-2400-000050F14200}"/>
            </a:ext>
          </a:extLst>
        </xdr:cNvPr>
        <xdr:cNvSpPr>
          <a:spLocks noChangeShapeType="1"/>
        </xdr:cNvSpPr>
      </xdr:nvSpPr>
      <xdr:spPr bwMode="auto">
        <a:xfrm flipH="1">
          <a:off x="10991850" y="0"/>
          <a:ext cx="4238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0</xdr:row>
      <xdr:rowOff>0</xdr:rowOff>
    </xdr:from>
    <xdr:to>
      <xdr:col>4</xdr:col>
      <xdr:colOff>704850</xdr:colOff>
      <xdr:row>0</xdr:row>
      <xdr:rowOff>0</xdr:rowOff>
    </xdr:to>
    <xdr:sp macro="" textlink="">
      <xdr:nvSpPr>
        <xdr:cNvPr id="4387153" name="Line 94">
          <a:extLst>
            <a:ext uri="{FF2B5EF4-FFF2-40B4-BE49-F238E27FC236}">
              <a16:creationId xmlns="" xmlns:a16="http://schemas.microsoft.com/office/drawing/2014/main" id="{00000000-0008-0000-2400-000051F14200}"/>
            </a:ext>
          </a:extLst>
        </xdr:cNvPr>
        <xdr:cNvSpPr>
          <a:spLocks noChangeShapeType="1"/>
        </xdr:cNvSpPr>
      </xdr:nvSpPr>
      <xdr:spPr bwMode="auto">
        <a:xfrm>
          <a:off x="2781300" y="0"/>
          <a:ext cx="4695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87154" name="Line 95">
          <a:extLst>
            <a:ext uri="{FF2B5EF4-FFF2-40B4-BE49-F238E27FC236}">
              <a16:creationId xmlns="" xmlns:a16="http://schemas.microsoft.com/office/drawing/2014/main" id="{00000000-0008-0000-2400-000052F14200}"/>
            </a:ext>
          </a:extLst>
        </xdr:cNvPr>
        <xdr:cNvSpPr>
          <a:spLocks noChangeShapeType="1"/>
        </xdr:cNvSpPr>
      </xdr:nvSpPr>
      <xdr:spPr bwMode="auto">
        <a:xfrm>
          <a:off x="127920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247650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7155" name="Line 96">
          <a:extLst>
            <a:ext uri="{FF2B5EF4-FFF2-40B4-BE49-F238E27FC236}">
              <a16:creationId xmlns="" xmlns:a16="http://schemas.microsoft.com/office/drawing/2014/main" id="{00000000-0008-0000-2400-000053F14200}"/>
            </a:ext>
          </a:extLst>
        </xdr:cNvPr>
        <xdr:cNvSpPr>
          <a:spLocks noChangeShapeType="1"/>
        </xdr:cNvSpPr>
      </xdr:nvSpPr>
      <xdr:spPr bwMode="auto">
        <a:xfrm>
          <a:off x="132588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1047750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7156" name="Line 97">
          <a:extLst>
            <a:ext uri="{FF2B5EF4-FFF2-40B4-BE49-F238E27FC236}">
              <a16:creationId xmlns="" xmlns:a16="http://schemas.microsoft.com/office/drawing/2014/main" id="{00000000-0008-0000-2400-000054F14200}"/>
            </a:ext>
          </a:extLst>
        </xdr:cNvPr>
        <xdr:cNvSpPr>
          <a:spLocks noChangeShapeType="1"/>
        </xdr:cNvSpPr>
      </xdr:nvSpPr>
      <xdr:spPr bwMode="auto">
        <a:xfrm>
          <a:off x="132588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571500</xdr:colOff>
      <xdr:row>0</xdr:row>
      <xdr:rowOff>0</xdr:rowOff>
    </xdr:from>
    <xdr:to>
      <xdr:col>13</xdr:col>
      <xdr:colOff>571500</xdr:colOff>
      <xdr:row>0</xdr:row>
      <xdr:rowOff>0</xdr:rowOff>
    </xdr:to>
    <xdr:sp macro="" textlink="">
      <xdr:nvSpPr>
        <xdr:cNvPr id="4387157" name="Line 98">
          <a:extLst>
            <a:ext uri="{FF2B5EF4-FFF2-40B4-BE49-F238E27FC236}">
              <a16:creationId xmlns="" xmlns:a16="http://schemas.microsoft.com/office/drawing/2014/main" id="{00000000-0008-0000-2400-000055F14200}"/>
            </a:ext>
          </a:extLst>
        </xdr:cNvPr>
        <xdr:cNvSpPr>
          <a:spLocks noChangeShapeType="1"/>
        </xdr:cNvSpPr>
      </xdr:nvSpPr>
      <xdr:spPr bwMode="auto">
        <a:xfrm>
          <a:off x="138303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14</xdr:col>
      <xdr:colOff>457200</xdr:colOff>
      <xdr:row>0</xdr:row>
      <xdr:rowOff>0</xdr:rowOff>
    </xdr:to>
    <xdr:sp macro="" textlink="">
      <xdr:nvSpPr>
        <xdr:cNvPr id="4387158" name="Line 99">
          <a:extLst>
            <a:ext uri="{FF2B5EF4-FFF2-40B4-BE49-F238E27FC236}">
              <a16:creationId xmlns="" xmlns:a16="http://schemas.microsoft.com/office/drawing/2014/main" id="{00000000-0008-0000-2400-000056F14200}"/>
            </a:ext>
          </a:extLst>
        </xdr:cNvPr>
        <xdr:cNvSpPr>
          <a:spLocks noChangeShapeType="1"/>
        </xdr:cNvSpPr>
      </xdr:nvSpPr>
      <xdr:spPr bwMode="auto">
        <a:xfrm>
          <a:off x="149066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323850</xdr:colOff>
      <xdr:row>0</xdr:row>
      <xdr:rowOff>0</xdr:rowOff>
    </xdr:from>
    <xdr:to>
      <xdr:col>11</xdr:col>
      <xdr:colOff>95250</xdr:colOff>
      <xdr:row>0</xdr:row>
      <xdr:rowOff>0</xdr:rowOff>
    </xdr:to>
    <xdr:sp macro="" textlink="">
      <xdr:nvSpPr>
        <xdr:cNvPr id="4387159" name="Line 100">
          <a:extLst>
            <a:ext uri="{FF2B5EF4-FFF2-40B4-BE49-F238E27FC236}">
              <a16:creationId xmlns="" xmlns:a16="http://schemas.microsoft.com/office/drawing/2014/main" id="{00000000-0008-0000-2400-000057F14200}"/>
            </a:ext>
          </a:extLst>
        </xdr:cNvPr>
        <xdr:cNvSpPr>
          <a:spLocks noChangeShapeType="1"/>
        </xdr:cNvSpPr>
      </xdr:nvSpPr>
      <xdr:spPr bwMode="auto">
        <a:xfrm flipH="1">
          <a:off x="10696575" y="0"/>
          <a:ext cx="2095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0</xdr:row>
      <xdr:rowOff>0</xdr:rowOff>
    </xdr:from>
    <xdr:to>
      <xdr:col>15</xdr:col>
      <xdr:colOff>161925</xdr:colOff>
      <xdr:row>0</xdr:row>
      <xdr:rowOff>0</xdr:rowOff>
    </xdr:to>
    <xdr:sp macro="" textlink="">
      <xdr:nvSpPr>
        <xdr:cNvPr id="4387160" name="Line 101">
          <a:extLst>
            <a:ext uri="{FF2B5EF4-FFF2-40B4-BE49-F238E27FC236}">
              <a16:creationId xmlns="" xmlns:a16="http://schemas.microsoft.com/office/drawing/2014/main" id="{00000000-0008-0000-2400-000058F14200}"/>
            </a:ext>
          </a:extLst>
        </xdr:cNvPr>
        <xdr:cNvSpPr>
          <a:spLocks noChangeShapeType="1"/>
        </xdr:cNvSpPr>
      </xdr:nvSpPr>
      <xdr:spPr bwMode="auto">
        <a:xfrm>
          <a:off x="14906625" y="0"/>
          <a:ext cx="628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609600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87161" name="Line 102">
          <a:extLst>
            <a:ext uri="{FF2B5EF4-FFF2-40B4-BE49-F238E27FC236}">
              <a16:creationId xmlns="" xmlns:a16="http://schemas.microsoft.com/office/drawing/2014/main" id="{00000000-0008-0000-2400-000059F14200}"/>
            </a:ext>
          </a:extLst>
        </xdr:cNvPr>
        <xdr:cNvSpPr>
          <a:spLocks noChangeShapeType="1"/>
        </xdr:cNvSpPr>
      </xdr:nvSpPr>
      <xdr:spPr bwMode="auto">
        <a:xfrm flipV="1">
          <a:off x="13868400" y="0"/>
          <a:ext cx="1657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1066800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87162" name="Line 103">
          <a:extLst>
            <a:ext uri="{FF2B5EF4-FFF2-40B4-BE49-F238E27FC236}">
              <a16:creationId xmlns="" xmlns:a16="http://schemas.microsoft.com/office/drawing/2014/main" id="{00000000-0008-0000-2400-00005AF14200}"/>
            </a:ext>
          </a:extLst>
        </xdr:cNvPr>
        <xdr:cNvSpPr>
          <a:spLocks noChangeShapeType="1"/>
        </xdr:cNvSpPr>
      </xdr:nvSpPr>
      <xdr:spPr bwMode="auto">
        <a:xfrm>
          <a:off x="1325880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266700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87163" name="Line 104">
          <a:extLst>
            <a:ext uri="{FF2B5EF4-FFF2-40B4-BE49-F238E27FC236}">
              <a16:creationId xmlns="" xmlns:a16="http://schemas.microsoft.com/office/drawing/2014/main" id="{00000000-0008-0000-2400-00005BF14200}"/>
            </a:ext>
          </a:extLst>
        </xdr:cNvPr>
        <xdr:cNvSpPr>
          <a:spLocks noChangeShapeType="1"/>
        </xdr:cNvSpPr>
      </xdr:nvSpPr>
      <xdr:spPr bwMode="auto">
        <a:xfrm>
          <a:off x="13258800" y="0"/>
          <a:ext cx="2266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95250</xdr:colOff>
      <xdr:row>0</xdr:row>
      <xdr:rowOff>0</xdr:rowOff>
    </xdr:from>
    <xdr:to>
      <xdr:col>15</xdr:col>
      <xdr:colOff>152400</xdr:colOff>
      <xdr:row>0</xdr:row>
      <xdr:rowOff>0</xdr:rowOff>
    </xdr:to>
    <xdr:sp macro="" textlink="">
      <xdr:nvSpPr>
        <xdr:cNvPr id="4387164" name="Line 105">
          <a:extLst>
            <a:ext uri="{FF2B5EF4-FFF2-40B4-BE49-F238E27FC236}">
              <a16:creationId xmlns="" xmlns:a16="http://schemas.microsoft.com/office/drawing/2014/main" id="{00000000-0008-0000-2400-00005CF14200}"/>
            </a:ext>
          </a:extLst>
        </xdr:cNvPr>
        <xdr:cNvSpPr>
          <a:spLocks noChangeShapeType="1"/>
        </xdr:cNvSpPr>
      </xdr:nvSpPr>
      <xdr:spPr bwMode="auto">
        <a:xfrm>
          <a:off x="12792075" y="0"/>
          <a:ext cx="2733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495300</xdr:colOff>
      <xdr:row>0</xdr:row>
      <xdr:rowOff>0</xdr:rowOff>
    </xdr:from>
    <xdr:to>
      <xdr:col>12</xdr:col>
      <xdr:colOff>247650</xdr:colOff>
      <xdr:row>0</xdr:row>
      <xdr:rowOff>0</xdr:rowOff>
    </xdr:to>
    <xdr:sp macro="" textlink="">
      <xdr:nvSpPr>
        <xdr:cNvPr id="4387165" name="Line 106">
          <a:extLst>
            <a:ext uri="{FF2B5EF4-FFF2-40B4-BE49-F238E27FC236}">
              <a16:creationId xmlns="" xmlns:a16="http://schemas.microsoft.com/office/drawing/2014/main" id="{00000000-0008-0000-2400-00005DF14200}"/>
            </a:ext>
          </a:extLst>
        </xdr:cNvPr>
        <xdr:cNvSpPr>
          <a:spLocks noChangeShapeType="1"/>
        </xdr:cNvSpPr>
      </xdr:nvSpPr>
      <xdr:spPr bwMode="auto">
        <a:xfrm flipH="1">
          <a:off x="10868025" y="0"/>
          <a:ext cx="2390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0</xdr:row>
      <xdr:rowOff>0</xdr:rowOff>
    </xdr:from>
    <xdr:to>
      <xdr:col>12</xdr:col>
      <xdr:colOff>1028700</xdr:colOff>
      <xdr:row>0</xdr:row>
      <xdr:rowOff>0</xdr:rowOff>
    </xdr:to>
    <xdr:sp macro="" textlink="">
      <xdr:nvSpPr>
        <xdr:cNvPr id="4387166" name="Line 107">
          <a:extLst>
            <a:ext uri="{FF2B5EF4-FFF2-40B4-BE49-F238E27FC236}">
              <a16:creationId xmlns="" xmlns:a16="http://schemas.microsoft.com/office/drawing/2014/main" id="{00000000-0008-0000-2400-00005EF14200}"/>
            </a:ext>
          </a:extLst>
        </xdr:cNvPr>
        <xdr:cNvSpPr>
          <a:spLocks noChangeShapeType="1"/>
        </xdr:cNvSpPr>
      </xdr:nvSpPr>
      <xdr:spPr bwMode="auto">
        <a:xfrm flipH="1">
          <a:off x="10963275" y="0"/>
          <a:ext cx="2295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171450</xdr:colOff>
      <xdr:row>0</xdr:row>
      <xdr:rowOff>0</xdr:rowOff>
    </xdr:from>
    <xdr:to>
      <xdr:col>13</xdr:col>
      <xdr:colOff>552450</xdr:colOff>
      <xdr:row>0</xdr:row>
      <xdr:rowOff>0</xdr:rowOff>
    </xdr:to>
    <xdr:sp macro="" textlink="">
      <xdr:nvSpPr>
        <xdr:cNvPr id="4387167" name="Line 108">
          <a:extLst>
            <a:ext uri="{FF2B5EF4-FFF2-40B4-BE49-F238E27FC236}">
              <a16:creationId xmlns="" xmlns:a16="http://schemas.microsoft.com/office/drawing/2014/main" id="{00000000-0008-0000-2400-00005FF14200}"/>
            </a:ext>
          </a:extLst>
        </xdr:cNvPr>
        <xdr:cNvSpPr>
          <a:spLocks noChangeShapeType="1"/>
        </xdr:cNvSpPr>
      </xdr:nvSpPr>
      <xdr:spPr bwMode="auto">
        <a:xfrm flipH="1">
          <a:off x="12211050" y="0"/>
          <a:ext cx="1600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457200</xdr:colOff>
      <xdr:row>0</xdr:row>
      <xdr:rowOff>0</xdr:rowOff>
    </xdr:from>
    <xdr:to>
      <xdr:col>14</xdr:col>
      <xdr:colOff>419100</xdr:colOff>
      <xdr:row>0</xdr:row>
      <xdr:rowOff>0</xdr:rowOff>
    </xdr:to>
    <xdr:sp macro="" textlink="">
      <xdr:nvSpPr>
        <xdr:cNvPr id="4387168" name="Line 109">
          <a:extLst>
            <a:ext uri="{FF2B5EF4-FFF2-40B4-BE49-F238E27FC236}">
              <a16:creationId xmlns="" xmlns:a16="http://schemas.microsoft.com/office/drawing/2014/main" id="{00000000-0008-0000-2400-000060F14200}"/>
            </a:ext>
          </a:extLst>
        </xdr:cNvPr>
        <xdr:cNvSpPr>
          <a:spLocks noChangeShapeType="1"/>
        </xdr:cNvSpPr>
      </xdr:nvSpPr>
      <xdr:spPr bwMode="auto">
        <a:xfrm flipH="1">
          <a:off x="12496800" y="0"/>
          <a:ext cx="2371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1104900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87169" name="Line 110">
          <a:extLst>
            <a:ext uri="{FF2B5EF4-FFF2-40B4-BE49-F238E27FC236}">
              <a16:creationId xmlns="" xmlns:a16="http://schemas.microsoft.com/office/drawing/2014/main" id="{00000000-0008-0000-2400-000061F14200}"/>
            </a:ext>
          </a:extLst>
        </xdr:cNvPr>
        <xdr:cNvSpPr>
          <a:spLocks noChangeShapeType="1"/>
        </xdr:cNvSpPr>
      </xdr:nvSpPr>
      <xdr:spPr bwMode="auto">
        <a:xfrm>
          <a:off x="1269682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1085850</xdr:colOff>
      <xdr:row>0</xdr:row>
      <xdr:rowOff>0</xdr:rowOff>
    </xdr:from>
    <xdr:to>
      <xdr:col>14</xdr:col>
      <xdr:colOff>723900</xdr:colOff>
      <xdr:row>0</xdr:row>
      <xdr:rowOff>0</xdr:rowOff>
    </xdr:to>
    <xdr:sp macro="" textlink="">
      <xdr:nvSpPr>
        <xdr:cNvPr id="4387170" name="Line 111">
          <a:extLst>
            <a:ext uri="{FF2B5EF4-FFF2-40B4-BE49-F238E27FC236}">
              <a16:creationId xmlns="" xmlns:a16="http://schemas.microsoft.com/office/drawing/2014/main" id="{00000000-0008-0000-2400-000062F14200}"/>
            </a:ext>
          </a:extLst>
        </xdr:cNvPr>
        <xdr:cNvSpPr>
          <a:spLocks noChangeShapeType="1"/>
        </xdr:cNvSpPr>
      </xdr:nvSpPr>
      <xdr:spPr bwMode="auto">
        <a:xfrm>
          <a:off x="12696825" y="0"/>
          <a:ext cx="2476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123825</xdr:colOff>
      <xdr:row>0</xdr:row>
      <xdr:rowOff>0</xdr:rowOff>
    </xdr:from>
    <xdr:to>
      <xdr:col>21</xdr:col>
      <xdr:colOff>438150</xdr:colOff>
      <xdr:row>0</xdr:row>
      <xdr:rowOff>0</xdr:rowOff>
    </xdr:to>
    <xdr:sp macro="" textlink="">
      <xdr:nvSpPr>
        <xdr:cNvPr id="113" name="Text Box 112">
          <a:extLst>
            <a:ext uri="{FF2B5EF4-FFF2-40B4-BE49-F238E27FC236}">
              <a16:creationId xmlns="" xmlns:a16="http://schemas.microsoft.com/office/drawing/2014/main" id="{00000000-0008-0000-2400-000071000000}"/>
            </a:ext>
          </a:extLst>
        </xdr:cNvPr>
        <xdr:cNvSpPr txBox="1">
          <a:spLocks noChangeArrowheads="1"/>
        </xdr:cNvSpPr>
      </xdr:nvSpPr>
      <xdr:spPr bwMode="auto">
        <a:xfrm>
          <a:off x="20640675" y="0"/>
          <a:ext cx="3143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1°</a:t>
          </a:r>
        </a:p>
      </xdr:txBody>
    </xdr:sp>
    <xdr:clientData/>
  </xdr:twoCellAnchor>
  <xdr:twoCellAnchor>
    <xdr:from>
      <xdr:col>19</xdr:col>
      <xdr:colOff>1285875</xdr:colOff>
      <xdr:row>0</xdr:row>
      <xdr:rowOff>0</xdr:rowOff>
    </xdr:from>
    <xdr:to>
      <xdr:col>21</xdr:col>
      <xdr:colOff>333375</xdr:colOff>
      <xdr:row>0</xdr:row>
      <xdr:rowOff>0</xdr:rowOff>
    </xdr:to>
    <xdr:sp macro="" textlink="">
      <xdr:nvSpPr>
        <xdr:cNvPr id="114" name="Text Box 113">
          <a:extLst>
            <a:ext uri="{FF2B5EF4-FFF2-40B4-BE49-F238E27FC236}">
              <a16:creationId xmlns="" xmlns:a16="http://schemas.microsoft.com/office/drawing/2014/main" id="{00000000-0008-0000-2400-000072000000}"/>
            </a:ext>
          </a:extLst>
        </xdr:cNvPr>
        <xdr:cNvSpPr txBox="1">
          <a:spLocks noChangeArrowheads="1"/>
        </xdr:cNvSpPr>
      </xdr:nvSpPr>
      <xdr:spPr bwMode="auto">
        <a:xfrm>
          <a:off x="19754850" y="0"/>
          <a:ext cx="10953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3°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5" name="Text Box 114">
          <a:extLst>
            <a:ext uri="{FF2B5EF4-FFF2-40B4-BE49-F238E27FC236}">
              <a16:creationId xmlns="" xmlns:a16="http://schemas.microsoft.com/office/drawing/2014/main" id="{00000000-0008-0000-2400-000073000000}"/>
            </a:ext>
          </a:extLst>
        </xdr:cNvPr>
        <xdr:cNvSpPr txBox="1">
          <a:spLocks noChangeArrowheads="1"/>
        </xdr:cNvSpPr>
      </xdr:nvSpPr>
      <xdr:spPr bwMode="auto">
        <a:xfrm>
          <a:off x="2095500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21</xdr:col>
      <xdr:colOff>590550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6" name="Text Box 115">
          <a:extLst>
            <a:ext uri="{FF2B5EF4-FFF2-40B4-BE49-F238E27FC236}">
              <a16:creationId xmlns="" xmlns:a16="http://schemas.microsoft.com/office/drawing/2014/main" id="{00000000-0008-0000-2400-000074000000}"/>
            </a:ext>
          </a:extLst>
        </xdr:cNvPr>
        <xdr:cNvSpPr txBox="1">
          <a:spLocks noChangeArrowheads="1"/>
        </xdr:cNvSpPr>
      </xdr:nvSpPr>
      <xdr:spPr bwMode="auto">
        <a:xfrm>
          <a:off x="2095500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it-IT" sz="36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19</xdr:col>
      <xdr:colOff>819150</xdr:colOff>
      <xdr:row>0</xdr:row>
      <xdr:rowOff>0</xdr:rowOff>
    </xdr:from>
    <xdr:to>
      <xdr:col>19</xdr:col>
      <xdr:colOff>1000125</xdr:colOff>
      <xdr:row>0</xdr:row>
      <xdr:rowOff>0</xdr:rowOff>
    </xdr:to>
    <xdr:sp macro="" textlink="">
      <xdr:nvSpPr>
        <xdr:cNvPr id="117" name="Text Box 116">
          <a:extLst>
            <a:ext uri="{FF2B5EF4-FFF2-40B4-BE49-F238E27FC236}">
              <a16:creationId xmlns="" xmlns:a16="http://schemas.microsoft.com/office/drawing/2014/main" id="{00000000-0008-0000-2400-000075000000}"/>
            </a:ext>
          </a:extLst>
        </xdr:cNvPr>
        <xdr:cNvSpPr txBox="1">
          <a:spLocks noChangeArrowheads="1"/>
        </xdr:cNvSpPr>
      </xdr:nvSpPr>
      <xdr:spPr bwMode="auto">
        <a:xfrm>
          <a:off x="19307175" y="0"/>
          <a:ext cx="1809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5°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0" i="0" strike="noStrike">
              <a:solidFill>
                <a:srgbClr val="000000"/>
              </a:solidFill>
              <a:latin typeface="Times New Roman"/>
              <a:cs typeface="Times New Roman"/>
            </a:rPr>
            <a:t>°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0</xdr:colOff>
      <xdr:row>0</xdr:row>
      <xdr:rowOff>0</xdr:rowOff>
    </xdr:to>
    <xdr:sp macro="" textlink="">
      <xdr:nvSpPr>
        <xdr:cNvPr id="118" name="Text Box 117">
          <a:extLst>
            <a:ext uri="{FF2B5EF4-FFF2-40B4-BE49-F238E27FC236}">
              <a16:creationId xmlns="" xmlns:a16="http://schemas.microsoft.com/office/drawing/2014/main" id="{00000000-0008-0000-2400-000076000000}"/>
            </a:ext>
          </a:extLst>
        </xdr:cNvPr>
        <xdr:cNvSpPr txBox="1">
          <a:spLocks noChangeArrowheads="1"/>
        </xdr:cNvSpPr>
      </xdr:nvSpPr>
      <xdr:spPr bwMode="auto">
        <a:xfrm>
          <a:off x="2095500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64008" tIns="59436" rIns="0" bIns="0" anchor="t" upright="1"/>
        <a:lstStyle/>
        <a:p>
          <a:pPr algn="l" rtl="0">
            <a:defRPr sz="1000"/>
          </a:pPr>
          <a:r>
            <a:rPr lang="it-IT" sz="3600" b="1" i="0" strike="noStrike">
              <a:solidFill>
                <a:srgbClr val="000000"/>
              </a:solidFill>
              <a:latin typeface="Times New Roman"/>
              <a:cs typeface="Times New Roman"/>
            </a:rPr>
            <a:t>6°</a:t>
          </a:r>
          <a:endParaRPr lang="it-IT" sz="2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it-IT" sz="2200" b="1" i="0" strike="noStrike">
              <a:solidFill>
                <a:srgbClr val="000000"/>
              </a:solidFill>
              <a:latin typeface="Times New Roman"/>
              <a:cs typeface="Times New Roman"/>
            </a:rPr>
            <a:t>6</a:t>
          </a:r>
        </a:p>
      </xdr:txBody>
    </xdr:sp>
    <xdr:clientData/>
  </xdr:twoCellAnchor>
  <xdr:twoCellAnchor>
    <xdr:from>
      <xdr:col>14</xdr:col>
      <xdr:colOff>266700</xdr:colOff>
      <xdr:row>15</xdr:row>
      <xdr:rowOff>38100</xdr:rowOff>
    </xdr:from>
    <xdr:to>
      <xdr:col>15</xdr:col>
      <xdr:colOff>352425</xdr:colOff>
      <xdr:row>16</xdr:row>
      <xdr:rowOff>161925</xdr:rowOff>
    </xdr:to>
    <xdr:sp macro="" textlink="">
      <xdr:nvSpPr>
        <xdr:cNvPr id="4387177" name="Text Box 118">
          <a:extLst>
            <a:ext uri="{FF2B5EF4-FFF2-40B4-BE49-F238E27FC236}">
              <a16:creationId xmlns="" xmlns:a16="http://schemas.microsoft.com/office/drawing/2014/main" id="{00000000-0008-0000-2400-000069F14200}"/>
            </a:ext>
          </a:extLst>
        </xdr:cNvPr>
        <xdr:cNvSpPr txBox="1">
          <a:spLocks noChangeArrowheads="1"/>
        </xdr:cNvSpPr>
      </xdr:nvSpPr>
      <xdr:spPr bwMode="auto">
        <a:xfrm>
          <a:off x="14716125" y="5638800"/>
          <a:ext cx="1009650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19</xdr:col>
      <xdr:colOff>990600</xdr:colOff>
      <xdr:row>37</xdr:row>
      <xdr:rowOff>0</xdr:rowOff>
    </xdr:from>
    <xdr:to>
      <xdr:col>19</xdr:col>
      <xdr:colOff>990600</xdr:colOff>
      <xdr:row>37</xdr:row>
      <xdr:rowOff>0</xdr:rowOff>
    </xdr:to>
    <xdr:sp macro="" textlink="">
      <xdr:nvSpPr>
        <xdr:cNvPr id="4387178" name="Line 119">
          <a:extLst>
            <a:ext uri="{FF2B5EF4-FFF2-40B4-BE49-F238E27FC236}">
              <a16:creationId xmlns="" xmlns:a16="http://schemas.microsoft.com/office/drawing/2014/main" id="{00000000-0008-0000-2400-00006AF14200}"/>
            </a:ext>
          </a:extLst>
        </xdr:cNvPr>
        <xdr:cNvSpPr>
          <a:spLocks noChangeShapeType="1"/>
        </xdr:cNvSpPr>
      </xdr:nvSpPr>
      <xdr:spPr bwMode="auto">
        <a:xfrm>
          <a:off x="19478625" y="13363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 editAs="oneCell">
    <xdr:from>
      <xdr:col>2</xdr:col>
      <xdr:colOff>190500</xdr:colOff>
      <xdr:row>15</xdr:row>
      <xdr:rowOff>142875</xdr:rowOff>
    </xdr:from>
    <xdr:to>
      <xdr:col>3</xdr:col>
      <xdr:colOff>1038225</xdr:colOff>
      <xdr:row>19</xdr:row>
      <xdr:rowOff>66675</xdr:rowOff>
    </xdr:to>
    <xdr:grpSp>
      <xdr:nvGrpSpPr>
        <xdr:cNvPr id="4387179" name="Group 120">
          <a:extLst>
            <a:ext uri="{FF2B5EF4-FFF2-40B4-BE49-F238E27FC236}">
              <a16:creationId xmlns="" xmlns:a16="http://schemas.microsoft.com/office/drawing/2014/main" id="{00000000-0008-0000-2400-00006BF14200}"/>
            </a:ext>
          </a:extLst>
        </xdr:cNvPr>
        <xdr:cNvGrpSpPr>
          <a:grpSpLocks/>
        </xdr:cNvGrpSpPr>
      </xdr:nvGrpSpPr>
      <xdr:grpSpPr bwMode="auto">
        <a:xfrm>
          <a:off x="2819400" y="5857875"/>
          <a:ext cx="2981325" cy="1333500"/>
          <a:chOff x="358" y="540"/>
          <a:chExt cx="293" cy="139"/>
        </a:xfrm>
      </xdr:grpSpPr>
      <xdr:sp macro="" textlink="">
        <xdr:nvSpPr>
          <xdr:cNvPr id="4387209" name="Line 121">
            <a:extLst>
              <a:ext uri="{FF2B5EF4-FFF2-40B4-BE49-F238E27FC236}">
                <a16:creationId xmlns="" xmlns:a16="http://schemas.microsoft.com/office/drawing/2014/main" id="{00000000-0008-0000-2400-000089F14200}"/>
              </a:ext>
            </a:extLst>
          </xdr:cNvPr>
          <xdr:cNvSpPr>
            <a:spLocks noChangeShapeType="1"/>
          </xdr:cNvSpPr>
        </xdr:nvSpPr>
        <xdr:spPr bwMode="auto">
          <a:xfrm>
            <a:off x="358" y="633"/>
            <a:ext cx="5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87210" name="Group 122">
            <a:extLst>
              <a:ext uri="{FF2B5EF4-FFF2-40B4-BE49-F238E27FC236}">
                <a16:creationId xmlns="" xmlns:a16="http://schemas.microsoft.com/office/drawing/2014/main" id="{00000000-0008-0000-2400-00008AF14200}"/>
              </a:ext>
            </a:extLst>
          </xdr:cNvPr>
          <xdr:cNvGrpSpPr>
            <a:grpSpLocks/>
          </xdr:cNvGrpSpPr>
        </xdr:nvGrpSpPr>
        <xdr:grpSpPr bwMode="auto">
          <a:xfrm>
            <a:off x="409" y="633"/>
            <a:ext cx="17" cy="46"/>
            <a:chOff x="312" y="632"/>
            <a:chExt cx="17" cy="35"/>
          </a:xfrm>
        </xdr:grpSpPr>
        <xdr:sp macro="" textlink="">
          <xdr:nvSpPr>
            <xdr:cNvPr id="4387266" name="Line 123">
              <a:extLst>
                <a:ext uri="{FF2B5EF4-FFF2-40B4-BE49-F238E27FC236}">
                  <a16:creationId xmlns="" xmlns:a16="http://schemas.microsoft.com/office/drawing/2014/main" id="{00000000-0008-0000-2400-0000C2F1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12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87267" name="Line 124">
              <a:extLst>
                <a:ext uri="{FF2B5EF4-FFF2-40B4-BE49-F238E27FC236}">
                  <a16:creationId xmlns="" xmlns:a16="http://schemas.microsoft.com/office/drawing/2014/main" id="{00000000-0008-0000-2400-0000C3F142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24" y="632"/>
              <a:ext cx="5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387211" name="Line 125">
            <a:extLst>
              <a:ext uri="{FF2B5EF4-FFF2-40B4-BE49-F238E27FC236}">
                <a16:creationId xmlns="" xmlns:a16="http://schemas.microsoft.com/office/drawing/2014/main" id="{00000000-0008-0000-2400-00008BF1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0" y="633"/>
            <a:ext cx="41" cy="46"/>
          </a:xfrm>
          <a:prstGeom prst="line">
            <a:avLst/>
          </a:prstGeom>
          <a:noFill/>
          <a:ln w="222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87212" name="Line 126">
            <a:extLst>
              <a:ext uri="{FF2B5EF4-FFF2-40B4-BE49-F238E27FC236}">
                <a16:creationId xmlns="" xmlns:a16="http://schemas.microsoft.com/office/drawing/2014/main" id="{00000000-0008-0000-2400-00008CF1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" y="540"/>
            <a:ext cx="0" cy="10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7213" name="Line 127">
            <a:extLst>
              <a:ext uri="{FF2B5EF4-FFF2-40B4-BE49-F238E27FC236}">
                <a16:creationId xmlns="" xmlns:a16="http://schemas.microsoft.com/office/drawing/2014/main" id="{00000000-0008-0000-2400-00008DF1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" y="540"/>
            <a:ext cx="0" cy="10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7214" name="Line 128">
            <a:extLst>
              <a:ext uri="{FF2B5EF4-FFF2-40B4-BE49-F238E27FC236}">
                <a16:creationId xmlns="" xmlns:a16="http://schemas.microsoft.com/office/drawing/2014/main" id="{00000000-0008-0000-2400-00008EF14200}"/>
              </a:ext>
            </a:extLst>
          </xdr:cNvPr>
          <xdr:cNvSpPr>
            <a:spLocks noChangeShapeType="1"/>
          </xdr:cNvSpPr>
        </xdr:nvSpPr>
        <xdr:spPr bwMode="auto">
          <a:xfrm>
            <a:off x="407" y="563"/>
            <a:ext cx="20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7215" name="Line 129">
            <a:extLst>
              <a:ext uri="{FF2B5EF4-FFF2-40B4-BE49-F238E27FC236}">
                <a16:creationId xmlns="" xmlns:a16="http://schemas.microsoft.com/office/drawing/2014/main" id="{00000000-0008-0000-2400-00008FF14200}"/>
              </a:ext>
            </a:extLst>
          </xdr:cNvPr>
          <xdr:cNvSpPr>
            <a:spLocks noChangeShapeType="1"/>
          </xdr:cNvSpPr>
        </xdr:nvSpPr>
        <xdr:spPr bwMode="auto">
          <a:xfrm>
            <a:off x="415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387216" name="Group 130">
            <a:extLst>
              <a:ext uri="{FF2B5EF4-FFF2-40B4-BE49-F238E27FC236}">
                <a16:creationId xmlns="" xmlns:a16="http://schemas.microsoft.com/office/drawing/2014/main" id="{00000000-0008-0000-2400-000090F14200}"/>
              </a:ext>
            </a:extLst>
          </xdr:cNvPr>
          <xdr:cNvGrpSpPr>
            <a:grpSpLocks/>
          </xdr:cNvGrpSpPr>
        </xdr:nvGrpSpPr>
        <xdr:grpSpPr bwMode="auto">
          <a:xfrm>
            <a:off x="427" y="633"/>
            <a:ext cx="24" cy="46"/>
            <a:chOff x="358" y="632"/>
            <a:chExt cx="24" cy="35"/>
          </a:xfrm>
        </xdr:grpSpPr>
        <xdr:sp macro="" textlink="">
          <xdr:nvSpPr>
            <xdr:cNvPr id="4387260" name="Line 131">
              <a:extLst>
                <a:ext uri="{FF2B5EF4-FFF2-40B4-BE49-F238E27FC236}">
                  <a16:creationId xmlns="" xmlns:a16="http://schemas.microsoft.com/office/drawing/2014/main" id="{00000000-0008-0000-2400-0000BCF1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7261" name="Group 132">
              <a:extLst>
                <a:ext uri="{FF2B5EF4-FFF2-40B4-BE49-F238E27FC236}">
                  <a16:creationId xmlns="" xmlns:a16="http://schemas.microsoft.com/office/drawing/2014/main" id="{00000000-0008-0000-2400-0000BDF1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7262" name="Line 133">
                <a:extLst>
                  <a:ext uri="{FF2B5EF4-FFF2-40B4-BE49-F238E27FC236}">
                    <a16:creationId xmlns="" xmlns:a16="http://schemas.microsoft.com/office/drawing/2014/main" id="{00000000-0008-0000-2400-0000BEF1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7263" name="Group 134">
                <a:extLst>
                  <a:ext uri="{FF2B5EF4-FFF2-40B4-BE49-F238E27FC236}">
                    <a16:creationId xmlns="" xmlns:a16="http://schemas.microsoft.com/office/drawing/2014/main" id="{00000000-0008-0000-2400-0000BFF1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7264" name="Line 135">
                  <a:extLst>
                    <a:ext uri="{FF2B5EF4-FFF2-40B4-BE49-F238E27FC236}">
                      <a16:creationId xmlns="" xmlns:a16="http://schemas.microsoft.com/office/drawing/2014/main" id="{00000000-0008-0000-2400-0000C0F1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7265" name="Line 136">
                  <a:extLst>
                    <a:ext uri="{FF2B5EF4-FFF2-40B4-BE49-F238E27FC236}">
                      <a16:creationId xmlns="" xmlns:a16="http://schemas.microsoft.com/office/drawing/2014/main" id="{00000000-0008-0000-2400-0000C1F1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7217" name="Group 137">
            <a:extLst>
              <a:ext uri="{FF2B5EF4-FFF2-40B4-BE49-F238E27FC236}">
                <a16:creationId xmlns="" xmlns:a16="http://schemas.microsoft.com/office/drawing/2014/main" id="{00000000-0008-0000-2400-000091F14200}"/>
              </a:ext>
            </a:extLst>
          </xdr:cNvPr>
          <xdr:cNvGrpSpPr>
            <a:grpSpLocks/>
          </xdr:cNvGrpSpPr>
        </xdr:nvGrpSpPr>
        <xdr:grpSpPr bwMode="auto">
          <a:xfrm>
            <a:off x="452" y="633"/>
            <a:ext cx="24" cy="46"/>
            <a:chOff x="358" y="632"/>
            <a:chExt cx="24" cy="35"/>
          </a:xfrm>
        </xdr:grpSpPr>
        <xdr:sp macro="" textlink="">
          <xdr:nvSpPr>
            <xdr:cNvPr id="4387254" name="Line 138">
              <a:extLst>
                <a:ext uri="{FF2B5EF4-FFF2-40B4-BE49-F238E27FC236}">
                  <a16:creationId xmlns="" xmlns:a16="http://schemas.microsoft.com/office/drawing/2014/main" id="{00000000-0008-0000-2400-0000B6F1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7255" name="Group 139">
              <a:extLst>
                <a:ext uri="{FF2B5EF4-FFF2-40B4-BE49-F238E27FC236}">
                  <a16:creationId xmlns="" xmlns:a16="http://schemas.microsoft.com/office/drawing/2014/main" id="{00000000-0008-0000-2400-0000B7F1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7256" name="Line 140">
                <a:extLst>
                  <a:ext uri="{FF2B5EF4-FFF2-40B4-BE49-F238E27FC236}">
                    <a16:creationId xmlns="" xmlns:a16="http://schemas.microsoft.com/office/drawing/2014/main" id="{00000000-0008-0000-2400-0000B8F1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7257" name="Group 141">
                <a:extLst>
                  <a:ext uri="{FF2B5EF4-FFF2-40B4-BE49-F238E27FC236}">
                    <a16:creationId xmlns="" xmlns:a16="http://schemas.microsoft.com/office/drawing/2014/main" id="{00000000-0008-0000-2400-0000B9F1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7258" name="Line 142">
                  <a:extLst>
                    <a:ext uri="{FF2B5EF4-FFF2-40B4-BE49-F238E27FC236}">
                      <a16:creationId xmlns="" xmlns:a16="http://schemas.microsoft.com/office/drawing/2014/main" id="{00000000-0008-0000-2400-0000BAF1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7259" name="Line 143">
                  <a:extLst>
                    <a:ext uri="{FF2B5EF4-FFF2-40B4-BE49-F238E27FC236}">
                      <a16:creationId xmlns="" xmlns:a16="http://schemas.microsoft.com/office/drawing/2014/main" id="{00000000-0008-0000-2400-0000BBF1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7218" name="Group 144">
            <a:extLst>
              <a:ext uri="{FF2B5EF4-FFF2-40B4-BE49-F238E27FC236}">
                <a16:creationId xmlns="" xmlns:a16="http://schemas.microsoft.com/office/drawing/2014/main" id="{00000000-0008-0000-2400-000092F14200}"/>
              </a:ext>
            </a:extLst>
          </xdr:cNvPr>
          <xdr:cNvGrpSpPr>
            <a:grpSpLocks/>
          </xdr:cNvGrpSpPr>
        </xdr:nvGrpSpPr>
        <xdr:grpSpPr bwMode="auto">
          <a:xfrm>
            <a:off x="478" y="633"/>
            <a:ext cx="24" cy="46"/>
            <a:chOff x="358" y="632"/>
            <a:chExt cx="24" cy="35"/>
          </a:xfrm>
        </xdr:grpSpPr>
        <xdr:sp macro="" textlink="">
          <xdr:nvSpPr>
            <xdr:cNvPr id="4387248" name="Line 145">
              <a:extLst>
                <a:ext uri="{FF2B5EF4-FFF2-40B4-BE49-F238E27FC236}">
                  <a16:creationId xmlns="" xmlns:a16="http://schemas.microsoft.com/office/drawing/2014/main" id="{00000000-0008-0000-2400-0000B0F1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7249" name="Group 146">
              <a:extLst>
                <a:ext uri="{FF2B5EF4-FFF2-40B4-BE49-F238E27FC236}">
                  <a16:creationId xmlns="" xmlns:a16="http://schemas.microsoft.com/office/drawing/2014/main" id="{00000000-0008-0000-2400-0000B1F1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7250" name="Line 147">
                <a:extLst>
                  <a:ext uri="{FF2B5EF4-FFF2-40B4-BE49-F238E27FC236}">
                    <a16:creationId xmlns="" xmlns:a16="http://schemas.microsoft.com/office/drawing/2014/main" id="{00000000-0008-0000-2400-0000B2F1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7251" name="Group 148">
                <a:extLst>
                  <a:ext uri="{FF2B5EF4-FFF2-40B4-BE49-F238E27FC236}">
                    <a16:creationId xmlns="" xmlns:a16="http://schemas.microsoft.com/office/drawing/2014/main" id="{00000000-0008-0000-2400-0000B3F1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7252" name="Line 149">
                  <a:extLst>
                    <a:ext uri="{FF2B5EF4-FFF2-40B4-BE49-F238E27FC236}">
                      <a16:creationId xmlns="" xmlns:a16="http://schemas.microsoft.com/office/drawing/2014/main" id="{00000000-0008-0000-2400-0000B4F1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7253" name="Line 150">
                  <a:extLst>
                    <a:ext uri="{FF2B5EF4-FFF2-40B4-BE49-F238E27FC236}">
                      <a16:creationId xmlns="" xmlns:a16="http://schemas.microsoft.com/office/drawing/2014/main" id="{00000000-0008-0000-2400-0000B5F1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7219" name="Group 151">
            <a:extLst>
              <a:ext uri="{FF2B5EF4-FFF2-40B4-BE49-F238E27FC236}">
                <a16:creationId xmlns="" xmlns:a16="http://schemas.microsoft.com/office/drawing/2014/main" id="{00000000-0008-0000-2400-000093F14200}"/>
              </a:ext>
            </a:extLst>
          </xdr:cNvPr>
          <xdr:cNvGrpSpPr>
            <a:grpSpLocks/>
          </xdr:cNvGrpSpPr>
        </xdr:nvGrpSpPr>
        <xdr:grpSpPr bwMode="auto">
          <a:xfrm>
            <a:off x="504" y="633"/>
            <a:ext cx="24" cy="46"/>
            <a:chOff x="358" y="632"/>
            <a:chExt cx="24" cy="35"/>
          </a:xfrm>
        </xdr:grpSpPr>
        <xdr:sp macro="" textlink="">
          <xdr:nvSpPr>
            <xdr:cNvPr id="4387242" name="Line 152">
              <a:extLst>
                <a:ext uri="{FF2B5EF4-FFF2-40B4-BE49-F238E27FC236}">
                  <a16:creationId xmlns="" xmlns:a16="http://schemas.microsoft.com/office/drawing/2014/main" id="{00000000-0008-0000-2400-0000AAF1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7243" name="Group 153">
              <a:extLst>
                <a:ext uri="{FF2B5EF4-FFF2-40B4-BE49-F238E27FC236}">
                  <a16:creationId xmlns="" xmlns:a16="http://schemas.microsoft.com/office/drawing/2014/main" id="{00000000-0008-0000-2400-0000ABF1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7244" name="Line 154">
                <a:extLst>
                  <a:ext uri="{FF2B5EF4-FFF2-40B4-BE49-F238E27FC236}">
                    <a16:creationId xmlns="" xmlns:a16="http://schemas.microsoft.com/office/drawing/2014/main" id="{00000000-0008-0000-2400-0000ACF1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7245" name="Group 155">
                <a:extLst>
                  <a:ext uri="{FF2B5EF4-FFF2-40B4-BE49-F238E27FC236}">
                    <a16:creationId xmlns="" xmlns:a16="http://schemas.microsoft.com/office/drawing/2014/main" id="{00000000-0008-0000-2400-0000ADF1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7246" name="Line 156">
                  <a:extLst>
                    <a:ext uri="{FF2B5EF4-FFF2-40B4-BE49-F238E27FC236}">
                      <a16:creationId xmlns="" xmlns:a16="http://schemas.microsoft.com/office/drawing/2014/main" id="{00000000-0008-0000-2400-0000AEF1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7247" name="Line 157">
                  <a:extLst>
                    <a:ext uri="{FF2B5EF4-FFF2-40B4-BE49-F238E27FC236}">
                      <a16:creationId xmlns="" xmlns:a16="http://schemas.microsoft.com/office/drawing/2014/main" id="{00000000-0008-0000-2400-0000AFF1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7220" name="Group 158">
            <a:extLst>
              <a:ext uri="{FF2B5EF4-FFF2-40B4-BE49-F238E27FC236}">
                <a16:creationId xmlns="" xmlns:a16="http://schemas.microsoft.com/office/drawing/2014/main" id="{00000000-0008-0000-2400-000094F14200}"/>
              </a:ext>
            </a:extLst>
          </xdr:cNvPr>
          <xdr:cNvGrpSpPr>
            <a:grpSpLocks/>
          </xdr:cNvGrpSpPr>
        </xdr:nvGrpSpPr>
        <xdr:grpSpPr bwMode="auto">
          <a:xfrm>
            <a:off x="528" y="633"/>
            <a:ext cx="24" cy="46"/>
            <a:chOff x="358" y="632"/>
            <a:chExt cx="24" cy="35"/>
          </a:xfrm>
        </xdr:grpSpPr>
        <xdr:sp macro="" textlink="">
          <xdr:nvSpPr>
            <xdr:cNvPr id="4387236" name="Line 159">
              <a:extLst>
                <a:ext uri="{FF2B5EF4-FFF2-40B4-BE49-F238E27FC236}">
                  <a16:creationId xmlns="" xmlns:a16="http://schemas.microsoft.com/office/drawing/2014/main" id="{00000000-0008-0000-2400-0000A4F1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7237" name="Group 160">
              <a:extLst>
                <a:ext uri="{FF2B5EF4-FFF2-40B4-BE49-F238E27FC236}">
                  <a16:creationId xmlns="" xmlns:a16="http://schemas.microsoft.com/office/drawing/2014/main" id="{00000000-0008-0000-2400-0000A5F1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7238" name="Line 161">
                <a:extLst>
                  <a:ext uri="{FF2B5EF4-FFF2-40B4-BE49-F238E27FC236}">
                    <a16:creationId xmlns="" xmlns:a16="http://schemas.microsoft.com/office/drawing/2014/main" id="{00000000-0008-0000-2400-0000A6F1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7239" name="Group 162">
                <a:extLst>
                  <a:ext uri="{FF2B5EF4-FFF2-40B4-BE49-F238E27FC236}">
                    <a16:creationId xmlns="" xmlns:a16="http://schemas.microsoft.com/office/drawing/2014/main" id="{00000000-0008-0000-2400-0000A7F1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7240" name="Line 163">
                  <a:extLst>
                    <a:ext uri="{FF2B5EF4-FFF2-40B4-BE49-F238E27FC236}">
                      <a16:creationId xmlns="" xmlns:a16="http://schemas.microsoft.com/office/drawing/2014/main" id="{00000000-0008-0000-2400-0000A8F1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7241" name="Line 164">
                  <a:extLst>
                    <a:ext uri="{FF2B5EF4-FFF2-40B4-BE49-F238E27FC236}">
                      <a16:creationId xmlns="" xmlns:a16="http://schemas.microsoft.com/office/drawing/2014/main" id="{00000000-0008-0000-2400-0000A9F1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7221" name="Group 165">
            <a:extLst>
              <a:ext uri="{FF2B5EF4-FFF2-40B4-BE49-F238E27FC236}">
                <a16:creationId xmlns="" xmlns:a16="http://schemas.microsoft.com/office/drawing/2014/main" id="{00000000-0008-0000-2400-000095F14200}"/>
              </a:ext>
            </a:extLst>
          </xdr:cNvPr>
          <xdr:cNvGrpSpPr>
            <a:grpSpLocks/>
          </xdr:cNvGrpSpPr>
        </xdr:nvGrpSpPr>
        <xdr:grpSpPr bwMode="auto">
          <a:xfrm>
            <a:off x="553" y="633"/>
            <a:ext cx="24" cy="46"/>
            <a:chOff x="358" y="632"/>
            <a:chExt cx="24" cy="35"/>
          </a:xfrm>
        </xdr:grpSpPr>
        <xdr:sp macro="" textlink="">
          <xdr:nvSpPr>
            <xdr:cNvPr id="4387230" name="Line 166">
              <a:extLst>
                <a:ext uri="{FF2B5EF4-FFF2-40B4-BE49-F238E27FC236}">
                  <a16:creationId xmlns="" xmlns:a16="http://schemas.microsoft.com/office/drawing/2014/main" id="{00000000-0008-0000-2400-00009EF1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7231" name="Group 167">
              <a:extLst>
                <a:ext uri="{FF2B5EF4-FFF2-40B4-BE49-F238E27FC236}">
                  <a16:creationId xmlns="" xmlns:a16="http://schemas.microsoft.com/office/drawing/2014/main" id="{00000000-0008-0000-2400-00009FF1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7232" name="Line 168">
                <a:extLst>
                  <a:ext uri="{FF2B5EF4-FFF2-40B4-BE49-F238E27FC236}">
                    <a16:creationId xmlns="" xmlns:a16="http://schemas.microsoft.com/office/drawing/2014/main" id="{00000000-0008-0000-2400-0000A0F1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7233" name="Group 169">
                <a:extLst>
                  <a:ext uri="{FF2B5EF4-FFF2-40B4-BE49-F238E27FC236}">
                    <a16:creationId xmlns="" xmlns:a16="http://schemas.microsoft.com/office/drawing/2014/main" id="{00000000-0008-0000-2400-0000A1F1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7234" name="Line 170">
                  <a:extLst>
                    <a:ext uri="{FF2B5EF4-FFF2-40B4-BE49-F238E27FC236}">
                      <a16:creationId xmlns="" xmlns:a16="http://schemas.microsoft.com/office/drawing/2014/main" id="{00000000-0008-0000-2400-0000A2F1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7235" name="Line 171">
                  <a:extLst>
                    <a:ext uri="{FF2B5EF4-FFF2-40B4-BE49-F238E27FC236}">
                      <a16:creationId xmlns="" xmlns:a16="http://schemas.microsoft.com/office/drawing/2014/main" id="{00000000-0008-0000-2400-0000A3F1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grpSp>
        <xdr:nvGrpSpPr>
          <xdr:cNvPr id="4387222" name="Group 172">
            <a:extLst>
              <a:ext uri="{FF2B5EF4-FFF2-40B4-BE49-F238E27FC236}">
                <a16:creationId xmlns="" xmlns:a16="http://schemas.microsoft.com/office/drawing/2014/main" id="{00000000-0008-0000-2400-000096F14200}"/>
              </a:ext>
            </a:extLst>
          </xdr:cNvPr>
          <xdr:cNvGrpSpPr>
            <a:grpSpLocks/>
          </xdr:cNvGrpSpPr>
        </xdr:nvGrpSpPr>
        <xdr:grpSpPr bwMode="auto">
          <a:xfrm>
            <a:off x="578" y="633"/>
            <a:ext cx="24" cy="46"/>
            <a:chOff x="358" y="632"/>
            <a:chExt cx="24" cy="35"/>
          </a:xfrm>
        </xdr:grpSpPr>
        <xdr:sp macro="" textlink="">
          <xdr:nvSpPr>
            <xdr:cNvPr id="4387224" name="Line 173">
              <a:extLst>
                <a:ext uri="{FF2B5EF4-FFF2-40B4-BE49-F238E27FC236}">
                  <a16:creationId xmlns="" xmlns:a16="http://schemas.microsoft.com/office/drawing/2014/main" id="{00000000-0008-0000-2400-000098F142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8" y="632"/>
              <a:ext cx="6" cy="3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387225" name="Group 174">
              <a:extLst>
                <a:ext uri="{FF2B5EF4-FFF2-40B4-BE49-F238E27FC236}">
                  <a16:creationId xmlns="" xmlns:a16="http://schemas.microsoft.com/office/drawing/2014/main" id="{00000000-0008-0000-2400-000099F142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65" y="632"/>
              <a:ext cx="17" cy="35"/>
              <a:chOff x="312" y="632"/>
              <a:chExt cx="17" cy="35"/>
            </a:xfrm>
          </xdr:grpSpPr>
          <xdr:sp macro="" textlink="">
            <xdr:nvSpPr>
              <xdr:cNvPr id="4387226" name="Line 175">
                <a:extLst>
                  <a:ext uri="{FF2B5EF4-FFF2-40B4-BE49-F238E27FC236}">
                    <a16:creationId xmlns="" xmlns:a16="http://schemas.microsoft.com/office/drawing/2014/main" id="{00000000-0008-0000-2400-00009AF142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318" y="632"/>
                <a:ext cx="6" cy="3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4387227" name="Group 176">
                <a:extLst>
                  <a:ext uri="{FF2B5EF4-FFF2-40B4-BE49-F238E27FC236}">
                    <a16:creationId xmlns="" xmlns:a16="http://schemas.microsoft.com/office/drawing/2014/main" id="{00000000-0008-0000-2400-00009BF142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12" y="632"/>
                <a:ext cx="17" cy="35"/>
                <a:chOff x="312" y="632"/>
                <a:chExt cx="17" cy="35"/>
              </a:xfrm>
            </xdr:grpSpPr>
            <xdr:sp macro="" textlink="">
              <xdr:nvSpPr>
                <xdr:cNvPr id="4387228" name="Line 177">
                  <a:extLst>
                    <a:ext uri="{FF2B5EF4-FFF2-40B4-BE49-F238E27FC236}">
                      <a16:creationId xmlns="" xmlns:a16="http://schemas.microsoft.com/office/drawing/2014/main" id="{00000000-0008-0000-2400-00009CF1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12" y="632"/>
                  <a:ext cx="6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4387229" name="Line 178">
                  <a:extLst>
                    <a:ext uri="{FF2B5EF4-FFF2-40B4-BE49-F238E27FC236}">
                      <a16:creationId xmlns="" xmlns:a16="http://schemas.microsoft.com/office/drawing/2014/main" id="{00000000-0008-0000-2400-00009DF142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324" y="632"/>
                  <a:ext cx="5" cy="3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</xdr:grpSp>
      </xdr:grpSp>
      <xdr:sp macro="" textlink="">
        <xdr:nvSpPr>
          <xdr:cNvPr id="4387223" name="Line 179">
            <a:extLst>
              <a:ext uri="{FF2B5EF4-FFF2-40B4-BE49-F238E27FC236}">
                <a16:creationId xmlns="" xmlns:a16="http://schemas.microsoft.com/office/drawing/2014/main" id="{00000000-0008-0000-2400-000097F14200}"/>
              </a:ext>
            </a:extLst>
          </xdr:cNvPr>
          <xdr:cNvSpPr>
            <a:spLocks noChangeShapeType="1"/>
          </xdr:cNvSpPr>
        </xdr:nvSpPr>
        <xdr:spPr bwMode="auto">
          <a:xfrm>
            <a:off x="603" y="633"/>
            <a:ext cx="6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-3562350</xdr:colOff>
      <xdr:row>23</xdr:row>
      <xdr:rowOff>57150</xdr:rowOff>
    </xdr:from>
    <xdr:to>
      <xdr:col>0</xdr:col>
      <xdr:colOff>-3467100</xdr:colOff>
      <xdr:row>30</xdr:row>
      <xdr:rowOff>57150</xdr:rowOff>
    </xdr:to>
    <xdr:grpSp>
      <xdr:nvGrpSpPr>
        <xdr:cNvPr id="4387180" name="Group 193">
          <a:extLst>
            <a:ext uri="{FF2B5EF4-FFF2-40B4-BE49-F238E27FC236}">
              <a16:creationId xmlns="" xmlns:a16="http://schemas.microsoft.com/office/drawing/2014/main" id="{00000000-0008-0000-2400-00006CF14200}"/>
            </a:ext>
          </a:extLst>
        </xdr:cNvPr>
        <xdr:cNvGrpSpPr>
          <a:grpSpLocks/>
        </xdr:cNvGrpSpPr>
      </xdr:nvGrpSpPr>
      <xdr:grpSpPr bwMode="auto">
        <a:xfrm>
          <a:off x="-3562350" y="8153400"/>
          <a:ext cx="95250" cy="2343150"/>
          <a:chOff x="842" y="438"/>
          <a:chExt cx="10" cy="147"/>
        </a:xfrm>
      </xdr:grpSpPr>
      <xdr:sp macro="" textlink="">
        <xdr:nvSpPr>
          <xdr:cNvPr id="4387207" name="Line 194">
            <a:extLst>
              <a:ext uri="{FF2B5EF4-FFF2-40B4-BE49-F238E27FC236}">
                <a16:creationId xmlns="" xmlns:a16="http://schemas.microsoft.com/office/drawing/2014/main" id="{00000000-0008-0000-2400-000087F14200}"/>
              </a:ext>
            </a:extLst>
          </xdr:cNvPr>
          <xdr:cNvSpPr>
            <a:spLocks noChangeShapeType="1"/>
          </xdr:cNvSpPr>
        </xdr:nvSpPr>
        <xdr:spPr bwMode="auto">
          <a:xfrm>
            <a:off x="847" y="438"/>
            <a:ext cx="0" cy="147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7208" name="Line 195">
            <a:extLst>
              <a:ext uri="{FF2B5EF4-FFF2-40B4-BE49-F238E27FC236}">
                <a16:creationId xmlns="" xmlns:a16="http://schemas.microsoft.com/office/drawing/2014/main" id="{00000000-0008-0000-2400-000088F14200}"/>
              </a:ext>
            </a:extLst>
          </xdr:cNvPr>
          <xdr:cNvSpPr>
            <a:spLocks noChangeShapeType="1"/>
          </xdr:cNvSpPr>
        </xdr:nvSpPr>
        <xdr:spPr bwMode="auto">
          <a:xfrm>
            <a:off x="842" y="443"/>
            <a:ext cx="1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0</xdr:row>
      <xdr:rowOff>133350</xdr:rowOff>
    </xdr:from>
    <xdr:to>
      <xdr:col>21</xdr:col>
      <xdr:colOff>1314450</xdr:colOff>
      <xdr:row>2</xdr:row>
      <xdr:rowOff>28575</xdr:rowOff>
    </xdr:to>
    <xdr:sp macro="" textlink="">
      <xdr:nvSpPr>
        <xdr:cNvPr id="4326125" name="Rectangle 250">
          <a:extLst>
            <a:ext uri="{FF2B5EF4-FFF2-40B4-BE49-F238E27FC236}">
              <a16:creationId xmlns="" xmlns:a16="http://schemas.microsoft.com/office/drawing/2014/main" id="{00000000-0008-0000-2400-0000ED024200}"/>
            </a:ext>
          </a:extLst>
        </xdr:cNvPr>
        <xdr:cNvSpPr>
          <a:spLocks noChangeArrowheads="1"/>
        </xdr:cNvSpPr>
      </xdr:nvSpPr>
      <xdr:spPr bwMode="auto">
        <a:xfrm>
          <a:off x="2324100" y="133350"/>
          <a:ext cx="18630900" cy="5524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>
              <a:alpha val="50000"/>
            </a:srgbClr>
          </a:outerShdw>
        </a:effectLst>
      </xdr:spPr>
      <xdr:txBody>
        <a:bodyPr/>
        <a:lstStyle/>
        <a:p>
          <a:endParaRPr lang="it-IT"/>
        </a:p>
      </xdr:txBody>
    </xdr:sp>
    <xdr:clientData/>
  </xdr:twoCellAnchor>
  <xdr:twoCellAnchor>
    <xdr:from>
      <xdr:col>19</xdr:col>
      <xdr:colOff>990600</xdr:colOff>
      <xdr:row>36</xdr:row>
      <xdr:rowOff>0</xdr:rowOff>
    </xdr:from>
    <xdr:to>
      <xdr:col>19</xdr:col>
      <xdr:colOff>990600</xdr:colOff>
      <xdr:row>36</xdr:row>
      <xdr:rowOff>0</xdr:rowOff>
    </xdr:to>
    <xdr:sp macro="" textlink="">
      <xdr:nvSpPr>
        <xdr:cNvPr id="4387182" name="Line 251">
          <a:extLst>
            <a:ext uri="{FF2B5EF4-FFF2-40B4-BE49-F238E27FC236}">
              <a16:creationId xmlns="" xmlns:a16="http://schemas.microsoft.com/office/drawing/2014/main" id="{00000000-0008-0000-2400-00006EF14200}"/>
            </a:ext>
          </a:extLst>
        </xdr:cNvPr>
        <xdr:cNvSpPr>
          <a:spLocks noChangeShapeType="1"/>
        </xdr:cNvSpPr>
      </xdr:nvSpPr>
      <xdr:spPr bwMode="auto">
        <a:xfrm>
          <a:off x="19478625" y="129063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285750</xdr:colOff>
      <xdr:row>22</xdr:row>
      <xdr:rowOff>133350</xdr:rowOff>
    </xdr:from>
    <xdr:to>
      <xdr:col>10</xdr:col>
      <xdr:colOff>647700</xdr:colOff>
      <xdr:row>34</xdr:row>
      <xdr:rowOff>123825</xdr:rowOff>
    </xdr:to>
    <xdr:grpSp>
      <xdr:nvGrpSpPr>
        <xdr:cNvPr id="4387183" name="Gruppo 254">
          <a:extLst>
            <a:ext uri="{FF2B5EF4-FFF2-40B4-BE49-F238E27FC236}">
              <a16:creationId xmlns="" xmlns:a16="http://schemas.microsoft.com/office/drawing/2014/main" id="{00000000-0008-0000-2400-00006FF14200}"/>
            </a:ext>
          </a:extLst>
        </xdr:cNvPr>
        <xdr:cNvGrpSpPr>
          <a:grpSpLocks/>
        </xdr:cNvGrpSpPr>
      </xdr:nvGrpSpPr>
      <xdr:grpSpPr bwMode="auto">
        <a:xfrm>
          <a:off x="2609850" y="8039100"/>
          <a:ext cx="10134600" cy="4352925"/>
          <a:chOff x="32032547" y="4916090"/>
          <a:chExt cx="6320731" cy="4069880"/>
        </a:xfrm>
      </xdr:grpSpPr>
      <xdr:sp macro="" textlink="">
        <xdr:nvSpPr>
          <xdr:cNvPr id="4387185" name="Line 181">
            <a:extLst>
              <a:ext uri="{FF2B5EF4-FFF2-40B4-BE49-F238E27FC236}">
                <a16:creationId xmlns="" xmlns:a16="http://schemas.microsoft.com/office/drawing/2014/main" id="{00000000-0008-0000-2400-000071F1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039228" y="6007380"/>
            <a:ext cx="481071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7186" name="Line 182">
            <a:extLst>
              <a:ext uri="{FF2B5EF4-FFF2-40B4-BE49-F238E27FC236}">
                <a16:creationId xmlns="" xmlns:a16="http://schemas.microsoft.com/office/drawing/2014/main" id="{00000000-0008-0000-2400-000072F14200}"/>
              </a:ext>
            </a:extLst>
          </xdr:cNvPr>
          <xdr:cNvSpPr>
            <a:spLocks noChangeShapeType="1"/>
          </xdr:cNvSpPr>
        </xdr:nvSpPr>
        <xdr:spPr bwMode="auto">
          <a:xfrm>
            <a:off x="32039228" y="5327889"/>
            <a:ext cx="0" cy="365808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7187" name="Line 183">
            <a:extLst>
              <a:ext uri="{FF2B5EF4-FFF2-40B4-BE49-F238E27FC236}">
                <a16:creationId xmlns="" xmlns:a16="http://schemas.microsoft.com/office/drawing/2014/main" id="{00000000-0008-0000-2400-000073F14200}"/>
              </a:ext>
            </a:extLst>
          </xdr:cNvPr>
          <xdr:cNvSpPr>
            <a:spLocks noChangeShapeType="1"/>
          </xdr:cNvSpPr>
        </xdr:nvSpPr>
        <xdr:spPr bwMode="auto">
          <a:xfrm>
            <a:off x="32045909" y="6407627"/>
            <a:ext cx="13630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7188" name="Line 184">
            <a:extLst>
              <a:ext uri="{FF2B5EF4-FFF2-40B4-BE49-F238E27FC236}">
                <a16:creationId xmlns="" xmlns:a16="http://schemas.microsoft.com/office/drawing/2014/main" id="{00000000-0008-0000-2400-000074F14200}"/>
              </a:ext>
            </a:extLst>
          </xdr:cNvPr>
          <xdr:cNvSpPr>
            <a:spLocks noChangeShapeType="1"/>
          </xdr:cNvSpPr>
        </xdr:nvSpPr>
        <xdr:spPr bwMode="auto">
          <a:xfrm>
            <a:off x="32039228" y="6863724"/>
            <a:ext cx="223163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7189" name="Line 185">
            <a:extLst>
              <a:ext uri="{FF2B5EF4-FFF2-40B4-BE49-F238E27FC236}">
                <a16:creationId xmlns="" xmlns:a16="http://schemas.microsoft.com/office/drawing/2014/main" id="{00000000-0008-0000-2400-000075F1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45909" y="7254664"/>
            <a:ext cx="3060143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7190" name="Line 186">
            <a:extLst>
              <a:ext uri="{FF2B5EF4-FFF2-40B4-BE49-F238E27FC236}">
                <a16:creationId xmlns="" xmlns:a16="http://schemas.microsoft.com/office/drawing/2014/main" id="{00000000-0008-0000-2400-000076F14200}"/>
              </a:ext>
            </a:extLst>
          </xdr:cNvPr>
          <xdr:cNvSpPr>
            <a:spLocks noChangeShapeType="1"/>
          </xdr:cNvSpPr>
        </xdr:nvSpPr>
        <xdr:spPr bwMode="auto">
          <a:xfrm>
            <a:off x="32520299" y="4964873"/>
            <a:ext cx="0" cy="115420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7191" name="Line 187">
            <a:extLst>
              <a:ext uri="{FF2B5EF4-FFF2-40B4-BE49-F238E27FC236}">
                <a16:creationId xmlns="" xmlns:a16="http://schemas.microsoft.com/office/drawing/2014/main" id="{00000000-0008-0000-2400-000077F14200}"/>
              </a:ext>
            </a:extLst>
          </xdr:cNvPr>
          <xdr:cNvSpPr>
            <a:spLocks noChangeShapeType="1"/>
          </xdr:cNvSpPr>
        </xdr:nvSpPr>
        <xdr:spPr bwMode="auto">
          <a:xfrm>
            <a:off x="32065954" y="5030029"/>
            <a:ext cx="414255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7192" name="Line 188">
            <a:extLst>
              <a:ext uri="{FF2B5EF4-FFF2-40B4-BE49-F238E27FC236}">
                <a16:creationId xmlns="" xmlns:a16="http://schemas.microsoft.com/office/drawing/2014/main" id="{00000000-0008-0000-2400-000078F14200}"/>
              </a:ext>
            </a:extLst>
          </xdr:cNvPr>
          <xdr:cNvSpPr>
            <a:spLocks noChangeShapeType="1"/>
          </xdr:cNvSpPr>
        </xdr:nvSpPr>
        <xdr:spPr bwMode="auto">
          <a:xfrm>
            <a:off x="33408943" y="4955565"/>
            <a:ext cx="0" cy="149860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7193" name="Line 189">
            <a:extLst>
              <a:ext uri="{FF2B5EF4-FFF2-40B4-BE49-F238E27FC236}">
                <a16:creationId xmlns="" xmlns:a16="http://schemas.microsoft.com/office/drawing/2014/main" id="{00000000-0008-0000-2400-000079F14200}"/>
              </a:ext>
            </a:extLst>
          </xdr:cNvPr>
          <xdr:cNvSpPr>
            <a:spLocks noChangeShapeType="1"/>
          </xdr:cNvSpPr>
        </xdr:nvSpPr>
        <xdr:spPr bwMode="auto">
          <a:xfrm>
            <a:off x="32841012" y="5039338"/>
            <a:ext cx="88864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7194" name="Line 191">
            <a:extLst>
              <a:ext uri="{FF2B5EF4-FFF2-40B4-BE49-F238E27FC236}">
                <a16:creationId xmlns="" xmlns:a16="http://schemas.microsoft.com/office/drawing/2014/main" id="{00000000-0008-0000-2400-00007AF14200}"/>
              </a:ext>
            </a:extLst>
          </xdr:cNvPr>
          <xdr:cNvSpPr>
            <a:spLocks noChangeShapeType="1"/>
          </xdr:cNvSpPr>
        </xdr:nvSpPr>
        <xdr:spPr bwMode="auto">
          <a:xfrm>
            <a:off x="34241720" y="5042775"/>
            <a:ext cx="0" cy="209917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7195" name="Rectangle 196">
            <a:extLst>
              <a:ext uri="{FF2B5EF4-FFF2-40B4-BE49-F238E27FC236}">
                <a16:creationId xmlns="" xmlns:a16="http://schemas.microsoft.com/office/drawing/2014/main" id="{00000000-0008-0000-2400-00007BF14200}"/>
              </a:ext>
            </a:extLst>
          </xdr:cNvPr>
          <xdr:cNvSpPr>
            <a:spLocks noChangeArrowheads="1"/>
          </xdr:cNvSpPr>
        </xdr:nvSpPr>
        <xdr:spPr bwMode="auto">
          <a:xfrm>
            <a:off x="32039227" y="4918332"/>
            <a:ext cx="6314051" cy="363016"/>
          </a:xfrm>
          <a:prstGeom prst="rect">
            <a:avLst/>
          </a:prstGeom>
          <a:noFill/>
          <a:ln w="158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87196" name="Line 197">
            <a:extLst>
              <a:ext uri="{FF2B5EF4-FFF2-40B4-BE49-F238E27FC236}">
                <a16:creationId xmlns="" xmlns:a16="http://schemas.microsoft.com/office/drawing/2014/main" id="{00000000-0008-0000-2400-00007CF14200}"/>
              </a:ext>
            </a:extLst>
          </xdr:cNvPr>
          <xdr:cNvSpPr>
            <a:spLocks noChangeShapeType="1"/>
          </xdr:cNvSpPr>
        </xdr:nvSpPr>
        <xdr:spPr bwMode="auto">
          <a:xfrm>
            <a:off x="38039246" y="4955565"/>
            <a:ext cx="0" cy="3983864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7197" name="Line 199">
            <a:extLst>
              <a:ext uri="{FF2B5EF4-FFF2-40B4-BE49-F238E27FC236}">
                <a16:creationId xmlns="" xmlns:a16="http://schemas.microsoft.com/office/drawing/2014/main" id="{00000000-0008-0000-2400-00007DF142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2032547" y="8939429"/>
            <a:ext cx="600001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7198" name="Line 201">
            <a:extLst>
              <a:ext uri="{FF2B5EF4-FFF2-40B4-BE49-F238E27FC236}">
                <a16:creationId xmlns="" xmlns:a16="http://schemas.microsoft.com/office/drawing/2014/main" id="{00000000-0008-0000-2400-00007EF1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5082562" y="5032371"/>
            <a:ext cx="0" cy="2362448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7199" name="Line 202">
            <a:extLst>
              <a:ext uri="{FF2B5EF4-FFF2-40B4-BE49-F238E27FC236}">
                <a16:creationId xmlns="" xmlns:a16="http://schemas.microsoft.com/office/drawing/2014/main" id="{00000000-0008-0000-2400-00007FF1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7758028" y="5032371"/>
            <a:ext cx="8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7200" name="Line 203">
            <a:extLst>
              <a:ext uri="{FF2B5EF4-FFF2-40B4-BE49-F238E27FC236}">
                <a16:creationId xmlns="" xmlns:a16="http://schemas.microsoft.com/office/drawing/2014/main" id="{00000000-0008-0000-2400-000080F1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7692145"/>
            <a:ext cx="3888654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7201" name="Line 204">
            <a:extLst>
              <a:ext uri="{FF2B5EF4-FFF2-40B4-BE49-F238E27FC236}">
                <a16:creationId xmlns="" xmlns:a16="http://schemas.microsoft.com/office/drawing/2014/main" id="{00000000-0008-0000-2400-000081F1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8148242"/>
            <a:ext cx="4697119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7202" name="Line 205">
            <a:extLst>
              <a:ext uri="{FF2B5EF4-FFF2-40B4-BE49-F238E27FC236}">
                <a16:creationId xmlns="" xmlns:a16="http://schemas.microsoft.com/office/drawing/2014/main" id="{00000000-0008-0000-2400-000082F142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032547" y="8529873"/>
            <a:ext cx="5405362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 type="stealth" w="med" len="med"/>
            <a:tailEnd type="stealth" w="med" len="med"/>
          </a:ln>
        </xdr:spPr>
      </xdr:sp>
      <xdr:sp macro="" textlink="">
        <xdr:nvSpPr>
          <xdr:cNvPr id="4387203" name="Line 207">
            <a:extLst>
              <a:ext uri="{FF2B5EF4-FFF2-40B4-BE49-F238E27FC236}">
                <a16:creationId xmlns="" xmlns:a16="http://schemas.microsoft.com/office/drawing/2014/main" id="{00000000-0008-0000-2400-000083F14200}"/>
              </a:ext>
            </a:extLst>
          </xdr:cNvPr>
          <xdr:cNvSpPr>
            <a:spLocks noChangeShapeType="1"/>
          </xdr:cNvSpPr>
        </xdr:nvSpPr>
        <xdr:spPr bwMode="auto">
          <a:xfrm>
            <a:off x="35903589" y="4964873"/>
            <a:ext cx="0" cy="2915331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7204" name="Line 210">
            <a:extLst>
              <a:ext uri="{FF2B5EF4-FFF2-40B4-BE49-F238E27FC236}">
                <a16:creationId xmlns="" xmlns:a16="http://schemas.microsoft.com/office/drawing/2014/main" id="{00000000-0008-0000-2400-000084F14200}"/>
              </a:ext>
            </a:extLst>
          </xdr:cNvPr>
          <xdr:cNvSpPr>
            <a:spLocks noChangeShapeType="1"/>
          </xdr:cNvSpPr>
        </xdr:nvSpPr>
        <xdr:spPr bwMode="auto">
          <a:xfrm>
            <a:off x="37410345" y="4985564"/>
            <a:ext cx="0" cy="3620849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7205" name="Line 212">
            <a:extLst>
              <a:ext uri="{FF2B5EF4-FFF2-40B4-BE49-F238E27FC236}">
                <a16:creationId xmlns="" xmlns:a16="http://schemas.microsoft.com/office/drawing/2014/main" id="{00000000-0008-0000-2400-000085F14200}"/>
              </a:ext>
            </a:extLst>
          </xdr:cNvPr>
          <xdr:cNvSpPr>
            <a:spLocks noChangeShapeType="1"/>
          </xdr:cNvSpPr>
        </xdr:nvSpPr>
        <xdr:spPr bwMode="auto">
          <a:xfrm>
            <a:off x="37945705" y="5039338"/>
            <a:ext cx="173720" cy="0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  <xdr:sp macro="" textlink="">
        <xdr:nvSpPr>
          <xdr:cNvPr id="4387206" name="Line 210">
            <a:extLst>
              <a:ext uri="{FF2B5EF4-FFF2-40B4-BE49-F238E27FC236}">
                <a16:creationId xmlns="" xmlns:a16="http://schemas.microsoft.com/office/drawing/2014/main" id="{00000000-0008-0000-2400-000086F14200}"/>
              </a:ext>
            </a:extLst>
          </xdr:cNvPr>
          <xdr:cNvSpPr>
            <a:spLocks noChangeShapeType="1"/>
          </xdr:cNvSpPr>
        </xdr:nvSpPr>
        <xdr:spPr bwMode="auto">
          <a:xfrm>
            <a:off x="36723957" y="4916090"/>
            <a:ext cx="0" cy="3347106"/>
          </a:xfrm>
          <a:prstGeom prst="line">
            <a:avLst/>
          </a:prstGeom>
          <a:noFill/>
          <a:ln w="9525">
            <a:solidFill>
              <a:srgbClr val="969696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12</xdr:col>
      <xdr:colOff>142875</xdr:colOff>
      <xdr:row>19</xdr:row>
      <xdr:rowOff>114300</xdr:rowOff>
    </xdr:from>
    <xdr:to>
      <xdr:col>21</xdr:col>
      <xdr:colOff>390525</xdr:colOff>
      <xdr:row>31</xdr:row>
      <xdr:rowOff>152400</xdr:rowOff>
    </xdr:to>
    <xdr:pic>
      <xdr:nvPicPr>
        <xdr:cNvPr id="4387184" name="Picture 25917">
          <a:extLst>
            <a:ext uri="{FF2B5EF4-FFF2-40B4-BE49-F238E27FC236}">
              <a16:creationId xmlns="" xmlns:a16="http://schemas.microsoft.com/office/drawing/2014/main" id="{00000000-0008-0000-2400-000070F14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154025" y="7115175"/>
          <a:ext cx="7753350" cy="3790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107\lh3\Users\cstallo\Documents\PlisseCollection\foglio%20lavoro%208%20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107\lh3\Documenti_EDP\Dev_PRN\omnica\LabelPRN_5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107\lh3\Documenti_EDP\Dev_PRN\TROTTA\LabelPRN_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107\lh3\Users\Public\Documents\LabelPRN_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107\lh3\Documents%20and%20Settings\vlorusso\Desktop\LabelPRN_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uli"/>
      <sheetName val="F.Lavoro 88L"/>
      <sheetName val="F.LAVORO 8L"/>
      <sheetName val="Articoli"/>
      <sheetName val="ANALISI  COMPARATE -Plissè 8 L"/>
    </sheetNames>
    <sheetDataSet>
      <sheetData sheetId="0"/>
      <sheetData sheetId="1"/>
      <sheetData sheetId="2"/>
      <sheetData sheetId="3">
        <row r="1">
          <cell r="A1" t="str">
            <v>ELENCO ARTICOLI PLISSE'</v>
          </cell>
        </row>
        <row r="2">
          <cell r="A2" t="str">
            <v>Alluminio</v>
          </cell>
        </row>
        <row r="3">
          <cell r="A3" t="str">
            <v>Codice</v>
          </cell>
          <cell r="B3" t="str">
            <v>Descrizione</v>
          </cell>
          <cell r="C3" t="str">
            <v>U.M.</v>
          </cell>
          <cell r="D3" t="str">
            <v>Lung.Barre</v>
          </cell>
          <cell r="E3" t="str">
            <v>Peso</v>
          </cell>
          <cell r="F3" t="str">
            <v>Kg/Br</v>
          </cell>
          <cell r="H3" t="str">
            <v>Prezzo</v>
          </cell>
        </row>
        <row r="4">
          <cell r="A4" t="str">
            <v>PSALCOM1</v>
          </cell>
          <cell r="B4" t="str">
            <v>COMPENSATORE PLISSE'</v>
          </cell>
          <cell r="C4" t="str">
            <v>KG</v>
          </cell>
          <cell r="D4">
            <v>6700</v>
          </cell>
          <cell r="E4">
            <v>0.55500000000000005</v>
          </cell>
          <cell r="F4">
            <v>3.7185000000000006</v>
          </cell>
          <cell r="H4">
            <v>4</v>
          </cell>
        </row>
        <row r="5">
          <cell r="A5" t="str">
            <v xml:space="preserve">PSALCOM </v>
          </cell>
          <cell r="B5" t="str">
            <v>COMPENSATORE PLISSE' LISCIO</v>
          </cell>
          <cell r="C5" t="str">
            <v>KG</v>
          </cell>
          <cell r="D5">
            <v>6700</v>
          </cell>
          <cell r="E5">
            <v>0.45700000000000002</v>
          </cell>
          <cell r="F5">
            <v>3.0619000000000001</v>
          </cell>
          <cell r="H5">
            <v>4</v>
          </cell>
        </row>
        <row r="6">
          <cell r="A6" t="str">
            <v>PSALINC</v>
          </cell>
          <cell r="B6" t="str">
            <v>INCASSO PLISSE'</v>
          </cell>
          <cell r="C6" t="str">
            <v>KG</v>
          </cell>
          <cell r="D6">
            <v>5000</v>
          </cell>
          <cell r="E6">
            <v>0.42299999999999999</v>
          </cell>
          <cell r="F6">
            <v>2.1150000000000002</v>
          </cell>
          <cell r="H6">
            <v>4</v>
          </cell>
        </row>
        <row r="7">
          <cell r="A7" t="str">
            <v>PSALCHI1</v>
          </cell>
          <cell r="B7" t="str">
            <v>CHIUSURA PLISSE'</v>
          </cell>
          <cell r="C7" t="str">
            <v>KG</v>
          </cell>
          <cell r="D7">
            <v>6700</v>
          </cell>
          <cell r="E7">
            <v>0.24099999999999999</v>
          </cell>
          <cell r="F7">
            <v>1.6147</v>
          </cell>
          <cell r="H7">
            <v>4</v>
          </cell>
        </row>
        <row r="8">
          <cell r="A8" t="str">
            <v>PSALDOR8</v>
          </cell>
          <cell r="B8" t="str">
            <v>DORSO PLISSE' 8L</v>
          </cell>
          <cell r="C8" t="str">
            <v>KG</v>
          </cell>
          <cell r="D8">
            <v>5000</v>
          </cell>
          <cell r="E8">
            <v>0.33500000000000002</v>
          </cell>
          <cell r="F8">
            <v>1.675</v>
          </cell>
          <cell r="H8">
            <v>4</v>
          </cell>
        </row>
        <row r="9">
          <cell r="A9" t="str">
            <v>PSALDOR881</v>
          </cell>
          <cell r="B9" t="str">
            <v>DORSO PLISSE'</v>
          </cell>
          <cell r="C9" t="str">
            <v>KG</v>
          </cell>
          <cell r="D9">
            <v>6700</v>
          </cell>
          <cell r="E9">
            <v>0.48</v>
          </cell>
          <cell r="F9">
            <v>3.2160000000000002</v>
          </cell>
          <cell r="H9">
            <v>4</v>
          </cell>
        </row>
        <row r="10">
          <cell r="A10" t="str">
            <v>PSALSCO1</v>
          </cell>
          <cell r="B10" t="str">
            <v>SCORREVOLE PLISSE'</v>
          </cell>
          <cell r="C10" t="str">
            <v>KG</v>
          </cell>
          <cell r="D10">
            <v>6700</v>
          </cell>
          <cell r="E10">
            <v>0.54200000000000004</v>
          </cell>
          <cell r="F10">
            <v>3.6314000000000002</v>
          </cell>
          <cell r="H10">
            <v>4</v>
          </cell>
        </row>
        <row r="11">
          <cell r="A11" t="str">
            <v>PSALGA</v>
          </cell>
          <cell r="B11" t="str">
            <v>INCASSO PLISSE' + GUIDA TAPPARELLA</v>
          </cell>
          <cell r="C11" t="str">
            <v>KG</v>
          </cell>
          <cell r="D11">
            <v>5000</v>
          </cell>
          <cell r="E11">
            <v>0.85599999999999998</v>
          </cell>
          <cell r="F11">
            <v>4.28</v>
          </cell>
          <cell r="H11">
            <v>4</v>
          </cell>
        </row>
        <row r="14">
          <cell r="A14" t="str">
            <v>Accessori</v>
          </cell>
          <cell r="E14" t="str">
            <v>Sconto</v>
          </cell>
          <cell r="F14" t="str">
            <v>Aumento</v>
          </cell>
        </row>
        <row r="15">
          <cell r="A15" t="str">
            <v>Codice</v>
          </cell>
          <cell r="B15" t="str">
            <v>Descrizione</v>
          </cell>
          <cell r="C15" t="str">
            <v>U.M.</v>
          </cell>
          <cell r="D15" t="str">
            <v>Prezzo</v>
          </cell>
          <cell r="E15">
            <v>0</v>
          </cell>
          <cell r="F15">
            <v>0</v>
          </cell>
          <cell r="H15" t="str">
            <v>Prezzo Acq.</v>
          </cell>
        </row>
        <row r="16">
          <cell r="A16" t="str">
            <v>PSRETE2700</v>
          </cell>
          <cell r="B16" t="str">
            <v>RETE PLISSE' H 2700 NERA</v>
          </cell>
          <cell r="C16" t="str">
            <v>ML</v>
          </cell>
          <cell r="D16">
            <v>11.5</v>
          </cell>
          <cell r="E16">
            <v>0</v>
          </cell>
          <cell r="F16">
            <v>0</v>
          </cell>
          <cell r="H16">
            <v>11.5</v>
          </cell>
        </row>
        <row r="17">
          <cell r="A17" t="str">
            <v>PSRETE2500</v>
          </cell>
          <cell r="B17" t="str">
            <v>RETE PLISSE' H 2500 NERA</v>
          </cell>
          <cell r="C17" t="str">
            <v>ML</v>
          </cell>
          <cell r="D17">
            <v>7.25</v>
          </cell>
          <cell r="E17">
            <v>0</v>
          </cell>
          <cell r="F17">
            <v>0</v>
          </cell>
          <cell r="H17">
            <v>7.25</v>
          </cell>
        </row>
        <row r="18">
          <cell r="A18" t="str">
            <v>PSRETE2500GR</v>
          </cell>
          <cell r="B18" t="str">
            <v>RETE PLISSE' H 2500 GRIGIA</v>
          </cell>
          <cell r="C18" t="str">
            <v>ML</v>
          </cell>
          <cell r="D18">
            <v>8.4600000000000009</v>
          </cell>
          <cell r="E18">
            <v>0</v>
          </cell>
          <cell r="F18">
            <v>0</v>
          </cell>
          <cell r="H18">
            <v>8.4600000000000009</v>
          </cell>
        </row>
        <row r="19">
          <cell r="A19" t="str">
            <v>PSRETE2600</v>
          </cell>
          <cell r="B19" t="str">
            <v>RETE PLISSE' H 2600 NERA</v>
          </cell>
          <cell r="C19" t="str">
            <v>ML</v>
          </cell>
          <cell r="D19">
            <v>9.57</v>
          </cell>
          <cell r="E19">
            <v>0</v>
          </cell>
          <cell r="F19">
            <v>0</v>
          </cell>
          <cell r="H19">
            <v>9.57</v>
          </cell>
        </row>
        <row r="20">
          <cell r="A20" t="str">
            <v>PSRETE2600GR</v>
          </cell>
          <cell r="B20" t="str">
            <v>RETE PLISSE' H 2600 GRIGIA</v>
          </cell>
          <cell r="C20" t="str">
            <v>ML</v>
          </cell>
          <cell r="D20">
            <v>10.78</v>
          </cell>
          <cell r="E20">
            <v>0</v>
          </cell>
          <cell r="F20">
            <v>0</v>
          </cell>
          <cell r="H20">
            <v>10.78</v>
          </cell>
        </row>
        <row r="21">
          <cell r="A21" t="str">
            <v>PSAC06A</v>
          </cell>
          <cell r="B21" t="str">
            <v>FASCETTE PVC ANCORAGGIO RETE H 2700</v>
          </cell>
          <cell r="C21" t="str">
            <v>PZ</v>
          </cell>
          <cell r="D21">
            <v>2.5</v>
          </cell>
          <cell r="E21">
            <v>0</v>
          </cell>
          <cell r="F21">
            <v>0</v>
          </cell>
          <cell r="H21">
            <v>2.5</v>
          </cell>
        </row>
        <row r="22">
          <cell r="A22" t="str">
            <v>PSAC06</v>
          </cell>
          <cell r="B22" t="str">
            <v>FASCETTE PVC ANCORAGGIO RETE H 2600</v>
          </cell>
          <cell r="C22" t="str">
            <v>PZ</v>
          </cell>
          <cell r="D22">
            <v>2.16</v>
          </cell>
          <cell r="E22">
            <v>0</v>
          </cell>
          <cell r="F22">
            <v>0</v>
          </cell>
          <cell r="H22">
            <v>2.16</v>
          </cell>
        </row>
        <row r="23">
          <cell r="A23" t="str">
            <v>PSAC07</v>
          </cell>
          <cell r="B23" t="str">
            <v>FILO PLISSE'</v>
          </cell>
          <cell r="C23" t="str">
            <v>ML</v>
          </cell>
          <cell r="D23">
            <v>0.26</v>
          </cell>
          <cell r="E23">
            <v>0</v>
          </cell>
          <cell r="F23">
            <v>0</v>
          </cell>
          <cell r="H23">
            <v>0.26</v>
          </cell>
        </row>
        <row r="24">
          <cell r="A24" t="str">
            <v>PSAC10</v>
          </cell>
          <cell r="B24" t="str">
            <v>GUIDA FILO DESTRO</v>
          </cell>
          <cell r="C24" t="str">
            <v>PZ</v>
          </cell>
          <cell r="D24">
            <v>0.19</v>
          </cell>
          <cell r="E24">
            <v>0</v>
          </cell>
          <cell r="F24">
            <v>0</v>
          </cell>
          <cell r="H24">
            <v>0.19</v>
          </cell>
        </row>
        <row r="25">
          <cell r="A25" t="str">
            <v>PSAC09</v>
          </cell>
          <cell r="B25" t="str">
            <v>GUIDA FILO CENTRALE</v>
          </cell>
          <cell r="C25" t="str">
            <v>PZ</v>
          </cell>
          <cell r="D25">
            <v>0.13</v>
          </cell>
          <cell r="E25">
            <v>0</v>
          </cell>
          <cell r="F25">
            <v>0</v>
          </cell>
          <cell r="H25">
            <v>0.13</v>
          </cell>
        </row>
        <row r="26">
          <cell r="A26" t="str">
            <v>PSAC08</v>
          </cell>
          <cell r="B26" t="str">
            <v>GUIDA FILO SINISTRO</v>
          </cell>
          <cell r="C26" t="str">
            <v>PZ</v>
          </cell>
          <cell r="D26">
            <v>0.19</v>
          </cell>
          <cell r="E26">
            <v>0</v>
          </cell>
          <cell r="F26">
            <v>0</v>
          </cell>
          <cell r="H26">
            <v>0.19</v>
          </cell>
        </row>
        <row r="27">
          <cell r="A27" t="str">
            <v>PSAC-M23</v>
          </cell>
          <cell r="B27" t="str">
            <v>BLOCCHI REG. CORDINO MINIPLISSE'</v>
          </cell>
          <cell r="C27" t="str">
            <v>PZ</v>
          </cell>
          <cell r="D27">
            <v>0.4</v>
          </cell>
          <cell r="E27">
            <v>0</v>
          </cell>
          <cell r="F27">
            <v>0</v>
          </cell>
          <cell r="H27">
            <v>0.4</v>
          </cell>
        </row>
        <row r="28">
          <cell r="A28" t="str">
            <v>PSAC-M33</v>
          </cell>
          <cell r="B28" t="str">
            <v>VITE M 4X6 MINIPLISSE'</v>
          </cell>
          <cell r="C28" t="str">
            <v>PZ</v>
          </cell>
          <cell r="D28">
            <v>0.04</v>
          </cell>
          <cell r="E28">
            <v>0</v>
          </cell>
          <cell r="F28">
            <v>0</v>
          </cell>
          <cell r="H28">
            <v>0.04</v>
          </cell>
        </row>
        <row r="29">
          <cell r="A29" t="str">
            <v>PSAC11</v>
          </cell>
          <cell r="B29" t="str">
            <v>TAPPO TESTATA SUPERIORE PROFILO SCORREVOLE</v>
          </cell>
          <cell r="C29" t="str">
            <v>PZ</v>
          </cell>
          <cell r="D29">
            <v>0.21</v>
          </cell>
          <cell r="E29">
            <v>0</v>
          </cell>
          <cell r="F29">
            <v>0</v>
          </cell>
          <cell r="H29">
            <v>0.21</v>
          </cell>
        </row>
        <row r="30">
          <cell r="A30" t="str">
            <v>PSAC12</v>
          </cell>
          <cell r="B30" t="str">
            <v>TAPPO TESTATA SUPERIORE PROFILO A MURO</v>
          </cell>
          <cell r="C30" t="str">
            <v>PZ</v>
          </cell>
          <cell r="D30">
            <v>0.21</v>
          </cell>
          <cell r="E30">
            <v>0</v>
          </cell>
          <cell r="F30">
            <v>0</v>
          </cell>
          <cell r="H30">
            <v>0.21</v>
          </cell>
        </row>
        <row r="31">
          <cell r="A31" t="str">
            <v>PSAC13</v>
          </cell>
          <cell r="B31" t="str">
            <v>TESTATA SUPERIORE PROFILO SCORREVOLE</v>
          </cell>
          <cell r="C31" t="str">
            <v>PZ</v>
          </cell>
          <cell r="D31">
            <v>1.21</v>
          </cell>
          <cell r="E31">
            <v>0</v>
          </cell>
          <cell r="F31">
            <v>0</v>
          </cell>
          <cell r="H31">
            <v>1.21</v>
          </cell>
        </row>
        <row r="32">
          <cell r="A32" t="str">
            <v>PSAC14A</v>
          </cell>
          <cell r="B32" t="str">
            <v>TESTATA PROFILO DORSO SUP. E INF.8 L</v>
          </cell>
          <cell r="C32" t="str">
            <v>PZ</v>
          </cell>
          <cell r="D32">
            <v>1.17</v>
          </cell>
          <cell r="E32">
            <v>0</v>
          </cell>
          <cell r="F32">
            <v>0</v>
          </cell>
          <cell r="H32">
            <v>1.17</v>
          </cell>
        </row>
        <row r="33">
          <cell r="A33" t="str">
            <v>PSAC14</v>
          </cell>
          <cell r="B33" t="str">
            <v>TESTATA SUPERIORE PROFILO DORSO</v>
          </cell>
          <cell r="C33" t="str">
            <v>PZ</v>
          </cell>
          <cell r="D33">
            <v>1.17</v>
          </cell>
          <cell r="E33">
            <v>0</v>
          </cell>
          <cell r="F33">
            <v>0</v>
          </cell>
          <cell r="H33">
            <v>1.17</v>
          </cell>
        </row>
        <row r="34">
          <cell r="A34" t="str">
            <v>PSAC15</v>
          </cell>
          <cell r="B34" t="str">
            <v>TESTATA INFERIORE PROFILO SCORREVOLE</v>
          </cell>
          <cell r="C34" t="str">
            <v>PZ</v>
          </cell>
          <cell r="D34">
            <v>1.17</v>
          </cell>
          <cell r="E34">
            <v>0</v>
          </cell>
          <cell r="F34">
            <v>0</v>
          </cell>
          <cell r="H34">
            <v>1.17</v>
          </cell>
        </row>
        <row r="35">
          <cell r="A35" t="str">
            <v>PSAC16</v>
          </cell>
          <cell r="B35" t="str">
            <v>TESTATA INFERIORE PROFILO DORSO</v>
          </cell>
          <cell r="C35" t="str">
            <v>PZ</v>
          </cell>
          <cell r="D35">
            <v>1.17</v>
          </cell>
          <cell r="E35">
            <v>0</v>
          </cell>
          <cell r="F35">
            <v>0</v>
          </cell>
          <cell r="H35">
            <v>1.17</v>
          </cell>
        </row>
        <row r="36">
          <cell r="A36" t="str">
            <v>PSAC17</v>
          </cell>
          <cell r="B36" t="str">
            <v>PORTASPAZZOLINO PLISSE' L. 2300</v>
          </cell>
          <cell r="C36" t="str">
            <v>PZ</v>
          </cell>
          <cell r="D36">
            <v>1.4</v>
          </cell>
          <cell r="E36">
            <v>0</v>
          </cell>
          <cell r="F36">
            <v>0</v>
          </cell>
          <cell r="H36">
            <v>1.4</v>
          </cell>
        </row>
        <row r="37">
          <cell r="A37" t="str">
            <v>PSAC17B</v>
          </cell>
          <cell r="B37" t="str">
            <v>PORTASPAZZOLINO PLISSE' L. 2600</v>
          </cell>
          <cell r="C37" t="str">
            <v>PZ</v>
          </cell>
          <cell r="D37">
            <v>2</v>
          </cell>
          <cell r="E37">
            <v>0</v>
          </cell>
          <cell r="F37">
            <v>0</v>
          </cell>
          <cell r="H37">
            <v>2</v>
          </cell>
        </row>
        <row r="38">
          <cell r="A38" t="str">
            <v>PSAC17A</v>
          </cell>
          <cell r="B38" t="str">
            <v>PORTASPAZZOLINO PLISSE' L. 2470</v>
          </cell>
          <cell r="C38" t="str">
            <v>PZ</v>
          </cell>
          <cell r="D38">
            <v>1.7</v>
          </cell>
          <cell r="E38">
            <v>0</v>
          </cell>
          <cell r="F38">
            <v>0</v>
          </cell>
          <cell r="H38">
            <v>1.7</v>
          </cell>
        </row>
        <row r="39">
          <cell r="A39" t="str">
            <v>PSAC18</v>
          </cell>
          <cell r="B39" t="str">
            <v>CINGOLO G.S. NERO PLISSE'</v>
          </cell>
          <cell r="C39" t="str">
            <v>PZ</v>
          </cell>
          <cell r="D39">
            <v>0.12</v>
          </cell>
          <cell r="E39">
            <v>0</v>
          </cell>
          <cell r="F39">
            <v>0</v>
          </cell>
          <cell r="H39">
            <v>0.12</v>
          </cell>
        </row>
        <row r="40">
          <cell r="A40" t="str">
            <v>PSAC19</v>
          </cell>
          <cell r="B40" t="str">
            <v>PRETERMINALE G.S. BLOCCO CORDINO</v>
          </cell>
          <cell r="C40" t="str">
            <v>PZ</v>
          </cell>
          <cell r="D40">
            <v>0.21</v>
          </cell>
          <cell r="E40">
            <v>0</v>
          </cell>
          <cell r="F40">
            <v>0</v>
          </cell>
          <cell r="H40">
            <v>0.21</v>
          </cell>
        </row>
        <row r="41">
          <cell r="A41" t="str">
            <v>PSAC20</v>
          </cell>
          <cell r="B41" t="str">
            <v>TERMINALE G.S. BLOCCO CORDINO ROSSO</v>
          </cell>
          <cell r="C41" t="str">
            <v>PZ</v>
          </cell>
          <cell r="D41">
            <v>0.25</v>
          </cell>
          <cell r="E41">
            <v>0</v>
          </cell>
          <cell r="F41">
            <v>0</v>
          </cell>
          <cell r="H41">
            <v>0.25</v>
          </cell>
        </row>
        <row r="42">
          <cell r="A42" t="str">
            <v>PSAC21</v>
          </cell>
          <cell r="B42" t="str">
            <v>SET 3 PZ G.S. PER TERMINALE G.S. GIALLO</v>
          </cell>
          <cell r="C42" t="str">
            <v>PZ</v>
          </cell>
          <cell r="D42">
            <v>0.56000000000000005</v>
          </cell>
          <cell r="E42">
            <v>0</v>
          </cell>
          <cell r="F42">
            <v>0</v>
          </cell>
          <cell r="H42">
            <v>0.56000000000000005</v>
          </cell>
        </row>
        <row r="43">
          <cell r="A43" t="str">
            <v>PSAC22</v>
          </cell>
          <cell r="B43" t="str">
            <v>TERMINALE G.S. INFERIORE BIANCO</v>
          </cell>
          <cell r="C43" t="str">
            <v>PZ</v>
          </cell>
          <cell r="D43">
            <v>0.24</v>
          </cell>
          <cell r="E43">
            <v>0</v>
          </cell>
          <cell r="F43">
            <v>0</v>
          </cell>
          <cell r="H43">
            <v>0.24</v>
          </cell>
        </row>
        <row r="44">
          <cell r="A44" t="str">
            <v>PSAC23</v>
          </cell>
          <cell r="B44" t="str">
            <v>TERMINALE G.S. INTERMEDIO NERO</v>
          </cell>
          <cell r="C44" t="str">
            <v>PZ</v>
          </cell>
          <cell r="D44">
            <v>0.19</v>
          </cell>
          <cell r="E44">
            <v>0</v>
          </cell>
          <cell r="F44">
            <v>0</v>
          </cell>
          <cell r="H44">
            <v>0.19</v>
          </cell>
        </row>
        <row r="45">
          <cell r="A45" t="str">
            <v>PSAC24</v>
          </cell>
          <cell r="B45" t="str">
            <v>GUIDA A TERRA PLISSE' L. 2500</v>
          </cell>
          <cell r="C45" t="str">
            <v>ML</v>
          </cell>
          <cell r="D45">
            <v>1.32</v>
          </cell>
          <cell r="E45">
            <v>0</v>
          </cell>
          <cell r="F45">
            <v>0</v>
          </cell>
          <cell r="H45">
            <v>1.32</v>
          </cell>
        </row>
        <row r="46">
          <cell r="A46" t="str">
            <v>PSAC25</v>
          </cell>
          <cell r="B46" t="str">
            <v>CUFFIE TELESCOPICHE PLISSE'</v>
          </cell>
          <cell r="C46" t="str">
            <v>PZ</v>
          </cell>
          <cell r="D46">
            <v>0.2</v>
          </cell>
          <cell r="E46">
            <v>0</v>
          </cell>
          <cell r="F46">
            <v>0</v>
          </cell>
          <cell r="H46">
            <v>0.2</v>
          </cell>
        </row>
        <row r="47">
          <cell r="A47" t="str">
            <v>PSAC26</v>
          </cell>
          <cell r="B47" t="str">
            <v>PIASTRINE DI FISSAGGIO A MURO</v>
          </cell>
          <cell r="C47" t="str">
            <v>PZ</v>
          </cell>
          <cell r="D47">
            <v>0.31</v>
          </cell>
          <cell r="E47">
            <v>0</v>
          </cell>
          <cell r="F47">
            <v>0</v>
          </cell>
          <cell r="H47">
            <v>0.31</v>
          </cell>
        </row>
        <row r="48">
          <cell r="A48" t="str">
            <v>KIAC83A</v>
          </cell>
          <cell r="B48" t="str">
            <v>VITE 4X35 MM TS</v>
          </cell>
          <cell r="C48" t="str">
            <v>PZ</v>
          </cell>
          <cell r="D48">
            <v>1.6E-2</v>
          </cell>
          <cell r="E48">
            <v>0</v>
          </cell>
          <cell r="F48">
            <v>0</v>
          </cell>
          <cell r="H48">
            <v>1.6E-2</v>
          </cell>
        </row>
        <row r="49">
          <cell r="A49" t="str">
            <v>MIAC80</v>
          </cell>
          <cell r="B49" t="str">
            <v>TASSELLO 6X30</v>
          </cell>
          <cell r="C49" t="str">
            <v>PZ</v>
          </cell>
          <cell r="D49">
            <v>4.0000000000000001E-3</v>
          </cell>
          <cell r="E49">
            <v>0</v>
          </cell>
          <cell r="F49">
            <v>0</v>
          </cell>
          <cell r="H49">
            <v>4.0000000000000001E-3</v>
          </cell>
        </row>
        <row r="50">
          <cell r="A50" t="str">
            <v>PSAC28</v>
          </cell>
          <cell r="B50" t="str">
            <v>FERMO PLISSE' 2/3/4 ANTE</v>
          </cell>
          <cell r="C50" t="str">
            <v>PZ</v>
          </cell>
          <cell r="D50">
            <v>0.55000000000000004</v>
          </cell>
          <cell r="E50">
            <v>0</v>
          </cell>
          <cell r="F50">
            <v>0</v>
          </cell>
          <cell r="H50">
            <v>0.55000000000000004</v>
          </cell>
        </row>
        <row r="51">
          <cell r="A51" t="str">
            <v>PSAC29</v>
          </cell>
          <cell r="B51" t="str">
            <v>BANDA MAGNETICA B.S. PLISSE'</v>
          </cell>
          <cell r="C51" t="str">
            <v>ML</v>
          </cell>
          <cell r="D51">
            <v>0.37</v>
          </cell>
          <cell r="E51">
            <v>0</v>
          </cell>
          <cell r="F51">
            <v>0</v>
          </cell>
          <cell r="H51">
            <v>0.37</v>
          </cell>
        </row>
        <row r="52">
          <cell r="A52" t="str">
            <v>AMAC10</v>
          </cell>
          <cell r="B52" t="str">
            <v>BANDA MAGNETICA D 6</v>
          </cell>
          <cell r="C52" t="str">
            <v>ML</v>
          </cell>
          <cell r="D52">
            <v>0.37</v>
          </cell>
          <cell r="E52">
            <v>0</v>
          </cell>
          <cell r="F52">
            <v>0</v>
          </cell>
          <cell r="H52">
            <v>0.37</v>
          </cell>
        </row>
        <row r="53">
          <cell r="A53" t="str">
            <v>SPRM3X13</v>
          </cell>
          <cell r="B53" t="str">
            <v>SAPZZOLINO FRINGE ANTIVENTO NERO</v>
          </cell>
          <cell r="C53" t="str">
            <v>ML</v>
          </cell>
          <cell r="D53">
            <v>0.22</v>
          </cell>
          <cell r="E53">
            <v>0</v>
          </cell>
          <cell r="F53">
            <v>0</v>
          </cell>
          <cell r="H53">
            <v>0.22</v>
          </cell>
        </row>
        <row r="54">
          <cell r="A54" t="str">
            <v>PSAC32</v>
          </cell>
          <cell r="B54" t="str">
            <v>VITE 3X35 FISSAGGIO TESTATA PLISSE'</v>
          </cell>
          <cell r="C54" t="str">
            <v>PZ</v>
          </cell>
          <cell r="D54">
            <v>2.64E-2</v>
          </cell>
          <cell r="E54">
            <v>0</v>
          </cell>
          <cell r="F54">
            <v>0</v>
          </cell>
          <cell r="H54">
            <v>2.64E-2</v>
          </cell>
        </row>
        <row r="55">
          <cell r="A55" t="str">
            <v>PSAC33</v>
          </cell>
          <cell r="B55" t="str">
            <v>VITE 3X10 FISSAGGIO TAPPI TESTATA PLISSE'</v>
          </cell>
          <cell r="C55" t="str">
            <v>PZ</v>
          </cell>
          <cell r="D55">
            <v>2.64E-2</v>
          </cell>
          <cell r="E55">
            <v>0</v>
          </cell>
          <cell r="F55">
            <v>0</v>
          </cell>
          <cell r="H55">
            <v>2.64E-2</v>
          </cell>
        </row>
        <row r="56">
          <cell r="A56" t="str">
            <v>KIAC16DT35P</v>
          </cell>
          <cell r="B56" t="str">
            <v>TONDINO RIGIDO DA 3,5 MM</v>
          </cell>
          <cell r="C56" t="str">
            <v>KG</v>
          </cell>
          <cell r="D56">
            <v>4.6500000000000004</v>
          </cell>
          <cell r="E56">
            <v>0</v>
          </cell>
          <cell r="F56">
            <v>0</v>
          </cell>
          <cell r="H56">
            <v>4.6500000000000004</v>
          </cell>
        </row>
        <row r="57">
          <cell r="A57" t="str">
            <v>PSAC50</v>
          </cell>
          <cell r="B57" t="str">
            <v>VITE TCB + 4,8 M 4X5 ZINC.BIANCA</v>
          </cell>
          <cell r="C57" t="str">
            <v>PZ</v>
          </cell>
          <cell r="D57">
            <v>0.04</v>
          </cell>
          <cell r="E57">
            <v>0</v>
          </cell>
          <cell r="F57">
            <v>0</v>
          </cell>
          <cell r="H57">
            <v>0.04</v>
          </cell>
        </row>
        <row r="58">
          <cell r="A58" t="str">
            <v>PSAC54</v>
          </cell>
          <cell r="B58" t="str">
            <v>DADI Q.TRANCIATI # 7,35 H 1,8 M4</v>
          </cell>
          <cell r="C58" t="str">
            <v>PZ</v>
          </cell>
          <cell r="D58">
            <v>1.52E-2</v>
          </cell>
          <cell r="E58">
            <v>0</v>
          </cell>
          <cell r="F58">
            <v>0</v>
          </cell>
          <cell r="H58">
            <v>1.52E-2</v>
          </cell>
        </row>
        <row r="59">
          <cell r="A59" t="str">
            <v>SPSP6X9</v>
          </cell>
          <cell r="B59" t="str">
            <v>SPAZZOLINO SILHOUETTE 6X9 MM</v>
          </cell>
          <cell r="C59" t="str">
            <v>ML</v>
          </cell>
          <cell r="D59">
            <v>6.8199999999999997E-2</v>
          </cell>
          <cell r="E59">
            <v>0</v>
          </cell>
          <cell r="F59">
            <v>0</v>
          </cell>
          <cell r="H59">
            <v>6.8199999999999997E-2</v>
          </cell>
        </row>
        <row r="60">
          <cell r="A60" t="str">
            <v>SPSP6X13</v>
          </cell>
          <cell r="B60" t="str">
            <v>SPAZZOLINO SILHOUETTE 6X13 MM</v>
          </cell>
          <cell r="C60" t="str">
            <v>ML</v>
          </cell>
          <cell r="D60">
            <v>0.17</v>
          </cell>
          <cell r="E60">
            <v>0</v>
          </cell>
          <cell r="F60">
            <v>0</v>
          </cell>
          <cell r="H60">
            <v>0.17</v>
          </cell>
        </row>
        <row r="61">
          <cell r="A61" t="str">
            <v>PSAC37</v>
          </cell>
          <cell r="B61" t="str">
            <v>MANIGLIETTA PLISSE' NYLON</v>
          </cell>
          <cell r="C61" t="str">
            <v>PZ</v>
          </cell>
          <cell r="D61">
            <v>0.41</v>
          </cell>
          <cell r="E61">
            <v>0</v>
          </cell>
          <cell r="F61">
            <v>0</v>
          </cell>
          <cell r="H61">
            <v>0.41</v>
          </cell>
        </row>
        <row r="62">
          <cell r="A62" t="str">
            <v>PSAC38NE</v>
          </cell>
          <cell r="B62" t="str">
            <v xml:space="preserve">MANIGLIETTA PLISSE' NEW-2005 </v>
          </cell>
          <cell r="C62" t="str">
            <v>PZ</v>
          </cell>
          <cell r="D62">
            <v>0.45</v>
          </cell>
          <cell r="E62">
            <v>0</v>
          </cell>
          <cell r="F62">
            <v>0</v>
          </cell>
          <cell r="H62">
            <v>0.45</v>
          </cell>
        </row>
        <row r="63">
          <cell r="A63" t="str">
            <v>PSAC-V61</v>
          </cell>
          <cell r="B63" t="str">
            <v>MANIGLIETTA BASSA NYLON</v>
          </cell>
          <cell r="C63" t="str">
            <v>PZ</v>
          </cell>
          <cell r="D63">
            <v>0.41</v>
          </cell>
          <cell r="E63">
            <v>0</v>
          </cell>
          <cell r="F63">
            <v>0</v>
          </cell>
          <cell r="H63">
            <v>0.41</v>
          </cell>
        </row>
        <row r="64">
          <cell r="A64" t="str">
            <v>PSAC39</v>
          </cell>
          <cell r="B64" t="str">
            <v>MANIGLIETTA PLISSE' DUE PEZZI</v>
          </cell>
          <cell r="C64" t="str">
            <v>PZ</v>
          </cell>
          <cell r="D64">
            <v>0.41</v>
          </cell>
          <cell r="E64">
            <v>0</v>
          </cell>
          <cell r="F64">
            <v>0</v>
          </cell>
          <cell r="H64">
            <v>0.41</v>
          </cell>
        </row>
        <row r="65">
          <cell r="A65" t="str">
            <v>PSIM37</v>
          </cell>
          <cell r="B65" t="str">
            <v>BLOCCHETTO 48X48X110</v>
          </cell>
          <cell r="C65" t="str">
            <v>PZ</v>
          </cell>
          <cell r="D65">
            <v>0.04</v>
          </cell>
          <cell r="E65">
            <v>0</v>
          </cell>
          <cell r="F65">
            <v>0</v>
          </cell>
          <cell r="H65">
            <v>0.04</v>
          </cell>
        </row>
        <row r="66">
          <cell r="A66" t="str">
            <v>PSIM38</v>
          </cell>
          <cell r="B66" t="str">
            <v>FOGLIO PROTETTIVO PLISSE' 20X20</v>
          </cell>
          <cell r="C66" t="str">
            <v>PZ</v>
          </cell>
          <cell r="D66">
            <v>0.03</v>
          </cell>
          <cell r="E66">
            <v>0</v>
          </cell>
          <cell r="F66">
            <v>0</v>
          </cell>
          <cell r="H66">
            <v>0.03</v>
          </cell>
        </row>
        <row r="67">
          <cell r="A67" t="str">
            <v>PSAC35</v>
          </cell>
          <cell r="B67" t="str">
            <v>GIUNZIONE PER ANTE A SEGUIRE</v>
          </cell>
          <cell r="C67" t="str">
            <v>PZ</v>
          </cell>
          <cell r="D67">
            <v>3.97</v>
          </cell>
          <cell r="E67">
            <v>0</v>
          </cell>
          <cell r="F67">
            <v>0</v>
          </cell>
          <cell r="H67">
            <v>3.97</v>
          </cell>
        </row>
        <row r="68">
          <cell r="A68" t="str">
            <v>AMAC55</v>
          </cell>
          <cell r="B68" t="str">
            <v>VITE 3,5X9,5 MM TC NERA</v>
          </cell>
          <cell r="C68" t="str">
            <v>PZ</v>
          </cell>
          <cell r="D68">
            <v>7.7000000000000002E-3</v>
          </cell>
          <cell r="E68">
            <v>0</v>
          </cell>
          <cell r="F68">
            <v>0</v>
          </cell>
          <cell r="H68">
            <v>7.7000000000000002E-3</v>
          </cell>
        </row>
        <row r="69">
          <cell r="A69" t="str">
            <v>PSAC41</v>
          </cell>
          <cell r="B69" t="str">
            <v>TAPPO GUIDA INCASSO 50 PLISSE'</v>
          </cell>
          <cell r="C69" t="str">
            <v>PZ</v>
          </cell>
          <cell r="D69">
            <v>0.5</v>
          </cell>
          <cell r="E69">
            <v>0</v>
          </cell>
          <cell r="F69">
            <v>0</v>
          </cell>
          <cell r="H69">
            <v>0.5</v>
          </cell>
        </row>
        <row r="70">
          <cell r="A70" t="str">
            <v>PSAC43</v>
          </cell>
          <cell r="B70" t="str">
            <v>INVITO TAPPO.GUIDA INC. 78 PLISSE'</v>
          </cell>
          <cell r="C70" t="str">
            <v>PZ</v>
          </cell>
          <cell r="D70">
            <v>1.4</v>
          </cell>
          <cell r="E70">
            <v>0</v>
          </cell>
          <cell r="F70">
            <v>0</v>
          </cell>
          <cell r="H70">
            <v>1.4</v>
          </cell>
        </row>
        <row r="71">
          <cell r="A71" t="str">
            <v>PSIM39</v>
          </cell>
          <cell r="B71" t="str">
            <v>OPUSCOLO PLISSE' 10X18 CM ITA/ENG</v>
          </cell>
          <cell r="C71" t="str">
            <v>PZ</v>
          </cell>
          <cell r="D71">
            <v>0.28000000000000003</v>
          </cell>
          <cell r="E71">
            <v>0</v>
          </cell>
          <cell r="F71">
            <v>0</v>
          </cell>
          <cell r="H71">
            <v>0.28000000000000003</v>
          </cell>
        </row>
        <row r="72">
          <cell r="A72" t="str">
            <v>PSIM39A</v>
          </cell>
          <cell r="B72" t="str">
            <v>OPUSCOLO PLISSE' 10X18 CM ITA/TED</v>
          </cell>
          <cell r="C72" t="str">
            <v>PZ</v>
          </cell>
          <cell r="D72">
            <v>0.28000000000000003</v>
          </cell>
          <cell r="E72">
            <v>0</v>
          </cell>
          <cell r="F72">
            <v>0</v>
          </cell>
          <cell r="H72">
            <v>0.28000000000000003</v>
          </cell>
        </row>
        <row r="73">
          <cell r="A73" t="str">
            <v>PSIM-M40S</v>
          </cell>
          <cell r="B73" t="str">
            <v>FOGLI CARTONE IMBALLO M3 PLISSE'</v>
          </cell>
          <cell r="C73" t="str">
            <v>PZ</v>
          </cell>
          <cell r="D73">
            <v>1.2</v>
          </cell>
          <cell r="E73">
            <v>0</v>
          </cell>
          <cell r="F73">
            <v>0</v>
          </cell>
          <cell r="H73">
            <v>1.2</v>
          </cell>
        </row>
        <row r="74">
          <cell r="A74" t="str">
            <v>PSIM-M40</v>
          </cell>
          <cell r="B74" t="str">
            <v>FOGLI CARTONE IMBALLO M3 PLISSE' NEUTRO</v>
          </cell>
          <cell r="C74" t="str">
            <v>PZ</v>
          </cell>
          <cell r="D74">
            <v>1.2</v>
          </cell>
          <cell r="E74">
            <v>0</v>
          </cell>
          <cell r="F74">
            <v>0</v>
          </cell>
          <cell r="H74">
            <v>1.2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tPlisse"/>
      <sheetName val="EtGioconda"/>
      <sheetName val="EtBottoncino"/>
      <sheetName val="EtPlisse x "/>
      <sheetName val="Plisse"/>
      <sheetName val="MiniPlisse2a"/>
      <sheetName val="MiniPlisse"/>
      <sheetName val="Gioconda"/>
      <sheetName val="Gioconda-VER"/>
      <sheetName val="Gioconda-Lat"/>
      <sheetName val="ArchivioEtichette"/>
      <sheetName val="StoricoEtichette"/>
      <sheetName val="ElencoClienti"/>
      <sheetName val="Etichette"/>
      <sheetName val="ElencoArticoli"/>
      <sheetName val="Colori"/>
      <sheetName val="Sfondo"/>
      <sheetName val="SETUP"/>
      <sheetName val="Dat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2">
          <cell r="H2" t="str">
            <v>01.BIANCO</v>
          </cell>
          <cell r="I2" t="str">
            <v>01</v>
          </cell>
        </row>
        <row r="3">
          <cell r="H3" t="str">
            <v>02.AVORIO</v>
          </cell>
          <cell r="I3" t="str">
            <v>02</v>
          </cell>
        </row>
        <row r="4">
          <cell r="H4" t="str">
            <v>03.MARRONE</v>
          </cell>
          <cell r="I4" t="str">
            <v>03</v>
          </cell>
        </row>
        <row r="5">
          <cell r="H5" t="str">
            <v>04.VERDE</v>
          </cell>
          <cell r="I5" t="str">
            <v>04</v>
          </cell>
        </row>
        <row r="6">
          <cell r="H6" t="str">
            <v>05.ROSSO</v>
          </cell>
          <cell r="I6" t="str">
            <v>05</v>
          </cell>
        </row>
        <row r="7">
          <cell r="H7" t="str">
            <v>06.NERO</v>
          </cell>
          <cell r="I7" t="str">
            <v>06</v>
          </cell>
        </row>
        <row r="8">
          <cell r="H8" t="str">
            <v>07.TES.MORO</v>
          </cell>
          <cell r="I8" t="str">
            <v>07</v>
          </cell>
        </row>
        <row r="9">
          <cell r="H9" t="str">
            <v>08.BRONZO</v>
          </cell>
          <cell r="I9" t="str">
            <v>08</v>
          </cell>
        </row>
        <row r="10">
          <cell r="H10" t="str">
            <v>09.ARGENTO</v>
          </cell>
          <cell r="I10" t="str">
            <v>09</v>
          </cell>
        </row>
        <row r="11">
          <cell r="H11" t="str">
            <v>10.VER.MAR.</v>
          </cell>
          <cell r="I11" t="str">
            <v>10</v>
          </cell>
        </row>
        <row r="12">
          <cell r="H12" t="str">
            <v>11.MAR.MAR.</v>
          </cell>
          <cell r="I12" t="str">
            <v>11</v>
          </cell>
        </row>
        <row r="13">
          <cell r="H13" t="str">
            <v>12.GRI.MAR.</v>
          </cell>
          <cell r="I13" t="str">
            <v>12</v>
          </cell>
        </row>
        <row r="14">
          <cell r="H14" t="str">
            <v>13.ROS.MAR.</v>
          </cell>
          <cell r="I14" t="str">
            <v>13</v>
          </cell>
        </row>
        <row r="15">
          <cell r="H15" t="str">
            <v>14.VE.M.AN.</v>
          </cell>
          <cell r="I15" t="str">
            <v>14</v>
          </cell>
        </row>
        <row r="16">
          <cell r="H16" t="str">
            <v>15.MA.M.AN.</v>
          </cell>
          <cell r="I16" t="str">
            <v>15</v>
          </cell>
        </row>
        <row r="17">
          <cell r="H17" t="str">
            <v>16.GR.M.AN.</v>
          </cell>
          <cell r="I17" t="str">
            <v>16</v>
          </cell>
        </row>
        <row r="19">
          <cell r="H19" t="str">
            <v>18.DEC.NOC.</v>
          </cell>
          <cell r="I19" t="str">
            <v>18</v>
          </cell>
        </row>
        <row r="20">
          <cell r="H20" t="str">
            <v>19.DEC.CIL.</v>
          </cell>
          <cell r="I20" t="str">
            <v>19</v>
          </cell>
        </row>
        <row r="21">
          <cell r="H21" t="str">
            <v>20.DEC.PIN.</v>
          </cell>
          <cell r="I21" t="str">
            <v>20</v>
          </cell>
        </row>
        <row r="22">
          <cell r="H22" t="str">
            <v>21.DEC.DOU.</v>
          </cell>
          <cell r="I22" t="str">
            <v>21</v>
          </cell>
        </row>
        <row r="23">
          <cell r="H23" t="str">
            <v>22.DEC.IRO.</v>
          </cell>
          <cell r="I23" t="str">
            <v>22</v>
          </cell>
        </row>
        <row r="24">
          <cell r="H24" t="str">
            <v>23.W.NOC.</v>
          </cell>
          <cell r="I24" t="str">
            <v>23</v>
          </cell>
        </row>
        <row r="25">
          <cell r="H25" t="str">
            <v>24.W.MOG.</v>
          </cell>
          <cell r="I25" t="str">
            <v>24</v>
          </cell>
        </row>
        <row r="26">
          <cell r="H26" t="str">
            <v>25.W.DOU.</v>
          </cell>
          <cell r="I26" t="str">
            <v>25</v>
          </cell>
        </row>
        <row r="27">
          <cell r="H27" t="str">
            <v>26.W.ROV.</v>
          </cell>
          <cell r="I27" t="str">
            <v>26</v>
          </cell>
        </row>
        <row r="28">
          <cell r="H28" t="str">
            <v>27.N.NO.ME</v>
          </cell>
          <cell r="I28" t="str">
            <v>27</v>
          </cell>
        </row>
        <row r="29">
          <cell r="H29" t="str">
            <v>28.N.NO.SC</v>
          </cell>
          <cell r="I29" t="str">
            <v>28</v>
          </cell>
        </row>
        <row r="30">
          <cell r="H30" t="str">
            <v>29.N.CIL.</v>
          </cell>
          <cell r="I30" t="str">
            <v>29</v>
          </cell>
        </row>
        <row r="31">
          <cell r="H31" t="str">
            <v>COL.SPECIALE</v>
          </cell>
          <cell r="I31" t="str">
            <v>30</v>
          </cell>
        </row>
        <row r="32">
          <cell r="H32" t="str">
            <v>GREZZO</v>
          </cell>
          <cell r="I32" t="str">
            <v>31</v>
          </cell>
        </row>
        <row r="33">
          <cell r="H33" t="str">
            <v>REN.CASTAGNO</v>
          </cell>
          <cell r="I33" t="str">
            <v>32</v>
          </cell>
        </row>
        <row r="34">
          <cell r="H34" t="str">
            <v>REN.CAS.SCURO</v>
          </cell>
          <cell r="I34" t="str">
            <v>33</v>
          </cell>
        </row>
        <row r="35">
          <cell r="H35" t="str">
            <v>REN.CILIEGIO</v>
          </cell>
          <cell r="I35" t="str">
            <v>34</v>
          </cell>
        </row>
        <row r="36">
          <cell r="H36" t="str">
            <v>REN.DOUGLAS</v>
          </cell>
          <cell r="I36" t="str">
            <v>35</v>
          </cell>
        </row>
        <row r="37">
          <cell r="H37" t="str">
            <v>REN.MOGANO</v>
          </cell>
          <cell r="I37" t="str">
            <v>36</v>
          </cell>
        </row>
        <row r="38">
          <cell r="H38" t="str">
            <v>REN.NOCE</v>
          </cell>
          <cell r="I38" t="str">
            <v>37</v>
          </cell>
        </row>
        <row r="39">
          <cell r="H39" t="str">
            <v>XX.BIA.MAR.</v>
          </cell>
          <cell r="I39" t="str">
            <v>38</v>
          </cell>
        </row>
        <row r="40">
          <cell r="H40" t="str">
            <v>XX.BIA.MA.A.</v>
          </cell>
          <cell r="I40" t="str">
            <v>39</v>
          </cell>
        </row>
        <row r="41">
          <cell r="H41" t="str">
            <v>XX.BIA.9001</v>
          </cell>
          <cell r="I41" t="str">
            <v>40</v>
          </cell>
        </row>
        <row r="42">
          <cell r="H42" t="str">
            <v>XX.BIA.9016</v>
          </cell>
          <cell r="I42" t="str">
            <v>41</v>
          </cell>
        </row>
        <row r="43">
          <cell r="H43" t="str">
            <v>XX.ELETTRO</v>
          </cell>
          <cell r="I43" t="str">
            <v>42</v>
          </cell>
        </row>
        <row r="44">
          <cell r="I44" t="str">
            <v>43</v>
          </cell>
        </row>
        <row r="45">
          <cell r="I45" t="str">
            <v>44</v>
          </cell>
        </row>
        <row r="46">
          <cell r="I46" t="str">
            <v>45</v>
          </cell>
        </row>
        <row r="47">
          <cell r="I47" t="str">
            <v>46</v>
          </cell>
        </row>
        <row r="48">
          <cell r="H48" t="str">
            <v>--</v>
          </cell>
          <cell r="I48">
            <v>47</v>
          </cell>
        </row>
      </sheetData>
      <sheetData sheetId="1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tPlisse"/>
      <sheetName val="EtGioconda"/>
      <sheetName val="EtBottoncino"/>
      <sheetName val="EtPlisse x "/>
      <sheetName val="Plisse"/>
      <sheetName val="MiniPlisse2a"/>
      <sheetName val="MiniPlisse"/>
      <sheetName val="Gioconda"/>
      <sheetName val="Gioconda-VER"/>
      <sheetName val="Gioconda-Lat"/>
      <sheetName val="ArchivioEtichette"/>
      <sheetName val="StoricoEtichette"/>
      <sheetName val="ElencoClienti"/>
      <sheetName val="Etichette"/>
      <sheetName val="ElencoArticoli"/>
      <sheetName val="Colori"/>
      <sheetName val="Sfondo"/>
      <sheetName val="SETUP"/>
      <sheetName val="Dat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2">
          <cell r="H2" t="str">
            <v>01.BIANCO</v>
          </cell>
          <cell r="I2" t="str">
            <v>01</v>
          </cell>
        </row>
        <row r="3">
          <cell r="H3" t="str">
            <v>02.AVORIO</v>
          </cell>
          <cell r="I3" t="str">
            <v>02</v>
          </cell>
        </row>
        <row r="4">
          <cell r="H4" t="str">
            <v>03.MARRONE</v>
          </cell>
          <cell r="I4" t="str">
            <v>03</v>
          </cell>
        </row>
        <row r="5">
          <cell r="H5" t="str">
            <v>04.VERDE</v>
          </cell>
          <cell r="I5" t="str">
            <v>04</v>
          </cell>
        </row>
        <row r="6">
          <cell r="H6" t="str">
            <v>05.ROSSO</v>
          </cell>
          <cell r="I6" t="str">
            <v>05</v>
          </cell>
        </row>
        <row r="7">
          <cell r="H7" t="str">
            <v>06.NERO</v>
          </cell>
          <cell r="I7" t="str">
            <v>06</v>
          </cell>
        </row>
        <row r="8">
          <cell r="H8" t="str">
            <v>07.TES.MORO</v>
          </cell>
          <cell r="I8" t="str">
            <v>07</v>
          </cell>
        </row>
        <row r="9">
          <cell r="H9" t="str">
            <v>08.BRONZO</v>
          </cell>
          <cell r="I9" t="str">
            <v>08</v>
          </cell>
        </row>
        <row r="10">
          <cell r="H10" t="str">
            <v>09.ARGENTO</v>
          </cell>
          <cell r="I10" t="str">
            <v>09</v>
          </cell>
        </row>
        <row r="11">
          <cell r="H11" t="str">
            <v>10.VER.MAR.</v>
          </cell>
          <cell r="I11" t="str">
            <v>10</v>
          </cell>
        </row>
        <row r="12">
          <cell r="H12" t="str">
            <v>11.MAR.MAR.</v>
          </cell>
          <cell r="I12" t="str">
            <v>11</v>
          </cell>
        </row>
        <row r="13">
          <cell r="H13" t="str">
            <v>12.GRI.MAR.</v>
          </cell>
          <cell r="I13" t="str">
            <v>12</v>
          </cell>
        </row>
        <row r="14">
          <cell r="H14" t="str">
            <v>13.ROS.MAR.</v>
          </cell>
          <cell r="I14" t="str">
            <v>13</v>
          </cell>
        </row>
        <row r="15">
          <cell r="H15" t="str">
            <v>14.VE.M.AN.</v>
          </cell>
          <cell r="I15" t="str">
            <v>14</v>
          </cell>
        </row>
        <row r="16">
          <cell r="H16" t="str">
            <v>15.MA.M.AN.</v>
          </cell>
          <cell r="I16" t="str">
            <v>15</v>
          </cell>
        </row>
        <row r="17">
          <cell r="H17" t="str">
            <v>16.GR.M.AN.</v>
          </cell>
          <cell r="I17" t="str">
            <v>16</v>
          </cell>
        </row>
        <row r="19">
          <cell r="H19" t="str">
            <v>18.DEC.NOC.</v>
          </cell>
          <cell r="I19" t="str">
            <v>18</v>
          </cell>
        </row>
        <row r="20">
          <cell r="H20" t="str">
            <v>19.DEC.CIL.</v>
          </cell>
          <cell r="I20" t="str">
            <v>19</v>
          </cell>
        </row>
        <row r="21">
          <cell r="H21" t="str">
            <v>20.DEC.PIN.</v>
          </cell>
          <cell r="I21" t="str">
            <v>20</v>
          </cell>
        </row>
        <row r="22">
          <cell r="H22" t="str">
            <v>21.DEC.DOU.</v>
          </cell>
          <cell r="I22" t="str">
            <v>21</v>
          </cell>
        </row>
        <row r="23">
          <cell r="H23" t="str">
            <v>22.DEC.IRO.</v>
          </cell>
          <cell r="I23" t="str">
            <v>22</v>
          </cell>
        </row>
        <row r="24">
          <cell r="H24" t="str">
            <v>23.W.NOC.</v>
          </cell>
          <cell r="I24" t="str">
            <v>23</v>
          </cell>
        </row>
        <row r="25">
          <cell r="H25" t="str">
            <v>24.W.MOG.</v>
          </cell>
          <cell r="I25" t="str">
            <v>24</v>
          </cell>
        </row>
        <row r="26">
          <cell r="H26" t="str">
            <v>25.W.DOU.</v>
          </cell>
          <cell r="I26" t="str">
            <v>25</v>
          </cell>
        </row>
        <row r="27">
          <cell r="H27" t="str">
            <v>26.W.ROV.</v>
          </cell>
          <cell r="I27" t="str">
            <v>26</v>
          </cell>
        </row>
        <row r="28">
          <cell r="H28" t="str">
            <v>27.N.NO.ME</v>
          </cell>
          <cell r="I28" t="str">
            <v>27</v>
          </cell>
        </row>
        <row r="29">
          <cell r="H29" t="str">
            <v>28.N.NO.SC</v>
          </cell>
          <cell r="I29" t="str">
            <v>28</v>
          </cell>
        </row>
        <row r="30">
          <cell r="H30" t="str">
            <v>29.N.CIL.</v>
          </cell>
          <cell r="I30" t="str">
            <v>29</v>
          </cell>
        </row>
        <row r="31">
          <cell r="H31" t="str">
            <v>COL.SPECIALE</v>
          </cell>
          <cell r="I31" t="str">
            <v>30</v>
          </cell>
        </row>
        <row r="32">
          <cell r="H32" t="str">
            <v>GREZZO</v>
          </cell>
          <cell r="I32" t="str">
            <v>31</v>
          </cell>
        </row>
        <row r="33">
          <cell r="H33" t="str">
            <v>REN.CASTAGNO</v>
          </cell>
          <cell r="I33" t="str">
            <v>32</v>
          </cell>
        </row>
        <row r="34">
          <cell r="H34" t="str">
            <v>REN.CAS.SCURO</v>
          </cell>
          <cell r="I34" t="str">
            <v>33</v>
          </cell>
        </row>
        <row r="35">
          <cell r="H35" t="str">
            <v>REN.CILIEGIO</v>
          </cell>
          <cell r="I35" t="str">
            <v>34</v>
          </cell>
        </row>
        <row r="36">
          <cell r="H36" t="str">
            <v>REN.DOUGLAS</v>
          </cell>
          <cell r="I36" t="str">
            <v>35</v>
          </cell>
        </row>
        <row r="37">
          <cell r="H37" t="str">
            <v>REN.MOGANO</v>
          </cell>
          <cell r="I37" t="str">
            <v>36</v>
          </cell>
        </row>
        <row r="38">
          <cell r="H38" t="str">
            <v>REN.NOCE</v>
          </cell>
          <cell r="I38" t="str">
            <v>37</v>
          </cell>
        </row>
        <row r="39">
          <cell r="H39" t="str">
            <v>XX.BIA.MAR.</v>
          </cell>
          <cell r="I39" t="str">
            <v>38</v>
          </cell>
        </row>
        <row r="40">
          <cell r="H40" t="str">
            <v>XX.BIA.MA.A.</v>
          </cell>
          <cell r="I40" t="str">
            <v>39</v>
          </cell>
        </row>
        <row r="41">
          <cell r="H41" t="str">
            <v>XX.BIA.9001</v>
          </cell>
          <cell r="I41" t="str">
            <v>40</v>
          </cell>
        </row>
        <row r="42">
          <cell r="H42" t="str">
            <v>XX.BIA.9016</v>
          </cell>
          <cell r="I42" t="str">
            <v>41</v>
          </cell>
        </row>
        <row r="43">
          <cell r="H43" t="str">
            <v>XX.ELETTRO</v>
          </cell>
          <cell r="I43" t="str">
            <v>42</v>
          </cell>
        </row>
        <row r="44">
          <cell r="I44" t="str">
            <v>43</v>
          </cell>
        </row>
        <row r="45">
          <cell r="I45" t="str">
            <v>44</v>
          </cell>
        </row>
        <row r="46">
          <cell r="I46" t="str">
            <v>45</v>
          </cell>
        </row>
        <row r="47">
          <cell r="I47" t="str">
            <v>46</v>
          </cell>
        </row>
        <row r="48">
          <cell r="H48" t="str">
            <v>--</v>
          </cell>
          <cell r="I48">
            <v>47</v>
          </cell>
        </row>
      </sheetData>
      <sheetData sheetId="1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tPlisse"/>
      <sheetName val="EtGioconda"/>
      <sheetName val="EtBottoncino"/>
      <sheetName val="EtPlisse x "/>
      <sheetName val="Plisse"/>
      <sheetName val="MiniPlisse2a"/>
      <sheetName val="MiniPlisse"/>
      <sheetName val="Gioconda"/>
      <sheetName val="Gioconda-VER"/>
      <sheetName val="Gioconda-Lat"/>
      <sheetName val="ArchivioEtichette"/>
      <sheetName val="StoricoEtichette"/>
      <sheetName val="ElencoClienti"/>
      <sheetName val="Etichette"/>
      <sheetName val="ElencoArticoli"/>
      <sheetName val="Colori"/>
      <sheetName val="Sfondo"/>
      <sheetName val="SETUP"/>
      <sheetName val="Dat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2">
          <cell r="H2" t="str">
            <v>01.BIANCO</v>
          </cell>
          <cell r="I2" t="str">
            <v>01</v>
          </cell>
        </row>
        <row r="3">
          <cell r="H3" t="str">
            <v>02.AVORIO</v>
          </cell>
          <cell r="I3" t="str">
            <v>02</v>
          </cell>
        </row>
        <row r="4">
          <cell r="H4" t="str">
            <v>03.MARRONE</v>
          </cell>
          <cell r="I4" t="str">
            <v>03</v>
          </cell>
        </row>
        <row r="5">
          <cell r="H5" t="str">
            <v>04.VERDE</v>
          </cell>
          <cell r="I5" t="str">
            <v>04</v>
          </cell>
        </row>
        <row r="6">
          <cell r="H6" t="str">
            <v>05.ROSSO</v>
          </cell>
          <cell r="I6" t="str">
            <v>05</v>
          </cell>
        </row>
        <row r="7">
          <cell r="H7" t="str">
            <v>06.NERO</v>
          </cell>
          <cell r="I7" t="str">
            <v>06</v>
          </cell>
        </row>
        <row r="8">
          <cell r="H8" t="str">
            <v>07.TES.MORO</v>
          </cell>
          <cell r="I8" t="str">
            <v>07</v>
          </cell>
        </row>
        <row r="9">
          <cell r="H9" t="str">
            <v>08.BRONZO</v>
          </cell>
          <cell r="I9" t="str">
            <v>08</v>
          </cell>
        </row>
        <row r="10">
          <cell r="H10" t="str">
            <v>09.ARGENTO</v>
          </cell>
          <cell r="I10" t="str">
            <v>09</v>
          </cell>
        </row>
        <row r="11">
          <cell r="H11" t="str">
            <v>10.VER.MAR.</v>
          </cell>
          <cell r="I11" t="str">
            <v>10</v>
          </cell>
        </row>
        <row r="12">
          <cell r="H12" t="str">
            <v>11.MAR.MAR.</v>
          </cell>
          <cell r="I12" t="str">
            <v>11</v>
          </cell>
        </row>
        <row r="13">
          <cell r="H13" t="str">
            <v>12.GRI.MAR.</v>
          </cell>
          <cell r="I13" t="str">
            <v>12</v>
          </cell>
        </row>
        <row r="14">
          <cell r="H14" t="str">
            <v>13.ROS.MAR.</v>
          </cell>
          <cell r="I14" t="str">
            <v>13</v>
          </cell>
        </row>
        <row r="15">
          <cell r="H15" t="str">
            <v>14.VE.M.AN.</v>
          </cell>
          <cell r="I15" t="str">
            <v>14</v>
          </cell>
        </row>
        <row r="16">
          <cell r="H16" t="str">
            <v>15.MA.M.AN.</v>
          </cell>
          <cell r="I16" t="str">
            <v>15</v>
          </cell>
        </row>
        <row r="17">
          <cell r="H17" t="str">
            <v>16.GR.M.AN.</v>
          </cell>
          <cell r="I17" t="str">
            <v>16</v>
          </cell>
        </row>
        <row r="19">
          <cell r="H19" t="str">
            <v>18.DEC.NOC.</v>
          </cell>
          <cell r="I19" t="str">
            <v>18</v>
          </cell>
        </row>
        <row r="20">
          <cell r="H20" t="str">
            <v>19.DEC.CIL.</v>
          </cell>
          <cell r="I20" t="str">
            <v>19</v>
          </cell>
        </row>
        <row r="21">
          <cell r="H21" t="str">
            <v>20.DEC.PIN.</v>
          </cell>
          <cell r="I21" t="str">
            <v>20</v>
          </cell>
        </row>
        <row r="22">
          <cell r="H22" t="str">
            <v>21.DEC.DOU.</v>
          </cell>
          <cell r="I22" t="str">
            <v>21</v>
          </cell>
        </row>
        <row r="23">
          <cell r="H23" t="str">
            <v>22.DEC.IRO.</v>
          </cell>
          <cell r="I23" t="str">
            <v>22</v>
          </cell>
        </row>
        <row r="24">
          <cell r="H24" t="str">
            <v>23.W.NOC.</v>
          </cell>
          <cell r="I24" t="str">
            <v>23</v>
          </cell>
        </row>
        <row r="25">
          <cell r="H25" t="str">
            <v>24.W.MOG.</v>
          </cell>
          <cell r="I25" t="str">
            <v>24</v>
          </cell>
        </row>
        <row r="26">
          <cell r="H26" t="str">
            <v>25.W.DOU.</v>
          </cell>
          <cell r="I26" t="str">
            <v>25</v>
          </cell>
        </row>
        <row r="27">
          <cell r="H27" t="str">
            <v>26.W.ROV.</v>
          </cell>
          <cell r="I27" t="str">
            <v>26</v>
          </cell>
        </row>
        <row r="28">
          <cell r="H28" t="str">
            <v>27.N.NO.ME</v>
          </cell>
          <cell r="I28" t="str">
            <v>27</v>
          </cell>
        </row>
        <row r="29">
          <cell r="H29" t="str">
            <v>28.N.NO.SC</v>
          </cell>
          <cell r="I29" t="str">
            <v>28</v>
          </cell>
        </row>
        <row r="30">
          <cell r="H30" t="str">
            <v>29.N.CIL.</v>
          </cell>
          <cell r="I30" t="str">
            <v>29</v>
          </cell>
        </row>
        <row r="31">
          <cell r="H31" t="str">
            <v>COL.SPECIALE</v>
          </cell>
          <cell r="I31" t="str">
            <v>30</v>
          </cell>
        </row>
        <row r="32">
          <cell r="H32" t="str">
            <v>GREZZO</v>
          </cell>
          <cell r="I32" t="str">
            <v>31</v>
          </cell>
        </row>
        <row r="33">
          <cell r="H33" t="str">
            <v>REN.CASTAGNO</v>
          </cell>
          <cell r="I33" t="str">
            <v>32</v>
          </cell>
        </row>
        <row r="34">
          <cell r="H34" t="str">
            <v>REN.CAS.SCURO</v>
          </cell>
          <cell r="I34" t="str">
            <v>33</v>
          </cell>
        </row>
        <row r="35">
          <cell r="H35" t="str">
            <v>REN.CILIEGIO</v>
          </cell>
          <cell r="I35" t="str">
            <v>34</v>
          </cell>
        </row>
        <row r="36">
          <cell r="H36" t="str">
            <v>REN.DOUGLAS</v>
          </cell>
          <cell r="I36" t="str">
            <v>35</v>
          </cell>
        </row>
        <row r="37">
          <cell r="H37" t="str">
            <v>REN.MOGANO</v>
          </cell>
          <cell r="I37" t="str">
            <v>36</v>
          </cell>
        </row>
        <row r="38">
          <cell r="H38" t="str">
            <v>REN.NOCE</v>
          </cell>
          <cell r="I38" t="str">
            <v>37</v>
          </cell>
        </row>
        <row r="39">
          <cell r="H39" t="str">
            <v>XX.BIA.MAR.</v>
          </cell>
          <cell r="I39" t="str">
            <v>38</v>
          </cell>
        </row>
        <row r="40">
          <cell r="H40" t="str">
            <v>XX.BIA.MA.A.</v>
          </cell>
          <cell r="I40" t="str">
            <v>39</v>
          </cell>
        </row>
        <row r="41">
          <cell r="H41" t="str">
            <v>XX.BIA.9001</v>
          </cell>
          <cell r="I41" t="str">
            <v>40</v>
          </cell>
        </row>
        <row r="42">
          <cell r="H42" t="str">
            <v>XX.BIA.9016</v>
          </cell>
          <cell r="I42" t="str">
            <v>41</v>
          </cell>
        </row>
        <row r="43">
          <cell r="H43" t="str">
            <v>XX.ELETTRO</v>
          </cell>
          <cell r="I43" t="str">
            <v>42</v>
          </cell>
        </row>
        <row r="44">
          <cell r="I44" t="str">
            <v>43</v>
          </cell>
        </row>
        <row r="45">
          <cell r="I45" t="str">
            <v>44</v>
          </cell>
        </row>
        <row r="46">
          <cell r="I46" t="str">
            <v>45</v>
          </cell>
        </row>
        <row r="47">
          <cell r="I47" t="str">
            <v>46</v>
          </cell>
        </row>
        <row r="48">
          <cell r="H48" t="str">
            <v>--</v>
          </cell>
          <cell r="I48">
            <v>47</v>
          </cell>
        </row>
      </sheetData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tPlisse"/>
      <sheetName val="EtGioconda"/>
      <sheetName val="EtBottoncino"/>
      <sheetName val="EtPlisse x "/>
      <sheetName val="Plisse"/>
      <sheetName val="MiniPlisse2a"/>
      <sheetName val="MiniPlisse"/>
      <sheetName val="Gioconda"/>
      <sheetName val="Gioconda-VER"/>
      <sheetName val="Gioconda-Lat"/>
      <sheetName val="ArchivioEtichette"/>
      <sheetName val="StoricoEtichette"/>
      <sheetName val="ElencoClienti"/>
      <sheetName val="Etichette"/>
      <sheetName val="ElencoArticoli"/>
      <sheetName val="Colori"/>
      <sheetName val="Sfondo"/>
      <sheetName val="SETUP"/>
      <sheetName val="Dat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2">
          <cell r="H2" t="str">
            <v>01.BIANCO</v>
          </cell>
          <cell r="I2" t="str">
            <v>01</v>
          </cell>
        </row>
        <row r="3">
          <cell r="H3" t="str">
            <v>02.AVORIO</v>
          </cell>
          <cell r="I3" t="str">
            <v>02</v>
          </cell>
        </row>
        <row r="4">
          <cell r="H4" t="str">
            <v>03.MARRONE</v>
          </cell>
          <cell r="I4" t="str">
            <v>03</v>
          </cell>
        </row>
        <row r="5">
          <cell r="H5" t="str">
            <v>04.VERDE</v>
          </cell>
          <cell r="I5" t="str">
            <v>04</v>
          </cell>
        </row>
        <row r="6">
          <cell r="H6" t="str">
            <v>05.ROSSO</v>
          </cell>
          <cell r="I6" t="str">
            <v>05</v>
          </cell>
        </row>
        <row r="7">
          <cell r="H7" t="str">
            <v>06.NERO</v>
          </cell>
          <cell r="I7" t="str">
            <v>06</v>
          </cell>
        </row>
        <row r="8">
          <cell r="H8" t="str">
            <v>07.TES.MORO</v>
          </cell>
          <cell r="I8" t="str">
            <v>07</v>
          </cell>
        </row>
        <row r="9">
          <cell r="H9" t="str">
            <v>08.BRONZO</v>
          </cell>
          <cell r="I9" t="str">
            <v>08</v>
          </cell>
        </row>
        <row r="10">
          <cell r="H10" t="str">
            <v>09.ARGENTO</v>
          </cell>
          <cell r="I10" t="str">
            <v>09</v>
          </cell>
        </row>
        <row r="11">
          <cell r="H11" t="str">
            <v>10.VER.MAR.</v>
          </cell>
          <cell r="I11" t="str">
            <v>10</v>
          </cell>
        </row>
        <row r="12">
          <cell r="H12" t="str">
            <v>11.MAR.MAR.</v>
          </cell>
          <cell r="I12" t="str">
            <v>11</v>
          </cell>
        </row>
        <row r="13">
          <cell r="H13" t="str">
            <v>12.GRI.MAR.</v>
          </cell>
          <cell r="I13" t="str">
            <v>12</v>
          </cell>
        </row>
        <row r="14">
          <cell r="H14" t="str">
            <v>13.ROS.MAR.</v>
          </cell>
          <cell r="I14" t="str">
            <v>13</v>
          </cell>
        </row>
        <row r="15">
          <cell r="H15" t="str">
            <v>14.VE.M.AN.</v>
          </cell>
          <cell r="I15" t="str">
            <v>14</v>
          </cell>
        </row>
        <row r="16">
          <cell r="H16" t="str">
            <v>15.MA.M.AN.</v>
          </cell>
          <cell r="I16" t="str">
            <v>15</v>
          </cell>
        </row>
        <row r="17">
          <cell r="H17" t="str">
            <v>16.GR.M.AN.</v>
          </cell>
          <cell r="I17" t="str">
            <v>16</v>
          </cell>
        </row>
        <row r="19">
          <cell r="H19" t="str">
            <v>18.DEC.NOC.</v>
          </cell>
          <cell r="I19" t="str">
            <v>18</v>
          </cell>
        </row>
        <row r="20">
          <cell r="H20" t="str">
            <v>19.DEC.CIL.</v>
          </cell>
          <cell r="I20" t="str">
            <v>19</v>
          </cell>
        </row>
        <row r="21">
          <cell r="H21" t="str">
            <v>20.DEC.PIN.</v>
          </cell>
          <cell r="I21" t="str">
            <v>20</v>
          </cell>
        </row>
        <row r="22">
          <cell r="H22" t="str">
            <v>21.DEC.DOU.</v>
          </cell>
          <cell r="I22" t="str">
            <v>21</v>
          </cell>
        </row>
        <row r="23">
          <cell r="H23" t="str">
            <v>22.DEC.IRO.</v>
          </cell>
          <cell r="I23" t="str">
            <v>22</v>
          </cell>
        </row>
        <row r="24">
          <cell r="H24" t="str">
            <v>23.W.NOC.</v>
          </cell>
          <cell r="I24" t="str">
            <v>23</v>
          </cell>
        </row>
        <row r="25">
          <cell r="H25" t="str">
            <v>24.W.MOG.</v>
          </cell>
          <cell r="I25" t="str">
            <v>24</v>
          </cell>
        </row>
        <row r="26">
          <cell r="H26" t="str">
            <v>25.W.DOU.</v>
          </cell>
          <cell r="I26" t="str">
            <v>25</v>
          </cell>
        </row>
        <row r="27">
          <cell r="H27" t="str">
            <v>26.W.ROV.</v>
          </cell>
          <cell r="I27" t="str">
            <v>26</v>
          </cell>
        </row>
        <row r="28">
          <cell r="H28" t="str">
            <v>27.N.NO.ME</v>
          </cell>
          <cell r="I28" t="str">
            <v>27</v>
          </cell>
        </row>
        <row r="29">
          <cell r="H29" t="str">
            <v>28.N.NO.SC</v>
          </cell>
          <cell r="I29" t="str">
            <v>28</v>
          </cell>
        </row>
        <row r="30">
          <cell r="H30" t="str">
            <v>29.N.CIL.</v>
          </cell>
          <cell r="I30" t="str">
            <v>29</v>
          </cell>
        </row>
        <row r="31">
          <cell r="H31" t="str">
            <v>COL.SPECIALE</v>
          </cell>
          <cell r="I31" t="str">
            <v>30</v>
          </cell>
        </row>
        <row r="32">
          <cell r="H32" t="str">
            <v>GREZZO</v>
          </cell>
          <cell r="I32" t="str">
            <v>31</v>
          </cell>
        </row>
        <row r="33">
          <cell r="H33" t="str">
            <v>REN.CASTAGNO</v>
          </cell>
          <cell r="I33" t="str">
            <v>32</v>
          </cell>
        </row>
        <row r="34">
          <cell r="H34" t="str">
            <v>REN.CAS.SCURO</v>
          </cell>
          <cell r="I34" t="str">
            <v>33</v>
          </cell>
        </row>
        <row r="35">
          <cell r="H35" t="str">
            <v>REN.CILIEGIO</v>
          </cell>
          <cell r="I35" t="str">
            <v>34</v>
          </cell>
        </row>
        <row r="36">
          <cell r="H36" t="str">
            <v>REN.DOUGLAS</v>
          </cell>
          <cell r="I36" t="str">
            <v>35</v>
          </cell>
        </row>
        <row r="37">
          <cell r="H37" t="str">
            <v>REN.MOGANO</v>
          </cell>
          <cell r="I37" t="str">
            <v>36</v>
          </cell>
        </row>
        <row r="38">
          <cell r="H38" t="str">
            <v>REN.NOCE</v>
          </cell>
          <cell r="I38" t="str">
            <v>37</v>
          </cell>
        </row>
        <row r="39">
          <cell r="H39" t="str">
            <v>XX.BIA.MAR.</v>
          </cell>
          <cell r="I39" t="str">
            <v>38</v>
          </cell>
        </row>
        <row r="40">
          <cell r="H40" t="str">
            <v>XX.BIA.MA.A.</v>
          </cell>
          <cell r="I40" t="str">
            <v>39</v>
          </cell>
        </row>
        <row r="41">
          <cell r="H41" t="str">
            <v>XX.BIA.9001</v>
          </cell>
          <cell r="I41" t="str">
            <v>40</v>
          </cell>
        </row>
        <row r="42">
          <cell r="H42" t="str">
            <v>XX.BIA.9016</v>
          </cell>
          <cell r="I42" t="str">
            <v>41</v>
          </cell>
        </row>
        <row r="43">
          <cell r="H43" t="str">
            <v>XX.ELETTRO</v>
          </cell>
          <cell r="I43" t="str">
            <v>42</v>
          </cell>
        </row>
        <row r="44">
          <cell r="I44" t="str">
            <v>43</v>
          </cell>
        </row>
        <row r="45">
          <cell r="I45" t="str">
            <v>44</v>
          </cell>
        </row>
        <row r="46">
          <cell r="I46" t="str">
            <v>45</v>
          </cell>
        </row>
        <row r="47">
          <cell r="I47" t="str">
            <v>46</v>
          </cell>
        </row>
        <row r="48">
          <cell r="H48" t="str">
            <v>--</v>
          </cell>
          <cell r="I48">
            <v>47</v>
          </cell>
        </row>
      </sheetData>
      <sheetData sheetId="18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5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9" Type="http://schemas.openxmlformats.org/officeDocument/2006/relationships/image" Target="../media/image38.emf"/><Relationship Id="rId21" Type="http://schemas.openxmlformats.org/officeDocument/2006/relationships/image" Target="../media/image29.emf"/><Relationship Id="rId34" Type="http://schemas.openxmlformats.org/officeDocument/2006/relationships/control" Target="../activeX/activeX36.xml"/><Relationship Id="rId42" Type="http://schemas.openxmlformats.org/officeDocument/2006/relationships/control" Target="../activeX/activeX40.xml"/><Relationship Id="rId7" Type="http://schemas.openxmlformats.org/officeDocument/2006/relationships/image" Target="../media/image2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3.emf"/><Relationship Id="rId41" Type="http://schemas.openxmlformats.org/officeDocument/2006/relationships/image" Target="../media/image39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24" Type="http://schemas.openxmlformats.org/officeDocument/2006/relationships/control" Target="../activeX/activeX31.xml"/><Relationship Id="rId32" Type="http://schemas.openxmlformats.org/officeDocument/2006/relationships/control" Target="../activeX/activeX35.xml"/><Relationship Id="rId37" Type="http://schemas.openxmlformats.org/officeDocument/2006/relationships/image" Target="../media/image37.emf"/><Relationship Id="rId40" Type="http://schemas.openxmlformats.org/officeDocument/2006/relationships/control" Target="../activeX/activeX39.xml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23" Type="http://schemas.openxmlformats.org/officeDocument/2006/relationships/image" Target="../media/image30.emf"/><Relationship Id="rId28" Type="http://schemas.openxmlformats.org/officeDocument/2006/relationships/control" Target="../activeX/activeX33.xml"/><Relationship Id="rId36" Type="http://schemas.openxmlformats.org/officeDocument/2006/relationships/control" Target="../activeX/activeX37.xml"/><Relationship Id="rId10" Type="http://schemas.openxmlformats.org/officeDocument/2006/relationships/control" Target="../activeX/activeX24.xml"/><Relationship Id="rId19" Type="http://schemas.openxmlformats.org/officeDocument/2006/relationships/image" Target="../media/image28.emf"/><Relationship Id="rId31" Type="http://schemas.openxmlformats.org/officeDocument/2006/relationships/image" Target="../media/image34.emf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2.emf"/><Relationship Id="rId30" Type="http://schemas.openxmlformats.org/officeDocument/2006/relationships/control" Target="../activeX/activeX34.xml"/><Relationship Id="rId35" Type="http://schemas.openxmlformats.org/officeDocument/2006/relationships/image" Target="../media/image36.emf"/><Relationship Id="rId43" Type="http://schemas.openxmlformats.org/officeDocument/2006/relationships/image" Target="../media/image40.emf"/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25.xml"/><Relationship Id="rId17" Type="http://schemas.openxmlformats.org/officeDocument/2006/relationships/image" Target="../media/image27.emf"/><Relationship Id="rId25" Type="http://schemas.openxmlformats.org/officeDocument/2006/relationships/image" Target="../media/image31.emf"/><Relationship Id="rId33" Type="http://schemas.openxmlformats.org/officeDocument/2006/relationships/image" Target="../media/image35.emf"/><Relationship Id="rId38" Type="http://schemas.openxmlformats.org/officeDocument/2006/relationships/control" Target="../activeX/activeX3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5.emf"/><Relationship Id="rId18" Type="http://schemas.openxmlformats.org/officeDocument/2006/relationships/control" Target="../activeX/activeX48.xml"/><Relationship Id="rId26" Type="http://schemas.openxmlformats.org/officeDocument/2006/relationships/control" Target="../activeX/activeX52.xml"/><Relationship Id="rId39" Type="http://schemas.openxmlformats.org/officeDocument/2006/relationships/image" Target="../media/image58.emf"/><Relationship Id="rId21" Type="http://schemas.openxmlformats.org/officeDocument/2006/relationships/image" Target="../media/image49.emf"/><Relationship Id="rId34" Type="http://schemas.openxmlformats.org/officeDocument/2006/relationships/control" Target="../activeX/activeX56.xml"/><Relationship Id="rId7" Type="http://schemas.openxmlformats.org/officeDocument/2006/relationships/image" Target="../media/image4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47.xml"/><Relationship Id="rId20" Type="http://schemas.openxmlformats.org/officeDocument/2006/relationships/control" Target="../activeX/activeX49.xml"/><Relationship Id="rId29" Type="http://schemas.openxmlformats.org/officeDocument/2006/relationships/image" Target="../media/image53.emf"/><Relationship Id="rId41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24" Type="http://schemas.openxmlformats.org/officeDocument/2006/relationships/control" Target="../activeX/activeX51.xml"/><Relationship Id="rId32" Type="http://schemas.openxmlformats.org/officeDocument/2006/relationships/control" Target="../activeX/activeX55.xml"/><Relationship Id="rId37" Type="http://schemas.openxmlformats.org/officeDocument/2006/relationships/image" Target="../media/image57.emf"/><Relationship Id="rId40" Type="http://schemas.openxmlformats.org/officeDocument/2006/relationships/ctrlProp" Target="../ctrlProps/ctrlProp1.xml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23" Type="http://schemas.openxmlformats.org/officeDocument/2006/relationships/image" Target="../media/image50.emf"/><Relationship Id="rId28" Type="http://schemas.openxmlformats.org/officeDocument/2006/relationships/control" Target="../activeX/activeX53.xml"/><Relationship Id="rId36" Type="http://schemas.openxmlformats.org/officeDocument/2006/relationships/control" Target="../activeX/activeX57.xml"/><Relationship Id="rId10" Type="http://schemas.openxmlformats.org/officeDocument/2006/relationships/control" Target="../activeX/activeX44.xml"/><Relationship Id="rId19" Type="http://schemas.openxmlformats.org/officeDocument/2006/relationships/image" Target="../media/image48.emf"/><Relationship Id="rId31" Type="http://schemas.openxmlformats.org/officeDocument/2006/relationships/image" Target="../media/image54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Relationship Id="rId22" Type="http://schemas.openxmlformats.org/officeDocument/2006/relationships/control" Target="../activeX/activeX50.xml"/><Relationship Id="rId27" Type="http://schemas.openxmlformats.org/officeDocument/2006/relationships/image" Target="../media/image52.emf"/><Relationship Id="rId30" Type="http://schemas.openxmlformats.org/officeDocument/2006/relationships/control" Target="../activeX/activeX54.xml"/><Relationship Id="rId35" Type="http://schemas.openxmlformats.org/officeDocument/2006/relationships/image" Target="../media/image56.emf"/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45.xml"/><Relationship Id="rId17" Type="http://schemas.openxmlformats.org/officeDocument/2006/relationships/image" Target="../media/image47.emf"/><Relationship Id="rId25" Type="http://schemas.openxmlformats.org/officeDocument/2006/relationships/image" Target="../media/image51.emf"/><Relationship Id="rId33" Type="http://schemas.openxmlformats.org/officeDocument/2006/relationships/image" Target="../media/image55.emf"/><Relationship Id="rId38" Type="http://schemas.openxmlformats.org/officeDocument/2006/relationships/control" Target="../activeX/activeX5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8"/>
  <dimension ref="A1:B32"/>
  <sheetViews>
    <sheetView workbookViewId="0">
      <selection activeCell="B15" sqref="B15"/>
    </sheetView>
  </sheetViews>
  <sheetFormatPr defaultRowHeight="15"/>
  <cols>
    <col min="1" max="1" width="27.42578125" bestFit="1" customWidth="1"/>
    <col min="2" max="2" width="18" bestFit="1" customWidth="1"/>
    <col min="3" max="3" width="8.5703125" customWidth="1"/>
  </cols>
  <sheetData>
    <row r="1" spans="1:2">
      <c r="A1" s="1546" t="s">
        <v>617</v>
      </c>
      <c r="B1" s="1546" t="s">
        <v>943</v>
      </c>
    </row>
    <row r="2" spans="1:2">
      <c r="A2" t="s">
        <v>972</v>
      </c>
      <c r="B2" t="s">
        <v>757</v>
      </c>
    </row>
    <row r="3" spans="1:2">
      <c r="A3" t="s">
        <v>953</v>
      </c>
      <c r="B3" t="s">
        <v>954</v>
      </c>
    </row>
    <row r="4" spans="1:2">
      <c r="A4" t="s">
        <v>975</v>
      </c>
      <c r="B4" t="s">
        <v>976</v>
      </c>
    </row>
    <row r="5" spans="1:2">
      <c r="A5" t="s">
        <v>962</v>
      </c>
      <c r="B5" t="s">
        <v>963</v>
      </c>
    </row>
    <row r="6" spans="1:2">
      <c r="A6" t="s">
        <v>964</v>
      </c>
      <c r="B6" t="s">
        <v>965</v>
      </c>
    </row>
    <row r="7" spans="1:2">
      <c r="A7" t="s">
        <v>969</v>
      </c>
      <c r="B7" t="s">
        <v>968</v>
      </c>
    </row>
    <row r="8" spans="1:2">
      <c r="A8" t="s">
        <v>966</v>
      </c>
      <c r="B8" t="s">
        <v>967</v>
      </c>
    </row>
    <row r="9" spans="1:2">
      <c r="A9" t="s">
        <v>970</v>
      </c>
      <c r="B9" t="s">
        <v>971</v>
      </c>
    </row>
    <row r="10" spans="1:2">
      <c r="A10" t="s">
        <v>985</v>
      </c>
      <c r="B10" t="s">
        <v>986</v>
      </c>
    </row>
    <row r="11" spans="1:2">
      <c r="A11" t="s">
        <v>977</v>
      </c>
      <c r="B11" t="s">
        <v>978</v>
      </c>
    </row>
    <row r="12" spans="1:2">
      <c r="A12" t="s">
        <v>979</v>
      </c>
      <c r="B12" t="s">
        <v>980</v>
      </c>
    </row>
    <row r="13" spans="1:2">
      <c r="A13" t="s">
        <v>983</v>
      </c>
      <c r="B13" t="s">
        <v>984</v>
      </c>
    </row>
    <row r="14" spans="1:2">
      <c r="A14" t="s">
        <v>981</v>
      </c>
      <c r="B14" t="s">
        <v>982</v>
      </c>
    </row>
    <row r="15" spans="1:2">
      <c r="A15" t="s">
        <v>993</v>
      </c>
      <c r="B15" t="s">
        <v>994</v>
      </c>
    </row>
    <row r="16" spans="1:2">
      <c r="A16" t="s">
        <v>997</v>
      </c>
      <c r="B16" t="s">
        <v>998</v>
      </c>
    </row>
    <row r="17" spans="1:2">
      <c r="A17" t="s">
        <v>1001</v>
      </c>
      <c r="B17" t="s">
        <v>1002</v>
      </c>
    </row>
    <row r="18" spans="1:2">
      <c r="A18" t="s">
        <v>951</v>
      </c>
      <c r="B18" t="s">
        <v>952</v>
      </c>
    </row>
    <row r="19" spans="1:2">
      <c r="A19" t="s">
        <v>950</v>
      </c>
      <c r="B19" t="s">
        <v>947</v>
      </c>
    </row>
    <row r="20" spans="1:2">
      <c r="A20" t="s">
        <v>946</v>
      </c>
      <c r="B20" t="s">
        <v>947</v>
      </c>
    </row>
    <row r="21" spans="1:2">
      <c r="A21" t="s">
        <v>948</v>
      </c>
      <c r="B21" t="s">
        <v>949</v>
      </c>
    </row>
    <row r="22" spans="1:2">
      <c r="A22" t="s">
        <v>958</v>
      </c>
      <c r="B22" t="s">
        <v>959</v>
      </c>
    </row>
    <row r="23" spans="1:2">
      <c r="A23" t="s">
        <v>956</v>
      </c>
      <c r="B23" t="s">
        <v>957</v>
      </c>
    </row>
    <row r="24" spans="1:2">
      <c r="A24" t="s">
        <v>960</v>
      </c>
      <c r="B24" t="s">
        <v>961</v>
      </c>
    </row>
    <row r="25" spans="1:2">
      <c r="A25" t="s">
        <v>955</v>
      </c>
      <c r="B25" t="s">
        <v>955</v>
      </c>
    </row>
    <row r="26" spans="1:2">
      <c r="A26" t="s">
        <v>991</v>
      </c>
      <c r="B26" t="s">
        <v>992</v>
      </c>
    </row>
    <row r="27" spans="1:2">
      <c r="A27" t="s">
        <v>995</v>
      </c>
      <c r="B27" t="s">
        <v>996</v>
      </c>
    </row>
    <row r="28" spans="1:2">
      <c r="A28" t="s">
        <v>944</v>
      </c>
      <c r="B28" t="s">
        <v>945</v>
      </c>
    </row>
    <row r="29" spans="1:2">
      <c r="A29" t="s">
        <v>1000</v>
      </c>
      <c r="B29" t="s">
        <v>999</v>
      </c>
    </row>
    <row r="30" spans="1:2">
      <c r="A30" t="s">
        <v>973</v>
      </c>
      <c r="B30" t="s">
        <v>974</v>
      </c>
    </row>
    <row r="31" spans="1:2">
      <c r="A31" t="s">
        <v>987</v>
      </c>
      <c r="B31" t="s">
        <v>988</v>
      </c>
    </row>
    <row r="32" spans="1:2">
      <c r="A32" t="s">
        <v>989</v>
      </c>
      <c r="B32" t="s">
        <v>990</v>
      </c>
    </row>
  </sheetData>
  <sortState ref="A2:B32">
    <sortCondition ref="A2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1:G161"/>
  <sheetViews>
    <sheetView workbookViewId="0">
      <pane ySplit="1" topLeftCell="A122" activePane="bottomLeft" state="frozen"/>
      <selection pane="bottomLeft" activeCell="B135" sqref="B135"/>
    </sheetView>
  </sheetViews>
  <sheetFormatPr defaultRowHeight="15"/>
  <cols>
    <col min="1" max="1" width="15.42578125" bestFit="1" customWidth="1"/>
    <col min="2" max="2" width="54" bestFit="1" customWidth="1"/>
    <col min="3" max="3" width="51" bestFit="1" customWidth="1"/>
    <col min="4" max="4" width="52.5703125" bestFit="1" customWidth="1"/>
    <col min="6" max="6" width="10" bestFit="1" customWidth="1"/>
    <col min="7" max="7" width="10.85546875" bestFit="1" customWidth="1"/>
  </cols>
  <sheetData>
    <row r="1" spans="1:7">
      <c r="A1" s="1395" t="s">
        <v>503</v>
      </c>
      <c r="B1" s="1395" t="s">
        <v>504</v>
      </c>
      <c r="C1" s="1395" t="s">
        <v>505</v>
      </c>
      <c r="D1" s="1395" t="s">
        <v>506</v>
      </c>
      <c r="E1" s="1395" t="s">
        <v>615</v>
      </c>
      <c r="F1" s="1395" t="s">
        <v>614</v>
      </c>
      <c r="G1" s="1395" t="s">
        <v>613</v>
      </c>
    </row>
    <row r="2" spans="1:7">
      <c r="A2" s="513">
        <v>1</v>
      </c>
      <c r="B2" s="513" t="s">
        <v>507</v>
      </c>
      <c r="C2" s="513" t="s">
        <v>508</v>
      </c>
      <c r="D2" s="513" t="s">
        <v>701</v>
      </c>
      <c r="E2" s="513"/>
      <c r="F2" s="513"/>
      <c r="G2" s="513"/>
    </row>
    <row r="3" spans="1:7">
      <c r="A3" s="513">
        <v>2</v>
      </c>
      <c r="B3" s="513" t="s">
        <v>223</v>
      </c>
      <c r="C3" s="513" t="s">
        <v>509</v>
      </c>
      <c r="D3" s="513" t="s">
        <v>628</v>
      </c>
      <c r="E3" s="513"/>
      <c r="F3" s="513"/>
      <c r="G3" s="513"/>
    </row>
    <row r="4" spans="1:7">
      <c r="A4" s="513">
        <v>3</v>
      </c>
      <c r="B4" s="513" t="s">
        <v>510</v>
      </c>
      <c r="C4" s="513" t="s">
        <v>511</v>
      </c>
      <c r="D4" s="513" t="s">
        <v>629</v>
      </c>
      <c r="E4" s="513"/>
      <c r="F4" s="513"/>
      <c r="G4" s="513"/>
    </row>
    <row r="5" spans="1:7">
      <c r="A5" s="513">
        <v>4</v>
      </c>
      <c r="B5" s="513" t="s">
        <v>137</v>
      </c>
      <c r="C5" s="513" t="s">
        <v>512</v>
      </c>
      <c r="D5" s="513" t="s">
        <v>630</v>
      </c>
      <c r="E5" s="513"/>
      <c r="F5" s="513"/>
      <c r="G5" s="513"/>
    </row>
    <row r="6" spans="1:7">
      <c r="A6" s="513">
        <v>5</v>
      </c>
      <c r="B6" s="513" t="s">
        <v>2</v>
      </c>
      <c r="C6" s="513" t="s">
        <v>513</v>
      </c>
      <c r="D6" s="513" t="s">
        <v>631</v>
      </c>
      <c r="E6" s="513"/>
      <c r="F6" s="513"/>
      <c r="G6" s="513"/>
    </row>
    <row r="7" spans="1:7">
      <c r="A7" s="513">
        <v>6</v>
      </c>
      <c r="B7" s="513" t="s">
        <v>385</v>
      </c>
      <c r="C7" s="513" t="s">
        <v>385</v>
      </c>
      <c r="D7" s="513" t="s">
        <v>632</v>
      </c>
      <c r="E7" s="513"/>
      <c r="F7" s="513"/>
      <c r="G7" s="513"/>
    </row>
    <row r="8" spans="1:7">
      <c r="A8" s="513">
        <v>7</v>
      </c>
      <c r="B8" s="513" t="s">
        <v>514</v>
      </c>
      <c r="C8" s="513" t="s">
        <v>514</v>
      </c>
      <c r="D8" s="513" t="s">
        <v>633</v>
      </c>
      <c r="E8" s="513"/>
      <c r="F8" s="513"/>
      <c r="G8" s="513"/>
    </row>
    <row r="9" spans="1:7">
      <c r="A9" s="513">
        <v>8</v>
      </c>
      <c r="B9" s="513" t="s">
        <v>515</v>
      </c>
      <c r="C9" s="513" t="s">
        <v>515</v>
      </c>
      <c r="D9" s="513" t="s">
        <v>634</v>
      </c>
      <c r="E9" s="513"/>
      <c r="F9" s="513"/>
      <c r="G9" s="513"/>
    </row>
    <row r="10" spans="1:7">
      <c r="A10" s="513">
        <v>9</v>
      </c>
      <c r="B10" s="513" t="s">
        <v>386</v>
      </c>
      <c r="C10" s="513" t="s">
        <v>386</v>
      </c>
      <c r="D10" s="513" t="s">
        <v>635</v>
      </c>
      <c r="E10" s="513"/>
      <c r="F10" s="513"/>
      <c r="G10" s="513"/>
    </row>
    <row r="11" spans="1:7">
      <c r="A11" s="513">
        <v>10</v>
      </c>
      <c r="B11" s="513" t="s">
        <v>516</v>
      </c>
      <c r="C11" s="513" t="s">
        <v>517</v>
      </c>
      <c r="D11" s="513" t="s">
        <v>636</v>
      </c>
      <c r="E11" s="513"/>
      <c r="F11" s="513"/>
      <c r="G11" s="513"/>
    </row>
    <row r="12" spans="1:7">
      <c r="A12" s="513">
        <v>11</v>
      </c>
      <c r="B12" s="513" t="s">
        <v>218</v>
      </c>
      <c r="C12" s="513" t="s">
        <v>518</v>
      </c>
      <c r="D12" s="513" t="s">
        <v>637</v>
      </c>
      <c r="E12" s="513"/>
      <c r="F12" s="513"/>
      <c r="G12" s="513"/>
    </row>
    <row r="13" spans="1:7">
      <c r="A13" s="513">
        <v>12</v>
      </c>
      <c r="B13" s="513" t="s">
        <v>7</v>
      </c>
      <c r="C13" s="513" t="s">
        <v>519</v>
      </c>
      <c r="D13" s="513" t="s">
        <v>638</v>
      </c>
      <c r="E13" s="513"/>
      <c r="F13" s="513"/>
      <c r="G13" s="513"/>
    </row>
    <row r="14" spans="1:7">
      <c r="A14" s="513">
        <v>13</v>
      </c>
      <c r="B14" s="513" t="s">
        <v>150</v>
      </c>
      <c r="C14" s="513" t="s">
        <v>520</v>
      </c>
      <c r="D14" s="513" t="s">
        <v>639</v>
      </c>
      <c r="E14" s="513"/>
      <c r="F14" s="513"/>
      <c r="G14" s="513"/>
    </row>
    <row r="15" spans="1:7">
      <c r="A15" s="513">
        <v>14</v>
      </c>
      <c r="B15" s="513" t="s">
        <v>151</v>
      </c>
      <c r="C15" s="513" t="s">
        <v>521</v>
      </c>
      <c r="D15" s="513" t="s">
        <v>640</v>
      </c>
      <c r="E15" s="513"/>
      <c r="F15" s="513"/>
      <c r="G15" s="513"/>
    </row>
    <row r="16" spans="1:7">
      <c r="A16" s="513">
        <v>14</v>
      </c>
      <c r="B16" s="513" t="s">
        <v>522</v>
      </c>
      <c r="C16" s="513" t="s">
        <v>512</v>
      </c>
      <c r="D16" s="513" t="s">
        <v>641</v>
      </c>
      <c r="E16" s="513"/>
      <c r="F16" s="513"/>
      <c r="G16" s="513"/>
    </row>
    <row r="17" spans="1:7">
      <c r="A17" s="513">
        <v>15</v>
      </c>
      <c r="B17" s="513" t="s">
        <v>602</v>
      </c>
      <c r="C17" s="513" t="s">
        <v>603</v>
      </c>
      <c r="D17" s="513" t="s">
        <v>642</v>
      </c>
      <c r="E17" s="513"/>
      <c r="F17" s="513"/>
      <c r="G17" s="513"/>
    </row>
    <row r="18" spans="1:7">
      <c r="A18" s="513">
        <v>16</v>
      </c>
      <c r="B18" s="513" t="s">
        <v>0</v>
      </c>
      <c r="C18" s="513" t="s">
        <v>523</v>
      </c>
      <c r="D18" s="513" t="s">
        <v>643</v>
      </c>
      <c r="E18" s="513"/>
      <c r="F18" s="513"/>
      <c r="G18" s="513"/>
    </row>
    <row r="19" spans="1:7">
      <c r="A19" s="513">
        <v>17</v>
      </c>
      <c r="B19" s="513" t="s">
        <v>524</v>
      </c>
      <c r="C19" s="513" t="s">
        <v>525</v>
      </c>
      <c r="D19" s="513" t="s">
        <v>644</v>
      </c>
      <c r="E19" s="513"/>
      <c r="F19" s="513"/>
      <c r="G19" s="513"/>
    </row>
    <row r="20" spans="1:7">
      <c r="A20" s="513">
        <v>18</v>
      </c>
      <c r="B20" s="513" t="s">
        <v>157</v>
      </c>
      <c r="C20" s="513" t="s">
        <v>526</v>
      </c>
      <c r="D20" s="513" t="s">
        <v>645</v>
      </c>
      <c r="E20" s="513"/>
      <c r="F20" s="513"/>
      <c r="G20" s="513"/>
    </row>
    <row r="21" spans="1:7">
      <c r="A21" s="513">
        <v>19</v>
      </c>
      <c r="B21" s="513" t="s">
        <v>305</v>
      </c>
      <c r="C21" s="513" t="s">
        <v>548</v>
      </c>
      <c r="D21" s="513" t="s">
        <v>646</v>
      </c>
      <c r="E21" s="513"/>
      <c r="F21" s="513"/>
      <c r="G21" s="513"/>
    </row>
    <row r="22" spans="1:7">
      <c r="A22" s="513">
        <v>20</v>
      </c>
      <c r="B22" s="513" t="s">
        <v>527</v>
      </c>
      <c r="C22" s="513" t="s">
        <v>528</v>
      </c>
      <c r="D22" s="513" t="s">
        <v>647</v>
      </c>
      <c r="E22" s="513"/>
      <c r="F22" s="513"/>
      <c r="G22" s="513"/>
    </row>
    <row r="23" spans="1:7">
      <c r="A23" s="513">
        <v>21</v>
      </c>
      <c r="B23" s="513" t="s">
        <v>529</v>
      </c>
      <c r="C23" s="513" t="s">
        <v>530</v>
      </c>
      <c r="D23" s="513" t="s">
        <v>648</v>
      </c>
      <c r="E23" s="513"/>
      <c r="F23" s="513"/>
      <c r="G23" s="513"/>
    </row>
    <row r="24" spans="1:7">
      <c r="A24" s="513">
        <v>22</v>
      </c>
      <c r="B24" s="513" t="s">
        <v>3</v>
      </c>
      <c r="C24" s="513" t="s">
        <v>531</v>
      </c>
      <c r="D24" s="513" t="s">
        <v>649</v>
      </c>
      <c r="E24" s="513"/>
      <c r="F24" s="513"/>
      <c r="G24" s="513"/>
    </row>
    <row r="25" spans="1:7">
      <c r="A25" s="513">
        <v>23</v>
      </c>
      <c r="B25" s="513" t="s">
        <v>532</v>
      </c>
      <c r="C25" s="513" t="s">
        <v>533</v>
      </c>
      <c r="D25" s="513" t="s">
        <v>650</v>
      </c>
      <c r="E25" s="513"/>
      <c r="F25" s="513"/>
      <c r="G25" s="513"/>
    </row>
    <row r="26" spans="1:7">
      <c r="A26" s="513">
        <v>24</v>
      </c>
      <c r="B26" s="513" t="s">
        <v>48</v>
      </c>
      <c r="C26" s="513" t="s">
        <v>534</v>
      </c>
      <c r="D26" s="513" t="s">
        <v>651</v>
      </c>
      <c r="E26" s="513"/>
      <c r="F26" s="513"/>
      <c r="G26" s="513"/>
    </row>
    <row r="27" spans="1:7">
      <c r="A27" s="513">
        <v>25</v>
      </c>
      <c r="B27" s="513" t="s">
        <v>7</v>
      </c>
      <c r="C27" s="513" t="s">
        <v>519</v>
      </c>
      <c r="D27" s="513" t="s">
        <v>638</v>
      </c>
      <c r="E27" s="513"/>
      <c r="F27" s="513"/>
      <c r="G27" s="513"/>
    </row>
    <row r="28" spans="1:7">
      <c r="A28" s="513">
        <v>26</v>
      </c>
      <c r="B28" s="513" t="s">
        <v>6</v>
      </c>
      <c r="C28" s="513" t="s">
        <v>535</v>
      </c>
      <c r="D28" s="513" t="s">
        <v>652</v>
      </c>
      <c r="E28" s="513"/>
      <c r="F28" s="513"/>
      <c r="G28" s="513"/>
    </row>
    <row r="29" spans="1:7">
      <c r="A29" s="513">
        <v>27</v>
      </c>
      <c r="B29" s="513" t="s">
        <v>169</v>
      </c>
      <c r="C29" s="513" t="s">
        <v>536</v>
      </c>
      <c r="D29" s="513" t="s">
        <v>653</v>
      </c>
      <c r="E29" s="513"/>
      <c r="F29" s="513"/>
      <c r="G29" s="513"/>
    </row>
    <row r="30" spans="1:7">
      <c r="A30" s="513">
        <v>28</v>
      </c>
      <c r="B30" s="513" t="s">
        <v>4</v>
      </c>
      <c r="C30" s="513" t="s">
        <v>537</v>
      </c>
      <c r="D30" s="513" t="s">
        <v>4</v>
      </c>
      <c r="E30" s="513"/>
      <c r="F30" s="513"/>
      <c r="G30" s="513"/>
    </row>
    <row r="31" spans="1:7">
      <c r="A31" s="513">
        <v>29</v>
      </c>
      <c r="B31" s="513" t="s">
        <v>5</v>
      </c>
      <c r="C31" s="513" t="s">
        <v>538</v>
      </c>
      <c r="D31" s="513" t="s">
        <v>654</v>
      </c>
      <c r="E31" s="513"/>
      <c r="F31" s="513"/>
      <c r="G31" s="513"/>
    </row>
    <row r="32" spans="1:7">
      <c r="A32" s="513">
        <v>30</v>
      </c>
      <c r="B32" s="513" t="s">
        <v>604</v>
      </c>
      <c r="C32" s="513" t="s">
        <v>605</v>
      </c>
      <c r="D32" s="513" t="s">
        <v>655</v>
      </c>
      <c r="E32" s="513"/>
      <c r="F32" s="513"/>
      <c r="G32" s="513"/>
    </row>
    <row r="33" spans="1:7">
      <c r="A33" s="513">
        <v>31</v>
      </c>
      <c r="B33" s="513" t="s">
        <v>204</v>
      </c>
      <c r="C33" s="513" t="s">
        <v>539</v>
      </c>
      <c r="D33" s="513" t="s">
        <v>656</v>
      </c>
      <c r="E33" s="513"/>
      <c r="F33" s="513"/>
      <c r="G33" s="513"/>
    </row>
    <row r="34" spans="1:7">
      <c r="A34" s="513">
        <v>32</v>
      </c>
      <c r="B34" s="513" t="s">
        <v>109</v>
      </c>
      <c r="C34" s="513" t="s">
        <v>540</v>
      </c>
      <c r="D34" s="513" t="s">
        <v>657</v>
      </c>
      <c r="E34" s="513"/>
      <c r="F34" s="513"/>
      <c r="G34" s="513"/>
    </row>
    <row r="35" spans="1:7">
      <c r="A35" s="513">
        <v>33</v>
      </c>
      <c r="B35" s="513" t="s">
        <v>541</v>
      </c>
      <c r="C35" s="513" t="s">
        <v>542</v>
      </c>
      <c r="D35" s="513" t="s">
        <v>658</v>
      </c>
      <c r="E35" s="513"/>
      <c r="F35" s="513"/>
      <c r="G35" s="513"/>
    </row>
    <row r="36" spans="1:7">
      <c r="A36" s="513">
        <v>34</v>
      </c>
      <c r="B36" s="513" t="s">
        <v>354</v>
      </c>
      <c r="C36" s="513" t="s">
        <v>543</v>
      </c>
      <c r="D36" s="513" t="s">
        <v>659</v>
      </c>
      <c r="E36" s="513"/>
      <c r="F36" s="513"/>
      <c r="G36" s="513"/>
    </row>
    <row r="37" spans="1:7">
      <c r="A37" s="513">
        <v>35</v>
      </c>
      <c r="B37" s="513" t="s">
        <v>9</v>
      </c>
      <c r="C37" s="513" t="s">
        <v>9</v>
      </c>
      <c r="D37" s="513" t="s">
        <v>9</v>
      </c>
      <c r="E37" s="513"/>
      <c r="F37" s="513"/>
      <c r="G37" s="513"/>
    </row>
    <row r="38" spans="1:7">
      <c r="A38" s="513">
        <v>36</v>
      </c>
      <c r="B38" s="513" t="s">
        <v>544</v>
      </c>
      <c r="C38" s="513" t="s">
        <v>545</v>
      </c>
      <c r="D38" s="513" t="s">
        <v>660</v>
      </c>
      <c r="E38" s="513"/>
      <c r="F38" s="513"/>
      <c r="G38" s="513"/>
    </row>
    <row r="39" spans="1:7">
      <c r="A39" s="513">
        <v>37</v>
      </c>
      <c r="B39" s="513" t="s">
        <v>546</v>
      </c>
      <c r="C39" s="513" t="s">
        <v>547</v>
      </c>
      <c r="D39" s="513" t="s">
        <v>661</v>
      </c>
      <c r="E39" s="513"/>
      <c r="F39" s="513"/>
      <c r="G39" s="513"/>
    </row>
    <row r="40" spans="1:7">
      <c r="A40" s="513">
        <v>38</v>
      </c>
      <c r="B40" s="513" t="s">
        <v>606</v>
      </c>
      <c r="C40" s="513" t="s">
        <v>625</v>
      </c>
      <c r="D40" s="513" t="s">
        <v>662</v>
      </c>
      <c r="E40" s="513"/>
      <c r="F40" s="513"/>
      <c r="G40" s="513"/>
    </row>
    <row r="41" spans="1:7">
      <c r="A41" s="513">
        <v>39</v>
      </c>
      <c r="B41" s="513" t="s">
        <v>566</v>
      </c>
      <c r="C41" s="513" t="s">
        <v>567</v>
      </c>
      <c r="D41" s="513" t="s">
        <v>663</v>
      </c>
      <c r="E41" s="513"/>
      <c r="F41" s="513"/>
      <c r="G41" s="513"/>
    </row>
    <row r="42" spans="1:7">
      <c r="A42" s="513">
        <v>40</v>
      </c>
      <c r="B42" s="513" t="s">
        <v>61</v>
      </c>
      <c r="C42" s="513" t="s">
        <v>551</v>
      </c>
      <c r="D42" s="513" t="s">
        <v>677</v>
      </c>
      <c r="E42" s="513"/>
      <c r="F42" s="513"/>
      <c r="G42" s="513"/>
    </row>
    <row r="43" spans="1:7">
      <c r="A43" s="513">
        <v>41</v>
      </c>
      <c r="B43" s="513" t="s">
        <v>608</v>
      </c>
      <c r="C43" s="513" t="s">
        <v>607</v>
      </c>
      <c r="D43" s="513" t="s">
        <v>665</v>
      </c>
      <c r="E43" s="513"/>
      <c r="F43" s="513"/>
      <c r="G43" s="513"/>
    </row>
    <row r="44" spans="1:7">
      <c r="A44" s="513">
        <v>42</v>
      </c>
      <c r="B44" s="513" t="s">
        <v>552</v>
      </c>
      <c r="C44" s="513" t="s">
        <v>553</v>
      </c>
      <c r="D44" s="513" t="s">
        <v>666</v>
      </c>
      <c r="E44" s="513"/>
      <c r="F44" s="513"/>
      <c r="G44" s="513"/>
    </row>
    <row r="45" spans="1:7">
      <c r="A45" s="513">
        <v>43</v>
      </c>
      <c r="B45" s="513" t="s">
        <v>554</v>
      </c>
      <c r="C45" s="513" t="s">
        <v>555</v>
      </c>
      <c r="D45" s="513" t="s">
        <v>667</v>
      </c>
      <c r="E45" s="513"/>
      <c r="F45" s="513"/>
      <c r="G45" s="513"/>
    </row>
    <row r="46" spans="1:7">
      <c r="A46" s="513">
        <v>44</v>
      </c>
      <c r="B46" s="513" t="s">
        <v>185</v>
      </c>
      <c r="C46" s="513" t="s">
        <v>556</v>
      </c>
      <c r="D46" s="513" t="s">
        <v>668</v>
      </c>
      <c r="E46" s="513"/>
      <c r="F46" s="513"/>
      <c r="G46" s="513"/>
    </row>
    <row r="47" spans="1:7">
      <c r="A47" s="513">
        <v>45</v>
      </c>
      <c r="B47" s="513" t="s">
        <v>237</v>
      </c>
      <c r="C47" s="513" t="s">
        <v>557</v>
      </c>
      <c r="D47" s="513" t="s">
        <v>669</v>
      </c>
      <c r="E47" s="513"/>
      <c r="F47" s="513"/>
      <c r="G47" s="513"/>
    </row>
    <row r="48" spans="1:7">
      <c r="A48" s="513">
        <v>46</v>
      </c>
      <c r="B48" s="513" t="s">
        <v>200</v>
      </c>
      <c r="C48" s="513" t="s">
        <v>558</v>
      </c>
      <c r="D48" s="513" t="s">
        <v>670</v>
      </c>
      <c r="E48" s="513"/>
      <c r="F48" s="513"/>
      <c r="G48" s="513"/>
    </row>
    <row r="49" spans="1:7">
      <c r="A49" s="513">
        <v>47</v>
      </c>
      <c r="B49" s="513" t="s">
        <v>559</v>
      </c>
      <c r="C49" s="513" t="s">
        <v>560</v>
      </c>
      <c r="D49" s="513" t="s">
        <v>671</v>
      </c>
      <c r="E49" s="513"/>
      <c r="F49" s="513"/>
      <c r="G49" s="513"/>
    </row>
    <row r="50" spans="1:7">
      <c r="A50" s="513">
        <v>48</v>
      </c>
      <c r="B50" s="513" t="s">
        <v>197</v>
      </c>
      <c r="C50" s="513" t="s">
        <v>561</v>
      </c>
      <c r="D50" s="513" t="s">
        <v>672</v>
      </c>
      <c r="E50" s="513"/>
      <c r="F50" s="513"/>
      <c r="G50" s="513"/>
    </row>
    <row r="51" spans="1:7">
      <c r="A51" s="513">
        <v>49</v>
      </c>
      <c r="B51" s="513" t="s">
        <v>549</v>
      </c>
      <c r="C51" s="513" t="s">
        <v>550</v>
      </c>
      <c r="D51" s="513" t="s">
        <v>664</v>
      </c>
      <c r="E51" s="513"/>
      <c r="F51" s="513"/>
      <c r="G51" s="513"/>
    </row>
    <row r="52" spans="1:7">
      <c r="A52" s="513">
        <v>50</v>
      </c>
      <c r="B52" s="513" t="s">
        <v>229</v>
      </c>
      <c r="C52" s="513" t="s">
        <v>562</v>
      </c>
      <c r="D52" s="513" t="s">
        <v>673</v>
      </c>
      <c r="E52" s="513"/>
      <c r="F52" s="513"/>
      <c r="G52" s="513"/>
    </row>
    <row r="53" spans="1:7">
      <c r="A53" s="513">
        <v>51</v>
      </c>
      <c r="B53" s="513" t="s">
        <v>172</v>
      </c>
      <c r="C53" s="513" t="s">
        <v>563</v>
      </c>
      <c r="D53" s="513" t="s">
        <v>674</v>
      </c>
      <c r="E53" s="513"/>
      <c r="F53" s="513"/>
      <c r="G53" s="513"/>
    </row>
    <row r="54" spans="1:7">
      <c r="A54" s="513">
        <v>52</v>
      </c>
      <c r="B54" s="513" t="s">
        <v>177</v>
      </c>
      <c r="C54" s="513" t="s">
        <v>564</v>
      </c>
      <c r="D54" s="513" t="s">
        <v>675</v>
      </c>
      <c r="E54" s="513"/>
      <c r="F54" s="513"/>
      <c r="G54" s="513"/>
    </row>
    <row r="55" spans="1:7">
      <c r="A55" s="513">
        <v>53</v>
      </c>
      <c r="B55" s="513" t="s">
        <v>182</v>
      </c>
      <c r="C55" s="513" t="s">
        <v>565</v>
      </c>
      <c r="D55" s="513" t="s">
        <v>676</v>
      </c>
      <c r="E55" s="513"/>
      <c r="F55" s="513"/>
      <c r="G55" s="513"/>
    </row>
    <row r="56" spans="1:7">
      <c r="A56" s="513">
        <v>54</v>
      </c>
      <c r="B56" s="513" t="s">
        <v>609</v>
      </c>
      <c r="C56" s="513" t="s">
        <v>610</v>
      </c>
      <c r="D56" s="513" t="s">
        <v>678</v>
      </c>
      <c r="E56" s="513"/>
      <c r="F56" s="513"/>
      <c r="G56" s="513"/>
    </row>
    <row r="57" spans="1:7">
      <c r="A57" s="513">
        <v>55</v>
      </c>
      <c r="B57" s="513" t="s">
        <v>196</v>
      </c>
      <c r="C57" s="513" t="s">
        <v>611</v>
      </c>
      <c r="D57" s="513" t="s">
        <v>681</v>
      </c>
      <c r="E57" s="513"/>
      <c r="F57" s="513"/>
      <c r="G57" s="513"/>
    </row>
    <row r="58" spans="1:7">
      <c r="A58" s="513">
        <v>56</v>
      </c>
      <c r="B58" s="513" t="s">
        <v>716</v>
      </c>
      <c r="C58" s="513" t="s">
        <v>568</v>
      </c>
      <c r="D58" s="513" t="s">
        <v>679</v>
      </c>
      <c r="E58" s="513"/>
      <c r="F58" s="513"/>
      <c r="G58" s="513"/>
    </row>
    <row r="59" spans="1:7">
      <c r="A59" s="513">
        <v>57</v>
      </c>
      <c r="B59" s="513" t="s">
        <v>715</v>
      </c>
      <c r="C59" s="513" t="s">
        <v>612</v>
      </c>
      <c r="D59" s="513" t="s">
        <v>680</v>
      </c>
      <c r="E59" s="513"/>
      <c r="F59" s="513"/>
      <c r="G59" s="513"/>
    </row>
    <row r="60" spans="1:7">
      <c r="A60" s="513">
        <v>58</v>
      </c>
      <c r="B60" s="513" t="s">
        <v>201</v>
      </c>
      <c r="C60" s="513" t="s">
        <v>569</v>
      </c>
      <c r="D60" s="513" t="s">
        <v>682</v>
      </c>
      <c r="E60" s="513"/>
      <c r="F60" s="513"/>
      <c r="G60" s="513"/>
    </row>
    <row r="61" spans="1:7">
      <c r="A61" s="513">
        <v>59</v>
      </c>
      <c r="B61" s="513" t="s">
        <v>359</v>
      </c>
      <c r="C61" s="513" t="s">
        <v>570</v>
      </c>
      <c r="D61" s="513" t="s">
        <v>636</v>
      </c>
      <c r="E61" s="513"/>
      <c r="F61" s="513"/>
      <c r="G61" s="513"/>
    </row>
    <row r="62" spans="1:7">
      <c r="A62" s="513">
        <v>60</v>
      </c>
      <c r="B62" s="513" t="s">
        <v>257</v>
      </c>
      <c r="C62" s="513" t="s">
        <v>571</v>
      </c>
      <c r="D62" s="513" t="s">
        <v>683</v>
      </c>
      <c r="E62" s="513"/>
      <c r="F62" s="513"/>
      <c r="G62" s="513"/>
    </row>
    <row r="63" spans="1:7">
      <c r="A63" s="513">
        <v>61</v>
      </c>
      <c r="B63" s="513" t="s">
        <v>592</v>
      </c>
      <c r="C63" s="513" t="s">
        <v>593</v>
      </c>
      <c r="D63" s="513" t="s">
        <v>696</v>
      </c>
      <c r="E63" s="513"/>
      <c r="F63" s="513"/>
      <c r="G63" s="513"/>
    </row>
    <row r="64" spans="1:7">
      <c r="A64" s="513">
        <v>62</v>
      </c>
      <c r="B64" s="513" t="s">
        <v>184</v>
      </c>
      <c r="C64" s="513" t="s">
        <v>574</v>
      </c>
      <c r="D64" s="513" t="s">
        <v>684</v>
      </c>
      <c r="E64" s="513"/>
      <c r="F64" s="513"/>
      <c r="G64" s="513"/>
    </row>
    <row r="65" spans="1:7">
      <c r="A65" s="513">
        <v>63</v>
      </c>
      <c r="B65" s="513" t="s">
        <v>575</v>
      </c>
      <c r="C65" s="513" t="s">
        <v>576</v>
      </c>
      <c r="D65" s="513" t="s">
        <v>685</v>
      </c>
      <c r="E65" s="513"/>
      <c r="F65" s="513"/>
      <c r="G65" s="513"/>
    </row>
    <row r="66" spans="1:7">
      <c r="A66" s="513">
        <v>64</v>
      </c>
      <c r="B66" s="513" t="s">
        <v>188</v>
      </c>
      <c r="C66" s="513" t="s">
        <v>577</v>
      </c>
      <c r="D66" s="513" t="s">
        <v>686</v>
      </c>
      <c r="E66" s="513"/>
      <c r="F66" s="513"/>
      <c r="G66" s="513"/>
    </row>
    <row r="67" spans="1:7">
      <c r="A67" s="513">
        <v>65</v>
      </c>
      <c r="B67" s="513" t="s">
        <v>578</v>
      </c>
      <c r="C67" s="513" t="s">
        <v>579</v>
      </c>
      <c r="D67" s="513" t="s">
        <v>687</v>
      </c>
      <c r="E67" s="513"/>
      <c r="F67" s="513"/>
      <c r="G67" s="513"/>
    </row>
    <row r="68" spans="1:7">
      <c r="A68" s="513">
        <v>66</v>
      </c>
      <c r="B68" s="513" t="s">
        <v>193</v>
      </c>
      <c r="C68" s="513" t="s">
        <v>580</v>
      </c>
      <c r="D68" s="513" t="s">
        <v>688</v>
      </c>
      <c r="E68" s="513"/>
      <c r="F68" s="513"/>
      <c r="G68" s="513"/>
    </row>
    <row r="69" spans="1:7">
      <c r="A69" s="513">
        <v>67</v>
      </c>
      <c r="B69" s="513" t="s">
        <v>185</v>
      </c>
      <c r="C69" s="513" t="s">
        <v>556</v>
      </c>
      <c r="D69" s="513" t="s">
        <v>668</v>
      </c>
      <c r="E69" s="513"/>
      <c r="F69" s="513"/>
      <c r="G69" s="513"/>
    </row>
    <row r="70" spans="1:7">
      <c r="A70" s="513">
        <v>68</v>
      </c>
      <c r="B70" s="513" t="s">
        <v>197</v>
      </c>
      <c r="C70" s="513" t="s">
        <v>561</v>
      </c>
      <c r="D70" s="513" t="s">
        <v>672</v>
      </c>
      <c r="E70" s="513"/>
      <c r="F70" s="513"/>
      <c r="G70" s="513"/>
    </row>
    <row r="71" spans="1:7">
      <c r="A71" s="513">
        <v>69</v>
      </c>
      <c r="B71" s="513" t="s">
        <v>249</v>
      </c>
      <c r="C71" s="513" t="s">
        <v>589</v>
      </c>
      <c r="D71" s="513" t="s">
        <v>693</v>
      </c>
      <c r="E71" s="513"/>
      <c r="F71" s="513"/>
      <c r="G71" s="513"/>
    </row>
    <row r="72" spans="1:7">
      <c r="A72" s="513">
        <v>70</v>
      </c>
      <c r="B72" s="513" t="s">
        <v>269</v>
      </c>
      <c r="C72" s="513" t="s">
        <v>590</v>
      </c>
      <c r="D72" s="513" t="s">
        <v>694</v>
      </c>
      <c r="E72" s="513"/>
      <c r="F72" s="513"/>
      <c r="G72" s="513"/>
    </row>
    <row r="73" spans="1:7">
      <c r="A73" s="513">
        <v>71</v>
      </c>
      <c r="B73" s="513" t="s">
        <v>227</v>
      </c>
      <c r="C73" s="513" t="s">
        <v>591</v>
      </c>
      <c r="D73" s="513" t="s">
        <v>695</v>
      </c>
      <c r="E73" s="513"/>
      <c r="F73" s="513"/>
      <c r="G73" s="513"/>
    </row>
    <row r="74" spans="1:7">
      <c r="A74" s="513">
        <v>72</v>
      </c>
      <c r="B74" s="513" t="s">
        <v>311</v>
      </c>
      <c r="C74" s="513" t="s">
        <v>594</v>
      </c>
      <c r="D74" s="513" t="s">
        <v>697</v>
      </c>
      <c r="E74" s="513"/>
      <c r="F74" s="513"/>
      <c r="G74" s="513"/>
    </row>
    <row r="75" spans="1:7">
      <c r="A75" s="513">
        <v>73</v>
      </c>
      <c r="B75" s="513" t="s">
        <v>595</v>
      </c>
      <c r="C75" s="513" t="s">
        <v>596</v>
      </c>
      <c r="D75" s="513" t="s">
        <v>698</v>
      </c>
      <c r="E75" s="513"/>
      <c r="F75" s="513"/>
      <c r="G75" s="513"/>
    </row>
    <row r="76" spans="1:7">
      <c r="A76" s="513">
        <v>74</v>
      </c>
      <c r="B76" s="513" t="s">
        <v>262</v>
      </c>
      <c r="C76" s="513" t="s">
        <v>597</v>
      </c>
      <c r="D76" s="513" t="s">
        <v>699</v>
      </c>
      <c r="E76" s="513"/>
      <c r="F76" s="513"/>
      <c r="G76" s="513"/>
    </row>
    <row r="77" spans="1:7">
      <c r="A77" s="513">
        <v>75</v>
      </c>
      <c r="B77" s="513" t="s">
        <v>103</v>
      </c>
      <c r="C77" s="513" t="s">
        <v>600</v>
      </c>
      <c r="D77" s="513" t="s">
        <v>853</v>
      </c>
      <c r="E77" s="513"/>
      <c r="F77" s="513"/>
      <c r="G77" s="513"/>
    </row>
    <row r="78" spans="1:7">
      <c r="A78" s="513">
        <v>76</v>
      </c>
      <c r="B78" s="513" t="s">
        <v>105</v>
      </c>
      <c r="C78" s="513" t="s">
        <v>601</v>
      </c>
      <c r="D78" s="513" t="s">
        <v>105</v>
      </c>
      <c r="E78" s="513"/>
      <c r="F78" s="513"/>
      <c r="G78" s="513"/>
    </row>
    <row r="79" spans="1:7">
      <c r="A79" s="513">
        <v>77</v>
      </c>
      <c r="B79" s="513" t="s">
        <v>626</v>
      </c>
      <c r="C79" s="513" t="s">
        <v>627</v>
      </c>
      <c r="D79" s="513"/>
      <c r="E79" s="513"/>
      <c r="F79" s="513"/>
      <c r="G79" s="513"/>
    </row>
    <row r="80" spans="1:7">
      <c r="A80" s="513">
        <v>78</v>
      </c>
      <c r="B80" s="513" t="s">
        <v>572</v>
      </c>
      <c r="C80" s="513" t="s">
        <v>573</v>
      </c>
      <c r="D80" s="513" t="s">
        <v>651</v>
      </c>
      <c r="E80" s="513"/>
      <c r="F80" s="513"/>
      <c r="G80" s="513"/>
    </row>
    <row r="81" spans="1:7">
      <c r="A81" s="513">
        <v>79</v>
      </c>
      <c r="B81" s="513" t="s">
        <v>581</v>
      </c>
      <c r="C81" s="513" t="s">
        <v>582</v>
      </c>
      <c r="D81" s="513" t="s">
        <v>689</v>
      </c>
      <c r="E81" s="513"/>
      <c r="F81" s="513"/>
      <c r="G81" s="513"/>
    </row>
    <row r="82" spans="1:7">
      <c r="A82" s="513">
        <v>80</v>
      </c>
      <c r="B82" s="513" t="s">
        <v>583</v>
      </c>
      <c r="C82" s="513" t="s">
        <v>584</v>
      </c>
      <c r="D82" s="513" t="s">
        <v>690</v>
      </c>
      <c r="E82" s="513"/>
      <c r="F82" s="513"/>
      <c r="G82" s="513"/>
    </row>
    <row r="83" spans="1:7">
      <c r="A83" s="513">
        <v>81</v>
      </c>
      <c r="B83" s="513" t="s">
        <v>585</v>
      </c>
      <c r="C83" s="513" t="s">
        <v>586</v>
      </c>
      <c r="D83" s="513" t="s">
        <v>691</v>
      </c>
      <c r="E83" s="513"/>
      <c r="F83" s="513"/>
      <c r="G83" s="513"/>
    </row>
    <row r="84" spans="1:7">
      <c r="A84" s="513">
        <v>82</v>
      </c>
      <c r="B84" s="513" t="s">
        <v>587</v>
      </c>
      <c r="C84" s="513" t="s">
        <v>588</v>
      </c>
      <c r="D84" s="513" t="s">
        <v>692</v>
      </c>
      <c r="E84" s="513"/>
      <c r="F84" s="513"/>
      <c r="G84" s="513"/>
    </row>
    <row r="85" spans="1:7">
      <c r="A85" s="513">
        <v>83</v>
      </c>
      <c r="B85" s="513" t="s">
        <v>598</v>
      </c>
      <c r="C85" s="513" t="s">
        <v>599</v>
      </c>
      <c r="D85" s="513" t="s">
        <v>700</v>
      </c>
      <c r="E85" s="513"/>
      <c r="F85" s="513"/>
      <c r="G85" s="513"/>
    </row>
    <row r="86" spans="1:7">
      <c r="A86" s="513">
        <v>84</v>
      </c>
      <c r="B86" s="513" t="s">
        <v>727</v>
      </c>
      <c r="C86" s="513"/>
      <c r="D86" s="513"/>
      <c r="E86" s="513"/>
      <c r="F86" s="513"/>
      <c r="G86" s="513"/>
    </row>
    <row r="87" spans="1:7">
      <c r="A87" s="513">
        <v>85</v>
      </c>
      <c r="B87" s="513" t="s">
        <v>728</v>
      </c>
      <c r="C87" s="513"/>
      <c r="D87" s="513"/>
      <c r="E87" s="513"/>
      <c r="F87" s="513"/>
      <c r="G87" s="513"/>
    </row>
    <row r="88" spans="1:7">
      <c r="A88" s="513">
        <v>86</v>
      </c>
      <c r="B88" s="513" t="s">
        <v>729</v>
      </c>
      <c r="C88" s="513"/>
      <c r="D88" s="513"/>
      <c r="E88" s="513"/>
      <c r="F88" s="513"/>
      <c r="G88" s="513"/>
    </row>
    <row r="89" spans="1:7">
      <c r="A89" s="513">
        <v>87</v>
      </c>
      <c r="B89" s="513" t="s">
        <v>730</v>
      </c>
      <c r="C89" s="513"/>
      <c r="D89" s="513"/>
      <c r="E89" s="513"/>
      <c r="F89" s="513"/>
      <c r="G89" s="513"/>
    </row>
    <row r="90" spans="1:7">
      <c r="A90" s="513">
        <v>88</v>
      </c>
      <c r="B90" s="513" t="s">
        <v>731</v>
      </c>
      <c r="C90" s="513"/>
      <c r="D90" s="513"/>
      <c r="E90" s="513"/>
      <c r="F90" s="513"/>
      <c r="G90" s="513"/>
    </row>
    <row r="91" spans="1:7">
      <c r="A91" s="513">
        <v>89</v>
      </c>
      <c r="B91" s="513" t="s">
        <v>732</v>
      </c>
      <c r="C91" s="513"/>
      <c r="D91" s="513"/>
      <c r="E91" s="513"/>
      <c r="F91" s="513"/>
      <c r="G91" s="513"/>
    </row>
    <row r="92" spans="1:7">
      <c r="A92" s="513">
        <v>90</v>
      </c>
      <c r="B92" s="513" t="s">
        <v>733</v>
      </c>
      <c r="C92" s="513"/>
      <c r="D92" s="513"/>
      <c r="E92" s="513"/>
      <c r="F92" s="513"/>
      <c r="G92" s="513"/>
    </row>
    <row r="93" spans="1:7">
      <c r="A93" s="513">
        <v>91</v>
      </c>
      <c r="B93" s="1396" t="s">
        <v>502</v>
      </c>
      <c r="C93" s="1396" t="s">
        <v>736</v>
      </c>
      <c r="D93" s="513" t="s">
        <v>769</v>
      </c>
      <c r="E93" s="513"/>
      <c r="F93" s="513"/>
      <c r="G93" s="513"/>
    </row>
    <row r="94" spans="1:7">
      <c r="A94" s="513">
        <v>92</v>
      </c>
      <c r="B94" s="1396" t="s">
        <v>617</v>
      </c>
      <c r="C94" s="1396" t="s">
        <v>737</v>
      </c>
      <c r="D94" s="513" t="s">
        <v>813</v>
      </c>
      <c r="E94" s="513"/>
      <c r="F94" s="513"/>
      <c r="G94" s="513"/>
    </row>
    <row r="95" spans="1:7">
      <c r="A95" s="513">
        <v>93</v>
      </c>
      <c r="B95" s="1396" t="s">
        <v>1</v>
      </c>
      <c r="C95" s="1396" t="s">
        <v>738</v>
      </c>
      <c r="D95" s="513" t="s">
        <v>806</v>
      </c>
      <c r="E95" s="513"/>
      <c r="F95" s="513"/>
      <c r="G95" s="513"/>
    </row>
    <row r="96" spans="1:7">
      <c r="A96" s="513">
        <v>94</v>
      </c>
      <c r="B96" s="1396" t="s">
        <v>2</v>
      </c>
      <c r="C96" s="1396" t="s">
        <v>739</v>
      </c>
      <c r="D96" s="513" t="s">
        <v>631</v>
      </c>
      <c r="E96" s="513"/>
      <c r="F96" s="513"/>
      <c r="G96" s="513"/>
    </row>
    <row r="97" spans="1:7">
      <c r="A97" s="513">
        <v>95</v>
      </c>
      <c r="B97" s="1396" t="s">
        <v>3</v>
      </c>
      <c r="C97" s="1396" t="s">
        <v>531</v>
      </c>
      <c r="D97" s="513" t="s">
        <v>649</v>
      </c>
      <c r="E97" s="513"/>
      <c r="F97" s="513"/>
      <c r="G97" s="513"/>
    </row>
    <row r="98" spans="1:7">
      <c r="A98" s="513">
        <v>96</v>
      </c>
      <c r="B98" s="1396" t="s">
        <v>4</v>
      </c>
      <c r="C98" s="1396" t="s">
        <v>740</v>
      </c>
      <c r="D98" s="513" t="s">
        <v>4</v>
      </c>
      <c r="E98" s="513"/>
      <c r="F98" s="513"/>
      <c r="G98" s="513"/>
    </row>
    <row r="99" spans="1:7">
      <c r="A99" s="513">
        <v>97</v>
      </c>
      <c r="B99" s="1396" t="s">
        <v>5</v>
      </c>
      <c r="C99" s="1396" t="s">
        <v>538</v>
      </c>
      <c r="D99" s="513" t="s">
        <v>807</v>
      </c>
      <c r="E99" s="513"/>
      <c r="F99" s="513"/>
      <c r="G99" s="513"/>
    </row>
    <row r="100" spans="1:7">
      <c r="A100" s="513">
        <v>98</v>
      </c>
      <c r="B100" s="1396" t="s">
        <v>6</v>
      </c>
      <c r="C100" s="1396" t="s">
        <v>741</v>
      </c>
      <c r="D100" s="513" t="s">
        <v>652</v>
      </c>
      <c r="E100" s="513"/>
      <c r="F100" s="513"/>
      <c r="G100" s="513"/>
    </row>
    <row r="101" spans="1:7">
      <c r="A101" s="513">
        <v>99</v>
      </c>
      <c r="B101" s="1396" t="s">
        <v>7</v>
      </c>
      <c r="C101" s="1396" t="s">
        <v>519</v>
      </c>
      <c r="D101" s="513" t="s">
        <v>638</v>
      </c>
      <c r="E101" s="513"/>
      <c r="F101" s="513"/>
      <c r="G101" s="513"/>
    </row>
    <row r="102" spans="1:7">
      <c r="A102" s="513">
        <v>100</v>
      </c>
      <c r="B102" s="1396" t="s">
        <v>8</v>
      </c>
      <c r="C102" s="1396" t="s">
        <v>742</v>
      </c>
      <c r="D102" s="513" t="s">
        <v>651</v>
      </c>
      <c r="E102" s="513"/>
      <c r="F102" s="513"/>
      <c r="G102" s="513"/>
    </row>
    <row r="103" spans="1:7">
      <c r="A103" s="513">
        <v>101</v>
      </c>
      <c r="B103" s="1396" t="s">
        <v>276</v>
      </c>
      <c r="C103" s="1396" t="s">
        <v>743</v>
      </c>
      <c r="D103" s="513" t="s">
        <v>808</v>
      </c>
      <c r="E103" s="513"/>
      <c r="F103" s="513"/>
      <c r="G103" s="513"/>
    </row>
    <row r="104" spans="1:7">
      <c r="A104" s="513">
        <v>102</v>
      </c>
      <c r="B104" s="1396" t="s">
        <v>9</v>
      </c>
      <c r="C104" s="1396" t="s">
        <v>744</v>
      </c>
      <c r="D104" s="513" t="s">
        <v>9</v>
      </c>
      <c r="E104" s="513"/>
      <c r="F104" s="513"/>
      <c r="G104" s="513"/>
    </row>
    <row r="105" spans="1:7">
      <c r="A105" s="513">
        <v>103</v>
      </c>
      <c r="B105" s="1396" t="s">
        <v>130</v>
      </c>
      <c r="C105" s="1396" t="s">
        <v>745</v>
      </c>
      <c r="D105" s="513" t="s">
        <v>809</v>
      </c>
      <c r="E105" s="513"/>
      <c r="F105" s="513"/>
      <c r="G105" s="513"/>
    </row>
    <row r="106" spans="1:7">
      <c r="A106" s="513">
        <v>104</v>
      </c>
      <c r="B106" s="1396" t="s">
        <v>620</v>
      </c>
      <c r="C106" s="1396" t="s">
        <v>746</v>
      </c>
      <c r="D106" s="513" t="s">
        <v>810</v>
      </c>
      <c r="E106" s="513"/>
      <c r="F106" s="513"/>
      <c r="G106" s="513"/>
    </row>
    <row r="107" spans="1:7">
      <c r="A107" s="513">
        <v>105</v>
      </c>
      <c r="B107" s="1396" t="s">
        <v>350</v>
      </c>
      <c r="C107" s="1396" t="s">
        <v>747</v>
      </c>
      <c r="D107" s="513" t="s">
        <v>811</v>
      </c>
      <c r="E107" s="513"/>
      <c r="F107" s="513"/>
      <c r="G107" s="513"/>
    </row>
    <row r="108" spans="1:7">
      <c r="A108" s="513">
        <v>106</v>
      </c>
      <c r="B108" s="1396" t="s">
        <v>734</v>
      </c>
      <c r="C108" s="1396" t="s">
        <v>748</v>
      </c>
      <c r="D108" s="513" t="s">
        <v>812</v>
      </c>
      <c r="E108" s="513"/>
      <c r="F108" s="513"/>
      <c r="G108" s="513"/>
    </row>
    <row r="109" spans="1:7">
      <c r="A109" s="513">
        <v>108</v>
      </c>
      <c r="B109" s="513" t="s">
        <v>40</v>
      </c>
      <c r="C109" s="513"/>
      <c r="D109" s="513" t="s">
        <v>819</v>
      </c>
      <c r="E109" s="513"/>
      <c r="F109" s="513"/>
      <c r="G109" s="513"/>
    </row>
    <row r="110" spans="1:7">
      <c r="A110" s="513">
        <v>109</v>
      </c>
      <c r="B110" s="513" t="s">
        <v>41</v>
      </c>
      <c r="C110" s="513"/>
      <c r="D110" s="513" t="s">
        <v>783</v>
      </c>
      <c r="E110" s="513"/>
      <c r="F110" s="513"/>
      <c r="G110" s="513"/>
    </row>
    <row r="111" spans="1:7">
      <c r="A111" s="513">
        <v>110</v>
      </c>
      <c r="B111" s="1396" t="s">
        <v>481</v>
      </c>
      <c r="C111" s="513"/>
      <c r="D111" s="513" t="s">
        <v>782</v>
      </c>
      <c r="E111" s="513"/>
      <c r="F111" s="513"/>
      <c r="G111" s="513"/>
    </row>
    <row r="112" spans="1:7">
      <c r="A112" s="513">
        <v>111</v>
      </c>
      <c r="B112" s="513" t="s">
        <v>50</v>
      </c>
      <c r="C112" s="513"/>
      <c r="D112" s="513" t="s">
        <v>820</v>
      </c>
      <c r="E112" s="513"/>
      <c r="F112" s="513"/>
      <c r="G112" s="513"/>
    </row>
    <row r="113" spans="1:7">
      <c r="A113" s="513">
        <v>112</v>
      </c>
      <c r="B113" s="513" t="s">
        <v>41</v>
      </c>
      <c r="C113" s="513"/>
      <c r="D113" s="513" t="s">
        <v>783</v>
      </c>
      <c r="E113" s="513"/>
      <c r="F113" s="513"/>
      <c r="G113" s="513"/>
    </row>
    <row r="114" spans="1:7">
      <c r="A114" s="513">
        <v>113</v>
      </c>
      <c r="B114" s="1396" t="s">
        <v>84</v>
      </c>
      <c r="C114" s="513"/>
      <c r="D114" s="513" t="s">
        <v>784</v>
      </c>
      <c r="E114" s="513"/>
      <c r="F114" s="513"/>
      <c r="G114" s="513"/>
    </row>
    <row r="115" spans="1:7">
      <c r="A115" s="513">
        <v>114</v>
      </c>
      <c r="B115" s="513" t="s">
        <v>499</v>
      </c>
      <c r="C115" s="513"/>
      <c r="D115" s="513" t="s">
        <v>785</v>
      </c>
      <c r="E115" s="513"/>
      <c r="F115" s="513"/>
      <c r="G115" s="513"/>
    </row>
    <row r="116" spans="1:7">
      <c r="A116" s="513">
        <v>115</v>
      </c>
      <c r="B116" s="513" t="s">
        <v>786</v>
      </c>
      <c r="C116" s="513"/>
      <c r="D116" s="513" t="s">
        <v>787</v>
      </c>
      <c r="E116" s="513"/>
      <c r="F116" s="513"/>
      <c r="G116" s="513"/>
    </row>
    <row r="117" spans="1:7">
      <c r="A117" s="513">
        <v>116</v>
      </c>
      <c r="B117" s="513" t="s">
        <v>788</v>
      </c>
      <c r="C117" s="513"/>
      <c r="D117" s="513" t="s">
        <v>789</v>
      </c>
      <c r="E117" s="513"/>
      <c r="F117" s="513"/>
      <c r="G117" s="513"/>
    </row>
    <row r="118" spans="1:7">
      <c r="A118" s="513">
        <v>117</v>
      </c>
      <c r="B118" s="513" t="s">
        <v>79</v>
      </c>
      <c r="C118" s="513"/>
      <c r="D118" s="513" t="s">
        <v>790</v>
      </c>
      <c r="E118" s="513"/>
      <c r="F118" s="513"/>
      <c r="G118" s="513"/>
    </row>
    <row r="119" spans="1:7">
      <c r="A119" s="513">
        <v>118</v>
      </c>
      <c r="B119" s="513" t="s">
        <v>51</v>
      </c>
      <c r="C119" s="513"/>
      <c r="D119" s="513" t="s">
        <v>791</v>
      </c>
      <c r="E119" s="513"/>
      <c r="F119" s="513"/>
      <c r="G119" s="513"/>
    </row>
    <row r="120" spans="1:7">
      <c r="A120" s="513">
        <v>119</v>
      </c>
      <c r="B120" s="513" t="s">
        <v>83</v>
      </c>
      <c r="C120" s="513"/>
      <c r="D120" s="513" t="s">
        <v>792</v>
      </c>
      <c r="E120" s="513"/>
      <c r="F120" s="513"/>
      <c r="G120" s="513"/>
    </row>
    <row r="121" spans="1:7">
      <c r="A121" s="513">
        <v>120</v>
      </c>
      <c r="B121" s="513" t="s">
        <v>67</v>
      </c>
      <c r="C121" s="513"/>
      <c r="D121" s="513" t="s">
        <v>793</v>
      </c>
      <c r="E121" s="513"/>
      <c r="F121" s="513"/>
      <c r="G121" s="513"/>
    </row>
    <row r="122" spans="1:7">
      <c r="A122" s="513">
        <v>121</v>
      </c>
      <c r="B122" s="513" t="s">
        <v>849</v>
      </c>
      <c r="C122" s="513"/>
      <c r="D122" s="513" t="s">
        <v>850</v>
      </c>
      <c r="E122" s="513"/>
      <c r="F122" s="513"/>
      <c r="G122" s="513"/>
    </row>
    <row r="123" spans="1:7">
      <c r="A123" s="513">
        <v>122</v>
      </c>
      <c r="B123" s="513" t="s">
        <v>59</v>
      </c>
      <c r="C123" s="513"/>
      <c r="D123" s="513" t="s">
        <v>794</v>
      </c>
      <c r="E123" s="513"/>
      <c r="F123" s="513"/>
      <c r="G123" s="513"/>
    </row>
    <row r="124" spans="1:7">
      <c r="A124" s="513">
        <v>123</v>
      </c>
      <c r="B124" s="513" t="s">
        <v>96</v>
      </c>
      <c r="C124" s="513"/>
      <c r="D124" s="513" t="s">
        <v>795</v>
      </c>
      <c r="E124" s="513"/>
      <c r="F124" s="513"/>
      <c r="G124" s="513"/>
    </row>
    <row r="125" spans="1:7">
      <c r="A125" s="513">
        <v>124</v>
      </c>
      <c r="B125" s="513" t="s">
        <v>93</v>
      </c>
      <c r="C125" s="513"/>
      <c r="D125" s="513" t="s">
        <v>796</v>
      </c>
      <c r="E125" s="513"/>
      <c r="F125" s="513"/>
      <c r="G125" s="513"/>
    </row>
    <row r="126" spans="1:7">
      <c r="A126" s="513">
        <v>125</v>
      </c>
      <c r="B126" s="513" t="s">
        <v>111</v>
      </c>
      <c r="C126" s="513"/>
      <c r="D126" s="513" t="s">
        <v>797</v>
      </c>
      <c r="E126" s="513"/>
      <c r="F126" s="513"/>
      <c r="G126" s="513"/>
    </row>
    <row r="127" spans="1:7">
      <c r="A127" s="513">
        <v>126</v>
      </c>
      <c r="B127" s="513" t="s">
        <v>124</v>
      </c>
      <c r="C127" s="513"/>
      <c r="D127" s="513" t="s">
        <v>798</v>
      </c>
      <c r="E127" s="513"/>
      <c r="F127" s="513"/>
      <c r="G127" s="513"/>
    </row>
    <row r="128" spans="1:7">
      <c r="A128" s="513">
        <v>127</v>
      </c>
      <c r="B128" s="513" t="s">
        <v>118</v>
      </c>
      <c r="C128" s="513"/>
      <c r="D128" s="513" t="s">
        <v>799</v>
      </c>
      <c r="E128" s="513"/>
      <c r="F128" s="513"/>
      <c r="G128" s="513"/>
    </row>
    <row r="129" spans="1:7">
      <c r="A129" s="513">
        <v>128</v>
      </c>
      <c r="B129" s="513" t="s">
        <v>57</v>
      </c>
      <c r="C129" s="513"/>
      <c r="D129" s="513" t="s">
        <v>800</v>
      </c>
      <c r="E129" s="513"/>
      <c r="F129" s="513"/>
      <c r="G129" s="513"/>
    </row>
    <row r="130" spans="1:7">
      <c r="A130" s="513">
        <v>129</v>
      </c>
      <c r="B130" s="513" t="s">
        <v>847</v>
      </c>
      <c r="C130" s="513"/>
      <c r="D130" s="513" t="s">
        <v>848</v>
      </c>
      <c r="E130" s="513"/>
      <c r="F130" s="513"/>
      <c r="G130" s="513"/>
    </row>
    <row r="131" spans="1:7">
      <c r="A131" s="513">
        <v>130</v>
      </c>
      <c r="B131" s="513" t="s">
        <v>801</v>
      </c>
      <c r="C131" s="513"/>
      <c r="D131" s="513" t="s">
        <v>802</v>
      </c>
      <c r="E131" s="513"/>
      <c r="F131" s="513"/>
      <c r="G131" s="513"/>
    </row>
    <row r="132" spans="1:7">
      <c r="A132" s="513">
        <v>131</v>
      </c>
      <c r="B132" s="513" t="s">
        <v>803</v>
      </c>
      <c r="C132" s="513"/>
      <c r="D132" s="513" t="s">
        <v>804</v>
      </c>
      <c r="E132" s="513"/>
      <c r="F132" s="513"/>
      <c r="G132" s="513"/>
    </row>
    <row r="133" spans="1:7">
      <c r="A133" s="513">
        <v>132</v>
      </c>
      <c r="B133" s="513" t="s">
        <v>120</v>
      </c>
      <c r="C133" s="513"/>
      <c r="D133" s="513" t="s">
        <v>805</v>
      </c>
      <c r="E133" s="513"/>
      <c r="F133" s="513"/>
      <c r="G133" s="513"/>
    </row>
    <row r="134" spans="1:7">
      <c r="A134" s="513">
        <v>133</v>
      </c>
      <c r="B134" s="1396" t="s">
        <v>78</v>
      </c>
      <c r="C134" s="513"/>
      <c r="D134" s="513" t="s">
        <v>814</v>
      </c>
      <c r="E134" s="513"/>
      <c r="F134" s="513"/>
      <c r="G134" s="513"/>
    </row>
    <row r="135" spans="1:7">
      <c r="A135" s="513">
        <v>134</v>
      </c>
      <c r="B135" s="1396" t="s">
        <v>499</v>
      </c>
      <c r="C135" s="513"/>
      <c r="D135" s="513" t="s">
        <v>815</v>
      </c>
      <c r="E135" s="513"/>
      <c r="F135" s="513"/>
      <c r="G135" s="513"/>
    </row>
    <row r="136" spans="1:7">
      <c r="A136" s="513">
        <v>135</v>
      </c>
      <c r="B136" s="513" t="s">
        <v>117</v>
      </c>
      <c r="C136" s="513"/>
      <c r="D136" s="513" t="s">
        <v>816</v>
      </c>
      <c r="E136" s="513"/>
      <c r="F136" s="513"/>
      <c r="G136" s="513"/>
    </row>
    <row r="137" spans="1:7">
      <c r="A137" s="513">
        <v>136</v>
      </c>
      <c r="B137" s="513" t="s">
        <v>126</v>
      </c>
      <c r="C137" s="513"/>
      <c r="D137" s="513" t="s">
        <v>817</v>
      </c>
      <c r="E137" s="513"/>
      <c r="F137" s="513"/>
      <c r="G137" s="513"/>
    </row>
    <row r="138" spans="1:7">
      <c r="A138" s="513">
        <v>137</v>
      </c>
      <c r="B138" s="513" t="s">
        <v>128</v>
      </c>
      <c r="C138" s="513"/>
      <c r="D138" s="513" t="s">
        <v>818</v>
      </c>
      <c r="E138" s="513"/>
      <c r="F138" s="513"/>
      <c r="G138" s="513"/>
    </row>
    <row r="139" spans="1:7">
      <c r="A139" s="1445">
        <v>138</v>
      </c>
      <c r="B139" s="513" t="s">
        <v>52</v>
      </c>
      <c r="C139" s="513"/>
      <c r="D139" s="513" t="s">
        <v>821</v>
      </c>
      <c r="E139" s="513"/>
      <c r="F139" s="513"/>
      <c r="G139" s="513"/>
    </row>
    <row r="140" spans="1:7">
      <c r="A140" s="1445">
        <v>139</v>
      </c>
      <c r="B140" s="513" t="s">
        <v>63</v>
      </c>
      <c r="C140" s="513"/>
      <c r="D140" s="513" t="s">
        <v>823</v>
      </c>
      <c r="E140" s="513"/>
      <c r="F140" s="513"/>
      <c r="G140" s="513"/>
    </row>
    <row r="141" spans="1:7">
      <c r="A141" s="1445">
        <v>140</v>
      </c>
      <c r="B141" s="513" t="s">
        <v>58</v>
      </c>
      <c r="C141" s="513"/>
      <c r="D141" s="513" t="s">
        <v>824</v>
      </c>
      <c r="E141" s="513"/>
      <c r="F141" s="513"/>
      <c r="G141" s="513"/>
    </row>
    <row r="142" spans="1:7">
      <c r="A142" s="1445">
        <v>141</v>
      </c>
      <c r="B142" s="513" t="s">
        <v>69</v>
      </c>
      <c r="C142" s="513"/>
      <c r="D142" s="513" t="s">
        <v>825</v>
      </c>
      <c r="E142" s="513"/>
      <c r="F142" s="513"/>
      <c r="G142" s="513"/>
    </row>
    <row r="143" spans="1:7">
      <c r="A143" s="1445">
        <v>142</v>
      </c>
      <c r="B143" s="513" t="s">
        <v>107</v>
      </c>
      <c r="C143" s="513"/>
      <c r="D143" s="513" t="s">
        <v>826</v>
      </c>
      <c r="E143" s="513"/>
      <c r="F143" s="513"/>
      <c r="G143" s="513"/>
    </row>
    <row r="144" spans="1:7">
      <c r="A144" s="1445">
        <v>143</v>
      </c>
      <c r="B144" s="513" t="s">
        <v>822</v>
      </c>
      <c r="C144" s="513"/>
      <c r="D144" s="513" t="s">
        <v>827</v>
      </c>
      <c r="E144" s="513"/>
      <c r="F144" s="513"/>
      <c r="G144" s="513"/>
    </row>
    <row r="145" spans="1:7">
      <c r="A145" s="513">
        <v>144</v>
      </c>
      <c r="B145" s="513" t="s">
        <v>828</v>
      </c>
      <c r="C145" s="513" t="s">
        <v>830</v>
      </c>
      <c r="D145" s="513" t="s">
        <v>829</v>
      </c>
      <c r="E145" s="513"/>
      <c r="F145" s="513"/>
      <c r="G145" s="513"/>
    </row>
    <row r="146" spans="1:7">
      <c r="A146" s="513">
        <v>145</v>
      </c>
      <c r="B146" s="513" t="s">
        <v>831</v>
      </c>
      <c r="C146" s="513" t="s">
        <v>832</v>
      </c>
      <c r="D146" s="513" t="s">
        <v>833</v>
      </c>
      <c r="E146" s="513"/>
      <c r="F146" s="513"/>
      <c r="G146" s="513"/>
    </row>
    <row r="147" spans="1:7">
      <c r="A147" s="513">
        <v>146</v>
      </c>
      <c r="B147" s="513" t="s">
        <v>834</v>
      </c>
      <c r="C147" s="513" t="s">
        <v>834</v>
      </c>
      <c r="D147" s="513" t="s">
        <v>834</v>
      </c>
      <c r="E147" s="513"/>
      <c r="F147" s="513"/>
      <c r="G147" s="513"/>
    </row>
    <row r="148" spans="1:7">
      <c r="A148" s="513">
        <v>147</v>
      </c>
      <c r="B148" s="513" t="s">
        <v>835</v>
      </c>
      <c r="C148" s="513" t="s">
        <v>836</v>
      </c>
      <c r="D148" s="513" t="s">
        <v>837</v>
      </c>
      <c r="E148" s="513"/>
      <c r="F148" s="513"/>
      <c r="G148" s="513"/>
    </row>
    <row r="149" spans="1:7">
      <c r="A149" s="513">
        <v>148</v>
      </c>
      <c r="B149" s="513" t="s">
        <v>53</v>
      </c>
      <c r="C149" s="513" t="s">
        <v>839</v>
      </c>
      <c r="D149" s="513" t="s">
        <v>838</v>
      </c>
      <c r="E149" s="513"/>
      <c r="F149" s="513"/>
      <c r="G149" s="513"/>
    </row>
    <row r="150" spans="1:7">
      <c r="A150" s="513">
        <v>149</v>
      </c>
      <c r="B150" s="513" t="s">
        <v>54</v>
      </c>
      <c r="C150" s="513" t="s">
        <v>840</v>
      </c>
      <c r="D150" s="513" t="s">
        <v>636</v>
      </c>
      <c r="E150" s="513"/>
      <c r="F150" s="513"/>
      <c r="G150" s="513"/>
    </row>
    <row r="151" spans="1:7">
      <c r="A151" s="513">
        <v>150</v>
      </c>
      <c r="B151" s="513" t="s">
        <v>624</v>
      </c>
      <c r="C151" s="513" t="s">
        <v>841</v>
      </c>
      <c r="D151" s="513" t="s">
        <v>842</v>
      </c>
      <c r="E151" s="513"/>
      <c r="F151" s="513"/>
      <c r="G151" s="513"/>
    </row>
    <row r="152" spans="1:7">
      <c r="A152" s="513">
        <v>151</v>
      </c>
      <c r="B152" s="513" t="s">
        <v>843</v>
      </c>
      <c r="C152" s="513"/>
      <c r="D152" s="513" t="s">
        <v>844</v>
      </c>
      <c r="E152" s="513"/>
      <c r="F152" s="513"/>
      <c r="G152" s="513"/>
    </row>
    <row r="153" spans="1:7">
      <c r="A153" s="1445">
        <v>152</v>
      </c>
      <c r="B153" s="1445" t="s">
        <v>85</v>
      </c>
      <c r="C153" s="513"/>
      <c r="D153" s="513" t="s">
        <v>845</v>
      </c>
      <c r="E153" s="513"/>
      <c r="F153" s="513"/>
      <c r="G153" s="513"/>
    </row>
    <row r="154" spans="1:7">
      <c r="A154" s="1445">
        <v>153</v>
      </c>
      <c r="B154" s="1445" t="s">
        <v>86</v>
      </c>
      <c r="C154" s="513"/>
      <c r="D154" s="513" t="s">
        <v>846</v>
      </c>
      <c r="E154" s="513"/>
      <c r="F154" s="513"/>
      <c r="G154" s="513"/>
    </row>
    <row r="155" spans="1:7">
      <c r="A155" s="1445">
        <v>154</v>
      </c>
      <c r="B155" s="1445" t="s">
        <v>91</v>
      </c>
      <c r="C155" s="513"/>
      <c r="D155" s="513" t="s">
        <v>851</v>
      </c>
      <c r="E155" s="513"/>
      <c r="F155" s="513"/>
      <c r="G155" s="513"/>
    </row>
    <row r="156" spans="1:7">
      <c r="A156" s="1445">
        <v>155</v>
      </c>
      <c r="B156" s="1445" t="s">
        <v>90</v>
      </c>
      <c r="C156" s="513"/>
      <c r="D156" s="513" t="s">
        <v>852</v>
      </c>
      <c r="E156" s="513"/>
      <c r="F156" s="513"/>
      <c r="G156" s="513"/>
    </row>
    <row r="157" spans="1:7">
      <c r="A157" s="1445">
        <v>156</v>
      </c>
      <c r="B157" s="1445" t="s">
        <v>108</v>
      </c>
      <c r="C157" s="513"/>
      <c r="D157" s="513" t="s">
        <v>854</v>
      </c>
      <c r="E157" s="513"/>
      <c r="F157" s="513"/>
      <c r="G157" s="513"/>
    </row>
    <row r="158" spans="1:7">
      <c r="A158" s="1445">
        <v>157</v>
      </c>
      <c r="B158" s="1445" t="s">
        <v>97</v>
      </c>
      <c r="C158" s="513"/>
      <c r="D158" s="513" t="s">
        <v>855</v>
      </c>
      <c r="E158" s="513"/>
      <c r="F158" s="513"/>
      <c r="G158" s="513"/>
    </row>
    <row r="159" spans="1:7">
      <c r="A159" s="513">
        <v>158</v>
      </c>
      <c r="B159" s="513" t="s">
        <v>73</v>
      </c>
      <c r="C159" s="513"/>
      <c r="D159" s="513" t="s">
        <v>856</v>
      </c>
      <c r="E159" s="513"/>
      <c r="F159" s="513"/>
      <c r="G159" s="513"/>
    </row>
    <row r="160" spans="1:7">
      <c r="A160" s="1433">
        <v>159</v>
      </c>
      <c r="B160" s="1433" t="s">
        <v>121</v>
      </c>
      <c r="D160" t="s">
        <v>857</v>
      </c>
    </row>
    <row r="161" spans="1:4">
      <c r="A161" s="1433">
        <v>160</v>
      </c>
      <c r="B161" s="1433" t="s">
        <v>123</v>
      </c>
      <c r="D161" t="s">
        <v>858</v>
      </c>
    </row>
  </sheetData>
  <autoFilter ref="A1:G13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4"/>
  <dimension ref="B1:W56"/>
  <sheetViews>
    <sheetView topLeftCell="Q23" zoomScale="130" zoomScaleNormal="130" workbookViewId="0">
      <selection activeCell="V44" sqref="V44"/>
    </sheetView>
  </sheetViews>
  <sheetFormatPr defaultRowHeight="12.75"/>
  <cols>
    <col min="1" max="1" width="0.5703125" style="1164" customWidth="1"/>
    <col min="2" max="2" width="4.28515625" style="1164" customWidth="1"/>
    <col min="3" max="3" width="6.85546875" style="1164" customWidth="1"/>
    <col min="4" max="4" width="4.140625" style="1164" customWidth="1"/>
    <col min="5" max="6" width="4.85546875" style="1164" customWidth="1"/>
    <col min="7" max="7" width="4.7109375" style="1164" customWidth="1"/>
    <col min="8" max="8" width="6.42578125" style="1164" customWidth="1"/>
    <col min="9" max="9" width="2.7109375" style="1164" customWidth="1"/>
    <col min="10" max="10" width="9.140625" style="1164"/>
    <col min="11" max="11" width="3" style="1164" customWidth="1"/>
    <col min="12" max="12" width="4.85546875" style="1164" customWidth="1"/>
    <col min="13" max="13" width="6.42578125" style="1164" customWidth="1"/>
    <col min="14" max="14" width="28.5703125" style="1164" customWidth="1"/>
    <col min="15" max="15" width="33" style="1164" bestFit="1" customWidth="1"/>
    <col min="16" max="16" width="26.85546875" style="1164" bestFit="1" customWidth="1"/>
    <col min="17" max="20" width="21.7109375" style="1164" customWidth="1"/>
    <col min="21" max="21" width="38.5703125" style="1164" bestFit="1" customWidth="1"/>
    <col min="22" max="22" width="38.5703125" style="1164" customWidth="1"/>
    <col min="23" max="16384" width="9.140625" style="1164"/>
  </cols>
  <sheetData>
    <row r="1" spans="2:13" ht="15" customHeight="1"/>
    <row r="2" spans="2:13" ht="12" customHeight="1">
      <c r="B2" s="1165" t="s">
        <v>39</v>
      </c>
      <c r="C2" s="1797">
        <f>+HLOOKUP($M$3,$N$27:$V$55,3,0)</f>
        <v>968</v>
      </c>
      <c r="D2" s="1797"/>
      <c r="E2" s="1166"/>
      <c r="I2" s="1167">
        <f>+DATI!C6</f>
        <v>0</v>
      </c>
    </row>
    <row r="3" spans="2:13" ht="12" customHeight="1">
      <c r="B3" s="1168" t="str">
        <f>+HLOOKUP($M$3,$N$27:$V$55,4,0)</f>
        <v xml:space="preserve"> 1A  49-58 06.NERO</v>
      </c>
      <c r="C3" s="1165"/>
      <c r="D3" s="1165"/>
      <c r="E3" s="1165"/>
      <c r="L3" s="1169"/>
      <c r="M3" s="1170">
        <v>9</v>
      </c>
    </row>
    <row r="4" spans="2:13" ht="8.25" customHeight="1">
      <c r="B4" s="1798" t="e">
        <f>+HLOOKUP($M$3,$N$27:$V$55,5,0)</f>
        <v>#VALUE!</v>
      </c>
      <c r="C4" s="1798"/>
      <c r="D4" s="1798"/>
      <c r="E4" s="1798"/>
      <c r="F4" s="1799" t="str">
        <f>+"Nr. " &amp; HLOOKUP($M$3,$N$27:$V$55,10,0) &amp; " Cord.Lung"</f>
        <v>Nr. 3 Cord.Lung</v>
      </c>
      <c r="G4" s="1800"/>
      <c r="H4" s="1162" t="s">
        <v>721</v>
      </c>
      <c r="I4" s="1163" t="s">
        <v>38</v>
      </c>
    </row>
    <row r="5" spans="2:13" ht="6.75" customHeight="1">
      <c r="B5" s="1798"/>
      <c r="C5" s="1798"/>
      <c r="D5" s="1798"/>
      <c r="E5" s="1798"/>
      <c r="F5" s="1152">
        <f>+HLOOKUP($M$3,$N$27:$V$55,6,0)</f>
        <v>1400</v>
      </c>
      <c r="G5" s="1153">
        <f>+HLOOKUP($M$3,$N$27:$V$55,7,0)</f>
        <v>1500</v>
      </c>
      <c r="H5" s="1184">
        <f>+HLOOKUP($M$3,$N$27:$V$55,12,0)</f>
        <v>0</v>
      </c>
      <c r="I5" s="1803">
        <f>+HLOOKUP($M$3,$N$27:$V$55,13,0)</f>
        <v>16</v>
      </c>
      <c r="M5" s="1186"/>
    </row>
    <row r="6" spans="2:13" ht="7.5" customHeight="1">
      <c r="B6" s="1798"/>
      <c r="C6" s="1798"/>
      <c r="D6" s="1798"/>
      <c r="E6" s="1798"/>
      <c r="F6" s="1154" t="str">
        <f>+HLOOKUP($M$3,$N$27:$V$55,8,0)</f>
        <v>NO</v>
      </c>
      <c r="G6" s="1153" t="str">
        <f>+HLOOKUP($M$3,$N$27:$V$55,9,0)</f>
        <v>NO</v>
      </c>
      <c r="H6" s="1183" t="str">
        <f>TEXT(HLOOKUP($M$3,$N$27:$V$55,27,0),"0")</f>
        <v>0</v>
      </c>
      <c r="I6" s="1803"/>
      <c r="L6" s="1186"/>
      <c r="M6" s="1186"/>
    </row>
    <row r="7" spans="2:13" ht="12" customHeight="1">
      <c r="B7" s="1798"/>
      <c r="C7" s="1798"/>
      <c r="D7" s="1798"/>
      <c r="E7" s="1798"/>
      <c r="F7" s="1172">
        <f>+HLOOKUP($M$3,$N$27:$V$55,10,0)</f>
        <v>3</v>
      </c>
      <c r="G7" s="1172">
        <f>+HLOOKUP($M$3,$N$27:$V$55,11,0)</f>
        <v>0</v>
      </c>
      <c r="I7" s="1160" t="str">
        <f>+HLOOKUP($M$3,$N$27:$V$55,29,0)</f>
        <v>1400x2200</v>
      </c>
    </row>
    <row r="8" spans="2:13" s="1173" customFormat="1" ht="9" customHeight="1">
      <c r="B8" s="1173">
        <f>+DATI!C13</f>
        <v>0</v>
      </c>
      <c r="C8" s="1174"/>
      <c r="D8" s="1174"/>
      <c r="E8" s="1174"/>
      <c r="F8" s="1174"/>
      <c r="G8" s="1175" t="str">
        <f>"OV:"&amp;DATI!C4&amp;"-"&amp;TEXT(DATI!C5,"gg/mm/aa")</f>
        <v>OV:-01/01/16</v>
      </c>
      <c r="H8" s="1785" t="str">
        <f>+IF(DATI!L15=2,"RG","")</f>
        <v/>
      </c>
      <c r="I8" s="1785"/>
    </row>
    <row r="9" spans="2:13" ht="13.5" customHeight="1">
      <c r="B9" s="1165" t="s">
        <v>36</v>
      </c>
      <c r="C9" s="1796" t="str">
        <f>+I7</f>
        <v>1400x2200</v>
      </c>
      <c r="D9" s="1796"/>
      <c r="E9" s="1166"/>
      <c r="F9" s="1166"/>
      <c r="I9" s="1176">
        <f>+I2</f>
        <v>0</v>
      </c>
    </row>
    <row r="10" spans="2:13" ht="15.75" customHeight="1">
      <c r="B10" s="1168" t="str">
        <f>+B3</f>
        <v xml:space="preserve"> 1A  49-58 06.NERO</v>
      </c>
      <c r="C10" s="1165"/>
      <c r="D10" s="1165"/>
      <c r="E10" s="1165"/>
      <c r="I10" s="1148"/>
    </row>
    <row r="11" spans="2:13" ht="15" customHeight="1">
      <c r="B11" s="1788" t="str">
        <f>+HLOOKUP($M$3,$N$27:$V$55,18,0)</f>
        <v>*965*</v>
      </c>
      <c r="C11" s="1788"/>
      <c r="D11" s="1150" t="s">
        <v>358</v>
      </c>
      <c r="E11" s="1151" t="str">
        <f>+IF(M3=8,"LAMIN","SCOR")</f>
        <v>SCOR</v>
      </c>
      <c r="F11" s="1150" t="str">
        <f>+IF(M3=8,"N.CING","DOR")</f>
        <v>DOR</v>
      </c>
      <c r="G11" s="1801" t="str">
        <f>+IF(M3=8,"","CORDINO 8")</f>
        <v>CORDINO 8</v>
      </c>
      <c r="H11" s="1802"/>
      <c r="I11" s="1802"/>
    </row>
    <row r="12" spans="2:13" ht="8.25" customHeight="1">
      <c r="B12" s="1788"/>
      <c r="C12" s="1788"/>
      <c r="D12" s="1795">
        <f>+HLOOKUP($M$3,$N$27:$V$55,14,0)</f>
        <v>0</v>
      </c>
      <c r="E12" s="1795">
        <f>+HLOOKUP($M$3,$N$27:$V$55,15,0)</f>
        <v>543</v>
      </c>
      <c r="F12" s="1795">
        <f>+HLOOKUP($M$3,$N$27:$V$55,16,0)</f>
        <v>26</v>
      </c>
      <c r="G12" s="1795">
        <f>HLOOKUP($M$3,$N$27:$V$55,28,0)</f>
        <v>0</v>
      </c>
      <c r="H12" s="1795"/>
      <c r="I12" s="1795"/>
    </row>
    <row r="13" spans="2:13" ht="7.5" customHeight="1">
      <c r="B13" s="1794" t="str">
        <f>+HLOOKUP($M$3,$N$27:$V$55,17,0)</f>
        <v>SC+DO+P_MG (H-67)</v>
      </c>
      <c r="C13" s="1794"/>
      <c r="D13" s="1795"/>
      <c r="E13" s="1795"/>
      <c r="F13" s="1795"/>
      <c r="G13" s="1795"/>
      <c r="H13" s="1795"/>
      <c r="I13" s="1795"/>
    </row>
    <row r="14" spans="2:13" s="1173" customFormat="1" ht="10.5" customHeight="1">
      <c r="B14" s="1173">
        <f>+B8</f>
        <v>0</v>
      </c>
      <c r="C14" s="1174"/>
      <c r="D14" s="1174"/>
      <c r="E14" s="1174"/>
      <c r="F14" s="1174"/>
      <c r="G14" s="1174"/>
      <c r="I14" s="1156" t="str">
        <f>+G8</f>
        <v>OV:-01/01/16</v>
      </c>
    </row>
    <row r="15" spans="2:13" ht="13.5" customHeight="1">
      <c r="B15" s="1165" t="s">
        <v>35</v>
      </c>
      <c r="C15" s="1796" t="str">
        <f>+C9</f>
        <v>1400x2200</v>
      </c>
      <c r="D15" s="1796"/>
      <c r="E15" s="1166"/>
      <c r="I15" s="1176">
        <f>+I2</f>
        <v>0</v>
      </c>
    </row>
    <row r="16" spans="2:13" ht="15.75" customHeight="1">
      <c r="B16" s="1168" t="str">
        <f>+B3</f>
        <v xml:space="preserve"> 1A  49-58 06.NERO</v>
      </c>
      <c r="C16" s="1165"/>
      <c r="D16" s="1165"/>
      <c r="E16" s="1165"/>
      <c r="I16" s="1148"/>
    </row>
    <row r="17" spans="2:23" ht="15" customHeight="1">
      <c r="B17" s="1792" t="str">
        <f>+HLOOKUP($M$3,$N$27:$V$55,20,0)</f>
        <v>*943*</v>
      </c>
      <c r="C17" s="1792"/>
      <c r="D17" s="1149"/>
      <c r="E17" s="1793">
        <f>+HLOOKUP($M$3,$N$27:$V$56,30,0)</f>
        <v>0</v>
      </c>
      <c r="F17" s="1793"/>
      <c r="G17" s="1793"/>
      <c r="H17" s="1792" t="str">
        <f>+HLOOKUP($M$3,$N$27:$V$55,18,0)</f>
        <v>*965*</v>
      </c>
      <c r="I17" s="1792"/>
    </row>
    <row r="18" spans="2:23" ht="8.25" customHeight="1">
      <c r="B18" s="1792"/>
      <c r="C18" s="1792"/>
      <c r="D18" s="1786" t="str">
        <f>+H8</f>
        <v/>
      </c>
      <c r="E18" s="1786"/>
      <c r="F18" s="1786"/>
      <c r="G18" s="1177" t="str">
        <f>+HLOOKUP($M$3,$N$27:$V$55,25,0)</f>
        <v>Mag(H-27)</v>
      </c>
      <c r="H18" s="1792"/>
      <c r="I18" s="1792"/>
    </row>
    <row r="19" spans="2:23" ht="9" customHeight="1">
      <c r="B19" s="1794" t="str">
        <f>+HLOOKUP($M$3,$N$27:$V$55,19,0)</f>
        <v>CHIUS (H-57)</v>
      </c>
      <c r="C19" s="1794"/>
      <c r="D19" s="1786"/>
      <c r="E19" s="1786"/>
      <c r="F19" s="1786"/>
      <c r="G19" s="1171">
        <f>+HLOOKUP($M$3,$N$27:$V$56,26,0)</f>
        <v>965</v>
      </c>
      <c r="H19" s="1794">
        <f>+HLOOKUP($M$3,$N$27:$V$55,23,0)</f>
        <v>0</v>
      </c>
      <c r="I19" s="1794"/>
    </row>
    <row r="20" spans="2:23" s="1173" customFormat="1" ht="9.75" customHeight="1">
      <c r="B20" s="1173">
        <f>+B8</f>
        <v>0</v>
      </c>
      <c r="C20" s="1174"/>
      <c r="D20" s="1174"/>
      <c r="E20" s="1174"/>
      <c r="F20" s="1174"/>
      <c r="G20" s="1174"/>
      <c r="I20" s="1156" t="str">
        <f>+G8</f>
        <v>OV:-01/01/16</v>
      </c>
    </row>
    <row r="21" spans="2:23" ht="13.5" customHeight="1">
      <c r="B21" s="1165"/>
      <c r="C21" s="1165"/>
      <c r="D21" s="1165"/>
      <c r="E21" s="1165"/>
      <c r="F21" s="1165"/>
      <c r="G21" s="1165"/>
      <c r="I21" s="1176">
        <f>+I15</f>
        <v>0</v>
      </c>
    </row>
    <row r="22" spans="2:23" ht="14.25" customHeight="1">
      <c r="B22" s="1147" t="str">
        <f>+B3</f>
        <v xml:space="preserve"> 1A  49-58 06.NERO</v>
      </c>
      <c r="C22" s="1165"/>
      <c r="D22" s="1165"/>
      <c r="E22" s="1165"/>
      <c r="I22" s="1148"/>
      <c r="P22" s="1157"/>
      <c r="Q22" s="1157"/>
      <c r="R22" s="1157"/>
      <c r="S22" s="1157"/>
      <c r="T22" s="1157"/>
    </row>
    <row r="23" spans="2:23" ht="15" customHeight="1">
      <c r="B23" s="1787" t="str">
        <f>+I7</f>
        <v>1400x2200</v>
      </c>
      <c r="C23" s="1787"/>
      <c r="D23" s="1787"/>
      <c r="E23" s="1787"/>
      <c r="F23" s="1161"/>
      <c r="G23" s="1157"/>
      <c r="H23" s="1788" t="str">
        <f>+HLOOKUP($M$3,$N$27:$V$55,22,0)</f>
        <v>*496*</v>
      </c>
      <c r="I23" s="1788"/>
      <c r="O23" s="1157"/>
      <c r="P23" s="1157"/>
      <c r="Q23" s="1157"/>
      <c r="R23" s="1157"/>
      <c r="S23" s="1157"/>
      <c r="T23" s="1157"/>
    </row>
    <row r="24" spans="2:23" ht="6" customHeight="1">
      <c r="B24" s="1787"/>
      <c r="C24" s="1787"/>
      <c r="D24" s="1787"/>
      <c r="E24" s="1787"/>
      <c r="F24" s="1165"/>
      <c r="G24" s="1157"/>
      <c r="H24" s="1788"/>
      <c r="I24" s="1788"/>
      <c r="O24" s="1157"/>
      <c r="P24" s="1157"/>
      <c r="Q24" s="1157"/>
      <c r="R24" s="1157"/>
      <c r="S24" s="1157"/>
      <c r="T24" s="1157"/>
    </row>
    <row r="25" spans="2:23" ht="9" customHeight="1">
      <c r="B25" s="1789">
        <f>+I15</f>
        <v>0</v>
      </c>
      <c r="C25" s="1790"/>
      <c r="D25" s="1790"/>
      <c r="E25" s="1790"/>
      <c r="F25" s="1790"/>
      <c r="G25" s="1155"/>
      <c r="H25" s="1791" t="str">
        <f>+HLOOKUP($M$3,$N$27:$V$55,21,0)</f>
        <v>COMP + GUI (B-5)</v>
      </c>
      <c r="I25" s="1791"/>
      <c r="O25" s="1157"/>
      <c r="P25" s="1157"/>
      <c r="Q25" s="1157"/>
      <c r="R25" s="1157"/>
      <c r="S25" s="1157"/>
      <c r="T25" s="1157"/>
    </row>
    <row r="26" spans="2:23" ht="10.5" customHeight="1">
      <c r="B26" s="1790"/>
      <c r="C26" s="1790"/>
      <c r="D26" s="1790"/>
      <c r="E26" s="1790"/>
      <c r="F26" s="1790"/>
      <c r="H26" s="1785" t="str">
        <f>+H8</f>
        <v/>
      </c>
      <c r="I26" s="1784"/>
    </row>
    <row r="27" spans="2:23" ht="12.75" customHeight="1">
      <c r="B27" s="1185" t="str">
        <f>+G8</f>
        <v>OV:-01/01/16</v>
      </c>
      <c r="G27" s="1186"/>
      <c r="H27" s="1785"/>
      <c r="I27" s="1784"/>
      <c r="M27" s="1164">
        <v>1</v>
      </c>
      <c r="N27" s="1158">
        <v>1</v>
      </c>
      <c r="O27" s="1158">
        <v>2</v>
      </c>
      <c r="P27" s="1158">
        <v>3</v>
      </c>
      <c r="Q27" s="1158">
        <v>4</v>
      </c>
      <c r="R27" s="1158">
        <v>5</v>
      </c>
      <c r="S27" s="1158">
        <v>6</v>
      </c>
      <c r="T27" s="1158">
        <v>7</v>
      </c>
      <c r="U27" s="1164">
        <v>8</v>
      </c>
      <c r="V27" s="1164">
        <v>9</v>
      </c>
    </row>
    <row r="28" spans="2:23">
      <c r="M28" s="1164">
        <v>2</v>
      </c>
      <c r="N28" s="1178" t="s">
        <v>490</v>
      </c>
      <c r="O28" s="1178" t="s">
        <v>491</v>
      </c>
      <c r="P28" s="1178" t="s">
        <v>399</v>
      </c>
      <c r="Q28" s="1178" t="s">
        <v>712</v>
      </c>
      <c r="R28" s="1178" t="s">
        <v>714</v>
      </c>
      <c r="S28" s="1178" t="s">
        <v>11</v>
      </c>
      <c r="T28" s="1178" t="s">
        <v>376</v>
      </c>
      <c r="U28" s="1178" t="s">
        <v>756</v>
      </c>
      <c r="V28" s="1178" t="s">
        <v>1003</v>
      </c>
    </row>
    <row r="29" spans="2:23">
      <c r="F29" s="1370"/>
      <c r="G29" s="1370"/>
      <c r="M29" s="1164">
        <v>3</v>
      </c>
      <c r="N29" s="1179">
        <f>+MiniPlisse!L14</f>
        <v>2159</v>
      </c>
      <c r="O29" s="1179">
        <f>+MiniPlisse2a!L14</f>
        <v>2159</v>
      </c>
      <c r="P29" s="1169">
        <f>+Plisse!L10</f>
        <v>2154</v>
      </c>
      <c r="Q29" s="1169">
        <f>+Plisse8L!K13</f>
        <v>2136</v>
      </c>
      <c r="R29" s="1169">
        <f>+Plisse8Lmis!K13</f>
        <v>2156</v>
      </c>
      <c r="S29" s="1169">
        <f>+PlisseMOD!N13</f>
        <v>2136</v>
      </c>
      <c r="T29" s="1169" t="e">
        <f>+PlisseXL!N10</f>
        <v>#N/A</v>
      </c>
      <c r="U29" s="1179">
        <f>+PlisseZero!N10</f>
        <v>2168</v>
      </c>
      <c r="V29" s="1547">
        <f>+PlisseZeroModulo!N10</f>
        <v>968</v>
      </c>
      <c r="W29" s="1180" t="s">
        <v>713</v>
      </c>
    </row>
    <row r="30" spans="2:23">
      <c r="F30" s="1370"/>
      <c r="G30" s="1370"/>
      <c r="M30" s="1164">
        <v>4</v>
      </c>
      <c r="N30" s="1169" t="str">
        <f>DATI!C3&amp;" "&amp;MiniPlisse!E15&amp;" "&amp;MiniPlisse!E11</f>
        <v xml:space="preserve"> 13-25 06.NERO</v>
      </c>
      <c r="O30" s="1169" t="str">
        <f>+DATI!C3&amp;" "&amp;MiniPlisse2a!E15&amp;" "&amp;MiniPlisse2a!E11</f>
        <v xml:space="preserve"> 13-25 06.NERO</v>
      </c>
      <c r="P30" s="1169" t="str">
        <f>+DATI!C3&amp;" "&amp;DATI!C9&amp;"A "&amp;Plisse!B3&amp;" "&amp;Plisse!E13</f>
        <v xml:space="preserve"> 1A 49-58 06.NERO</v>
      </c>
      <c r="Q30" s="1169" t="str">
        <f>+Q28&amp;" "&amp;DATI!C10</f>
        <v>PLISSE 8L 06.NERO</v>
      </c>
      <c r="R30" s="1169" t="str">
        <f>+R28&amp;" "&amp;DATI!C10</f>
        <v>PLISSE 8L MIS 06.NERO</v>
      </c>
      <c r="S30" s="1169" t="str">
        <f>+S28&amp;" "&amp;DATI!C10</f>
        <v>PLISSE MOD 06.NERO</v>
      </c>
      <c r="T30" s="1169" t="str">
        <f>++DATI!C3&amp;" "&amp;DATI!C9&amp;"A "&amp;" "&amp;PlisseXL!D3&amp;" "&amp;DATI!C10</f>
        <v xml:space="preserve"> 1A  49-58 06.NERO</v>
      </c>
      <c r="U30" s="1169" t="str">
        <f>+DATI!C3&amp;" "&amp;DATI!C9&amp;"A "&amp;" "&amp;DATI!$M$5&amp;" "&amp;DATI!C10</f>
        <v xml:space="preserve"> 1A  49-58 06.NERO</v>
      </c>
      <c r="V30" s="1165" t="str">
        <f>+DATI!C3&amp;" "&amp;DATI!C9&amp;"A "&amp;" "&amp;DATI!$M$5&amp;" "&amp;DATI!C10</f>
        <v xml:space="preserve"> 1A  49-58 06.NERO</v>
      </c>
      <c r="W30" s="1164" t="s">
        <v>33</v>
      </c>
    </row>
    <row r="31" spans="2:23">
      <c r="M31" s="1164">
        <v>5</v>
      </c>
      <c r="N31" s="1169" t="e">
        <f>+MiniPlisse!L8</f>
        <v>#VALUE!</v>
      </c>
      <c r="O31" s="1169" t="e">
        <f>+MiniPlisse2a!L8</f>
        <v>#VALUE!</v>
      </c>
      <c r="P31" s="1169" t="e">
        <f>+Plisse!J24</f>
        <v>#VALUE!</v>
      </c>
      <c r="Q31" s="1169" t="e">
        <f>+Plisse8L!G7</f>
        <v>#VALUE!</v>
      </c>
      <c r="R31" s="1169" t="e">
        <f>+Plisse8Lmis!G7</f>
        <v>#VALUE!</v>
      </c>
      <c r="S31" s="1169" t="e">
        <f>+PlisseMOD!J7</f>
        <v>#VALUE!</v>
      </c>
      <c r="T31" s="1169" t="e">
        <f>+PlisseXL!L22</f>
        <v>#VALUE!</v>
      </c>
      <c r="U31" s="1169" t="e">
        <f>+PlisseZero!L23</f>
        <v>#VALUE!</v>
      </c>
      <c r="V31" s="1165" t="e">
        <f>+PlisseZeroModulo!L23</f>
        <v>#VALUE!</v>
      </c>
      <c r="W31" s="1164" t="s">
        <v>32</v>
      </c>
    </row>
    <row r="32" spans="2:23">
      <c r="M32" s="1164">
        <v>6</v>
      </c>
      <c r="N32" s="1169">
        <f>+MiniPlisse!N35</f>
        <v>3700</v>
      </c>
      <c r="O32" s="1169" t="str">
        <f>+MiniPlisse2a!O36&amp;"x"&amp;MiniPlisse2a!N36</f>
        <v>4x4200</v>
      </c>
      <c r="P32" s="1169" t="e">
        <f>+Plisse!N35</f>
        <v>#N/A</v>
      </c>
      <c r="Q32" s="1169">
        <f>+Plisse8L!K36</f>
        <v>1650</v>
      </c>
      <c r="R32" s="1169">
        <f>+Plisse8Lmis!K36</f>
        <v>1650</v>
      </c>
      <c r="S32" s="1169">
        <f>+PlisseMOD!O35</f>
        <v>1700</v>
      </c>
      <c r="T32" s="1169" t="e">
        <f>+PlisseXL!P35</f>
        <v>#N/A</v>
      </c>
      <c r="U32" s="1179">
        <f>+PlisseZero!P33</f>
        <v>3700</v>
      </c>
      <c r="V32" s="1547">
        <f>+PlisseZeroModulo!P33</f>
        <v>1400</v>
      </c>
      <c r="W32" s="1164" t="s">
        <v>31</v>
      </c>
    </row>
    <row r="33" spans="13:23">
      <c r="M33" s="1164">
        <v>7</v>
      </c>
      <c r="N33" s="1169">
        <f>+MiniPlisse!N38</f>
        <v>2100</v>
      </c>
      <c r="O33" s="1179"/>
      <c r="P33" s="1179" t="e">
        <f>+Plisse!N37</f>
        <v>#N/A</v>
      </c>
      <c r="Q33" s="1179">
        <f>+Plisse8L!K38</f>
        <v>2100</v>
      </c>
      <c r="R33" s="1179">
        <f>+Plisse8Lmis!K38</f>
        <v>2100</v>
      </c>
      <c r="S33" s="1179">
        <f>+PlisseMOD!O37</f>
        <v>2600</v>
      </c>
      <c r="T33" s="1179" t="e">
        <f>+PlisseXL!P37</f>
        <v>#N/A</v>
      </c>
      <c r="U33" s="1179">
        <f>+PlisseZero!P35</f>
        <v>2200</v>
      </c>
      <c r="V33" s="1547">
        <f>+PlisseZeroModulo!P35</f>
        <v>1500</v>
      </c>
      <c r="W33" s="1164" t="s">
        <v>30</v>
      </c>
    </row>
    <row r="34" spans="13:23">
      <c r="M34" s="1164">
        <v>8</v>
      </c>
      <c r="N34" s="1169">
        <f>+MiniPlisse!N40</f>
        <v>2600</v>
      </c>
      <c r="O34" s="1169" t="str">
        <f>+MiniPlisse2a!O38&amp;"x"&amp;MiniPlisse2a!N38</f>
        <v>2x3400</v>
      </c>
      <c r="P34" s="1179" t="e">
        <f>+Plisse!N39</f>
        <v>#N/A</v>
      </c>
      <c r="Q34" s="1179">
        <f>+Plisse8L!K40</f>
        <v>2500</v>
      </c>
      <c r="R34" s="1179">
        <f>+Plisse8Lmis!K40</f>
        <v>2500</v>
      </c>
      <c r="S34" s="1179">
        <f>+PlisseMOD!O39</f>
        <v>3400</v>
      </c>
      <c r="T34" s="1179" t="e">
        <f>+PlisseXL!P39</f>
        <v>#N/A</v>
      </c>
      <c r="U34" s="1179">
        <f>+PlisseZero!P37</f>
        <v>2600</v>
      </c>
      <c r="V34" s="1547" t="str">
        <f>+PlisseZeroModulo!P37</f>
        <v>NO</v>
      </c>
      <c r="W34" s="1164" t="s">
        <v>29</v>
      </c>
    </row>
    <row r="35" spans="13:23">
      <c r="M35" s="1164">
        <v>9</v>
      </c>
      <c r="N35" s="1169" t="str">
        <f>+MiniPlisse!N42</f>
        <v/>
      </c>
      <c r="O35" s="1179"/>
      <c r="P35" s="1179" t="str">
        <f>+Plisse!N41</f>
        <v/>
      </c>
      <c r="Q35" s="1179" t="str">
        <f>+Plisse8L!K42</f>
        <v/>
      </c>
      <c r="R35" s="1179" t="str">
        <f>+Plisse8Lmis!K42</f>
        <v/>
      </c>
      <c r="S35" s="1179" t="str">
        <f>+PlisseMOD!O41</f>
        <v/>
      </c>
      <c r="T35" s="1179" t="e">
        <f>+PlisseXL!P41</f>
        <v>#N/A</v>
      </c>
      <c r="U35" s="1179">
        <f>+PlisseZero!P39</f>
        <v>3100</v>
      </c>
      <c r="V35" s="1547" t="str">
        <f>+PlisseZeroModulo!P39</f>
        <v>NO</v>
      </c>
      <c r="W35" s="1164" t="s">
        <v>28</v>
      </c>
    </row>
    <row r="36" spans="13:23">
      <c r="M36" s="1164">
        <v>10</v>
      </c>
      <c r="N36" s="1181"/>
      <c r="O36" s="1169" t="str">
        <f>+MiniPlisse2a!O44&amp;"x"&amp;MiniPlisse2a!N44</f>
        <v>x</v>
      </c>
      <c r="P36" s="1181"/>
      <c r="Q36" s="1181"/>
      <c r="R36" s="1181"/>
      <c r="S36" s="1181"/>
      <c r="T36" s="1181"/>
      <c r="U36" s="1181">
        <f>+PlisseZero!Z3</f>
        <v>6</v>
      </c>
      <c r="V36" s="1548">
        <f>+PlisseZeroModulo!Z3</f>
        <v>3</v>
      </c>
      <c r="W36" s="1164" t="s">
        <v>360</v>
      </c>
    </row>
    <row r="37" spans="13:23">
      <c r="M37" s="1164">
        <v>11</v>
      </c>
      <c r="N37" s="1181"/>
      <c r="O37" s="1181"/>
      <c r="P37" s="1181"/>
      <c r="Q37" s="1181"/>
      <c r="R37" s="1181"/>
      <c r="S37" s="1181"/>
      <c r="T37" s="1181"/>
      <c r="U37" s="1181"/>
      <c r="V37" s="1548"/>
      <c r="W37" s="1164" t="s">
        <v>361</v>
      </c>
    </row>
    <row r="38" spans="13:23">
      <c r="M38" s="1164">
        <v>12</v>
      </c>
      <c r="N38" s="1181"/>
      <c r="O38" s="1181"/>
      <c r="P38" s="1159" t="e">
        <f>+Plisse!T38&amp;Plisse!T43&amp;" "&amp;Plisse!U39&amp;Plisse!T44</f>
        <v>#N/A</v>
      </c>
      <c r="Q38" s="1159"/>
      <c r="R38" s="1159"/>
      <c r="S38" s="1159"/>
      <c r="T38" s="1159" t="e">
        <f>PlisseXL!U38&amp;PlisseXL!U39&amp;" "&amp;PlisseXL!U43&amp;PlisseXL!U44</f>
        <v>#N/A</v>
      </c>
      <c r="U38" s="1181"/>
      <c r="V38" s="1548"/>
      <c r="W38" s="1164" t="s">
        <v>362</v>
      </c>
    </row>
    <row r="39" spans="13:23">
      <c r="M39" s="1164">
        <v>13</v>
      </c>
      <c r="N39" s="1182"/>
      <c r="O39" s="1182"/>
      <c r="P39" s="1179" t="e">
        <f>+Plisse!M6</f>
        <v>#N/A</v>
      </c>
      <c r="Q39" s="1179">
        <f>+Plisse8L!N9</f>
        <v>49</v>
      </c>
      <c r="R39" s="1179"/>
      <c r="S39" s="1179"/>
      <c r="T39" s="1179" t="e">
        <f>+PlisseXL!O6</f>
        <v>#N/A</v>
      </c>
      <c r="U39" s="1179">
        <f>+PlisseZero!O6</f>
        <v>49</v>
      </c>
      <c r="V39" s="1547">
        <f>+PlisseZeroModulo!O6</f>
        <v>16</v>
      </c>
      <c r="W39" s="1164" t="s">
        <v>27</v>
      </c>
    </row>
    <row r="40" spans="13:23">
      <c r="M40" s="1164">
        <v>14</v>
      </c>
      <c r="N40" s="1169"/>
      <c r="O40" s="1169"/>
      <c r="P40" s="1169" t="e">
        <f>+Plisse!AC36</f>
        <v>#N/A</v>
      </c>
      <c r="Q40" s="1169">
        <f>+Plisse8L!Y27+Plisse8L!Y28</f>
        <v>124</v>
      </c>
      <c r="R40" s="1169"/>
      <c r="S40" s="1169"/>
      <c r="T40" s="1169" t="e">
        <f>+PlisseXL!AC36</f>
        <v>#N/A</v>
      </c>
      <c r="U40" s="1169"/>
      <c r="V40" s="1165"/>
      <c r="W40" s="1164" t="s">
        <v>363</v>
      </c>
    </row>
    <row r="41" spans="13:23">
      <c r="M41" s="1164">
        <v>15</v>
      </c>
      <c r="N41" s="1169"/>
      <c r="O41" s="1169"/>
      <c r="P41" s="1169" t="e">
        <f>+Plisse!AC37</f>
        <v>#N/A</v>
      </c>
      <c r="Q41" s="1169">
        <f>+Plisse8L!Y27</f>
        <v>62</v>
      </c>
      <c r="R41" s="1169"/>
      <c r="S41" s="1169"/>
      <c r="T41" s="1169" t="e">
        <f>+PlisseXL!AC37</f>
        <v>#N/A</v>
      </c>
      <c r="U41" s="1181">
        <f>+PlisseZero!AC41</f>
        <v>1443</v>
      </c>
      <c r="V41" s="1548">
        <f>+PlisseZeroModulo!AC41</f>
        <v>543</v>
      </c>
      <c r="W41" s="1180" t="s">
        <v>937</v>
      </c>
    </row>
    <row r="42" spans="13:23">
      <c r="M42" s="1164">
        <v>16</v>
      </c>
      <c r="N42" s="1169"/>
      <c r="O42" s="1169"/>
      <c r="P42" s="1169" t="e">
        <f>+Plisse!AC38</f>
        <v>#N/A</v>
      </c>
      <c r="Q42" s="1169">
        <f>+Plisse8L!Y28</f>
        <v>62</v>
      </c>
      <c r="R42" s="1169"/>
      <c r="S42" s="1169"/>
      <c r="T42" s="1169" t="e">
        <f>+PlisseXL!AC38</f>
        <v>#N/A</v>
      </c>
      <c r="U42" s="1181">
        <f>+PlisseZero!AC35</f>
        <v>71</v>
      </c>
      <c r="V42" s="1548">
        <f>+PlisseZeroModulo!AC35</f>
        <v>26</v>
      </c>
      <c r="W42" s="1164" t="s">
        <v>364</v>
      </c>
    </row>
    <row r="43" spans="13:23">
      <c r="M43" s="1164">
        <v>17</v>
      </c>
      <c r="N43" s="1169"/>
      <c r="O43" s="1169"/>
      <c r="P43" s="1169" t="s">
        <v>365</v>
      </c>
      <c r="Q43" s="1187" t="s">
        <v>469</v>
      </c>
      <c r="R43" s="1169"/>
      <c r="S43" s="1169"/>
      <c r="T43" s="1169" t="s">
        <v>365</v>
      </c>
      <c r="U43" s="1187" t="s">
        <v>938</v>
      </c>
      <c r="V43" s="1187" t="s">
        <v>938</v>
      </c>
      <c r="W43" s="1164" t="s">
        <v>366</v>
      </c>
    </row>
    <row r="44" spans="13:23">
      <c r="M44" s="1164">
        <v>18</v>
      </c>
      <c r="N44" s="1169"/>
      <c r="O44" s="1169"/>
      <c r="P44" s="1169" t="str">
        <f>Plisse!R15</f>
        <v>*2085*</v>
      </c>
      <c r="Q44" s="1169" t="str">
        <f>+Plisse8L!Q13</f>
        <v>*2065*</v>
      </c>
      <c r="R44" s="1169"/>
      <c r="S44" s="1169"/>
      <c r="T44" s="1169" t="e">
        <f>+PlisseXL!U15</f>
        <v>#N/A</v>
      </c>
      <c r="U44" s="1179" t="str">
        <f>+"*"&amp;PlisseZero!W13&amp;"*"</f>
        <v>*2133*</v>
      </c>
      <c r="V44" s="1547" t="str">
        <f>+"*"&amp;PlisseZeroModulo!W13&amp;"*"</f>
        <v>*965*</v>
      </c>
      <c r="W44" s="1164" t="s">
        <v>367</v>
      </c>
    </row>
    <row r="45" spans="13:23">
      <c r="M45" s="1164">
        <v>19</v>
      </c>
      <c r="N45" s="1169"/>
      <c r="O45" s="1169"/>
      <c r="P45" s="1169" t="s">
        <v>368</v>
      </c>
      <c r="Q45" s="1169"/>
      <c r="R45" s="1169"/>
      <c r="S45" s="1169"/>
      <c r="T45" s="1169" t="s">
        <v>368</v>
      </c>
      <c r="U45" s="1187" t="s">
        <v>939</v>
      </c>
      <c r="V45" s="1187" t="s">
        <v>939</v>
      </c>
      <c r="W45" s="1164" t="s">
        <v>26</v>
      </c>
    </row>
    <row r="46" spans="13:23">
      <c r="M46" s="1164">
        <v>20</v>
      </c>
      <c r="N46" s="1169"/>
      <c r="O46" s="1169"/>
      <c r="P46" s="1169" t="str">
        <f>+Plisse!Y27</f>
        <v>*2143*</v>
      </c>
      <c r="Q46" s="1169"/>
      <c r="R46" s="1169"/>
      <c r="S46" s="1169"/>
      <c r="T46" s="1169" t="e">
        <f>+PlisseXL!AB26</f>
        <v>#N/A</v>
      </c>
      <c r="U46" s="1169" t="str">
        <f>+"*"&amp;PlisseZero!AD24&amp;"*"</f>
        <v>*2143*</v>
      </c>
      <c r="V46" s="1165" t="str">
        <f>+"*"&amp;PlisseZeroModulo!AD24&amp;"*"</f>
        <v>*943*</v>
      </c>
      <c r="W46" s="1164" t="s">
        <v>25</v>
      </c>
    </row>
    <row r="47" spans="13:23">
      <c r="M47" s="1164">
        <v>21</v>
      </c>
      <c r="N47" s="1169"/>
      <c r="O47" s="1169"/>
      <c r="P47" s="1169" t="s">
        <v>369</v>
      </c>
      <c r="Q47" s="1169"/>
      <c r="R47" s="1169"/>
      <c r="S47" s="1169"/>
      <c r="T47" s="1169" t="s">
        <v>369</v>
      </c>
      <c r="U47" s="1169" t="s">
        <v>369</v>
      </c>
      <c r="V47" s="1165" t="s">
        <v>369</v>
      </c>
      <c r="W47" s="1164" t="s">
        <v>24</v>
      </c>
    </row>
    <row r="48" spans="13:23">
      <c r="M48" s="1164">
        <v>22</v>
      </c>
      <c r="N48" s="1169"/>
      <c r="O48" s="1169"/>
      <c r="P48" s="1169" t="e">
        <f>+Plisse!AE9</f>
        <v>#N/A</v>
      </c>
      <c r="Q48" s="1169"/>
      <c r="R48" s="1169"/>
      <c r="S48" s="1169"/>
      <c r="T48" s="1169" t="e">
        <f>+PlisseXL!AA15</f>
        <v>#N/A</v>
      </c>
      <c r="U48" s="1169" t="str">
        <f>+"*"&amp;PlisseZero!AC9&amp;"*"</f>
        <v>*1395*</v>
      </c>
      <c r="V48" s="1165" t="str">
        <f>+"*"&amp;PlisseZeroModulo!AC9&amp;"*"</f>
        <v>*496*</v>
      </c>
      <c r="W48" s="1164" t="s">
        <v>23</v>
      </c>
    </row>
    <row r="49" spans="13:23">
      <c r="M49" s="1164">
        <v>23</v>
      </c>
      <c r="N49" s="1169"/>
      <c r="O49" s="1169"/>
      <c r="P49" s="1169" t="s">
        <v>370</v>
      </c>
      <c r="Q49" s="1169"/>
      <c r="R49" s="1169"/>
      <c r="S49" s="1169"/>
      <c r="T49" s="1169" t="s">
        <v>370</v>
      </c>
      <c r="U49" s="1169"/>
      <c r="V49" s="1165"/>
      <c r="W49" s="1164" t="s">
        <v>22</v>
      </c>
    </row>
    <row r="50" spans="13:23">
      <c r="M50" s="1164">
        <v>24</v>
      </c>
      <c r="N50" s="1169"/>
      <c r="O50" s="1169"/>
      <c r="P50" s="1169" t="str">
        <f>+"*"&amp;Plisse!V13&amp;"*"</f>
        <v>*2073*</v>
      </c>
      <c r="Q50" s="1169"/>
      <c r="R50" s="1169"/>
      <c r="S50" s="1169"/>
      <c r="T50" s="1179" t="e">
        <f>+"*"&amp;PlisseXL!W13&amp;"*"</f>
        <v>#N/A</v>
      </c>
      <c r="U50" s="1179"/>
      <c r="V50" s="1547"/>
      <c r="W50" s="1164" t="s">
        <v>21</v>
      </c>
    </row>
    <row r="51" spans="13:23">
      <c r="M51" s="1164">
        <v>25</v>
      </c>
      <c r="N51" s="1169"/>
      <c r="O51" s="1169"/>
      <c r="P51" s="1169" t="s">
        <v>371</v>
      </c>
      <c r="Q51" s="1169"/>
      <c r="R51" s="1169"/>
      <c r="S51" s="1169"/>
      <c r="T51" s="1169" t="s">
        <v>371</v>
      </c>
      <c r="U51" s="1187" t="s">
        <v>941</v>
      </c>
      <c r="V51" s="1187" t="s">
        <v>941</v>
      </c>
      <c r="W51" s="1164" t="s">
        <v>372</v>
      </c>
    </row>
    <row r="52" spans="13:23">
      <c r="M52" s="1164">
        <v>26</v>
      </c>
      <c r="N52" s="1169"/>
      <c r="O52" s="1169"/>
      <c r="P52" s="1179">
        <f>+Plisse!V14</f>
        <v>2165</v>
      </c>
      <c r="Q52" s="1179"/>
      <c r="R52" s="1179"/>
      <c r="S52" s="1179"/>
      <c r="T52" s="1179" t="e">
        <f>+PlisseXL!W14</f>
        <v>#N/A</v>
      </c>
      <c r="U52" s="1179">
        <f>+PlisseZero!W13</f>
        <v>2133</v>
      </c>
      <c r="V52" s="1547">
        <f>+PlisseZeroModulo!W13</f>
        <v>965</v>
      </c>
      <c r="W52" s="1164" t="s">
        <v>372</v>
      </c>
    </row>
    <row r="53" spans="13:23">
      <c r="M53" s="1164">
        <v>27</v>
      </c>
      <c r="N53" s="1169"/>
      <c r="O53" s="1169"/>
      <c r="P53" s="1179" t="e">
        <f>+Plisse!R48</f>
        <v>#N/A</v>
      </c>
      <c r="Q53" s="1179"/>
      <c r="R53" s="1179"/>
      <c r="S53" s="1179"/>
      <c r="T53" s="1179" t="e">
        <f>+PlisseXL!V48</f>
        <v>#N/A</v>
      </c>
      <c r="U53" s="1179"/>
      <c r="V53" s="1179"/>
      <c r="W53" s="1164" t="s">
        <v>373</v>
      </c>
    </row>
    <row r="54" spans="13:23">
      <c r="M54" s="1164">
        <v>28</v>
      </c>
      <c r="N54" s="1169"/>
      <c r="O54" s="1169"/>
      <c r="P54" s="1169" t="str">
        <f>Plisse!W53&amp;" da "&amp;Plisse!U53</f>
        <v>PZ. 2 da 4600</v>
      </c>
      <c r="Q54" s="1169"/>
      <c r="R54" s="1169"/>
      <c r="S54" s="1169"/>
      <c r="T54" s="1169"/>
      <c r="U54" s="1179"/>
      <c r="V54" s="1179"/>
      <c r="W54" s="1164" t="s">
        <v>374</v>
      </c>
    </row>
    <row r="55" spans="13:23">
      <c r="M55" s="1164">
        <v>29</v>
      </c>
      <c r="N55" s="1169" t="str">
        <f>+DATI!$C$7&amp;"x"&amp;DATI!$C$8</f>
        <v>1400x2200</v>
      </c>
      <c r="O55" s="1169" t="str">
        <f>+DATI!$C$7&amp;"x"&amp;DATI!$C$8</f>
        <v>1400x2200</v>
      </c>
      <c r="P55" s="1169" t="str">
        <f>+DATI!$C$7&amp;"x"&amp;DATI!$C$8</f>
        <v>1400x2200</v>
      </c>
      <c r="Q55" s="1169" t="str">
        <f>+DATI!$C$7&amp;"x"&amp;DATI!$C$8</f>
        <v>1400x2200</v>
      </c>
      <c r="R55" s="1169" t="str">
        <f>+DATI!$C$7&amp;"x"&amp;DATI!$C$8</f>
        <v>1400x2200</v>
      </c>
      <c r="S55" s="1169" t="str">
        <f>+DATI!$C$7&amp;"x"&amp;DATI!$C$8</f>
        <v>1400x2200</v>
      </c>
      <c r="T55" s="1169" t="str">
        <f>+DATI!$C$7&amp;"x"&amp;DATI!$C$8</f>
        <v>1400x2200</v>
      </c>
      <c r="U55" s="1169" t="str">
        <f>+DATI!$C$7&amp;"x"&amp;DATI!$C$8</f>
        <v>1400x2200</v>
      </c>
      <c r="V55" s="1165" t="str">
        <f>+DATI!$C$7&amp;"x"&amp;DATI!$C$8</f>
        <v>1400x2200</v>
      </c>
      <c r="W55" s="1180" t="s">
        <v>34</v>
      </c>
    </row>
    <row r="56" spans="13:23">
      <c r="M56" s="1164">
        <v>30</v>
      </c>
      <c r="N56" s="1169"/>
      <c r="O56" s="1169"/>
      <c r="P56" s="1169"/>
      <c r="Q56" s="1169"/>
      <c r="R56" s="1169"/>
      <c r="S56" s="1169"/>
      <c r="T56" s="1169" t="e">
        <f>+"XL="&amp;PlisseXL!W22</f>
        <v>#N/A</v>
      </c>
      <c r="U56" s="1169"/>
      <c r="V56" s="1169"/>
    </row>
  </sheetData>
  <mergeCells count="26">
    <mergeCell ref="G12:I13"/>
    <mergeCell ref="C15:D15"/>
    <mergeCell ref="D12:D13"/>
    <mergeCell ref="H19:I19"/>
    <mergeCell ref="C2:D2"/>
    <mergeCell ref="B4:E7"/>
    <mergeCell ref="F4:G4"/>
    <mergeCell ref="C9:D9"/>
    <mergeCell ref="B11:C12"/>
    <mergeCell ref="E12:E13"/>
    <mergeCell ref="F12:F13"/>
    <mergeCell ref="B13:C13"/>
    <mergeCell ref="G11:I11"/>
    <mergeCell ref="I5:I6"/>
    <mergeCell ref="H8:I8"/>
    <mergeCell ref="I26:I27"/>
    <mergeCell ref="H26:H27"/>
    <mergeCell ref="D18:F19"/>
    <mergeCell ref="B23:E24"/>
    <mergeCell ref="H23:I24"/>
    <mergeCell ref="B25:F26"/>
    <mergeCell ref="H25:I25"/>
    <mergeCell ref="B17:C18"/>
    <mergeCell ref="H17:I18"/>
    <mergeCell ref="E17:G17"/>
    <mergeCell ref="B19:C19"/>
  </mergeCells>
  <conditionalFormatting sqref="E9:F9">
    <cfRule type="expression" dxfId="31" priority="6" stopIfTrue="1">
      <formula>+IF(L9="RG",1,0)</formula>
    </cfRule>
  </conditionalFormatting>
  <conditionalFormatting sqref="E2">
    <cfRule type="expression" dxfId="30" priority="5" stopIfTrue="1">
      <formula>+IF($L$3="RG",1,0)</formula>
    </cfRule>
  </conditionalFormatting>
  <conditionalFormatting sqref="F2">
    <cfRule type="expression" dxfId="29" priority="4" stopIfTrue="1">
      <formula>IF($L$3="RG",1,0)</formula>
    </cfRule>
  </conditionalFormatting>
  <conditionalFormatting sqref="M5:M6 L6 H26:I27 G27">
    <cfRule type="cellIs" dxfId="28" priority="3" stopIfTrue="1" operator="equal">
      <formula>"RG"</formula>
    </cfRule>
  </conditionalFormatting>
  <conditionalFormatting sqref="H8:I8">
    <cfRule type="cellIs" dxfId="27" priority="1" stopIfTrue="1" operator="equal">
      <formula>"RG"</formula>
    </cfRule>
  </conditionalFormatting>
  <pageMargins left="0" right="0" top="0" bottom="0" header="0" footer="0"/>
  <pageSetup paperSize="300" orientation="landscape" horizontalDpi="203" verticalDpi="20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81406" r:id="rId4" name="TextBox1">
          <controlPr autoLine="0" r:id="rId5">
            <anchor moveWithCells="1">
              <from>
                <xdr:col>1</xdr:col>
                <xdr:colOff>0</xdr:colOff>
                <xdr:row>29</xdr:row>
                <xdr:rowOff>152400</xdr:rowOff>
              </from>
              <to>
                <xdr:col>2</xdr:col>
                <xdr:colOff>419100</xdr:colOff>
                <xdr:row>31</xdr:row>
                <xdr:rowOff>47625</xdr:rowOff>
              </to>
            </anchor>
          </controlPr>
        </control>
      </mc:Choice>
      <mc:Fallback>
        <control shapeId="2481406" r:id="rId4" name="TextBox1"/>
      </mc:Fallback>
    </mc:AlternateContent>
    <mc:AlternateContent xmlns:mc="http://schemas.openxmlformats.org/markup-compatibility/2006">
      <mc:Choice Requires="x14">
        <control shapeId="2481407" r:id="rId6" name="TextBox2">
          <controlPr autoLine="0" r:id="rId7">
            <anchor moveWithCells="1">
              <from>
                <xdr:col>0</xdr:col>
                <xdr:colOff>28575</xdr:colOff>
                <xdr:row>34</xdr:row>
                <xdr:rowOff>9525</xdr:rowOff>
              </from>
              <to>
                <xdr:col>2</xdr:col>
                <xdr:colOff>409575</xdr:colOff>
                <xdr:row>35</xdr:row>
                <xdr:rowOff>66675</xdr:rowOff>
              </to>
            </anchor>
          </controlPr>
        </control>
      </mc:Choice>
      <mc:Fallback>
        <control shapeId="2481407" r:id="rId6" name="TextBox2"/>
      </mc:Fallback>
    </mc:AlternateContent>
    <mc:AlternateContent xmlns:mc="http://schemas.openxmlformats.org/markup-compatibility/2006">
      <mc:Choice Requires="x14">
        <control shapeId="2481408" r:id="rId8" name="TextBox3">
          <controlPr autoLine="0" r:id="rId9">
            <anchor moveWithCells="1">
              <from>
                <xdr:col>1</xdr:col>
                <xdr:colOff>9525</xdr:colOff>
                <xdr:row>38</xdr:row>
                <xdr:rowOff>38100</xdr:rowOff>
              </from>
              <to>
                <xdr:col>2</xdr:col>
                <xdr:colOff>428625</xdr:colOff>
                <xdr:row>39</xdr:row>
                <xdr:rowOff>95250</xdr:rowOff>
              </to>
            </anchor>
          </controlPr>
        </control>
      </mc:Choice>
      <mc:Fallback>
        <control shapeId="2481408" r:id="rId8" name="TextBox3"/>
      </mc:Fallback>
    </mc:AlternateContent>
    <mc:AlternateContent xmlns:mc="http://schemas.openxmlformats.org/markup-compatibility/2006">
      <mc:Choice Requires="x14">
        <control shapeId="2481409" r:id="rId10" name="TextBox4">
          <controlPr autoLine="0" r:id="rId11">
            <anchor moveWithCells="1">
              <from>
                <xdr:col>1</xdr:col>
                <xdr:colOff>19050</xdr:colOff>
                <xdr:row>42</xdr:row>
                <xdr:rowOff>76200</xdr:rowOff>
              </from>
              <to>
                <xdr:col>2</xdr:col>
                <xdr:colOff>438150</xdr:colOff>
                <xdr:row>43</xdr:row>
                <xdr:rowOff>133350</xdr:rowOff>
              </to>
            </anchor>
          </controlPr>
        </control>
      </mc:Choice>
      <mc:Fallback>
        <control shapeId="2481409" r:id="rId10" name="TextBox4"/>
      </mc:Fallback>
    </mc:AlternateContent>
    <mc:AlternateContent xmlns:mc="http://schemas.openxmlformats.org/markup-compatibility/2006">
      <mc:Choice Requires="x14">
        <control shapeId="2481410" r:id="rId12" name="TextBox5">
          <controlPr autoLine="0" r:id="rId13">
            <anchor moveWithCells="1">
              <from>
                <xdr:col>1</xdr:col>
                <xdr:colOff>9525</xdr:colOff>
                <xdr:row>53</xdr:row>
                <xdr:rowOff>0</xdr:rowOff>
              </from>
              <to>
                <xdr:col>2</xdr:col>
                <xdr:colOff>428625</xdr:colOff>
                <xdr:row>54</xdr:row>
                <xdr:rowOff>57150</xdr:rowOff>
              </to>
            </anchor>
          </controlPr>
        </control>
      </mc:Choice>
      <mc:Fallback>
        <control shapeId="2481410" r:id="rId12" name="TextBox5"/>
      </mc:Fallback>
    </mc:AlternateContent>
    <mc:AlternateContent xmlns:mc="http://schemas.openxmlformats.org/markup-compatibility/2006">
      <mc:Choice Requires="x14">
        <control shapeId="2481411" r:id="rId14" name="TextBox6">
          <controlPr autoLine="0" r:id="rId15">
            <anchor moveWithCells="1">
              <from>
                <xdr:col>9</xdr:col>
                <xdr:colOff>590550</xdr:colOff>
                <xdr:row>53</xdr:row>
                <xdr:rowOff>9525</xdr:rowOff>
              </from>
              <to>
                <xdr:col>12</xdr:col>
                <xdr:colOff>161925</xdr:colOff>
                <xdr:row>54</xdr:row>
                <xdr:rowOff>66675</xdr:rowOff>
              </to>
            </anchor>
          </controlPr>
        </control>
      </mc:Choice>
      <mc:Fallback>
        <control shapeId="2481411" r:id="rId14" name="TextBox6"/>
      </mc:Fallback>
    </mc:AlternateContent>
    <mc:AlternateContent xmlns:mc="http://schemas.openxmlformats.org/markup-compatibility/2006">
      <mc:Choice Requires="x14">
        <control shapeId="2481412" r:id="rId16" name="CommandButton1">
          <controlPr autoLine="0" r:id="rId17">
            <anchor moveWithCells="1">
              <from>
                <xdr:col>7</xdr:col>
                <xdr:colOff>257175</xdr:colOff>
                <xdr:row>28</xdr:row>
                <xdr:rowOff>0</xdr:rowOff>
              </from>
              <to>
                <xdr:col>11</xdr:col>
                <xdr:colOff>57150</xdr:colOff>
                <xdr:row>29</xdr:row>
                <xdr:rowOff>95250</xdr:rowOff>
              </to>
            </anchor>
          </controlPr>
        </control>
      </mc:Choice>
      <mc:Fallback>
        <control shapeId="2481412" r:id="rId16" name="CommandButton1"/>
      </mc:Fallback>
    </mc:AlternateContent>
    <mc:AlternateContent xmlns:mc="http://schemas.openxmlformats.org/markup-compatibility/2006">
      <mc:Choice Requires="x14">
        <control shapeId="2481450" r:id="rId18" name="CommandButton2">
          <controlPr autoLine="0" r:id="rId19">
            <anchor moveWithCells="1">
              <from>
                <xdr:col>1</xdr:col>
                <xdr:colOff>9525</xdr:colOff>
                <xdr:row>28</xdr:row>
                <xdr:rowOff>38100</xdr:rowOff>
              </from>
              <to>
                <xdr:col>1</xdr:col>
                <xdr:colOff>219075</xdr:colOff>
                <xdr:row>29</xdr:row>
                <xdr:rowOff>104775</xdr:rowOff>
              </to>
            </anchor>
          </controlPr>
        </control>
      </mc:Choice>
      <mc:Fallback>
        <control shapeId="2481450" r:id="rId18" name="CommandButton2"/>
      </mc:Fallback>
    </mc:AlternateContent>
    <mc:AlternateContent xmlns:mc="http://schemas.openxmlformats.org/markup-compatibility/2006">
      <mc:Choice Requires="x14">
        <control shapeId="2481458" r:id="rId20" name="CommandButton3">
          <controlPr autoLine="0" r:id="rId21">
            <anchor moveWithCells="1">
              <from>
                <xdr:col>2</xdr:col>
                <xdr:colOff>190500</xdr:colOff>
                <xdr:row>28</xdr:row>
                <xdr:rowOff>38100</xdr:rowOff>
              </from>
              <to>
                <xdr:col>2</xdr:col>
                <xdr:colOff>400050</xdr:colOff>
                <xdr:row>29</xdr:row>
                <xdr:rowOff>104775</xdr:rowOff>
              </to>
            </anchor>
          </controlPr>
        </control>
      </mc:Choice>
      <mc:Fallback>
        <control shapeId="2481458" r:id="rId20" name="CommandButton3"/>
      </mc:Fallback>
    </mc:AlternateContent>
    <mc:AlternateContent xmlns:mc="http://schemas.openxmlformats.org/markup-compatibility/2006">
      <mc:Choice Requires="x14">
        <control shapeId="2481459" r:id="rId22" name="CommandButton4">
          <controlPr autoLine="0" r:id="rId23">
            <anchor moveWithCells="1">
              <from>
                <xdr:col>1</xdr:col>
                <xdr:colOff>0</xdr:colOff>
                <xdr:row>32</xdr:row>
                <xdr:rowOff>57150</xdr:rowOff>
              </from>
              <to>
                <xdr:col>1</xdr:col>
                <xdr:colOff>209550</xdr:colOff>
                <xdr:row>33</xdr:row>
                <xdr:rowOff>123825</xdr:rowOff>
              </to>
            </anchor>
          </controlPr>
        </control>
      </mc:Choice>
      <mc:Fallback>
        <control shapeId="2481459" r:id="rId22" name="CommandButton4"/>
      </mc:Fallback>
    </mc:AlternateContent>
    <mc:AlternateContent xmlns:mc="http://schemas.openxmlformats.org/markup-compatibility/2006">
      <mc:Choice Requires="x14">
        <control shapeId="2481461" r:id="rId24" name="CommandButton5">
          <controlPr autoLine="0" r:id="rId25">
            <anchor moveWithCells="1">
              <from>
                <xdr:col>1</xdr:col>
                <xdr:colOff>0</xdr:colOff>
                <xdr:row>36</xdr:row>
                <xdr:rowOff>76200</xdr:rowOff>
              </from>
              <to>
                <xdr:col>1</xdr:col>
                <xdr:colOff>209550</xdr:colOff>
                <xdr:row>37</xdr:row>
                <xdr:rowOff>142875</xdr:rowOff>
              </to>
            </anchor>
          </controlPr>
        </control>
      </mc:Choice>
      <mc:Fallback>
        <control shapeId="2481461" r:id="rId24" name="CommandButton5"/>
      </mc:Fallback>
    </mc:AlternateContent>
    <mc:AlternateContent xmlns:mc="http://schemas.openxmlformats.org/markup-compatibility/2006">
      <mc:Choice Requires="x14">
        <control shapeId="2481462" r:id="rId26" name="CommandButton6">
          <controlPr autoLine="0" r:id="rId27">
            <anchor moveWithCells="1">
              <from>
                <xdr:col>0</xdr:col>
                <xdr:colOff>28575</xdr:colOff>
                <xdr:row>40</xdr:row>
                <xdr:rowOff>114300</xdr:rowOff>
              </from>
              <to>
                <xdr:col>1</xdr:col>
                <xdr:colOff>200025</xdr:colOff>
                <xdr:row>42</xdr:row>
                <xdr:rowOff>19050</xdr:rowOff>
              </to>
            </anchor>
          </controlPr>
        </control>
      </mc:Choice>
      <mc:Fallback>
        <control shapeId="2481462" r:id="rId26" name="CommandButton6"/>
      </mc:Fallback>
    </mc:AlternateContent>
    <mc:AlternateContent xmlns:mc="http://schemas.openxmlformats.org/markup-compatibility/2006">
      <mc:Choice Requires="x14">
        <control shapeId="2481463" r:id="rId28" name="CommandButton7">
          <controlPr autoLine="0" r:id="rId29">
            <anchor moveWithCells="1">
              <from>
                <xdr:col>1</xdr:col>
                <xdr:colOff>38100</xdr:colOff>
                <xdr:row>51</xdr:row>
                <xdr:rowOff>38100</xdr:rowOff>
              </from>
              <to>
                <xdr:col>1</xdr:col>
                <xdr:colOff>247650</xdr:colOff>
                <xdr:row>52</xdr:row>
                <xdr:rowOff>104775</xdr:rowOff>
              </to>
            </anchor>
          </controlPr>
        </control>
      </mc:Choice>
      <mc:Fallback>
        <control shapeId="2481463" r:id="rId28" name="CommandButton7"/>
      </mc:Fallback>
    </mc:AlternateContent>
    <mc:AlternateContent xmlns:mc="http://schemas.openxmlformats.org/markup-compatibility/2006">
      <mc:Choice Requires="x14">
        <control shapeId="2481464" r:id="rId30" name="CommandButton8">
          <controlPr autoLine="0" r:id="rId31">
            <anchor moveWithCells="1">
              <from>
                <xdr:col>2</xdr:col>
                <xdr:colOff>171450</xdr:colOff>
                <xdr:row>32</xdr:row>
                <xdr:rowOff>57150</xdr:rowOff>
              </from>
              <to>
                <xdr:col>2</xdr:col>
                <xdr:colOff>381000</xdr:colOff>
                <xdr:row>33</xdr:row>
                <xdr:rowOff>123825</xdr:rowOff>
              </to>
            </anchor>
          </controlPr>
        </control>
      </mc:Choice>
      <mc:Fallback>
        <control shapeId="2481464" r:id="rId30" name="CommandButton8"/>
      </mc:Fallback>
    </mc:AlternateContent>
    <mc:AlternateContent xmlns:mc="http://schemas.openxmlformats.org/markup-compatibility/2006">
      <mc:Choice Requires="x14">
        <control shapeId="2481465" r:id="rId32" name="CommandButton9">
          <controlPr autoLine="0" r:id="rId33">
            <anchor moveWithCells="1">
              <from>
                <xdr:col>2</xdr:col>
                <xdr:colOff>200025</xdr:colOff>
                <xdr:row>36</xdr:row>
                <xdr:rowOff>66675</xdr:rowOff>
              </from>
              <to>
                <xdr:col>2</xdr:col>
                <xdr:colOff>409575</xdr:colOff>
                <xdr:row>37</xdr:row>
                <xdr:rowOff>133350</xdr:rowOff>
              </to>
            </anchor>
          </controlPr>
        </control>
      </mc:Choice>
      <mc:Fallback>
        <control shapeId="2481465" r:id="rId32" name="CommandButton9"/>
      </mc:Fallback>
    </mc:AlternateContent>
    <mc:AlternateContent xmlns:mc="http://schemas.openxmlformats.org/markup-compatibility/2006">
      <mc:Choice Requires="x14">
        <control shapeId="2481466" r:id="rId34" name="CommandButton10">
          <controlPr autoLine="0" r:id="rId35">
            <anchor moveWithCells="1">
              <from>
                <xdr:col>2</xdr:col>
                <xdr:colOff>209550</xdr:colOff>
                <xdr:row>40</xdr:row>
                <xdr:rowOff>123825</xdr:rowOff>
              </from>
              <to>
                <xdr:col>2</xdr:col>
                <xdr:colOff>419100</xdr:colOff>
                <xdr:row>42</xdr:row>
                <xdr:rowOff>28575</xdr:rowOff>
              </to>
            </anchor>
          </controlPr>
        </control>
      </mc:Choice>
      <mc:Fallback>
        <control shapeId="2481466" r:id="rId34" name="CommandButton10"/>
      </mc:Fallback>
    </mc:AlternateContent>
    <mc:AlternateContent xmlns:mc="http://schemas.openxmlformats.org/markup-compatibility/2006">
      <mc:Choice Requires="x14">
        <control shapeId="2481467" r:id="rId36" name="CommandButton11">
          <controlPr autoLine="0" r:id="rId37">
            <anchor moveWithCells="1">
              <from>
                <xdr:col>2</xdr:col>
                <xdr:colOff>200025</xdr:colOff>
                <xdr:row>51</xdr:row>
                <xdr:rowOff>38100</xdr:rowOff>
              </from>
              <to>
                <xdr:col>2</xdr:col>
                <xdr:colOff>409575</xdr:colOff>
                <xdr:row>52</xdr:row>
                <xdr:rowOff>104775</xdr:rowOff>
              </to>
            </anchor>
          </controlPr>
        </control>
      </mc:Choice>
      <mc:Fallback>
        <control shapeId="2481467" r:id="rId36" name="CommandButton11"/>
      </mc:Fallback>
    </mc:AlternateContent>
    <mc:AlternateContent xmlns:mc="http://schemas.openxmlformats.org/markup-compatibility/2006">
      <mc:Choice Requires="x14">
        <control shapeId="2481468" r:id="rId38" name="CommandButton12">
          <controlPr autoLine="0" r:id="rId39">
            <anchor moveWithCells="1">
              <from>
                <xdr:col>9</xdr:col>
                <xdr:colOff>590550</xdr:colOff>
                <xdr:row>51</xdr:row>
                <xdr:rowOff>57150</xdr:rowOff>
              </from>
              <to>
                <xdr:col>10</xdr:col>
                <xdr:colOff>190500</xdr:colOff>
                <xdr:row>52</xdr:row>
                <xdr:rowOff>123825</xdr:rowOff>
              </to>
            </anchor>
          </controlPr>
        </control>
      </mc:Choice>
      <mc:Fallback>
        <control shapeId="2481468" r:id="rId38" name="CommandButton12"/>
      </mc:Fallback>
    </mc:AlternateContent>
    <mc:AlternateContent xmlns:mc="http://schemas.openxmlformats.org/markup-compatibility/2006">
      <mc:Choice Requires="x14">
        <control shapeId="2481469" r:id="rId40" name="CommandButton13">
          <controlPr autoLine="0" r:id="rId41">
            <anchor moveWithCells="1">
              <from>
                <xdr:col>11</xdr:col>
                <xdr:colOff>266700</xdr:colOff>
                <xdr:row>51</xdr:row>
                <xdr:rowOff>57150</xdr:rowOff>
              </from>
              <to>
                <xdr:col>12</xdr:col>
                <xdr:colOff>152400</xdr:colOff>
                <xdr:row>52</xdr:row>
                <xdr:rowOff>123825</xdr:rowOff>
              </to>
            </anchor>
          </controlPr>
        </control>
      </mc:Choice>
      <mc:Fallback>
        <control shapeId="2481469" r:id="rId40" name="CommandButton13"/>
      </mc:Fallback>
    </mc:AlternateContent>
    <mc:AlternateContent xmlns:mc="http://schemas.openxmlformats.org/markup-compatibility/2006">
      <mc:Choice Requires="x14">
        <control shapeId="2481470" r:id="rId42" name="CommandButton14">
          <controlPr autoLine="0" r:id="rId43">
            <anchor moveWithCells="1">
              <from>
                <xdr:col>7</xdr:col>
                <xdr:colOff>266700</xdr:colOff>
                <xdr:row>29</xdr:row>
                <xdr:rowOff>123825</xdr:rowOff>
              </from>
              <to>
                <xdr:col>11</xdr:col>
                <xdr:colOff>66675</xdr:colOff>
                <xdr:row>31</xdr:row>
                <xdr:rowOff>57150</xdr:rowOff>
              </to>
            </anchor>
          </controlPr>
        </control>
      </mc:Choice>
      <mc:Fallback>
        <control shapeId="2481470" r:id="rId42" name="CommandButton1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1"/>
  <dimension ref="B1:U57"/>
  <sheetViews>
    <sheetView zoomScale="130" zoomScaleNormal="130" workbookViewId="0">
      <selection activeCell="K23" sqref="K23"/>
    </sheetView>
  </sheetViews>
  <sheetFormatPr defaultRowHeight="12.75"/>
  <cols>
    <col min="1" max="1" width="0.140625" style="1739" customWidth="1"/>
    <col min="2" max="2" width="3.85546875" style="1739" customWidth="1"/>
    <col min="3" max="3" width="6.7109375" style="1739" customWidth="1"/>
    <col min="4" max="4" width="2.5703125" style="1739" customWidth="1"/>
    <col min="5" max="5" width="5.140625" style="1739" customWidth="1"/>
    <col min="6" max="6" width="4.85546875" style="1739" customWidth="1"/>
    <col min="7" max="7" width="3.7109375" style="1739" customWidth="1"/>
    <col min="8" max="8" width="5.7109375" style="1739" customWidth="1"/>
    <col min="9" max="9" width="4.85546875" style="1739" customWidth="1"/>
    <col min="10" max="10" width="9.140625" style="1739"/>
    <col min="11" max="11" width="3" style="1739" customWidth="1"/>
    <col min="12" max="12" width="8" style="1739" bestFit="1" customWidth="1"/>
    <col min="13" max="13" width="6.42578125" style="1739" customWidth="1"/>
    <col min="14" max="14" width="23.140625" style="1739" customWidth="1"/>
    <col min="15" max="15" width="17.42578125" style="1739" bestFit="1" customWidth="1"/>
    <col min="16" max="16" width="20.28515625" style="1739" customWidth="1"/>
    <col min="17" max="17" width="20.7109375" style="1739" customWidth="1"/>
    <col min="18" max="20" width="21.7109375" style="1739" customWidth="1"/>
    <col min="21" max="21" width="38.5703125" style="1739" bestFit="1" customWidth="1"/>
    <col min="22" max="16384" width="9.140625" style="1739"/>
  </cols>
  <sheetData>
    <row r="1" spans="2:16" ht="4.5" customHeight="1"/>
    <row r="2" spans="2:16" s="1112" customFormat="1" ht="12" customHeight="1">
      <c r="B2" s="1110" t="s">
        <v>39</v>
      </c>
      <c r="C2" s="1112">
        <f>+HLOOKUP($M$3,$N$26:$U$46,5,0)</f>
        <v>1600</v>
      </c>
      <c r="E2" s="1111"/>
      <c r="I2" s="1113">
        <f>HLOOKUP($M$3,$N$26:$U$57,30,0)</f>
        <v>0</v>
      </c>
    </row>
    <row r="3" spans="2:16" ht="12.75" customHeight="1">
      <c r="B3" s="1746" t="str">
        <f>+HLOOKUP($M$3,$N$26:$U$46,4,0)</f>
        <v>JOLLY 06.NERO</v>
      </c>
      <c r="C3" s="1114"/>
      <c r="D3" s="1114"/>
      <c r="E3" s="1114"/>
      <c r="G3" s="1804" t="str">
        <f>+HLOOKUP($M$3,$N$26:$U$46,3,0)</f>
        <v>1400x2200</v>
      </c>
      <c r="H3" s="1804"/>
      <c r="I3" s="1804"/>
      <c r="L3" s="1112"/>
      <c r="M3" s="1115">
        <v>2</v>
      </c>
    </row>
    <row r="4" spans="2:16" ht="12.75" customHeight="1">
      <c r="B4" s="1745" t="str">
        <f>IF(DATI!$L$15=2,"RETE A FASCE","")</f>
        <v/>
      </c>
      <c r="E4" s="1740"/>
      <c r="F4" s="1747"/>
      <c r="G4" s="1747"/>
      <c r="H4" s="1805" t="str">
        <f>+HLOOKUP($M$3,$N$26:$U$46,18,0)</f>
        <v>*2237*</v>
      </c>
      <c r="I4" s="1805"/>
      <c r="L4" s="1112"/>
    </row>
    <row r="5" spans="2:16" ht="15" customHeight="1">
      <c r="B5" s="1749">
        <f>+DATI!$C$13</f>
        <v>0</v>
      </c>
      <c r="C5" s="1749"/>
      <c r="D5" s="1749"/>
      <c r="E5" s="1749"/>
      <c r="F5" s="1749"/>
      <c r="G5" s="1749"/>
      <c r="H5" s="1806"/>
      <c r="I5" s="1805"/>
    </row>
    <row r="6" spans="2:16" s="1116" customFormat="1" ht="11.25" customHeight="1">
      <c r="B6" s="1750" t="str">
        <f>+CONCATENATE("OV:",DATI!$C$4,"-",TEXT(DATI!$C$5,"gg/mm/aa"))</f>
        <v>OV:-01/01/16</v>
      </c>
      <c r="G6" s="1117"/>
      <c r="H6" s="1807" t="str">
        <f>+HLOOKUP($M$3,$N$26:$U$46,17,0)</f>
        <v>Rete-Cas-Tub(H-40)</v>
      </c>
      <c r="I6" s="1807"/>
      <c r="M6" s="1120"/>
      <c r="N6" s="1120"/>
      <c r="O6" s="1120"/>
      <c r="P6" s="1120"/>
    </row>
    <row r="7" spans="2:16" s="1112" customFormat="1" ht="9.75" customHeight="1">
      <c r="B7" s="1746" t="str">
        <f>+HLOOKUP($M$3,$N$26:$U$46,4,0)</f>
        <v>JOLLY 06.NERO</v>
      </c>
      <c r="C7" s="1751"/>
      <c r="D7" s="1751"/>
      <c r="E7" s="1751"/>
      <c r="F7" s="1111"/>
      <c r="I7" s="1760">
        <f>HLOOKUP($M$3,$N$26:$U$57,30,0)</f>
        <v>0</v>
      </c>
      <c r="M7" s="1120"/>
      <c r="N7" s="1120"/>
      <c r="O7" s="1120"/>
      <c r="P7" s="1120"/>
    </row>
    <row r="8" spans="2:16" s="1112" customFormat="1" ht="6.75" customHeight="1">
      <c r="B8" s="1754" t="s">
        <v>1095</v>
      </c>
      <c r="C8" s="1754" t="s">
        <v>1100</v>
      </c>
      <c r="D8" s="1751"/>
      <c r="E8" s="1556" t="s">
        <v>1083</v>
      </c>
      <c r="F8" s="1763" t="str">
        <f>+HLOOKUP($M$3,$N$26:$U$46,14,0)</f>
        <v>Filo 8 (1x)</v>
      </c>
      <c r="G8" s="1747"/>
      <c r="I8" s="1762" t="str">
        <f>+CONCATENATE("OV:",DATI!$C$4,"-",TEXT(DATI!$C$5,"gg/mm/aa"))</f>
        <v>OV:-01/01/16</v>
      </c>
      <c r="M8" s="1120"/>
      <c r="N8" s="1120"/>
      <c r="O8" s="1120"/>
      <c r="P8" s="1120"/>
    </row>
    <row r="9" spans="2:16" ht="12" customHeight="1">
      <c r="B9" s="1757">
        <f>+HLOOKUP($M$3,$N$26:$U$46,6,0)</f>
        <v>45</v>
      </c>
      <c r="C9" s="1755" t="str">
        <f>+HLOOKUP($M$3,$N$26:$U$46,9,0)</f>
        <v>1 | 14 | 36</v>
      </c>
      <c r="D9" s="1756"/>
      <c r="E9" s="1757">
        <f>+HLOOKUP($M$3,$N$26:$U$46,12,0)</f>
        <v>1065</v>
      </c>
      <c r="F9" s="1757">
        <f>+HLOOKUP($M$3,$N$26:$U$46,13,0)</f>
        <v>5154</v>
      </c>
      <c r="G9" s="1804" t="str">
        <f>+HLOOKUP($M$3,$N$26:$U$46,3,0)</f>
        <v>1400x2200</v>
      </c>
      <c r="H9" s="1804"/>
      <c r="I9" s="1804"/>
      <c r="K9" s="1555"/>
    </row>
    <row r="10" spans="2:16" ht="13.5" customHeight="1">
      <c r="B10" s="1815" t="str">
        <f>+HLOOKUP($M$3,$N$26:$U$57,25,0)</f>
        <v>*2200*</v>
      </c>
      <c r="C10" s="1815"/>
      <c r="D10" s="1558"/>
      <c r="E10" s="1558"/>
      <c r="F10" s="1810">
        <f>+HLOOKUP($M$3,$N$26:$U$57,29,0)</f>
        <v>2257</v>
      </c>
      <c r="G10" s="1811"/>
      <c r="H10" s="1810">
        <f>+HLOOKUP($M$3,$N$26:$U$57,27,0)</f>
        <v>2157</v>
      </c>
      <c r="I10" s="1811"/>
    </row>
    <row r="11" spans="2:16" ht="7.5" customHeight="1">
      <c r="B11" s="1805"/>
      <c r="C11" s="1805"/>
      <c r="D11" s="1374"/>
      <c r="E11" s="1374"/>
      <c r="F11" s="1812" t="str">
        <f>+HLOOKUP($M$3,$N$26:$U$57,28,0)</f>
        <v>PrChiu (H-20)</v>
      </c>
      <c r="G11" s="1813"/>
      <c r="H11" s="1812" t="str">
        <f>+HLOOKUP($M$3,$N$26:$U$57,26,0)</f>
        <v>Man-PortM(H-120)</v>
      </c>
      <c r="I11" s="1813"/>
    </row>
    <row r="12" spans="2:16" ht="10.5" customHeight="1">
      <c r="B12" s="1805"/>
      <c r="C12" s="1805"/>
      <c r="D12" s="1753"/>
      <c r="E12" s="1753"/>
      <c r="F12" s="1810">
        <f>+HLOOKUP($M$3,$N$26:$U$57,22,0)</f>
        <v>2227</v>
      </c>
      <c r="G12" s="1811"/>
      <c r="H12" s="1810">
        <f>+HLOOKUP($M$3,$N$26:$U$57,24,0)</f>
        <v>2252</v>
      </c>
      <c r="I12" s="1811"/>
    </row>
    <row r="13" spans="2:16" s="1741" customFormat="1" ht="7.5" customHeight="1">
      <c r="B13" s="1759">
        <f>+DATI!$C$13</f>
        <v>0</v>
      </c>
      <c r="C13" s="1118"/>
      <c r="D13" s="1118"/>
      <c r="E13" s="1118"/>
      <c r="F13" s="1812" t="str">
        <f>+HLOOKUP($M$3,$N$26:$U$57,21,0)</f>
        <v>PrComp (H-50)</v>
      </c>
      <c r="G13" s="1813"/>
      <c r="H13" s="1812" t="str">
        <f>+HLOOKUP($M$3,$N$26:$U$57,23,0)</f>
        <v>Magn (H-25)</v>
      </c>
      <c r="I13" s="1813"/>
    </row>
    <row r="14" spans="2:16" s="1112" customFormat="1" ht="13.5" customHeight="1">
      <c r="B14" s="1746" t="str">
        <f>+HLOOKUP($M$3,$N$26:$U$46,4,0)</f>
        <v>JOLLY 06.NERO</v>
      </c>
      <c r="E14" s="1111"/>
      <c r="I14" s="1113">
        <f>HLOOKUP($M$3,$N$26:$U$57,30,0)</f>
        <v>0</v>
      </c>
      <c r="M14" s="1748"/>
      <c r="N14" s="1748"/>
      <c r="O14" s="1748"/>
    </row>
    <row r="15" spans="2:16" ht="12.75" customHeight="1">
      <c r="B15" s="1749">
        <f>+DATI!$C$13</f>
        <v>0</v>
      </c>
      <c r="C15" s="1114"/>
      <c r="D15" s="1114"/>
      <c r="E15" s="1114"/>
      <c r="G15" s="1804" t="str">
        <f>+HLOOKUP($M$3,$N$26:$U$46,3,0)</f>
        <v>1400x2200</v>
      </c>
      <c r="H15" s="1804"/>
      <c r="I15" s="1804"/>
      <c r="M15" s="1555"/>
    </row>
    <row r="16" spans="2:16" ht="15" customHeight="1">
      <c r="B16" s="1805" t="str">
        <f>+HLOOKUP($M$3,$N$26:$U$46,16,0)</f>
        <v>*980*</v>
      </c>
      <c r="C16" s="1805"/>
      <c r="E16" s="1740"/>
      <c r="F16" s="1747"/>
      <c r="G16" s="1747"/>
      <c r="H16" s="1805" t="str">
        <f>+HLOOKUP($M$3,$N$26:$U$57,20,0)</f>
        <v>*973*</v>
      </c>
      <c r="I16" s="1805"/>
    </row>
    <row r="17" spans="2:21" ht="14.25" customHeight="1">
      <c r="B17" s="1806"/>
      <c r="C17" s="1805"/>
      <c r="D17" s="1749"/>
      <c r="E17" s="1749"/>
      <c r="F17" s="1749"/>
      <c r="G17" s="1749"/>
      <c r="H17" s="1806"/>
      <c r="I17" s="1805"/>
    </row>
    <row r="18" spans="2:21" ht="7.5" customHeight="1">
      <c r="B18" s="1808" t="str">
        <f>+HLOOKUP($M$3,$N$26:$U$46,15,0)</f>
        <v>CompSup (B-5)</v>
      </c>
      <c r="C18" s="1808"/>
      <c r="D18" s="1749"/>
      <c r="E18" s="1749"/>
      <c r="F18" s="1749"/>
      <c r="G18" s="1749"/>
      <c r="H18" s="1817" t="str">
        <f>+HLOOKUP($M$3,$N$26:$U$49,19,0)</f>
        <v>GuidaTerra (B-12)</v>
      </c>
      <c r="I18" s="1817"/>
    </row>
    <row r="19" spans="2:21" s="1116" customFormat="1" ht="9.6" customHeight="1">
      <c r="B19" s="1750" t="str">
        <f>+CONCATENATE("OV:",DATI!$C$4,"-",TEXT(DATI!$C$5,"gg/mm/aa"))</f>
        <v>OV:-01/01/16</v>
      </c>
      <c r="G19" s="1117"/>
    </row>
    <row r="20" spans="2:21" ht="18.75" customHeight="1">
      <c r="B20" s="1809">
        <f>+I14</f>
        <v>0</v>
      </c>
      <c r="C20" s="1809"/>
      <c r="D20" s="1809"/>
      <c r="E20" s="1809"/>
      <c r="F20" s="1809"/>
      <c r="G20" s="1809"/>
      <c r="H20" s="1809"/>
      <c r="I20" s="1809"/>
    </row>
    <row r="21" spans="2:21" ht="22.5" customHeight="1">
      <c r="B21" s="1814" t="str">
        <f>+B3</f>
        <v>JOLLY 06.NERO</v>
      </c>
      <c r="C21" s="1814"/>
      <c r="D21" s="1814"/>
      <c r="E21" s="1814"/>
      <c r="F21" s="1814"/>
      <c r="G21" s="1814"/>
      <c r="H21" s="1814"/>
      <c r="I21" s="1814"/>
      <c r="P21" s="1120"/>
      <c r="Q21" s="1120"/>
      <c r="R21" s="1120"/>
      <c r="S21" s="1120"/>
      <c r="T21" s="1120"/>
    </row>
    <row r="22" spans="2:21" ht="9.75" customHeight="1">
      <c r="B22" s="1818" t="str">
        <f>+G3</f>
        <v>1400x2200</v>
      </c>
      <c r="C22" s="1818"/>
      <c r="D22" s="1818"/>
      <c r="E22" s="1818"/>
      <c r="F22" s="1785" t="str">
        <f>+B4</f>
        <v/>
      </c>
      <c r="G22" s="1785"/>
      <c r="H22" s="1785"/>
      <c r="I22" s="1785"/>
      <c r="O22" s="1120"/>
      <c r="P22" s="1120"/>
      <c r="Q22" s="1120"/>
      <c r="R22" s="1120"/>
      <c r="S22" s="1120"/>
      <c r="T22" s="1120"/>
    </row>
    <row r="23" spans="2:21" ht="9" customHeight="1">
      <c r="B23" s="1818"/>
      <c r="C23" s="1818"/>
      <c r="D23" s="1818"/>
      <c r="E23" s="1818"/>
      <c r="F23" s="1740"/>
      <c r="O23" s="1120"/>
      <c r="P23" s="1120"/>
      <c r="Q23" s="1120"/>
      <c r="R23" s="1120"/>
      <c r="S23" s="1120"/>
      <c r="T23" s="1120"/>
    </row>
    <row r="24" spans="2:21" ht="5.25" customHeight="1">
      <c r="B24" s="1816" t="s">
        <v>1092</v>
      </c>
      <c r="C24" s="1816"/>
      <c r="D24" s="1816"/>
      <c r="E24" s="1816"/>
      <c r="F24" s="1816"/>
      <c r="G24" s="1557"/>
      <c r="H24" s="1817"/>
      <c r="I24" s="1817"/>
      <c r="O24" s="1120"/>
      <c r="P24" s="1120"/>
      <c r="Q24" s="1120"/>
      <c r="R24" s="1120"/>
      <c r="S24" s="1120"/>
      <c r="T24" s="1120"/>
    </row>
    <row r="25" spans="2:21" ht="10.5" customHeight="1">
      <c r="B25" s="1816"/>
      <c r="C25" s="1816"/>
      <c r="D25" s="1816"/>
      <c r="E25" s="1816"/>
      <c r="F25" s="1816"/>
      <c r="G25" s="1805" t="str">
        <f>"*"&amp;INDEX(Storico!A:N,Storico!A1-1,14)&amp;"*"</f>
        <v>*1600022*</v>
      </c>
      <c r="H25" s="1805"/>
      <c r="I25" s="1805"/>
    </row>
    <row r="26" spans="2:21">
      <c r="B26" s="1145" t="str">
        <f>+B6</f>
        <v>OV:-01/01/16</v>
      </c>
      <c r="C26" s="1145"/>
      <c r="G26" s="1805"/>
      <c r="H26" s="1805"/>
      <c r="I26" s="1805"/>
      <c r="M26" s="1739">
        <v>1</v>
      </c>
      <c r="N26" s="1122">
        <v>1</v>
      </c>
      <c r="O26" s="1122">
        <v>2</v>
      </c>
      <c r="P26" s="1122">
        <v>3</v>
      </c>
      <c r="Q26" s="1122">
        <v>4</v>
      </c>
      <c r="R26" s="1122">
        <v>5</v>
      </c>
      <c r="S26" s="1122">
        <v>6</v>
      </c>
      <c r="T26" s="1122">
        <v>7</v>
      </c>
    </row>
    <row r="27" spans="2:21">
      <c r="M27" s="1752">
        <v>2</v>
      </c>
      <c r="N27" s="1123" t="s">
        <v>1073</v>
      </c>
      <c r="O27" s="1123" t="s">
        <v>1079</v>
      </c>
      <c r="P27" s="1123"/>
      <c r="Q27" s="1123"/>
      <c r="R27" s="1123"/>
      <c r="S27" s="1123"/>
      <c r="T27" s="1123"/>
    </row>
    <row r="28" spans="2:21">
      <c r="M28" s="1752">
        <v>3</v>
      </c>
      <c r="N28" s="1124" t="str">
        <f>DATI!$C$7&amp;"x"&amp;DATI!$C$8</f>
        <v>1400x2200</v>
      </c>
      <c r="O28" s="1124" t="str">
        <f>DATI!$C$7&amp;"x"&amp;DATI!$C$8</f>
        <v>1400x2200</v>
      </c>
      <c r="P28" s="1124"/>
      <c r="Q28" s="1124"/>
      <c r="R28" s="1124"/>
      <c r="S28" s="1124"/>
      <c r="T28" s="1124"/>
      <c r="U28" s="1739" t="s">
        <v>34</v>
      </c>
    </row>
    <row r="29" spans="2:21">
      <c r="M29" s="1752">
        <v>4</v>
      </c>
      <c r="N29" s="1124" t="str">
        <f>N27&amp;IF(N35=1," "," 2A ")&amp;DATI!$C$10</f>
        <v>FLEXA 06.NERO</v>
      </c>
      <c r="O29" s="1124" t="str">
        <f>O27&amp;IF(O35=1," "," 2A ")&amp;DATI!$C$10</f>
        <v>JOLLY 06.NERO</v>
      </c>
      <c r="P29" s="1124"/>
      <c r="Q29" s="1124"/>
      <c r="R29" s="1124"/>
      <c r="S29" s="1124"/>
      <c r="T29" s="1124"/>
      <c r="U29" s="1739" t="s">
        <v>1089</v>
      </c>
    </row>
    <row r="30" spans="2:21">
      <c r="M30" s="1739">
        <v>5</v>
      </c>
      <c r="N30" s="1124">
        <f>+DATI!W17</f>
        <v>1600</v>
      </c>
      <c r="O30" s="1124">
        <f>+DATI!W17</f>
        <v>1600</v>
      </c>
      <c r="P30" s="1124"/>
      <c r="Q30" s="1124"/>
      <c r="R30" s="1124"/>
      <c r="S30" s="1124"/>
      <c r="T30" s="1124"/>
      <c r="U30" s="1739" t="s">
        <v>1096</v>
      </c>
    </row>
    <row r="31" spans="2:21">
      <c r="M31" s="1739">
        <v>6</v>
      </c>
      <c r="N31" s="1125">
        <f>+FLEXA!E37</f>
        <v>73</v>
      </c>
      <c r="O31" s="1125">
        <f>+JOLLY!E38</f>
        <v>45</v>
      </c>
      <c r="P31" s="1125"/>
      <c r="Q31" s="1126"/>
      <c r="R31" s="1126"/>
      <c r="S31" s="1126"/>
      <c r="T31" s="1125"/>
      <c r="U31" s="1739" t="s">
        <v>1097</v>
      </c>
    </row>
    <row r="32" spans="2:21">
      <c r="M32" s="1739">
        <v>7</v>
      </c>
      <c r="N32" s="1125" t="e">
        <f>+FLEXA!E40</f>
        <v>#REF!</v>
      </c>
      <c r="O32" s="1125" t="str">
        <f>+JOLLY!E41</f>
        <v>1</v>
      </c>
      <c r="P32" s="1125"/>
      <c r="Q32" s="1126"/>
      <c r="R32" s="1126"/>
      <c r="S32" s="1126"/>
      <c r="T32" s="1126"/>
      <c r="U32" s="1739" t="s">
        <v>1063</v>
      </c>
    </row>
    <row r="33" spans="13:21">
      <c r="M33" s="1739">
        <v>8</v>
      </c>
      <c r="N33" s="1126" t="e">
        <f>+FLEXA!H40</f>
        <v>#REF!</v>
      </c>
      <c r="O33" s="1126">
        <f>+JOLLY!H41</f>
        <v>14.333333333333334</v>
      </c>
      <c r="P33" s="1125"/>
      <c r="Q33" s="1126"/>
      <c r="R33" s="1126"/>
      <c r="S33" s="1126"/>
      <c r="T33" s="1126"/>
      <c r="U33" s="1739" t="s">
        <v>1098</v>
      </c>
    </row>
    <row r="34" spans="13:21">
      <c r="M34" s="1739">
        <v>9</v>
      </c>
      <c r="N34" s="1125" t="e">
        <f>+TEXT(N32,"0")&amp;" | "&amp;TEXT(N33,"0")&amp;" | "&amp;TEXT(N36,"0")</f>
        <v>#REF!</v>
      </c>
      <c r="O34" s="1125" t="str">
        <f>+TEXT(O32,"0")&amp;" | "&amp;TEXT(O33,"0")&amp;" | "&amp;TEXT(O36,"0")</f>
        <v>1 | 14 | 36</v>
      </c>
      <c r="P34" s="1125"/>
      <c r="Q34" s="1126"/>
      <c r="R34" s="1126"/>
      <c r="S34" s="1126"/>
      <c r="T34" s="1126"/>
      <c r="U34" s="1739" t="s">
        <v>1099</v>
      </c>
    </row>
    <row r="35" spans="13:21">
      <c r="M35" s="1739">
        <v>10</v>
      </c>
      <c r="N35" s="1125">
        <f>+DATI!C9</f>
        <v>1</v>
      </c>
      <c r="O35" s="1125">
        <f>+DATI!C9</f>
        <v>1</v>
      </c>
      <c r="P35" s="1127"/>
      <c r="Q35" s="1127"/>
      <c r="R35" s="1127"/>
      <c r="S35" s="1127"/>
      <c r="T35" s="1127"/>
      <c r="U35" s="1739" t="s">
        <v>6</v>
      </c>
    </row>
    <row r="36" spans="13:21">
      <c r="M36" s="1739">
        <v>11</v>
      </c>
      <c r="N36" s="1128">
        <f>+FLEXA!E26</f>
        <v>36</v>
      </c>
      <c r="O36" s="1141">
        <f>+JOLLY!E27</f>
        <v>36</v>
      </c>
      <c r="P36" s="1143"/>
      <c r="Q36" s="1143"/>
      <c r="R36" s="1143"/>
      <c r="S36" s="1143"/>
      <c r="T36" s="1143"/>
      <c r="U36" s="1739" t="s">
        <v>1055</v>
      </c>
    </row>
    <row r="37" spans="13:21">
      <c r="M37" s="1739">
        <v>12</v>
      </c>
      <c r="N37" s="1129">
        <f>+FLEXA!E35</f>
        <v>1490</v>
      </c>
      <c r="O37" s="1129">
        <f>+JOLLY!E36</f>
        <v>1065</v>
      </c>
      <c r="P37" s="1128"/>
      <c r="Q37" s="1128"/>
      <c r="R37" s="1128"/>
      <c r="S37" s="1128"/>
      <c r="T37" s="1128"/>
      <c r="U37" s="1739" t="s">
        <v>1101</v>
      </c>
    </row>
    <row r="38" spans="13:21">
      <c r="M38" s="1739">
        <v>13</v>
      </c>
      <c r="N38" s="1131">
        <f>+FLEXA!E24</f>
        <v>2500</v>
      </c>
      <c r="O38" s="1131">
        <f>+JOLLY!E25</f>
        <v>5154</v>
      </c>
      <c r="P38" s="1124"/>
      <c r="Q38" s="1124"/>
      <c r="R38" s="1124"/>
      <c r="S38" s="1124"/>
      <c r="T38" s="1124"/>
    </row>
    <row r="39" spans="13:21">
      <c r="M39" s="1739">
        <v>14</v>
      </c>
      <c r="N39" s="1131" t="s">
        <v>1102</v>
      </c>
      <c r="O39" s="1131" t="s">
        <v>1115</v>
      </c>
      <c r="P39" s="1132"/>
      <c r="Q39" s="1132"/>
      <c r="R39" s="1132"/>
      <c r="S39" s="1132"/>
      <c r="T39" s="1132"/>
    </row>
    <row r="40" spans="13:21">
      <c r="M40" s="1752">
        <v>15</v>
      </c>
      <c r="N40" s="1130" t="s">
        <v>1093</v>
      </c>
      <c r="O40" s="1130" t="s">
        <v>1093</v>
      </c>
      <c r="P40" s="1124"/>
      <c r="Q40" s="1124"/>
      <c r="R40" s="1124"/>
      <c r="S40" s="1124"/>
      <c r="T40" s="1124"/>
      <c r="U40" s="1739" t="s">
        <v>26</v>
      </c>
    </row>
    <row r="41" spans="13:21">
      <c r="M41" s="1752">
        <v>16</v>
      </c>
      <c r="N41" s="1131" t="str">
        <f>+FLEXA!I19</f>
        <v>*1395*</v>
      </c>
      <c r="O41" s="1131" t="str">
        <f>+JOLLY!I20</f>
        <v>*980*</v>
      </c>
      <c r="P41" s="1124"/>
      <c r="Q41" s="1124"/>
      <c r="R41" s="1124"/>
      <c r="S41" s="1124"/>
      <c r="T41" s="1124"/>
      <c r="U41" s="1739" t="s">
        <v>25</v>
      </c>
    </row>
    <row r="42" spans="13:21">
      <c r="M42" s="1752">
        <v>17</v>
      </c>
      <c r="N42" s="1133" t="str">
        <f>+IF(N35=1,"","2X")&amp;"Rete-Cas-Tub(H-40)"</f>
        <v>Rete-Cas-Tub(H-40)</v>
      </c>
      <c r="O42" s="1133" t="str">
        <f>+IF(O35=1,"","2X")&amp;"Rete-Cas-Tub(H-40)"</f>
        <v>Rete-Cas-Tub(H-40)</v>
      </c>
      <c r="P42" s="1124"/>
      <c r="Q42" s="1124"/>
      <c r="R42" s="1124"/>
      <c r="S42" s="1124"/>
      <c r="T42" s="1124"/>
      <c r="U42" s="1739" t="s">
        <v>24</v>
      </c>
    </row>
    <row r="43" spans="13:21">
      <c r="M43" s="1752">
        <v>18</v>
      </c>
      <c r="N43" s="1135" t="str">
        <f>+FLEXA!I13</f>
        <v>*2160*</v>
      </c>
      <c r="O43" s="1135" t="str">
        <f>+JOLLY!I13</f>
        <v>*2237*</v>
      </c>
      <c r="P43" s="1124"/>
      <c r="Q43" s="1124"/>
      <c r="R43" s="1124"/>
      <c r="S43" s="1124"/>
      <c r="T43" s="1124"/>
      <c r="U43" s="1739" t="s">
        <v>23</v>
      </c>
    </row>
    <row r="44" spans="13:21">
      <c r="M44" s="1739">
        <v>19</v>
      </c>
      <c r="N44" s="1133" t="s">
        <v>1094</v>
      </c>
      <c r="O44" s="1133" t="s">
        <v>1094</v>
      </c>
      <c r="P44" s="1134"/>
      <c r="Q44" s="1134"/>
      <c r="R44" s="1134"/>
      <c r="S44" s="1134"/>
      <c r="T44" s="1134"/>
    </row>
    <row r="45" spans="13:21">
      <c r="M45" s="1739">
        <v>20</v>
      </c>
      <c r="N45" s="1135" t="str">
        <f>+FLEXA!I20</f>
        <v>*1388*</v>
      </c>
      <c r="O45" s="1135" t="str">
        <f>+JOLLY!I21</f>
        <v>*973*</v>
      </c>
      <c r="P45" s="1134"/>
      <c r="Q45" s="1134"/>
      <c r="R45" s="1134"/>
      <c r="S45" s="1134"/>
      <c r="T45" s="1134"/>
    </row>
    <row r="46" spans="13:21">
      <c r="M46" s="1739">
        <v>21</v>
      </c>
      <c r="N46" s="1739" t="s">
        <v>37</v>
      </c>
      <c r="O46" s="1739" t="s">
        <v>1108</v>
      </c>
      <c r="P46" s="1141"/>
      <c r="Q46" s="1141"/>
      <c r="R46" s="1141"/>
      <c r="S46" s="1141"/>
      <c r="T46" s="1141"/>
      <c r="U46" s="1142"/>
    </row>
    <row r="47" spans="13:21">
      <c r="M47" s="1739">
        <v>22</v>
      </c>
      <c r="N47" s="1739" t="s">
        <v>37</v>
      </c>
      <c r="O47" s="1761">
        <f>+JOLLY!E17</f>
        <v>2227</v>
      </c>
      <c r="P47" s="1124"/>
      <c r="Q47" s="1124"/>
      <c r="R47" s="1124"/>
      <c r="S47" s="1124"/>
      <c r="T47" s="1124"/>
    </row>
    <row r="48" spans="13:21">
      <c r="M48" s="1739">
        <v>23</v>
      </c>
      <c r="N48" s="1124" t="s">
        <v>1107</v>
      </c>
      <c r="O48" s="1124" t="s">
        <v>1107</v>
      </c>
      <c r="P48" s="1133"/>
      <c r="Q48" s="1133"/>
      <c r="R48" s="1133"/>
      <c r="S48" s="1133"/>
      <c r="T48" s="1133"/>
      <c r="U48" s="1739" t="s">
        <v>621</v>
      </c>
    </row>
    <row r="49" spans="13:21">
      <c r="M49" s="1739">
        <v>24</v>
      </c>
      <c r="N49" s="1132">
        <f>+FLEXA!E18</f>
        <v>2175</v>
      </c>
      <c r="O49" s="1144">
        <f>+JOLLY!E19</f>
        <v>2252</v>
      </c>
      <c r="P49" s="1135"/>
      <c r="Q49" s="1135"/>
      <c r="R49" s="1135"/>
      <c r="S49" s="1135"/>
      <c r="T49" s="1135"/>
      <c r="U49" s="1739" t="s">
        <v>622</v>
      </c>
    </row>
    <row r="50" spans="13:21">
      <c r="M50" s="1739">
        <v>25</v>
      </c>
      <c r="N50" s="1134" t="str">
        <f>+"*"&amp;DATI!$C$8&amp;"*"</f>
        <v>*2200*</v>
      </c>
      <c r="O50" s="1134" t="str">
        <f>+"*"&amp;DATI!$C$8&amp;"*"</f>
        <v>*2200*</v>
      </c>
      <c r="P50" s="1134"/>
      <c r="Q50" s="1134"/>
      <c r="R50" s="1134"/>
      <c r="S50" s="1134"/>
      <c r="T50" s="1134"/>
    </row>
    <row r="51" spans="13:21">
      <c r="M51" s="1739">
        <v>26</v>
      </c>
      <c r="N51" s="1134" t="s">
        <v>1103</v>
      </c>
      <c r="O51" s="1134" t="s">
        <v>1105</v>
      </c>
      <c r="P51" s="1136"/>
      <c r="Q51" s="1136"/>
      <c r="R51" s="1136"/>
      <c r="S51" s="1136"/>
      <c r="T51" s="1136"/>
    </row>
    <row r="52" spans="13:21">
      <c r="M52" s="1739">
        <v>27</v>
      </c>
      <c r="N52" s="1758">
        <f>+FLEXA!E15</f>
        <v>2090</v>
      </c>
      <c r="O52" s="1758">
        <f>+JOLLY!E15</f>
        <v>2157</v>
      </c>
      <c r="P52" s="1135"/>
      <c r="Q52" s="1135"/>
      <c r="R52" s="1135"/>
      <c r="S52" s="1135"/>
      <c r="T52" s="1135"/>
    </row>
    <row r="53" spans="13:21">
      <c r="M53" s="1739">
        <v>28</v>
      </c>
      <c r="N53" s="1124" t="s">
        <v>1104</v>
      </c>
      <c r="O53" s="1124" t="s">
        <v>1106</v>
      </c>
      <c r="P53" s="1135"/>
      <c r="Q53" s="1135"/>
      <c r="R53" s="1135"/>
      <c r="S53" s="1135"/>
      <c r="T53" s="1135"/>
    </row>
    <row r="54" spans="13:21">
      <c r="M54" s="1739">
        <v>29</v>
      </c>
      <c r="N54" s="1132">
        <f>+FLEXA!E17</f>
        <v>2143</v>
      </c>
      <c r="O54" s="1144">
        <f>+JOLLY!E18</f>
        <v>2257</v>
      </c>
      <c r="P54" s="1144"/>
      <c r="Q54" s="1144"/>
      <c r="R54" s="1144"/>
      <c r="S54" s="1144"/>
      <c r="T54" s="1144"/>
    </row>
    <row r="55" spans="13:21">
      <c r="M55" s="1739">
        <v>30</v>
      </c>
      <c r="N55" s="1132">
        <f>+DATI!C6</f>
        <v>0</v>
      </c>
      <c r="O55" s="1132">
        <f>+DATI!C6</f>
        <v>0</v>
      </c>
      <c r="P55" s="1132"/>
      <c r="Q55" s="1132"/>
      <c r="R55" s="1132"/>
      <c r="S55" s="1132"/>
      <c r="T55" s="1132"/>
    </row>
    <row r="56" spans="13:21">
      <c r="M56" s="1739">
        <v>31</v>
      </c>
      <c r="N56" s="1132"/>
      <c r="O56" s="1132"/>
      <c r="P56" s="1132"/>
      <c r="Q56" s="1132"/>
      <c r="R56" s="1132"/>
      <c r="S56" s="1132"/>
      <c r="T56" s="1132"/>
    </row>
    <row r="57" spans="13:21">
      <c r="M57" s="1739">
        <v>32</v>
      </c>
      <c r="N57" s="1392"/>
      <c r="O57" s="1392"/>
      <c r="P57" s="1392"/>
      <c r="Q57" s="1392"/>
      <c r="R57" s="1392"/>
      <c r="S57" s="1392"/>
      <c r="T57" s="1393"/>
    </row>
  </sheetData>
  <mergeCells count="25">
    <mergeCell ref="B21:I21"/>
    <mergeCell ref="G15:I15"/>
    <mergeCell ref="G9:I9"/>
    <mergeCell ref="B10:C12"/>
    <mergeCell ref="B24:F25"/>
    <mergeCell ref="H24:I24"/>
    <mergeCell ref="G25:I26"/>
    <mergeCell ref="F22:I22"/>
    <mergeCell ref="B16:C17"/>
    <mergeCell ref="H16:I17"/>
    <mergeCell ref="H13:I13"/>
    <mergeCell ref="F12:G12"/>
    <mergeCell ref="F13:G13"/>
    <mergeCell ref="B22:E23"/>
    <mergeCell ref="H18:I18"/>
    <mergeCell ref="H12:I12"/>
    <mergeCell ref="G3:I3"/>
    <mergeCell ref="H4:I5"/>
    <mergeCell ref="H6:I6"/>
    <mergeCell ref="B18:C18"/>
    <mergeCell ref="B20:I20"/>
    <mergeCell ref="F10:G10"/>
    <mergeCell ref="H10:I10"/>
    <mergeCell ref="F11:G11"/>
    <mergeCell ref="H11:I11"/>
  </mergeCells>
  <conditionalFormatting sqref="E2">
    <cfRule type="expression" dxfId="26" priority="8" stopIfTrue="1">
      <formula>+IF($L$3="RG",1,0)</formula>
    </cfRule>
  </conditionalFormatting>
  <conditionalFormatting sqref="F2">
    <cfRule type="expression" dxfId="25" priority="7" stopIfTrue="1">
      <formula>IF($L$3="RG",1,0)</formula>
    </cfRule>
  </conditionalFormatting>
  <conditionalFormatting sqref="K9 M15 B4 F22">
    <cfRule type="cellIs" dxfId="24" priority="6" stopIfTrue="1" operator="equal">
      <formula>"RG"</formula>
    </cfRule>
  </conditionalFormatting>
  <conditionalFormatting sqref="K9 M15">
    <cfRule type="cellIs" dxfId="23" priority="5" stopIfTrue="1" operator="equal">
      <formula>"RG"</formula>
    </cfRule>
  </conditionalFormatting>
  <conditionalFormatting sqref="F7">
    <cfRule type="expression" dxfId="22" priority="18" stopIfTrue="1">
      <formula>+IF(#REF!="RG",1,0)</formula>
    </cfRule>
  </conditionalFormatting>
  <conditionalFormatting sqref="E14">
    <cfRule type="expression" dxfId="21" priority="3" stopIfTrue="1">
      <formula>+IF($L$3="RG",1,0)</formula>
    </cfRule>
  </conditionalFormatting>
  <conditionalFormatting sqref="F14">
    <cfRule type="expression" dxfId="20" priority="2" stopIfTrue="1">
      <formula>IF($L$3="RG",1,0)</formula>
    </cfRule>
  </conditionalFormatting>
  <pageMargins left="0" right="0" top="0" bottom="0" header="0" footer="0"/>
  <pageSetup paperSize="300" orientation="landscape" horizontalDpi="203" verticalDpi="20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23156" r:id="rId4" name="CommandButton14">
          <controlPr autoLine="0" r:id="rId5">
            <anchor moveWithCells="1">
              <from>
                <xdr:col>8</xdr:col>
                <xdr:colOff>19050</xdr:colOff>
                <xdr:row>29</xdr:row>
                <xdr:rowOff>114300</xdr:rowOff>
              </from>
              <to>
                <xdr:col>11</xdr:col>
                <xdr:colOff>104775</xdr:colOff>
                <xdr:row>31</xdr:row>
                <xdr:rowOff>47625</xdr:rowOff>
              </to>
            </anchor>
          </controlPr>
        </control>
      </mc:Choice>
      <mc:Fallback>
        <control shapeId="2523156" r:id="rId4" name="CommandButton14"/>
      </mc:Fallback>
    </mc:AlternateContent>
    <mc:AlternateContent xmlns:mc="http://schemas.openxmlformats.org/markup-compatibility/2006">
      <mc:Choice Requires="x14">
        <control shapeId="2523155" r:id="rId6" name="CommandButton13">
          <controlPr autoLine="0" r:id="rId7">
            <anchor moveWithCells="1">
              <from>
                <xdr:col>11</xdr:col>
                <xdr:colOff>333375</xdr:colOff>
                <xdr:row>53</xdr:row>
                <xdr:rowOff>0</xdr:rowOff>
              </from>
              <to>
                <xdr:col>12</xdr:col>
                <xdr:colOff>9525</xdr:colOff>
                <xdr:row>54</xdr:row>
                <xdr:rowOff>66675</xdr:rowOff>
              </to>
            </anchor>
          </controlPr>
        </control>
      </mc:Choice>
      <mc:Fallback>
        <control shapeId="2523155" r:id="rId6" name="CommandButton13"/>
      </mc:Fallback>
    </mc:AlternateContent>
    <mc:AlternateContent xmlns:mc="http://schemas.openxmlformats.org/markup-compatibility/2006">
      <mc:Choice Requires="x14">
        <control shapeId="2523154" r:id="rId8" name="CommandButton12">
          <controlPr autoLine="0" r:id="rId9">
            <anchor moveWithCells="1">
              <from>
                <xdr:col>10</xdr:col>
                <xdr:colOff>47625</xdr:colOff>
                <xdr:row>53</xdr:row>
                <xdr:rowOff>0</xdr:rowOff>
              </from>
              <to>
                <xdr:col>11</xdr:col>
                <xdr:colOff>57150</xdr:colOff>
                <xdr:row>54</xdr:row>
                <xdr:rowOff>66675</xdr:rowOff>
              </to>
            </anchor>
          </controlPr>
        </control>
      </mc:Choice>
      <mc:Fallback>
        <control shapeId="2523154" r:id="rId8" name="CommandButton12"/>
      </mc:Fallback>
    </mc:AlternateContent>
    <mc:AlternateContent xmlns:mc="http://schemas.openxmlformats.org/markup-compatibility/2006">
      <mc:Choice Requires="x14">
        <control shapeId="2523153" r:id="rId10" name="CommandButton11">
          <controlPr autoLine="0" r:id="rId11">
            <anchor moveWithCells="1">
              <from>
                <xdr:col>2</xdr:col>
                <xdr:colOff>171450</xdr:colOff>
                <xdr:row>52</xdr:row>
                <xdr:rowOff>142875</xdr:rowOff>
              </from>
              <to>
                <xdr:col>2</xdr:col>
                <xdr:colOff>381000</xdr:colOff>
                <xdr:row>54</xdr:row>
                <xdr:rowOff>47625</xdr:rowOff>
              </to>
            </anchor>
          </controlPr>
        </control>
      </mc:Choice>
      <mc:Fallback>
        <control shapeId="2523153" r:id="rId10" name="CommandButton11"/>
      </mc:Fallback>
    </mc:AlternateContent>
    <mc:AlternateContent xmlns:mc="http://schemas.openxmlformats.org/markup-compatibility/2006">
      <mc:Choice Requires="x14">
        <control shapeId="2523152" r:id="rId12" name="CommandButton10">
          <controlPr autoLine="0" r:id="rId13">
            <anchor moveWithCells="1">
              <from>
                <xdr:col>2</xdr:col>
                <xdr:colOff>180975</xdr:colOff>
                <xdr:row>42</xdr:row>
                <xdr:rowOff>66675</xdr:rowOff>
              </from>
              <to>
                <xdr:col>2</xdr:col>
                <xdr:colOff>390525</xdr:colOff>
                <xdr:row>43</xdr:row>
                <xdr:rowOff>133350</xdr:rowOff>
              </to>
            </anchor>
          </controlPr>
        </control>
      </mc:Choice>
      <mc:Fallback>
        <control shapeId="2523152" r:id="rId12" name="CommandButton10"/>
      </mc:Fallback>
    </mc:AlternateContent>
    <mc:AlternateContent xmlns:mc="http://schemas.openxmlformats.org/markup-compatibility/2006">
      <mc:Choice Requires="x14">
        <control shapeId="2523151" r:id="rId14" name="CommandButton9">
          <controlPr autoLine="0" r:id="rId15">
            <anchor moveWithCells="1">
              <from>
                <xdr:col>2</xdr:col>
                <xdr:colOff>171450</xdr:colOff>
                <xdr:row>38</xdr:row>
                <xdr:rowOff>9525</xdr:rowOff>
              </from>
              <to>
                <xdr:col>2</xdr:col>
                <xdr:colOff>381000</xdr:colOff>
                <xdr:row>39</xdr:row>
                <xdr:rowOff>76200</xdr:rowOff>
              </to>
            </anchor>
          </controlPr>
        </control>
      </mc:Choice>
      <mc:Fallback>
        <control shapeId="2523151" r:id="rId14" name="CommandButton9"/>
      </mc:Fallback>
    </mc:AlternateContent>
    <mc:AlternateContent xmlns:mc="http://schemas.openxmlformats.org/markup-compatibility/2006">
      <mc:Choice Requires="x14">
        <control shapeId="2523150" r:id="rId16" name="CommandButton8">
          <controlPr autoLine="0" r:id="rId17">
            <anchor moveWithCells="1">
              <from>
                <xdr:col>2</xdr:col>
                <xdr:colOff>142875</xdr:colOff>
                <xdr:row>34</xdr:row>
                <xdr:rowOff>0</xdr:rowOff>
              </from>
              <to>
                <xdr:col>2</xdr:col>
                <xdr:colOff>352425</xdr:colOff>
                <xdr:row>35</xdr:row>
                <xdr:rowOff>66675</xdr:rowOff>
              </to>
            </anchor>
          </controlPr>
        </control>
      </mc:Choice>
      <mc:Fallback>
        <control shapeId="2523150" r:id="rId16" name="CommandButton8"/>
      </mc:Fallback>
    </mc:AlternateContent>
    <mc:AlternateContent xmlns:mc="http://schemas.openxmlformats.org/markup-compatibility/2006">
      <mc:Choice Requires="x14">
        <control shapeId="2523149" r:id="rId18" name="CommandButton7">
          <controlPr autoLine="0" r:id="rId19">
            <anchor moveWithCells="1">
              <from>
                <xdr:col>1</xdr:col>
                <xdr:colOff>9525</xdr:colOff>
                <xdr:row>52</xdr:row>
                <xdr:rowOff>142875</xdr:rowOff>
              </from>
              <to>
                <xdr:col>1</xdr:col>
                <xdr:colOff>219075</xdr:colOff>
                <xdr:row>54</xdr:row>
                <xdr:rowOff>47625</xdr:rowOff>
              </to>
            </anchor>
          </controlPr>
        </control>
      </mc:Choice>
      <mc:Fallback>
        <control shapeId="2523149" r:id="rId18" name="CommandButton7"/>
      </mc:Fallback>
    </mc:AlternateContent>
    <mc:AlternateContent xmlns:mc="http://schemas.openxmlformats.org/markup-compatibility/2006">
      <mc:Choice Requires="x14">
        <control shapeId="2523148" r:id="rId20" name="CommandButton6">
          <controlPr autoLine="0" r:id="rId21">
            <anchor moveWithCells="1">
              <from>
                <xdr:col>0</xdr:col>
                <xdr:colOff>0</xdr:colOff>
                <xdr:row>42</xdr:row>
                <xdr:rowOff>57150</xdr:rowOff>
              </from>
              <to>
                <xdr:col>1</xdr:col>
                <xdr:colOff>200025</xdr:colOff>
                <xdr:row>43</xdr:row>
                <xdr:rowOff>123825</xdr:rowOff>
              </to>
            </anchor>
          </controlPr>
        </control>
      </mc:Choice>
      <mc:Fallback>
        <control shapeId="2523148" r:id="rId20" name="CommandButton6"/>
      </mc:Fallback>
    </mc:AlternateContent>
    <mc:AlternateContent xmlns:mc="http://schemas.openxmlformats.org/markup-compatibility/2006">
      <mc:Choice Requires="x14">
        <control shapeId="2523147" r:id="rId22" name="CommandButton5">
          <controlPr autoLine="0" r:id="rId23">
            <anchor moveWithCells="1">
              <from>
                <xdr:col>1</xdr:col>
                <xdr:colOff>0</xdr:colOff>
                <xdr:row>38</xdr:row>
                <xdr:rowOff>19050</xdr:rowOff>
              </from>
              <to>
                <xdr:col>1</xdr:col>
                <xdr:colOff>209550</xdr:colOff>
                <xdr:row>39</xdr:row>
                <xdr:rowOff>85725</xdr:rowOff>
              </to>
            </anchor>
          </controlPr>
        </control>
      </mc:Choice>
      <mc:Fallback>
        <control shapeId="2523147" r:id="rId22" name="CommandButton5"/>
      </mc:Fallback>
    </mc:AlternateContent>
    <mc:AlternateContent xmlns:mc="http://schemas.openxmlformats.org/markup-compatibility/2006">
      <mc:Choice Requires="x14">
        <control shapeId="2523146" r:id="rId24" name="CommandButton4">
          <controlPr autoLine="0" r:id="rId25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1</xdr:col>
                <xdr:colOff>209550</xdr:colOff>
                <xdr:row>35</xdr:row>
                <xdr:rowOff>66675</xdr:rowOff>
              </to>
            </anchor>
          </controlPr>
        </control>
      </mc:Choice>
      <mc:Fallback>
        <control shapeId="2523146" r:id="rId24" name="CommandButton4"/>
      </mc:Fallback>
    </mc:AlternateContent>
    <mc:AlternateContent xmlns:mc="http://schemas.openxmlformats.org/markup-compatibility/2006">
      <mc:Choice Requires="x14">
        <control shapeId="2523145" r:id="rId26" name="CommandButton3">
          <controlPr autoLine="0" r:id="rId27">
            <anchor moveWithCells="1">
              <from>
                <xdr:col>2</xdr:col>
                <xdr:colOff>161925</xdr:colOff>
                <xdr:row>29</xdr:row>
                <xdr:rowOff>142875</xdr:rowOff>
              </from>
              <to>
                <xdr:col>2</xdr:col>
                <xdr:colOff>371475</xdr:colOff>
                <xdr:row>31</xdr:row>
                <xdr:rowOff>47625</xdr:rowOff>
              </to>
            </anchor>
          </controlPr>
        </control>
      </mc:Choice>
      <mc:Fallback>
        <control shapeId="2523145" r:id="rId26" name="CommandButton3"/>
      </mc:Fallback>
    </mc:AlternateContent>
    <mc:AlternateContent xmlns:mc="http://schemas.openxmlformats.org/markup-compatibility/2006">
      <mc:Choice Requires="x14">
        <control shapeId="2523144" r:id="rId28" name="CommandButton2">
          <controlPr autoLine="0" r:id="rId29">
            <anchor moveWithCells="1">
              <from>
                <xdr:col>1</xdr:col>
                <xdr:colOff>0</xdr:colOff>
                <xdr:row>29</xdr:row>
                <xdr:rowOff>142875</xdr:rowOff>
              </from>
              <to>
                <xdr:col>1</xdr:col>
                <xdr:colOff>209550</xdr:colOff>
                <xdr:row>31</xdr:row>
                <xdr:rowOff>47625</xdr:rowOff>
              </to>
            </anchor>
          </controlPr>
        </control>
      </mc:Choice>
      <mc:Fallback>
        <control shapeId="2523144" r:id="rId28" name="CommandButton2"/>
      </mc:Fallback>
    </mc:AlternateContent>
    <mc:AlternateContent xmlns:mc="http://schemas.openxmlformats.org/markup-compatibility/2006">
      <mc:Choice Requires="x14">
        <control shapeId="2523143" r:id="rId30" name="CommandButton1">
          <controlPr autoLine="0" r:id="rId31">
            <anchor moveWithCells="1">
              <from>
                <xdr:col>8</xdr:col>
                <xdr:colOff>19050</xdr:colOff>
                <xdr:row>27</xdr:row>
                <xdr:rowOff>123825</xdr:rowOff>
              </from>
              <to>
                <xdr:col>11</xdr:col>
                <xdr:colOff>104775</xdr:colOff>
                <xdr:row>29</xdr:row>
                <xdr:rowOff>57150</xdr:rowOff>
              </to>
            </anchor>
          </controlPr>
        </control>
      </mc:Choice>
      <mc:Fallback>
        <control shapeId="2523143" r:id="rId30" name="CommandButton1"/>
      </mc:Fallback>
    </mc:AlternateContent>
    <mc:AlternateContent xmlns:mc="http://schemas.openxmlformats.org/markup-compatibility/2006">
      <mc:Choice Requires="x14">
        <control shapeId="2523142" r:id="rId32" name="TextBox6">
          <controlPr autoLine="0" r:id="rId33">
            <anchor moveWithCells="1">
              <from>
                <xdr:col>10</xdr:col>
                <xdr:colOff>47625</xdr:colOff>
                <xdr:row>54</xdr:row>
                <xdr:rowOff>114300</xdr:rowOff>
              </from>
              <to>
                <xdr:col>12</xdr:col>
                <xdr:colOff>19050</xdr:colOff>
                <xdr:row>56</xdr:row>
                <xdr:rowOff>9525</xdr:rowOff>
              </to>
            </anchor>
          </controlPr>
        </control>
      </mc:Choice>
      <mc:Fallback>
        <control shapeId="2523142" r:id="rId32" name="TextBox6"/>
      </mc:Fallback>
    </mc:AlternateContent>
    <mc:AlternateContent xmlns:mc="http://schemas.openxmlformats.org/markup-compatibility/2006">
      <mc:Choice Requires="x14">
        <control shapeId="2523141" r:id="rId34" name="TextBox5">
          <controlPr autoLine="0" r:id="rId35">
            <anchor moveWithCells="1">
              <from>
                <xdr:col>1</xdr:col>
                <xdr:colOff>0</xdr:colOff>
                <xdr:row>54</xdr:row>
                <xdr:rowOff>104775</xdr:rowOff>
              </from>
              <to>
                <xdr:col>3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2523141" r:id="rId34" name="TextBox5"/>
      </mc:Fallback>
    </mc:AlternateContent>
    <mc:AlternateContent xmlns:mc="http://schemas.openxmlformats.org/markup-compatibility/2006">
      <mc:Choice Requires="x14">
        <control shapeId="2523140" r:id="rId36" name="TextBox4">
          <controlPr autoLine="0" r:id="rId37">
            <anchor moveWithCells="1">
              <from>
                <xdr:col>1</xdr:col>
                <xdr:colOff>0</xdr:colOff>
                <xdr:row>44</xdr:row>
                <xdr:rowOff>19050</xdr:rowOff>
              </from>
              <to>
                <xdr:col>3</xdr:col>
                <xdr:colOff>0</xdr:colOff>
                <xdr:row>45</xdr:row>
                <xdr:rowOff>76200</xdr:rowOff>
              </to>
            </anchor>
          </controlPr>
        </control>
      </mc:Choice>
      <mc:Fallback>
        <control shapeId="2523140" r:id="rId36" name="TextBox4"/>
      </mc:Fallback>
    </mc:AlternateContent>
    <mc:AlternateContent xmlns:mc="http://schemas.openxmlformats.org/markup-compatibility/2006">
      <mc:Choice Requires="x14">
        <control shapeId="2523139" r:id="rId38" name="TextBox3">
          <controlPr autoLine="0" r:id="rId39">
            <anchor moveWithCells="1">
              <from>
                <xdr:col>1</xdr:col>
                <xdr:colOff>0</xdr:colOff>
                <xdr:row>39</xdr:row>
                <xdr:rowOff>142875</xdr:rowOff>
              </from>
              <to>
                <xdr:col>3</xdr:col>
                <xdr:colOff>0</xdr:colOff>
                <xdr:row>41</xdr:row>
                <xdr:rowOff>38100</xdr:rowOff>
              </to>
            </anchor>
          </controlPr>
        </control>
      </mc:Choice>
      <mc:Fallback>
        <control shapeId="2523139" r:id="rId38" name="TextBox3"/>
      </mc:Fallback>
    </mc:AlternateContent>
    <mc:AlternateContent xmlns:mc="http://schemas.openxmlformats.org/markup-compatibility/2006">
      <mc:Choice Requires="x14">
        <control shapeId="2523138" r:id="rId40" name="TextBox2">
          <controlPr autoLine="0" r:id="rId41">
            <anchor moveWithCells="1">
              <from>
                <xdr:col>0</xdr:col>
                <xdr:colOff>0</xdr:colOff>
                <xdr:row>35</xdr:row>
                <xdr:rowOff>114300</xdr:rowOff>
              </from>
              <to>
                <xdr:col>2</xdr:col>
                <xdr:colOff>438150</xdr:colOff>
                <xdr:row>37</xdr:row>
                <xdr:rowOff>9525</xdr:rowOff>
              </to>
            </anchor>
          </controlPr>
        </control>
      </mc:Choice>
      <mc:Fallback>
        <control shapeId="2523138" r:id="rId40" name="TextBox2"/>
      </mc:Fallback>
    </mc:AlternateContent>
    <mc:AlternateContent xmlns:mc="http://schemas.openxmlformats.org/markup-compatibility/2006">
      <mc:Choice Requires="x14">
        <control shapeId="2523137" r:id="rId42" name="TextBox1">
          <controlPr autoLine="0" r:id="rId43">
            <anchor moveWithCells="1">
              <from>
                <xdr:col>1</xdr:col>
                <xdr:colOff>0</xdr:colOff>
                <xdr:row>31</xdr:row>
                <xdr:rowOff>95250</xdr:rowOff>
              </from>
              <to>
                <xdr:col>3</xdr:col>
                <xdr:colOff>0</xdr:colOff>
                <xdr:row>32</xdr:row>
                <xdr:rowOff>152400</xdr:rowOff>
              </to>
            </anchor>
          </controlPr>
        </control>
      </mc:Choice>
      <mc:Fallback>
        <control shapeId="2523137" r:id="rId42" name="Text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V69"/>
  <sheetViews>
    <sheetView zoomScale="85" zoomScaleNormal="85" workbookViewId="0">
      <selection activeCell="AY9" sqref="AY9"/>
    </sheetView>
  </sheetViews>
  <sheetFormatPr defaultRowHeight="15" outlineLevelCol="1"/>
  <cols>
    <col min="1" max="1" width="4.7109375" customWidth="1"/>
    <col min="2" max="2" width="27.28515625" bestFit="1" customWidth="1"/>
    <col min="3" max="3" width="46" customWidth="1"/>
    <col min="4" max="4" width="2.28515625" customWidth="1"/>
    <col min="5" max="5" width="50" bestFit="1" customWidth="1"/>
    <col min="6" max="8" width="20.7109375" hidden="1" customWidth="1"/>
    <col min="9" max="9" width="20.7109375" customWidth="1"/>
    <col min="10" max="28" width="20.7109375" hidden="1" customWidth="1" outlineLevel="1"/>
    <col min="29" max="29" width="20.7109375" style="894" hidden="1" customWidth="1" outlineLevel="1"/>
    <col min="30" max="44" width="20.7109375" hidden="1" customWidth="1" outlineLevel="1"/>
    <col min="45" max="46" width="20.7109375" hidden="1" customWidth="1" outlineLevel="1" collapsed="1"/>
    <col min="47" max="47" width="20.7109375" hidden="1" customWidth="1" outlineLevel="1"/>
    <col min="48" max="48" width="20.7109375" customWidth="1" collapsed="1"/>
    <col min="49" max="50" width="20.7109375" customWidth="1"/>
  </cols>
  <sheetData>
    <row r="1" spans="1:47" s="1102" customFormat="1" ht="16.5" customHeight="1" thickBot="1">
      <c r="A1" s="1102">
        <v>1</v>
      </c>
      <c r="B1" s="1102">
        <v>2</v>
      </c>
      <c r="C1" s="1102">
        <v>3</v>
      </c>
      <c r="D1" s="1102">
        <v>4</v>
      </c>
      <c r="E1" s="1102">
        <v>5</v>
      </c>
      <c r="F1" s="1102">
        <v>6</v>
      </c>
      <c r="G1" s="1102">
        <v>7</v>
      </c>
      <c r="H1" s="1102">
        <v>8</v>
      </c>
      <c r="I1" s="1102">
        <v>9</v>
      </c>
      <c r="J1" s="1552">
        <f>+I1+1</f>
        <v>10</v>
      </c>
      <c r="K1" s="1552">
        <f t="shared" ref="K1:AU1" si="0">+J1+1</f>
        <v>11</v>
      </c>
      <c r="L1" s="1552">
        <f t="shared" si="0"/>
        <v>12</v>
      </c>
      <c r="M1" s="1552">
        <f t="shared" si="0"/>
        <v>13</v>
      </c>
      <c r="N1" s="1552">
        <f t="shared" si="0"/>
        <v>14</v>
      </c>
      <c r="O1" s="1552">
        <f t="shared" si="0"/>
        <v>15</v>
      </c>
      <c r="P1" s="1552">
        <f t="shared" si="0"/>
        <v>16</v>
      </c>
      <c r="Q1" s="1552">
        <f t="shared" si="0"/>
        <v>17</v>
      </c>
      <c r="R1" s="1552">
        <f t="shared" si="0"/>
        <v>18</v>
      </c>
      <c r="S1" s="1552">
        <f t="shared" si="0"/>
        <v>19</v>
      </c>
      <c r="T1" s="1552">
        <f t="shared" si="0"/>
        <v>20</v>
      </c>
      <c r="U1" s="1552">
        <f t="shared" si="0"/>
        <v>21</v>
      </c>
      <c r="V1" s="1552">
        <f t="shared" si="0"/>
        <v>22</v>
      </c>
      <c r="W1" s="1552">
        <f t="shared" si="0"/>
        <v>23</v>
      </c>
      <c r="X1" s="1552">
        <f t="shared" si="0"/>
        <v>24</v>
      </c>
      <c r="Y1" s="1552">
        <f t="shared" si="0"/>
        <v>25</v>
      </c>
      <c r="Z1" s="1552">
        <f t="shared" si="0"/>
        <v>26</v>
      </c>
      <c r="AA1" s="1552">
        <f t="shared" si="0"/>
        <v>27</v>
      </c>
      <c r="AB1" s="1552">
        <f t="shared" si="0"/>
        <v>28</v>
      </c>
      <c r="AC1" s="1552">
        <f t="shared" si="0"/>
        <v>29</v>
      </c>
      <c r="AD1" s="1552">
        <f t="shared" si="0"/>
        <v>30</v>
      </c>
      <c r="AE1" s="1552">
        <f t="shared" si="0"/>
        <v>31</v>
      </c>
      <c r="AF1" s="1552">
        <f t="shared" si="0"/>
        <v>32</v>
      </c>
      <c r="AG1" s="1552">
        <f t="shared" si="0"/>
        <v>33</v>
      </c>
      <c r="AH1" s="1552">
        <f t="shared" si="0"/>
        <v>34</v>
      </c>
      <c r="AI1" s="1552">
        <f t="shared" si="0"/>
        <v>35</v>
      </c>
      <c r="AJ1" s="1552">
        <f t="shared" si="0"/>
        <v>36</v>
      </c>
      <c r="AK1" s="1552">
        <f t="shared" si="0"/>
        <v>37</v>
      </c>
      <c r="AL1" s="1552">
        <f t="shared" si="0"/>
        <v>38</v>
      </c>
      <c r="AM1" s="1552">
        <f t="shared" si="0"/>
        <v>39</v>
      </c>
      <c r="AN1" s="1552">
        <f t="shared" si="0"/>
        <v>40</v>
      </c>
      <c r="AO1" s="1552">
        <f t="shared" si="0"/>
        <v>41</v>
      </c>
      <c r="AP1" s="1552">
        <f t="shared" si="0"/>
        <v>42</v>
      </c>
      <c r="AQ1" s="1552">
        <f t="shared" si="0"/>
        <v>43</v>
      </c>
      <c r="AR1" s="1552">
        <f t="shared" si="0"/>
        <v>44</v>
      </c>
      <c r="AS1" s="1552">
        <f t="shared" si="0"/>
        <v>45</v>
      </c>
      <c r="AT1" s="1552">
        <f t="shared" si="0"/>
        <v>46</v>
      </c>
      <c r="AU1" s="1552">
        <f t="shared" si="0"/>
        <v>47</v>
      </c>
    </row>
    <row r="2" spans="1:47" ht="49.5" customHeight="1" thickBot="1">
      <c r="B2" s="1204" t="str">
        <f>+VLOOKUP(AT4,TRAD!$A:$G,$C$2-1,TRUE)</f>
        <v>LINGUA</v>
      </c>
      <c r="C2" s="1093">
        <v>3</v>
      </c>
      <c r="AC2"/>
    </row>
    <row r="3" spans="1:47" ht="27" customHeight="1" thickBot="1">
      <c r="B3" s="1091" t="str">
        <f>+VLOOKUP(AT5,TRAD!$A:$G,$C$2-1,TRUE)</f>
        <v>ARTICOLO</v>
      </c>
      <c r="C3" s="1092"/>
      <c r="E3" s="1103"/>
      <c r="J3" s="513">
        <f>+COUNTA(K4:K45)</f>
        <v>41</v>
      </c>
      <c r="K3" s="895" t="s">
        <v>418</v>
      </c>
      <c r="L3" s="1824" t="s">
        <v>459</v>
      </c>
      <c r="M3" s="1824"/>
      <c r="N3" s="1824"/>
      <c r="O3" s="1824"/>
      <c r="P3" s="1825"/>
      <c r="Q3" s="1826" t="s">
        <v>460</v>
      </c>
      <c r="R3" s="1824"/>
      <c r="S3" s="1824"/>
      <c r="T3" s="1824"/>
      <c r="U3" s="1824"/>
      <c r="V3" s="1827" t="s">
        <v>1071</v>
      </c>
      <c r="W3" s="1828"/>
      <c r="X3" s="1829"/>
      <c r="Y3" s="1819" t="s">
        <v>1072</v>
      </c>
      <c r="Z3" s="1820"/>
      <c r="AA3" s="1821"/>
      <c r="AB3" s="911"/>
      <c r="AC3" s="1391" t="s">
        <v>762</v>
      </c>
      <c r="AD3" s="901" t="s">
        <v>10</v>
      </c>
      <c r="AE3" s="901" t="s">
        <v>465</v>
      </c>
      <c r="AF3" s="902" t="s">
        <v>160</v>
      </c>
      <c r="AG3" s="902" t="s">
        <v>461</v>
      </c>
      <c r="AH3" s="902" t="s">
        <v>163</v>
      </c>
      <c r="AI3" s="902" t="s">
        <v>166</v>
      </c>
      <c r="AJ3" s="903" t="s">
        <v>131</v>
      </c>
      <c r="AK3" s="903" t="s">
        <v>132</v>
      </c>
      <c r="AL3" s="903" t="s">
        <v>133</v>
      </c>
      <c r="AM3" s="903" t="s">
        <v>134</v>
      </c>
      <c r="AN3" s="904" t="s">
        <v>616</v>
      </c>
      <c r="AO3" s="1088" t="s">
        <v>463</v>
      </c>
      <c r="AQ3" s="1425" t="s">
        <v>710</v>
      </c>
      <c r="AR3" s="1425" t="s">
        <v>717</v>
      </c>
      <c r="AS3" s="1425" t="s">
        <v>718</v>
      </c>
      <c r="AU3" s="911" t="s">
        <v>1005</v>
      </c>
    </row>
    <row r="4" spans="1:47" ht="27" customHeight="1">
      <c r="B4" s="5" t="str">
        <f>+VLOOKUP(AT6,TRAD!$A:$G,$C$2-1,TRUE)</f>
        <v>ORDINE</v>
      </c>
      <c r="C4" s="1"/>
      <c r="E4" s="1107" t="str">
        <f>+VLOOKUP(AT17,TRAD!$A:$G,$C$2-1,TRUE)</f>
        <v>FOGLIO LAVORO</v>
      </c>
      <c r="J4" s="899" t="s">
        <v>44</v>
      </c>
      <c r="K4" s="896" t="s">
        <v>20</v>
      </c>
      <c r="L4" s="674"/>
      <c r="M4" s="675">
        <f>4-SUM(N4:P4)</f>
        <v>1</v>
      </c>
      <c r="N4" s="675">
        <f>+IF($C$8&lt;N5,1,0)</f>
        <v>1</v>
      </c>
      <c r="O4" s="675">
        <f>+IF($C$8&lt;O5,1,0)</f>
        <v>1</v>
      </c>
      <c r="P4" s="678">
        <f>+IF($C$8&lt;P5,1,0)</f>
        <v>1</v>
      </c>
      <c r="Q4" s="674"/>
      <c r="R4" s="675">
        <f>4-SUM(S4:U4)</f>
        <v>3</v>
      </c>
      <c r="S4" s="675">
        <f>+IF($C$8&lt;S5,1,0)</f>
        <v>0</v>
      </c>
      <c r="T4" s="675">
        <f>+IF($C$8&lt;T5,1,0)</f>
        <v>0</v>
      </c>
      <c r="U4" s="684">
        <f>+IF($C$8&lt;U5,1,0)</f>
        <v>1</v>
      </c>
      <c r="V4" s="1715">
        <f>+IF(C9="",1,IF(C9=0,1,C9))</f>
        <v>1</v>
      </c>
      <c r="W4" s="687"/>
      <c r="X4" s="1716"/>
      <c r="Y4" s="1715">
        <f>+IF(F9="",1,IF(F9=0,1,F9))</f>
        <v>1</v>
      </c>
      <c r="Z4" s="687"/>
      <c r="AA4" s="1716"/>
      <c r="AB4" s="912"/>
      <c r="AC4" s="905"/>
      <c r="AD4" s="915" t="e">
        <f>+VLOOKUP(C3,AB5:AD38,3,0)</f>
        <v>#N/A</v>
      </c>
      <c r="AE4" s="906"/>
      <c r="AF4" s="907"/>
      <c r="AG4" s="907"/>
      <c r="AH4" s="907"/>
      <c r="AI4" s="907"/>
      <c r="AJ4" s="907">
        <v>9</v>
      </c>
      <c r="AK4" s="907">
        <v>10</v>
      </c>
      <c r="AL4" s="907">
        <v>11</v>
      </c>
      <c r="AM4" s="907">
        <v>12</v>
      </c>
      <c r="AN4" s="908">
        <v>13</v>
      </c>
      <c r="AO4" s="688">
        <f>+COUNTA(AB:AB)-1</f>
        <v>35</v>
      </c>
      <c r="AP4" s="1429" t="str">
        <f>+IF(J4="X",K4,"")</f>
        <v>01.BIANCO</v>
      </c>
      <c r="AQ4" s="1426"/>
      <c r="AR4" s="1426"/>
      <c r="AS4" s="1426"/>
      <c r="AT4" s="1430">
        <v>91</v>
      </c>
      <c r="AU4" s="912"/>
    </row>
    <row r="5" spans="1:47" ht="27" customHeight="1">
      <c r="B5" s="5" t="str">
        <f>+VLOOKUP(AT7,TRAD!$A:$G,$C$2-1,TRUE)</f>
        <v>DATA SPEDIZIONE</v>
      </c>
      <c r="C5" s="1373">
        <v>42370</v>
      </c>
      <c r="E5" s="1108" t="s">
        <v>1084</v>
      </c>
      <c r="J5" s="899" t="s">
        <v>44</v>
      </c>
      <c r="K5" s="897" t="s">
        <v>419</v>
      </c>
      <c r="L5" s="916">
        <f>7-SUM(L6:L11)</f>
        <v>4</v>
      </c>
      <c r="M5" s="1724" t="str">
        <f>INDEX($N$6:$P$11,$L$5,$M$4)</f>
        <v>49-58</v>
      </c>
      <c r="N5" s="513">
        <v>2400</v>
      </c>
      <c r="O5" s="513">
        <v>2580</v>
      </c>
      <c r="P5" s="679">
        <v>9999</v>
      </c>
      <c r="Q5" s="916">
        <f>4-SUM(Q6:Q8)</f>
        <v>3</v>
      </c>
      <c r="R5" s="1724" t="str">
        <f>INDEX($S$6:$U$8,$Q$5,$R$4)</f>
        <v>13-25</v>
      </c>
      <c r="S5" s="513">
        <v>1309</v>
      </c>
      <c r="T5" s="513">
        <v>1709</v>
      </c>
      <c r="U5" s="677">
        <v>9999</v>
      </c>
      <c r="V5" s="1717">
        <f>3-SUM(V6:V8)</f>
        <v>3</v>
      </c>
      <c r="W5" s="1724">
        <f>INDEX(X6:X9,V5)</f>
        <v>36</v>
      </c>
      <c r="X5" s="1718"/>
      <c r="Y5" s="1717">
        <f>3-SUM(Y6:Y7)</f>
        <v>3</v>
      </c>
      <c r="Z5" s="1724" t="e">
        <f>INDEX(AA6:AA7,Y5)</f>
        <v>#REF!</v>
      </c>
      <c r="AA5" s="1718"/>
      <c r="AB5" s="913" t="s">
        <v>399</v>
      </c>
      <c r="AC5" s="1390">
        <v>0</v>
      </c>
      <c r="AD5" s="907">
        <v>1</v>
      </c>
      <c r="AE5" s="907">
        <v>1</v>
      </c>
      <c r="AF5" s="907">
        <v>400</v>
      </c>
      <c r="AG5" s="907">
        <v>1500</v>
      </c>
      <c r="AH5" s="907">
        <v>700</v>
      </c>
      <c r="AI5" s="907">
        <v>3100</v>
      </c>
      <c r="AJ5" s="907">
        <v>2</v>
      </c>
      <c r="AK5" s="907">
        <v>2</v>
      </c>
      <c r="AL5" s="907">
        <v>2</v>
      </c>
      <c r="AM5" s="907">
        <v>2</v>
      </c>
      <c r="AN5" s="908">
        <v>2</v>
      </c>
      <c r="AO5" s="1089" t="str">
        <f t="shared" ref="AO5:AO37" si="1">+IF(AC5=1,AU5,"")</f>
        <v/>
      </c>
      <c r="AP5" s="1429" t="str">
        <f t="shared" ref="AP5:AP30" si="2">+IF(J5="X",K5,"")</f>
        <v>02.AVORIO</v>
      </c>
      <c r="AQ5" s="1426">
        <v>1</v>
      </c>
      <c r="AR5" s="1426">
        <v>1</v>
      </c>
      <c r="AS5" s="1426">
        <v>3</v>
      </c>
      <c r="AT5" s="1430">
        <v>92</v>
      </c>
      <c r="AU5" s="913" t="s">
        <v>955</v>
      </c>
    </row>
    <row r="6" spans="1:47" ht="27" customHeight="1" thickBot="1">
      <c r="B6" s="5" t="str">
        <f>+VLOOKUP(AT8,TRAD!$A:$G,$C$2-1,TRUE)</f>
        <v>CLIENTE</v>
      </c>
      <c r="C6" s="1"/>
      <c r="E6" s="1109"/>
      <c r="J6" s="899" t="s">
        <v>44</v>
      </c>
      <c r="K6" s="897" t="s">
        <v>420</v>
      </c>
      <c r="L6" s="671">
        <f t="shared" ref="L6:L11" si="3">+IF($C$7&lt;M6,1,0)</f>
        <v>0</v>
      </c>
      <c r="M6" s="513">
        <v>1059</v>
      </c>
      <c r="N6" s="514" t="s">
        <v>277</v>
      </c>
      <c r="O6" s="514" t="s">
        <v>278</v>
      </c>
      <c r="P6" s="681" t="s">
        <v>279</v>
      </c>
      <c r="Q6" s="671">
        <f>+IF($C$7&lt;R6,1,0)</f>
        <v>0</v>
      </c>
      <c r="R6" s="513">
        <v>1059</v>
      </c>
      <c r="S6" s="669" t="s">
        <v>317</v>
      </c>
      <c r="T6" s="669" t="s">
        <v>318</v>
      </c>
      <c r="U6" s="685" t="s">
        <v>321</v>
      </c>
      <c r="V6" s="1719">
        <f>+IF($C$7/C9&lt;W6,1,0)</f>
        <v>0</v>
      </c>
      <c r="W6" s="513">
        <v>400</v>
      </c>
      <c r="X6" s="1720">
        <v>34</v>
      </c>
      <c r="Y6" s="1719">
        <f>+IF($C$7/C9&lt;Z6,1,0)</f>
        <v>0</v>
      </c>
      <c r="Z6" s="1124">
        <v>1000</v>
      </c>
      <c r="AA6" s="1720">
        <v>2</v>
      </c>
      <c r="AB6" s="913" t="s">
        <v>476</v>
      </c>
      <c r="AC6" s="1390">
        <v>0</v>
      </c>
      <c r="AD6" s="907">
        <v>0</v>
      </c>
      <c r="AE6" s="907">
        <v>2</v>
      </c>
      <c r="AF6" s="907">
        <v>400</v>
      </c>
      <c r="AG6" s="907">
        <v>1500</v>
      </c>
      <c r="AH6" s="907">
        <v>700</v>
      </c>
      <c r="AI6" s="907">
        <v>3100</v>
      </c>
      <c r="AJ6" s="907">
        <v>5</v>
      </c>
      <c r="AK6" s="907">
        <v>5</v>
      </c>
      <c r="AL6" s="907">
        <v>5</v>
      </c>
      <c r="AM6" s="907">
        <v>5</v>
      </c>
      <c r="AN6" s="908">
        <v>5</v>
      </c>
      <c r="AO6" s="1089" t="str">
        <f t="shared" si="1"/>
        <v/>
      </c>
      <c r="AP6" s="1429" t="str">
        <f t="shared" si="2"/>
        <v>03.MARRONE</v>
      </c>
      <c r="AQ6" s="1426">
        <v>1</v>
      </c>
      <c r="AR6" s="1426">
        <v>1</v>
      </c>
      <c r="AS6" s="1426">
        <v>4</v>
      </c>
      <c r="AT6" s="1430">
        <v>93</v>
      </c>
      <c r="AU6" s="913" t="s">
        <v>992</v>
      </c>
    </row>
    <row r="7" spans="1:47" ht="27" customHeight="1">
      <c r="B7" s="5" t="str">
        <f>+VLOOKUP(AT9,TRAD!$A:$G,$C$2-1,TRUE)</f>
        <v>BASE</v>
      </c>
      <c r="C7" s="2">
        <v>1400</v>
      </c>
      <c r="E7" s="1105" t="str">
        <f>+VLOOKUP(AT18,TRAD!$A:$G,$C$2-1,TRUE)</f>
        <v>ETICHETTA</v>
      </c>
      <c r="J7" s="899" t="s">
        <v>44</v>
      </c>
      <c r="K7" s="897" t="s">
        <v>421</v>
      </c>
      <c r="L7" s="671">
        <f t="shared" si="3"/>
        <v>0</v>
      </c>
      <c r="M7" s="513">
        <v>1209</v>
      </c>
      <c r="N7" s="514" t="s">
        <v>280</v>
      </c>
      <c r="O7" s="514" t="s">
        <v>281</v>
      </c>
      <c r="P7" s="681" t="s">
        <v>282</v>
      </c>
      <c r="Q7" s="671">
        <f>+IF($C$7&lt;R7,1,0)</f>
        <v>0</v>
      </c>
      <c r="R7" s="513">
        <v>1209</v>
      </c>
      <c r="S7" s="669" t="s">
        <v>322</v>
      </c>
      <c r="T7" s="669" t="s">
        <v>325</v>
      </c>
      <c r="U7" s="685" t="s">
        <v>327</v>
      </c>
      <c r="V7" s="1719">
        <f>+IF($C$7/C9&lt;W7,1,0)</f>
        <v>0</v>
      </c>
      <c r="W7" s="513">
        <v>801</v>
      </c>
      <c r="X7" s="1720">
        <v>35</v>
      </c>
      <c r="Y7" s="1719">
        <f>+IF($C$7/C9&lt;Z7,1,0)</f>
        <v>0</v>
      </c>
      <c r="Z7" s="1124">
        <v>1400</v>
      </c>
      <c r="AA7" s="1720">
        <v>4</v>
      </c>
      <c r="AB7" s="913" t="s">
        <v>477</v>
      </c>
      <c r="AC7" s="1390">
        <v>0</v>
      </c>
      <c r="AD7" s="907">
        <v>0</v>
      </c>
      <c r="AE7" s="907">
        <v>3</v>
      </c>
      <c r="AF7" s="907">
        <v>400</v>
      </c>
      <c r="AG7" s="907">
        <v>1500</v>
      </c>
      <c r="AH7" s="907">
        <v>700</v>
      </c>
      <c r="AI7" s="907">
        <v>3100</v>
      </c>
      <c r="AJ7" s="907">
        <v>2</v>
      </c>
      <c r="AK7" s="907">
        <v>2</v>
      </c>
      <c r="AL7" s="907">
        <v>2</v>
      </c>
      <c r="AM7" s="907">
        <v>5</v>
      </c>
      <c r="AN7" s="908">
        <v>5</v>
      </c>
      <c r="AO7" s="1089" t="str">
        <f t="shared" si="1"/>
        <v/>
      </c>
      <c r="AP7" s="1429" t="str">
        <f t="shared" si="2"/>
        <v>04.VERDE</v>
      </c>
      <c r="AQ7" s="1426">
        <v>1</v>
      </c>
      <c r="AR7" s="1426">
        <v>1</v>
      </c>
      <c r="AS7" s="1426">
        <v>5</v>
      </c>
      <c r="AT7" s="1430">
        <v>94</v>
      </c>
      <c r="AU7" s="913" t="s">
        <v>996</v>
      </c>
    </row>
    <row r="8" spans="1:47" ht="27" customHeight="1" thickBot="1">
      <c r="B8" s="5" t="str">
        <f>+VLOOKUP(AT10,TRAD!$A:$G,$C$2-1,TRUE)</f>
        <v>ALTEZZA</v>
      </c>
      <c r="C8" s="2">
        <v>2200</v>
      </c>
      <c r="E8" s="1146" t="s">
        <v>1118</v>
      </c>
      <c r="J8" s="899" t="s">
        <v>44</v>
      </c>
      <c r="K8" s="897" t="s">
        <v>422</v>
      </c>
      <c r="L8" s="671">
        <f t="shared" si="3"/>
        <v>0</v>
      </c>
      <c r="M8" s="513">
        <v>1359</v>
      </c>
      <c r="N8" s="514" t="s">
        <v>283</v>
      </c>
      <c r="O8" s="514" t="s">
        <v>284</v>
      </c>
      <c r="P8" s="681" t="s">
        <v>285</v>
      </c>
      <c r="Q8" s="672">
        <f>+IF($C$7&lt;R8,1,0)</f>
        <v>1</v>
      </c>
      <c r="R8" s="673">
        <v>9999</v>
      </c>
      <c r="S8" s="680" t="s">
        <v>329</v>
      </c>
      <c r="T8" s="680" t="s">
        <v>331</v>
      </c>
      <c r="U8" s="686" t="s">
        <v>332</v>
      </c>
      <c r="V8" s="1721">
        <f>+IF($C$7/C9&lt;W8,1,0)</f>
        <v>0</v>
      </c>
      <c r="W8" s="673">
        <v>1201</v>
      </c>
      <c r="X8" s="1722">
        <v>36</v>
      </c>
      <c r="Y8" s="1721"/>
      <c r="Z8" s="1723"/>
      <c r="AA8" s="1722"/>
      <c r="AB8" s="913" t="s">
        <v>11</v>
      </c>
      <c r="AC8" s="1390">
        <v>0</v>
      </c>
      <c r="AD8" s="907">
        <v>0</v>
      </c>
      <c r="AE8" s="907">
        <v>4</v>
      </c>
      <c r="AF8" s="907">
        <v>400</v>
      </c>
      <c r="AG8" s="907">
        <v>1500</v>
      </c>
      <c r="AH8" s="907">
        <v>700</v>
      </c>
      <c r="AI8" s="907">
        <v>3100</v>
      </c>
      <c r="AJ8" s="907">
        <v>2</v>
      </c>
      <c r="AK8" s="907">
        <v>2</v>
      </c>
      <c r="AL8" s="907">
        <v>2</v>
      </c>
      <c r="AM8" s="907">
        <v>2</v>
      </c>
      <c r="AN8" s="908">
        <v>2</v>
      </c>
      <c r="AO8" s="1089" t="str">
        <f t="shared" si="1"/>
        <v/>
      </c>
      <c r="AP8" s="1429" t="str">
        <f t="shared" si="2"/>
        <v>05.ROSSO</v>
      </c>
      <c r="AQ8" s="1426">
        <v>1</v>
      </c>
      <c r="AR8" s="1426">
        <v>1</v>
      </c>
      <c r="AS8" s="1426">
        <v>6</v>
      </c>
      <c r="AT8" s="1430">
        <v>95</v>
      </c>
      <c r="AU8" s="913" t="s">
        <v>1006</v>
      </c>
    </row>
    <row r="9" spans="1:47" ht="27" customHeight="1" thickBot="1">
      <c r="B9" s="5" t="str">
        <f>+VLOOKUP(AT11,TRAD!$A:$G,$C$2-1,TRUE)</f>
        <v>ANTE</v>
      </c>
      <c r="C9" s="2">
        <v>1</v>
      </c>
      <c r="E9" s="1106"/>
      <c r="J9" s="899" t="s">
        <v>44</v>
      </c>
      <c r="K9" s="897" t="s">
        <v>423</v>
      </c>
      <c r="L9" s="671">
        <f t="shared" si="3"/>
        <v>1</v>
      </c>
      <c r="M9" s="513">
        <v>1609</v>
      </c>
      <c r="N9" s="514" t="s">
        <v>286</v>
      </c>
      <c r="O9" s="514" t="s">
        <v>287</v>
      </c>
      <c r="P9" s="681" t="s">
        <v>288</v>
      </c>
      <c r="V9" s="1827" t="s">
        <v>1080</v>
      </c>
      <c r="W9" s="1828"/>
      <c r="X9" s="1829"/>
      <c r="Y9" s="1819" t="s">
        <v>1081</v>
      </c>
      <c r="Z9" s="1820"/>
      <c r="AA9" s="1821"/>
      <c r="AB9" s="909" t="s">
        <v>376</v>
      </c>
      <c r="AC9" s="1390">
        <v>0</v>
      </c>
      <c r="AD9" s="907">
        <v>0</v>
      </c>
      <c r="AE9" s="907">
        <v>5</v>
      </c>
      <c r="AF9" s="907">
        <v>400</v>
      </c>
      <c r="AG9" s="907">
        <v>1500</v>
      </c>
      <c r="AH9" s="907">
        <v>700</v>
      </c>
      <c r="AI9" s="907">
        <v>3100</v>
      </c>
      <c r="AJ9" s="907">
        <v>2</v>
      </c>
      <c r="AK9" s="907">
        <v>2</v>
      </c>
      <c r="AL9" s="907">
        <v>2</v>
      </c>
      <c r="AM9" s="907">
        <v>2</v>
      </c>
      <c r="AN9" s="908">
        <v>2</v>
      </c>
      <c r="AO9" s="1089" t="str">
        <f t="shared" si="1"/>
        <v/>
      </c>
      <c r="AP9" s="1429" t="str">
        <f t="shared" si="2"/>
        <v>06.NERO</v>
      </c>
      <c r="AQ9" s="1426">
        <v>1</v>
      </c>
      <c r="AR9" s="1426">
        <v>1</v>
      </c>
      <c r="AS9" s="1426">
        <v>7</v>
      </c>
      <c r="AT9" s="1430">
        <v>96</v>
      </c>
      <c r="AU9" s="913" t="s">
        <v>974</v>
      </c>
    </row>
    <row r="10" spans="1:47" ht="27" customHeight="1" thickBot="1">
      <c r="B10" s="5" t="str">
        <f>+VLOOKUP(AT12,TRAD!$A:$G,$C$2-1,TRUE)</f>
        <v>COLORE</v>
      </c>
      <c r="C10" s="900" t="s">
        <v>423</v>
      </c>
      <c r="E10" s="1104"/>
      <c r="J10" s="899" t="s">
        <v>44</v>
      </c>
      <c r="K10" s="897" t="s">
        <v>424</v>
      </c>
      <c r="L10" s="671">
        <f t="shared" si="3"/>
        <v>1</v>
      </c>
      <c r="M10" s="513">
        <v>1809</v>
      </c>
      <c r="N10" s="514" t="s">
        <v>289</v>
      </c>
      <c r="O10" s="514" t="s">
        <v>290</v>
      </c>
      <c r="P10" s="681" t="s">
        <v>291</v>
      </c>
      <c r="V10" s="1715">
        <f>+IF(C15="",1,IF(C15=0,1,C15))</f>
        <v>1</v>
      </c>
      <c r="W10" s="687"/>
      <c r="X10" s="1716"/>
      <c r="Y10" s="1715">
        <f>+IF(F15="",1,IF(F15=0,1,F15))</f>
        <v>1</v>
      </c>
      <c r="Z10" s="687"/>
      <c r="AA10" s="1716"/>
      <c r="AB10" s="909" t="s">
        <v>490</v>
      </c>
      <c r="AC10" s="1390">
        <v>0</v>
      </c>
      <c r="AD10" s="907">
        <v>0</v>
      </c>
      <c r="AE10" s="907">
        <v>6</v>
      </c>
      <c r="AF10" s="907"/>
      <c r="AG10" s="907"/>
      <c r="AH10" s="907"/>
      <c r="AI10" s="907"/>
      <c r="AJ10" s="907">
        <v>1</v>
      </c>
      <c r="AK10" s="907">
        <v>1</v>
      </c>
      <c r="AL10" s="907">
        <v>1</v>
      </c>
      <c r="AM10" s="907">
        <v>1</v>
      </c>
      <c r="AN10" s="908">
        <v>1</v>
      </c>
      <c r="AO10" s="1089" t="str">
        <f t="shared" si="1"/>
        <v/>
      </c>
      <c r="AP10" s="1429" t="str">
        <f t="shared" si="2"/>
        <v>07.TES.MORO</v>
      </c>
      <c r="AQ10" s="1426">
        <v>1</v>
      </c>
      <c r="AR10" s="1426">
        <v>1</v>
      </c>
      <c r="AS10" s="1426">
        <v>1</v>
      </c>
      <c r="AT10" s="1430">
        <v>97</v>
      </c>
      <c r="AU10" s="913" t="s">
        <v>1007</v>
      </c>
    </row>
    <row r="11" spans="1:47" ht="27" customHeight="1" thickBot="1">
      <c r="B11" s="5" t="str">
        <f>+VLOOKUP(AT13,TRAD!$A:$G,$C$2-1,TRUE)</f>
        <v>N. PEZZI</v>
      </c>
      <c r="C11" s="1" t="s">
        <v>122</v>
      </c>
      <c r="J11" s="899" t="s">
        <v>44</v>
      </c>
      <c r="K11" s="897" t="s">
        <v>425</v>
      </c>
      <c r="L11" s="672">
        <f t="shared" si="3"/>
        <v>1</v>
      </c>
      <c r="M11" s="673">
        <v>9999</v>
      </c>
      <c r="N11" s="682" t="s">
        <v>292</v>
      </c>
      <c r="O11" s="682" t="s">
        <v>293</v>
      </c>
      <c r="P11" s="683" t="s">
        <v>294</v>
      </c>
      <c r="V11" s="1717">
        <f>3-SUM(V12:V14)</f>
        <v>3</v>
      </c>
      <c r="W11" s="1724">
        <f>INDEX(X12:X14,V11)</f>
        <v>36</v>
      </c>
      <c r="X11" s="1718"/>
      <c r="Y11" s="1717">
        <f>3-SUM(Y12:Y14)</f>
        <v>3</v>
      </c>
      <c r="Z11" s="1724">
        <f>INDEX(AA12:AA14,Y11)</f>
        <v>0</v>
      </c>
      <c r="AA11" s="1718"/>
      <c r="AB11" s="909" t="s">
        <v>491</v>
      </c>
      <c r="AC11" s="1390">
        <v>0</v>
      </c>
      <c r="AD11" s="907">
        <v>0</v>
      </c>
      <c r="AE11" s="907">
        <v>7</v>
      </c>
      <c r="AF11" s="907"/>
      <c r="AG11" s="907"/>
      <c r="AH11" s="907"/>
      <c r="AI11" s="907"/>
      <c r="AJ11" s="907">
        <v>1</v>
      </c>
      <c r="AK11" s="907">
        <v>1</v>
      </c>
      <c r="AL11" s="907">
        <v>1</v>
      </c>
      <c r="AM11" s="907">
        <v>1</v>
      </c>
      <c r="AN11" s="908">
        <v>1</v>
      </c>
      <c r="AO11" s="1089" t="str">
        <f t="shared" si="1"/>
        <v/>
      </c>
      <c r="AP11" s="1429" t="str">
        <f t="shared" si="2"/>
        <v>08.BRONZO</v>
      </c>
      <c r="AQ11" s="1426">
        <v>1</v>
      </c>
      <c r="AR11" s="1426">
        <v>1</v>
      </c>
      <c r="AS11" s="1426">
        <v>2</v>
      </c>
      <c r="AT11" s="1430">
        <v>98</v>
      </c>
      <c r="AU11" s="913" t="s">
        <v>957</v>
      </c>
    </row>
    <row r="12" spans="1:47" ht="27" customHeight="1" thickBot="1">
      <c r="B12" s="5" t="str">
        <f>+VLOOKUP(AT14,TRAD!$A:$G,$C$2-1,TRUE)</f>
        <v>TIPO RETE</v>
      </c>
      <c r="C12" s="512"/>
      <c r="E12" s="693" t="str">
        <f>+VLOOKUP(AT19,TRAD!$A:$G,$C$2-1,TRUE)</f>
        <v>MACCHINA</v>
      </c>
      <c r="J12" s="899" t="s">
        <v>44</v>
      </c>
      <c r="K12" s="897" t="s">
        <v>426</v>
      </c>
      <c r="V12" s="1719">
        <f>+IF($C$7/C9&lt;W12,1,0)</f>
        <v>0</v>
      </c>
      <c r="W12" s="513">
        <v>400</v>
      </c>
      <c r="X12" s="1720">
        <v>34</v>
      </c>
      <c r="Y12" s="1719">
        <f>+IF($C$7/C9&lt;Z12,1,0)</f>
        <v>0</v>
      </c>
      <c r="Z12" s="1124">
        <v>1000</v>
      </c>
      <c r="AA12" s="1720">
        <v>1</v>
      </c>
      <c r="AB12" s="909" t="s">
        <v>492</v>
      </c>
      <c r="AC12" s="1390">
        <v>0</v>
      </c>
      <c r="AD12" s="907">
        <v>0</v>
      </c>
      <c r="AE12" s="907">
        <v>8</v>
      </c>
      <c r="AF12" s="907"/>
      <c r="AG12" s="907"/>
      <c r="AH12" s="907"/>
      <c r="AI12" s="907"/>
      <c r="AJ12" s="907">
        <v>1</v>
      </c>
      <c r="AK12" s="907">
        <v>1</v>
      </c>
      <c r="AL12" s="907">
        <v>1</v>
      </c>
      <c r="AM12" s="907">
        <v>1</v>
      </c>
      <c r="AN12" s="908">
        <v>1</v>
      </c>
      <c r="AO12" s="1089" t="str">
        <f t="shared" si="1"/>
        <v/>
      </c>
      <c r="AP12" s="1429" t="str">
        <f t="shared" si="2"/>
        <v>09.ARGENTO</v>
      </c>
      <c r="AQ12" s="1426">
        <v>1</v>
      </c>
      <c r="AR12" s="1426">
        <v>1</v>
      </c>
      <c r="AS12" s="1426">
        <v>0</v>
      </c>
      <c r="AT12" s="1430">
        <v>99</v>
      </c>
      <c r="AU12" s="913" t="s">
        <v>961</v>
      </c>
    </row>
    <row r="13" spans="1:47" ht="27" customHeight="1">
      <c r="B13" s="5" t="str">
        <f>+VLOOKUP(AT15,TRAD!$A:$G,$C$2-1,TRUE)</f>
        <v>NOTE</v>
      </c>
      <c r="C13" s="3"/>
      <c r="E13" s="694" t="s">
        <v>616</v>
      </c>
      <c r="J13" s="899" t="s">
        <v>44</v>
      </c>
      <c r="K13" s="897" t="s">
        <v>427</v>
      </c>
      <c r="L13" s="1098" t="e">
        <f>+LEFT(REPT("0",2-LEN(E14))&amp;E14,1)</f>
        <v>#VALUE!</v>
      </c>
      <c r="M13" s="1100" t="s">
        <v>618</v>
      </c>
      <c r="N13" s="1096"/>
      <c r="O13" s="1096"/>
      <c r="P13" s="1097"/>
      <c r="V13" s="1719">
        <f>+IF($C$7/C9&lt;W9,1,0)</f>
        <v>0</v>
      </c>
      <c r="W13" s="513">
        <v>801</v>
      </c>
      <c r="X13" s="1720">
        <v>35</v>
      </c>
      <c r="Y13" s="1719">
        <f>+IF($C$7/C9&lt;Z13,1,0)</f>
        <v>0</v>
      </c>
      <c r="Z13" s="1124">
        <v>1400</v>
      </c>
      <c r="AA13" s="1720">
        <v>2</v>
      </c>
      <c r="AB13" s="909" t="s">
        <v>12</v>
      </c>
      <c r="AC13" s="1390">
        <v>0</v>
      </c>
      <c r="AD13" s="907">
        <v>0</v>
      </c>
      <c r="AE13" s="907">
        <v>9</v>
      </c>
      <c r="AF13" s="907"/>
      <c r="AG13" s="907"/>
      <c r="AH13" s="907"/>
      <c r="AI13" s="907"/>
      <c r="AJ13" s="907">
        <v>3</v>
      </c>
      <c r="AK13" s="907">
        <v>3</v>
      </c>
      <c r="AL13" s="907">
        <v>3</v>
      </c>
      <c r="AM13" s="907">
        <v>3</v>
      </c>
      <c r="AN13" s="908">
        <v>3</v>
      </c>
      <c r="AO13" s="1089" t="str">
        <f t="shared" si="1"/>
        <v/>
      </c>
      <c r="AP13" s="1429" t="str">
        <f t="shared" si="2"/>
        <v>10.VER.MAR.</v>
      </c>
      <c r="AQ13" s="1426">
        <v>1</v>
      </c>
      <c r="AR13" s="1426">
        <v>2</v>
      </c>
      <c r="AS13" s="1426">
        <v>1</v>
      </c>
      <c r="AT13" s="1430">
        <v>100</v>
      </c>
      <c r="AU13" s="913" t="s">
        <v>994</v>
      </c>
    </row>
    <row r="14" spans="1:47" ht="21.75" customHeight="1" thickBot="1">
      <c r="A14">
        <v>0</v>
      </c>
      <c r="B14" s="5" t="str">
        <f>+VLOOKUP(AT16,TRAD!$A:$G,$C$2-1,TRUE)</f>
        <v>NUMERO COPIE</v>
      </c>
      <c r="C14" s="4">
        <v>1</v>
      </c>
      <c r="E14" s="695" t="str">
        <f>IF(C3="","ATT!!! SELEZIONA ARTICOLO",VLOOKUP(C3,AB5:AN39,HLOOKUP(E13,AJ3:AN4,2,0),0))</f>
        <v>ATT!!! SELEZIONA ARTICOLO</v>
      </c>
      <c r="J14" s="899" t="s">
        <v>44</v>
      </c>
      <c r="K14" s="897" t="s">
        <v>428</v>
      </c>
      <c r="L14" s="1099" t="e">
        <f>+RIGHT(REPT("0",2-LEN(E14))&amp;E14,1)</f>
        <v>#VALUE!</v>
      </c>
      <c r="M14" s="1101" t="s">
        <v>619</v>
      </c>
      <c r="N14" s="1094"/>
      <c r="O14" s="1094"/>
      <c r="P14" s="1095"/>
      <c r="V14" s="1721">
        <f>+IF($C$7/C9&lt;W14,1,0)</f>
        <v>0</v>
      </c>
      <c r="W14" s="673">
        <v>1201</v>
      </c>
      <c r="X14" s="1722">
        <v>36</v>
      </c>
      <c r="Y14" s="1721"/>
      <c r="Z14" s="1723"/>
      <c r="AA14" s="1722"/>
      <c r="AB14" s="909" t="s">
        <v>13</v>
      </c>
      <c r="AC14" s="1390">
        <v>0</v>
      </c>
      <c r="AD14" s="907">
        <v>0</v>
      </c>
      <c r="AE14" s="907">
        <v>10</v>
      </c>
      <c r="AF14" s="907"/>
      <c r="AG14" s="907"/>
      <c r="AH14" s="907"/>
      <c r="AI14" s="907"/>
      <c r="AJ14" s="907">
        <v>1</v>
      </c>
      <c r="AK14" s="907">
        <v>1</v>
      </c>
      <c r="AL14" s="907">
        <v>1</v>
      </c>
      <c r="AM14" s="907">
        <v>1</v>
      </c>
      <c r="AN14" s="908">
        <v>1</v>
      </c>
      <c r="AO14" s="1089" t="str">
        <f t="shared" si="1"/>
        <v/>
      </c>
      <c r="AP14" s="1429" t="str">
        <f t="shared" si="2"/>
        <v>11.MAR.MAR.</v>
      </c>
      <c r="AQ14" s="1426">
        <v>1</v>
      </c>
      <c r="AR14" s="1426">
        <v>2</v>
      </c>
      <c r="AS14" s="1426">
        <v>2</v>
      </c>
      <c r="AT14" s="1430">
        <v>101</v>
      </c>
      <c r="AU14" s="913" t="s">
        <v>998</v>
      </c>
    </row>
    <row r="15" spans="1:47" ht="21.75" customHeight="1" thickBot="1">
      <c r="J15" s="899" t="s">
        <v>44</v>
      </c>
      <c r="K15" s="897" t="s">
        <v>429</v>
      </c>
      <c r="L15" s="1137">
        <v>1</v>
      </c>
      <c r="M15" s="1822" t="str">
        <f>IF(L15=2,VLOOKUP(38,TRADUZIONI,C2-1,0),VLOOKUP(77,TRADUZIONI,C2-1,0))</f>
        <v>RETE NERA</v>
      </c>
      <c r="N15" s="1822"/>
      <c r="O15" s="1822"/>
      <c r="P15" s="1823"/>
      <c r="V15" s="1827" t="s">
        <v>1088</v>
      </c>
      <c r="W15" s="1828"/>
      <c r="X15" s="1829"/>
      <c r="AB15" s="909" t="s">
        <v>462</v>
      </c>
      <c r="AC15" s="1390">
        <v>0</v>
      </c>
      <c r="AD15" s="907">
        <v>0</v>
      </c>
      <c r="AE15" s="907">
        <v>11</v>
      </c>
      <c r="AF15" s="907"/>
      <c r="AG15" s="907"/>
      <c r="AH15" s="907"/>
      <c r="AI15" s="907"/>
      <c r="AJ15" s="907">
        <v>1</v>
      </c>
      <c r="AK15" s="907">
        <v>1</v>
      </c>
      <c r="AL15" s="907">
        <v>1</v>
      </c>
      <c r="AM15" s="907">
        <v>1</v>
      </c>
      <c r="AN15" s="908">
        <v>1</v>
      </c>
      <c r="AO15" s="1089" t="str">
        <f t="shared" si="1"/>
        <v/>
      </c>
      <c r="AP15" s="1429" t="str">
        <f t="shared" si="2"/>
        <v>12.GRI.MAR.</v>
      </c>
      <c r="AQ15" s="1426">
        <v>1</v>
      </c>
      <c r="AR15" s="1426">
        <v>2</v>
      </c>
      <c r="AS15" s="1426">
        <v>7</v>
      </c>
      <c r="AT15" s="1430">
        <v>102</v>
      </c>
      <c r="AU15" s="913" t="s">
        <v>1002</v>
      </c>
    </row>
    <row r="16" spans="1:47" ht="21.75" customHeight="1" thickBot="1">
      <c r="J16" s="899" t="s">
        <v>44</v>
      </c>
      <c r="K16" s="897" t="s">
        <v>430</v>
      </c>
      <c r="L16" s="1364" t="e">
        <f>+IF(C9=0,1,C9)*VLOOKUP(C3,$AB:$AQ,16,0)*IF(C14=0,1,C14)*C11</f>
        <v>#N/A</v>
      </c>
      <c r="M16" s="1822" t="s">
        <v>711</v>
      </c>
      <c r="N16" s="1822"/>
      <c r="O16" s="1822"/>
      <c r="P16" s="1823"/>
      <c r="V16" s="1715">
        <f>+IF(C21="",1,IF(C21=0,1,C21))</f>
        <v>1</v>
      </c>
      <c r="W16" s="687"/>
      <c r="X16" s="1716"/>
      <c r="AB16" s="909" t="s">
        <v>14</v>
      </c>
      <c r="AC16" s="1390">
        <v>0</v>
      </c>
      <c r="AD16" s="907">
        <v>0</v>
      </c>
      <c r="AE16" s="907">
        <v>12</v>
      </c>
      <c r="AF16" s="907"/>
      <c r="AG16" s="907"/>
      <c r="AH16" s="907"/>
      <c r="AI16" s="907"/>
      <c r="AJ16" s="907">
        <v>1</v>
      </c>
      <c r="AK16" s="907">
        <v>1</v>
      </c>
      <c r="AL16" s="907">
        <v>1</v>
      </c>
      <c r="AM16" s="907">
        <v>1</v>
      </c>
      <c r="AN16" s="908">
        <v>6</v>
      </c>
      <c r="AO16" s="1089" t="str">
        <f t="shared" si="1"/>
        <v/>
      </c>
      <c r="AP16" s="1429" t="str">
        <f t="shared" si="2"/>
        <v>13.ROS.MAR.</v>
      </c>
      <c r="AQ16" s="1426">
        <v>1</v>
      </c>
      <c r="AR16" s="1426">
        <v>2</v>
      </c>
      <c r="AS16" s="1426">
        <v>3</v>
      </c>
      <c r="AT16" s="1430">
        <v>103</v>
      </c>
      <c r="AU16" s="913" t="s">
        <v>1008</v>
      </c>
    </row>
    <row r="17" spans="10:47" ht="21.75" customHeight="1" thickBot="1">
      <c r="J17" s="899" t="s">
        <v>44</v>
      </c>
      <c r="K17" s="897" t="s">
        <v>431</v>
      </c>
      <c r="L17" s="1137" t="e">
        <f>VLOOKUP(C3,AB:AR,17,0)</f>
        <v>#N/A</v>
      </c>
      <c r="M17" s="1822" t="s">
        <v>719</v>
      </c>
      <c r="N17" s="1822"/>
      <c r="O17" s="1822"/>
      <c r="P17" s="1823"/>
      <c r="V17" s="1717">
        <f>7-SUM(V18:V24)</f>
        <v>5</v>
      </c>
      <c r="W17" s="1724">
        <f>INDEX(X18:X24,V17)</f>
        <v>1600</v>
      </c>
      <c r="X17" s="1718"/>
      <c r="AB17" s="909" t="s">
        <v>15</v>
      </c>
      <c r="AC17" s="1390">
        <v>0</v>
      </c>
      <c r="AD17" s="907">
        <v>0</v>
      </c>
      <c r="AE17" s="907">
        <v>13</v>
      </c>
      <c r="AF17" s="907"/>
      <c r="AG17" s="907"/>
      <c r="AH17" s="907"/>
      <c r="AI17" s="907"/>
      <c r="AJ17" s="907">
        <v>1</v>
      </c>
      <c r="AK17" s="907">
        <v>1</v>
      </c>
      <c r="AL17" s="907">
        <v>1</v>
      </c>
      <c r="AM17" s="907">
        <v>1</v>
      </c>
      <c r="AN17" s="908">
        <v>6</v>
      </c>
      <c r="AO17" s="1089" t="str">
        <f t="shared" si="1"/>
        <v/>
      </c>
      <c r="AP17" s="1429" t="str">
        <f t="shared" si="2"/>
        <v>14.VE.M.AN.</v>
      </c>
      <c r="AQ17" s="1426">
        <v>2</v>
      </c>
      <c r="AR17" s="1426">
        <v>2</v>
      </c>
      <c r="AS17" s="1426">
        <v>4</v>
      </c>
      <c r="AT17">
        <v>104</v>
      </c>
      <c r="AU17" s="913" t="s">
        <v>1009</v>
      </c>
    </row>
    <row r="18" spans="10:47" ht="21.75" customHeight="1" thickBot="1">
      <c r="J18" s="899" t="s">
        <v>44</v>
      </c>
      <c r="K18" s="897" t="s">
        <v>432</v>
      </c>
      <c r="L18" s="1137" t="e">
        <f>VLOOKUP(C3,AB:AS,18,0)</f>
        <v>#N/A</v>
      </c>
      <c r="M18" s="1822" t="s">
        <v>720</v>
      </c>
      <c r="N18" s="1822"/>
      <c r="O18" s="1822"/>
      <c r="P18" s="1823"/>
      <c r="V18" s="1719">
        <f>+IF($C$7/$C$9&lt;W18,1,0)</f>
        <v>0</v>
      </c>
      <c r="W18" s="513">
        <v>600</v>
      </c>
      <c r="X18" s="1720">
        <v>800</v>
      </c>
      <c r="AB18" s="909" t="s">
        <v>16</v>
      </c>
      <c r="AC18" s="1390">
        <v>0</v>
      </c>
      <c r="AD18" s="907">
        <v>0</v>
      </c>
      <c r="AE18" s="907">
        <v>14</v>
      </c>
      <c r="AF18" s="907"/>
      <c r="AG18" s="907"/>
      <c r="AH18" s="907"/>
      <c r="AI18" s="907"/>
      <c r="AJ18" s="907">
        <v>1</v>
      </c>
      <c r="AK18" s="907">
        <v>1</v>
      </c>
      <c r="AL18" s="907">
        <v>1</v>
      </c>
      <c r="AM18" s="907">
        <v>1</v>
      </c>
      <c r="AN18" s="908">
        <v>1</v>
      </c>
      <c r="AO18" s="1089" t="str">
        <f t="shared" si="1"/>
        <v/>
      </c>
      <c r="AP18" s="1429" t="str">
        <f t="shared" si="2"/>
        <v>15.MA.M.AN.</v>
      </c>
      <c r="AQ18" s="1426">
        <v>1</v>
      </c>
      <c r="AR18" s="1426">
        <v>2</v>
      </c>
      <c r="AS18" s="1426">
        <v>5</v>
      </c>
      <c r="AT18">
        <v>105</v>
      </c>
      <c r="AU18" s="913" t="s">
        <v>949</v>
      </c>
    </row>
    <row r="19" spans="10:47" ht="21.75" customHeight="1" thickBot="1">
      <c r="J19" s="899" t="s">
        <v>44</v>
      </c>
      <c r="K19" s="897" t="s">
        <v>433</v>
      </c>
      <c r="L19" s="1188" t="str">
        <f>IF(ISERROR(VLOOKUP(C3&amp;C4&amp;TEXT(C5,"gg/mm/aaaa")&amp;C6&amp;C7&amp;C8,Storico!M:M,1,0))=TRUE,"SIN","NON")</f>
        <v>SIN</v>
      </c>
      <c r="M19" s="1824" t="s">
        <v>725</v>
      </c>
      <c r="N19" s="1824"/>
      <c r="O19" s="1824"/>
      <c r="P19" s="1825"/>
      <c r="V19" s="1719">
        <f t="shared" ref="V19:V24" si="4">+IF($C$7/$C$9&lt;W19,1,0)</f>
        <v>0</v>
      </c>
      <c r="W19" s="513">
        <v>800</v>
      </c>
      <c r="X19" s="1720">
        <v>1000</v>
      </c>
      <c r="AB19" s="909" t="s">
        <v>17</v>
      </c>
      <c r="AC19" s="1390">
        <v>0</v>
      </c>
      <c r="AD19" s="907">
        <v>0</v>
      </c>
      <c r="AE19" s="907">
        <v>15</v>
      </c>
      <c r="AF19" s="907"/>
      <c r="AG19" s="907"/>
      <c r="AH19" s="907"/>
      <c r="AI19" s="907"/>
      <c r="AJ19" s="907">
        <v>4</v>
      </c>
      <c r="AK19" s="907">
        <v>4</v>
      </c>
      <c r="AL19" s="907">
        <v>4</v>
      </c>
      <c r="AM19" s="907">
        <v>4</v>
      </c>
      <c r="AN19" s="908">
        <v>4</v>
      </c>
      <c r="AO19" s="1089" t="str">
        <f t="shared" si="1"/>
        <v/>
      </c>
      <c r="AP19" s="1429" t="str">
        <f t="shared" si="2"/>
        <v>16.GR.M.AN.</v>
      </c>
      <c r="AQ19" s="1426">
        <v>1</v>
      </c>
      <c r="AR19" s="1426">
        <v>2</v>
      </c>
      <c r="AS19" s="1426">
        <v>6</v>
      </c>
      <c r="AT19">
        <v>106</v>
      </c>
      <c r="AU19" s="913" t="s">
        <v>1010</v>
      </c>
    </row>
    <row r="20" spans="10:47" ht="21.75" customHeight="1" thickBot="1">
      <c r="J20" s="899" t="s">
        <v>44</v>
      </c>
      <c r="K20" s="897" t="s">
        <v>434</v>
      </c>
      <c r="L20" s="1205" t="s">
        <v>733</v>
      </c>
      <c r="M20" s="1189" t="s">
        <v>735</v>
      </c>
      <c r="N20" s="1189"/>
      <c r="O20" s="1189"/>
      <c r="P20" s="1190"/>
      <c r="V20" s="1719">
        <f t="shared" si="4"/>
        <v>0</v>
      </c>
      <c r="W20" s="513">
        <v>1000</v>
      </c>
      <c r="X20" s="1720">
        <v>1200</v>
      </c>
      <c r="AB20" s="909" t="s">
        <v>18</v>
      </c>
      <c r="AC20" s="1390">
        <v>0</v>
      </c>
      <c r="AD20" s="907">
        <v>0</v>
      </c>
      <c r="AE20" s="907">
        <v>16</v>
      </c>
      <c r="AF20" s="907"/>
      <c r="AG20" s="907"/>
      <c r="AH20" s="907"/>
      <c r="AI20" s="907"/>
      <c r="AJ20" s="907">
        <v>99</v>
      </c>
      <c r="AK20" s="907">
        <v>99</v>
      </c>
      <c r="AL20" s="907">
        <v>99</v>
      </c>
      <c r="AM20" s="907">
        <v>1</v>
      </c>
      <c r="AN20" s="908">
        <v>1</v>
      </c>
      <c r="AO20" s="1089" t="str">
        <f t="shared" si="1"/>
        <v/>
      </c>
      <c r="AP20" s="1429" t="str">
        <f t="shared" si="2"/>
        <v>18.DEC.NOC.</v>
      </c>
      <c r="AQ20" s="1426">
        <v>1</v>
      </c>
      <c r="AR20" s="1426">
        <v>1</v>
      </c>
      <c r="AS20" s="1426">
        <v>0</v>
      </c>
      <c r="AT20">
        <v>107</v>
      </c>
      <c r="AU20" s="913" t="s">
        <v>959</v>
      </c>
    </row>
    <row r="21" spans="10:47" ht="21.75" customHeight="1">
      <c r="J21" s="899" t="s">
        <v>44</v>
      </c>
      <c r="K21" s="897" t="s">
        <v>435</v>
      </c>
      <c r="V21" s="1719">
        <f t="shared" si="4"/>
        <v>0</v>
      </c>
      <c r="W21" s="513">
        <v>1200</v>
      </c>
      <c r="X21" s="1720">
        <v>1400</v>
      </c>
      <c r="AB21" s="909" t="s">
        <v>19</v>
      </c>
      <c r="AC21" s="1390">
        <v>0</v>
      </c>
      <c r="AD21" s="907">
        <v>0</v>
      </c>
      <c r="AE21" s="907">
        <v>17</v>
      </c>
      <c r="AF21" s="907"/>
      <c r="AG21" s="907"/>
      <c r="AH21" s="907"/>
      <c r="AI21" s="907"/>
      <c r="AJ21" s="907">
        <v>99</v>
      </c>
      <c r="AK21" s="907">
        <v>99</v>
      </c>
      <c r="AL21" s="907">
        <v>99</v>
      </c>
      <c r="AM21" s="907">
        <v>1</v>
      </c>
      <c r="AN21" s="908">
        <v>1</v>
      </c>
      <c r="AO21" s="1089" t="str">
        <f t="shared" si="1"/>
        <v/>
      </c>
      <c r="AP21" s="1429" t="str">
        <f t="shared" si="2"/>
        <v>19.DEC.CIL.</v>
      </c>
      <c r="AQ21" s="1426">
        <v>1</v>
      </c>
      <c r="AR21" s="1426">
        <v>1</v>
      </c>
      <c r="AS21" s="1426">
        <v>0</v>
      </c>
      <c r="AT21">
        <v>108</v>
      </c>
      <c r="AU21" s="913" t="s">
        <v>959</v>
      </c>
    </row>
    <row r="22" spans="10:47" ht="21.75" customHeight="1">
      <c r="J22" s="899" t="s">
        <v>44</v>
      </c>
      <c r="K22" s="897" t="s">
        <v>436</v>
      </c>
      <c r="V22" s="1719">
        <f t="shared" si="4"/>
        <v>0</v>
      </c>
      <c r="W22" s="513">
        <v>1400</v>
      </c>
      <c r="X22" s="1720">
        <v>1600</v>
      </c>
      <c r="AB22" s="909" t="s">
        <v>135</v>
      </c>
      <c r="AC22" s="1390">
        <v>0</v>
      </c>
      <c r="AD22" s="907">
        <v>0</v>
      </c>
      <c r="AE22" s="907">
        <v>18</v>
      </c>
      <c r="AF22" s="907"/>
      <c r="AG22" s="907"/>
      <c r="AH22" s="907"/>
      <c r="AI22" s="907"/>
      <c r="AJ22" s="907">
        <v>99</v>
      </c>
      <c r="AK22" s="907">
        <v>99</v>
      </c>
      <c r="AL22" s="907">
        <v>99</v>
      </c>
      <c r="AM22" s="907">
        <v>1</v>
      </c>
      <c r="AN22" s="908">
        <v>1</v>
      </c>
      <c r="AO22" s="1089" t="str">
        <f t="shared" si="1"/>
        <v/>
      </c>
      <c r="AP22" s="1429" t="str">
        <f t="shared" si="2"/>
        <v>20.DEC.PIN.</v>
      </c>
      <c r="AQ22" s="1426">
        <v>1</v>
      </c>
      <c r="AR22" s="1426">
        <v>2</v>
      </c>
      <c r="AS22" s="1426">
        <v>0</v>
      </c>
      <c r="AT22">
        <v>109</v>
      </c>
      <c r="AU22" s="913" t="s">
        <v>1008</v>
      </c>
    </row>
    <row r="23" spans="10:47" ht="21.75" customHeight="1">
      <c r="J23" s="899" t="s">
        <v>44</v>
      </c>
      <c r="K23" s="897" t="s">
        <v>437</v>
      </c>
      <c r="V23" s="1719">
        <f t="shared" si="4"/>
        <v>1</v>
      </c>
      <c r="W23" s="513">
        <v>1600</v>
      </c>
      <c r="X23" s="1720">
        <v>1800</v>
      </c>
      <c r="AB23" s="909" t="s">
        <v>136</v>
      </c>
      <c r="AC23" s="1390">
        <v>0</v>
      </c>
      <c r="AD23" s="907">
        <v>0</v>
      </c>
      <c r="AE23" s="907">
        <v>19</v>
      </c>
      <c r="AF23" s="907"/>
      <c r="AG23" s="907"/>
      <c r="AH23" s="907"/>
      <c r="AI23" s="907"/>
      <c r="AJ23" s="907">
        <v>99</v>
      </c>
      <c r="AK23" s="907">
        <v>99</v>
      </c>
      <c r="AL23" s="907">
        <v>99</v>
      </c>
      <c r="AM23" s="907">
        <v>1</v>
      </c>
      <c r="AN23" s="908">
        <v>1</v>
      </c>
      <c r="AO23" s="1089" t="str">
        <f t="shared" si="1"/>
        <v/>
      </c>
      <c r="AP23" s="1429" t="str">
        <f t="shared" si="2"/>
        <v>21.DEC.DOU.</v>
      </c>
      <c r="AQ23" s="1426">
        <v>2</v>
      </c>
      <c r="AR23" s="1426">
        <v>2</v>
      </c>
      <c r="AS23" s="1426">
        <v>0</v>
      </c>
      <c r="AT23">
        <v>110</v>
      </c>
      <c r="AU23" s="913" t="s">
        <v>1009</v>
      </c>
    </row>
    <row r="24" spans="10:47" ht="21.75" customHeight="1" thickBot="1">
      <c r="J24" s="899" t="s">
        <v>44</v>
      </c>
      <c r="K24" s="897" t="s">
        <v>438</v>
      </c>
      <c r="V24" s="1721">
        <f t="shared" si="4"/>
        <v>1</v>
      </c>
      <c r="W24" s="673">
        <v>2350</v>
      </c>
      <c r="X24" s="1744">
        <v>2500</v>
      </c>
      <c r="AB24" s="909" t="s">
        <v>493</v>
      </c>
      <c r="AC24" s="1390">
        <v>0</v>
      </c>
      <c r="AD24" s="910">
        <v>0</v>
      </c>
      <c r="AE24" s="910">
        <v>20</v>
      </c>
      <c r="AF24" s="910"/>
      <c r="AG24" s="910"/>
      <c r="AH24" s="910"/>
      <c r="AI24" s="910"/>
      <c r="AJ24" s="910">
        <v>1</v>
      </c>
      <c r="AK24" s="910">
        <v>7</v>
      </c>
      <c r="AL24" s="910">
        <v>7</v>
      </c>
      <c r="AM24" s="910">
        <v>7</v>
      </c>
      <c r="AN24" s="1090">
        <v>17</v>
      </c>
      <c r="AO24" s="1089" t="str">
        <f t="shared" si="1"/>
        <v/>
      </c>
      <c r="AP24" s="1429" t="str">
        <f t="shared" si="2"/>
        <v>22.DEC.IRO.</v>
      </c>
      <c r="AQ24" s="1427">
        <v>1</v>
      </c>
      <c r="AR24" s="1427">
        <v>2</v>
      </c>
      <c r="AS24" s="1427">
        <v>9</v>
      </c>
      <c r="AT24">
        <v>111</v>
      </c>
      <c r="AU24" s="913" t="s">
        <v>954</v>
      </c>
    </row>
    <row r="25" spans="10:47" ht="21.75" customHeight="1">
      <c r="J25" s="899" t="s">
        <v>44</v>
      </c>
      <c r="K25" s="897" t="s">
        <v>446</v>
      </c>
      <c r="AB25" s="909" t="s">
        <v>494</v>
      </c>
      <c r="AC25" s="1390">
        <v>0</v>
      </c>
      <c r="AD25" s="910">
        <v>0</v>
      </c>
      <c r="AE25" s="910">
        <v>21</v>
      </c>
      <c r="AF25" s="910"/>
      <c r="AG25" s="910"/>
      <c r="AH25" s="910"/>
      <c r="AI25" s="910"/>
      <c r="AJ25" s="910">
        <v>5</v>
      </c>
      <c r="AK25" s="910"/>
      <c r="AL25" s="910"/>
      <c r="AM25" s="910"/>
      <c r="AN25" s="1090">
        <v>19</v>
      </c>
      <c r="AO25" s="1089" t="str">
        <f t="shared" si="1"/>
        <v/>
      </c>
      <c r="AP25" s="1429" t="str">
        <f>+IF(J32="X",K32,"")</f>
        <v/>
      </c>
      <c r="AQ25" s="1427">
        <v>1</v>
      </c>
      <c r="AR25" s="1427">
        <v>2</v>
      </c>
      <c r="AS25" s="1427">
        <v>14</v>
      </c>
      <c r="AT25">
        <v>112</v>
      </c>
      <c r="AU25" s="913" t="s">
        <v>976</v>
      </c>
    </row>
    <row r="26" spans="10:47" ht="21.75" customHeight="1">
      <c r="J26" s="899"/>
      <c r="K26" s="897" t="s">
        <v>440</v>
      </c>
      <c r="AB26" s="909" t="s">
        <v>495</v>
      </c>
      <c r="AC26" s="1390">
        <v>0</v>
      </c>
      <c r="AD26" s="910">
        <v>0</v>
      </c>
      <c r="AE26" s="910">
        <v>22</v>
      </c>
      <c r="AF26" s="910"/>
      <c r="AG26" s="910"/>
      <c r="AH26" s="910"/>
      <c r="AI26" s="910"/>
      <c r="AJ26" s="910">
        <v>1</v>
      </c>
      <c r="AK26" s="910">
        <v>6</v>
      </c>
      <c r="AL26" s="910">
        <v>6</v>
      </c>
      <c r="AM26" s="910">
        <v>6</v>
      </c>
      <c r="AN26" s="1090">
        <v>16</v>
      </c>
      <c r="AO26" s="1089" t="str">
        <f t="shared" si="1"/>
        <v/>
      </c>
      <c r="AP26" s="1429" t="str">
        <f t="shared" si="2"/>
        <v/>
      </c>
      <c r="AQ26" s="1427">
        <v>1</v>
      </c>
      <c r="AR26" s="1427">
        <v>2</v>
      </c>
      <c r="AS26" s="1427">
        <v>10</v>
      </c>
      <c r="AT26">
        <v>113</v>
      </c>
      <c r="AU26" s="913" t="s">
        <v>963</v>
      </c>
    </row>
    <row r="27" spans="10:47" ht="21.75" customHeight="1">
      <c r="J27" s="899"/>
      <c r="K27" s="897" t="s">
        <v>441</v>
      </c>
      <c r="AB27" s="909" t="s">
        <v>496</v>
      </c>
      <c r="AC27" s="1390">
        <v>0</v>
      </c>
      <c r="AD27" s="910">
        <v>0</v>
      </c>
      <c r="AE27" s="910">
        <v>23</v>
      </c>
      <c r="AF27" s="910"/>
      <c r="AG27" s="910"/>
      <c r="AH27" s="910"/>
      <c r="AI27" s="910"/>
      <c r="AJ27" s="910">
        <v>1</v>
      </c>
      <c r="AK27" s="910">
        <v>6</v>
      </c>
      <c r="AL27" s="910">
        <v>6</v>
      </c>
      <c r="AM27" s="910">
        <v>6</v>
      </c>
      <c r="AN27" s="1090">
        <v>16</v>
      </c>
      <c r="AO27" s="1089" t="str">
        <f t="shared" si="1"/>
        <v/>
      </c>
      <c r="AP27" s="1429" t="str">
        <f t="shared" si="2"/>
        <v/>
      </c>
      <c r="AQ27" s="1427">
        <v>2</v>
      </c>
      <c r="AR27" s="1427">
        <v>2</v>
      </c>
      <c r="AS27" s="1427">
        <v>11</v>
      </c>
      <c r="AT27">
        <v>114</v>
      </c>
      <c r="AU27" s="913" t="s">
        <v>965</v>
      </c>
    </row>
    <row r="28" spans="10:47" ht="21.75" customHeight="1">
      <c r="J28" s="899"/>
      <c r="K28" s="897" t="s">
        <v>442</v>
      </c>
      <c r="AB28" s="909" t="s">
        <v>774</v>
      </c>
      <c r="AC28" s="1390">
        <v>0</v>
      </c>
      <c r="AD28" s="910">
        <v>0</v>
      </c>
      <c r="AE28" s="910">
        <v>24</v>
      </c>
      <c r="AF28" s="910"/>
      <c r="AG28" s="910"/>
      <c r="AH28" s="910"/>
      <c r="AI28" s="910"/>
      <c r="AJ28" s="910">
        <v>1</v>
      </c>
      <c r="AK28" s="910">
        <v>1</v>
      </c>
      <c r="AL28" s="910">
        <v>1</v>
      </c>
      <c r="AM28" s="910">
        <v>1</v>
      </c>
      <c r="AN28" s="1090">
        <v>11</v>
      </c>
      <c r="AO28" s="1089" t="str">
        <f t="shared" si="1"/>
        <v/>
      </c>
      <c r="AP28" s="1429" t="str">
        <f t="shared" si="2"/>
        <v/>
      </c>
      <c r="AQ28" s="1427">
        <v>1</v>
      </c>
      <c r="AR28" s="1427">
        <v>2</v>
      </c>
      <c r="AS28" s="1427">
        <v>12</v>
      </c>
      <c r="AT28">
        <v>115</v>
      </c>
      <c r="AU28" s="913" t="s">
        <v>967</v>
      </c>
    </row>
    <row r="29" spans="10:47" ht="21.75" customHeight="1">
      <c r="J29" s="899"/>
      <c r="K29" s="897" t="s">
        <v>443</v>
      </c>
      <c r="AB29" s="909" t="s">
        <v>497</v>
      </c>
      <c r="AC29" s="1390">
        <v>0</v>
      </c>
      <c r="AD29" s="907">
        <v>0</v>
      </c>
      <c r="AE29" s="907">
        <v>25</v>
      </c>
      <c r="AF29" s="907"/>
      <c r="AG29" s="907"/>
      <c r="AH29" s="907"/>
      <c r="AI29" s="907"/>
      <c r="AJ29" s="907">
        <v>4</v>
      </c>
      <c r="AK29" s="907">
        <v>8</v>
      </c>
      <c r="AL29" s="910">
        <v>8</v>
      </c>
      <c r="AM29" s="910">
        <v>8</v>
      </c>
      <c r="AN29" s="1090">
        <v>18</v>
      </c>
      <c r="AO29" s="1089" t="str">
        <f t="shared" si="1"/>
        <v/>
      </c>
      <c r="AP29" s="1429" t="str">
        <f t="shared" si="2"/>
        <v/>
      </c>
      <c r="AQ29" s="1427">
        <v>1</v>
      </c>
      <c r="AR29" s="1427">
        <v>2</v>
      </c>
      <c r="AS29" s="1427">
        <v>13</v>
      </c>
      <c r="AT29">
        <v>116</v>
      </c>
      <c r="AU29" s="913" t="s">
        <v>968</v>
      </c>
    </row>
    <row r="30" spans="10:47" ht="21.75" customHeight="1">
      <c r="J30" s="899"/>
      <c r="K30" s="897" t="s">
        <v>444</v>
      </c>
      <c r="AB30" s="1418" t="s">
        <v>775</v>
      </c>
      <c r="AC30" s="1390">
        <v>0</v>
      </c>
      <c r="AD30" s="907">
        <v>0</v>
      </c>
      <c r="AE30" s="907">
        <v>26</v>
      </c>
      <c r="AF30" s="907"/>
      <c r="AG30" s="907"/>
      <c r="AH30" s="907"/>
      <c r="AI30" s="907"/>
      <c r="AJ30" s="907">
        <v>2</v>
      </c>
      <c r="AK30" s="907">
        <v>2</v>
      </c>
      <c r="AL30" s="907">
        <v>2</v>
      </c>
      <c r="AM30" s="907">
        <v>2</v>
      </c>
      <c r="AN30" s="908">
        <v>2</v>
      </c>
      <c r="AO30" s="1089" t="str">
        <f t="shared" si="1"/>
        <v/>
      </c>
      <c r="AP30" s="1429" t="str">
        <f t="shared" si="2"/>
        <v/>
      </c>
      <c r="AQ30" s="1427">
        <v>1</v>
      </c>
      <c r="AR30" s="1427">
        <v>2</v>
      </c>
      <c r="AS30" s="1427">
        <v>15</v>
      </c>
      <c r="AT30">
        <v>117</v>
      </c>
      <c r="AU30" s="1549" t="s">
        <v>971</v>
      </c>
    </row>
    <row r="31" spans="10:47" ht="21.75" customHeight="1">
      <c r="J31" s="899"/>
      <c r="K31" s="897" t="s">
        <v>445</v>
      </c>
      <c r="AB31" s="909" t="s">
        <v>776</v>
      </c>
      <c r="AC31" s="1390">
        <v>0</v>
      </c>
      <c r="AD31" s="910">
        <v>0</v>
      </c>
      <c r="AE31" s="910">
        <v>27</v>
      </c>
      <c r="AF31" s="910"/>
      <c r="AG31" s="910"/>
      <c r="AH31" s="910"/>
      <c r="AI31" s="910"/>
      <c r="AJ31" s="910">
        <v>9</v>
      </c>
      <c r="AK31" s="907">
        <v>9</v>
      </c>
      <c r="AL31" s="907">
        <v>9</v>
      </c>
      <c r="AM31" s="907">
        <v>9</v>
      </c>
      <c r="AN31" s="908">
        <v>9</v>
      </c>
      <c r="AO31" s="1089" t="str">
        <f t="shared" si="1"/>
        <v/>
      </c>
      <c r="AP31" s="1429" t="str">
        <f>+IF(J30="X",K30,"")</f>
        <v/>
      </c>
      <c r="AQ31" s="1427">
        <v>1</v>
      </c>
      <c r="AR31" s="1427">
        <v>2</v>
      </c>
      <c r="AS31" s="1427">
        <v>20</v>
      </c>
      <c r="AT31">
        <v>118</v>
      </c>
      <c r="AU31" s="1549" t="s">
        <v>986</v>
      </c>
    </row>
    <row r="32" spans="10:47" ht="21.75" customHeight="1">
      <c r="J32" s="899"/>
      <c r="K32" s="897" t="s">
        <v>439</v>
      </c>
      <c r="AB32" s="909" t="s">
        <v>777</v>
      </c>
      <c r="AC32" s="1390">
        <v>0</v>
      </c>
      <c r="AD32" s="910">
        <v>0</v>
      </c>
      <c r="AE32" s="910">
        <v>28</v>
      </c>
      <c r="AF32" s="910"/>
      <c r="AG32" s="910"/>
      <c r="AH32" s="910"/>
      <c r="AI32" s="910"/>
      <c r="AJ32" s="910">
        <v>6</v>
      </c>
      <c r="AK32" s="907">
        <v>6</v>
      </c>
      <c r="AL32" s="907">
        <v>6</v>
      </c>
      <c r="AM32" s="907">
        <v>6</v>
      </c>
      <c r="AN32" s="908">
        <v>6</v>
      </c>
      <c r="AO32" s="1089" t="str">
        <f t="shared" si="1"/>
        <v/>
      </c>
      <c r="AP32" s="1429" t="str">
        <f>+IF(J31="X",K31,"")</f>
        <v/>
      </c>
      <c r="AQ32" s="1427">
        <v>1</v>
      </c>
      <c r="AR32" s="1427">
        <v>2</v>
      </c>
      <c r="AS32" s="1427">
        <v>16</v>
      </c>
      <c r="AT32">
        <v>119</v>
      </c>
      <c r="AU32" s="913" t="s">
        <v>978</v>
      </c>
    </row>
    <row r="33" spans="10:47" ht="21.75" customHeight="1">
      <c r="J33" s="899"/>
      <c r="K33" s="897" t="s">
        <v>447</v>
      </c>
      <c r="AB33" s="909" t="s">
        <v>778</v>
      </c>
      <c r="AC33" s="1390">
        <v>0</v>
      </c>
      <c r="AD33" s="910">
        <v>0</v>
      </c>
      <c r="AE33" s="910">
        <v>29</v>
      </c>
      <c r="AF33" s="910"/>
      <c r="AG33" s="910"/>
      <c r="AH33" s="910"/>
      <c r="AI33" s="910"/>
      <c r="AJ33" s="910">
        <v>6</v>
      </c>
      <c r="AK33" s="907">
        <v>6</v>
      </c>
      <c r="AL33" s="907">
        <v>6</v>
      </c>
      <c r="AM33" s="907">
        <v>6</v>
      </c>
      <c r="AN33" s="908">
        <v>6</v>
      </c>
      <c r="AO33" s="1089" t="str">
        <f t="shared" si="1"/>
        <v/>
      </c>
      <c r="AP33" s="1429" t="str">
        <f>+IF(J25="X",K25,"")</f>
        <v>COL.SPECIALE</v>
      </c>
      <c r="AQ33" s="1427">
        <v>2</v>
      </c>
      <c r="AR33" s="1427">
        <v>2</v>
      </c>
      <c r="AS33" s="1427">
        <v>17</v>
      </c>
      <c r="AT33">
        <v>120</v>
      </c>
      <c r="AU33" s="913" t="s">
        <v>980</v>
      </c>
    </row>
    <row r="34" spans="10:47" ht="21.75" customHeight="1">
      <c r="J34" s="899"/>
      <c r="K34" s="897" t="s">
        <v>448</v>
      </c>
      <c r="AB34" s="909" t="s">
        <v>779</v>
      </c>
      <c r="AC34" s="1390">
        <v>0</v>
      </c>
      <c r="AD34" s="910">
        <v>0</v>
      </c>
      <c r="AE34" s="910">
        <v>30</v>
      </c>
      <c r="AF34" s="910"/>
      <c r="AG34" s="910"/>
      <c r="AH34" s="910"/>
      <c r="AI34" s="910"/>
      <c r="AJ34" s="910">
        <v>2</v>
      </c>
      <c r="AK34" s="907">
        <v>2</v>
      </c>
      <c r="AL34" s="907">
        <v>2</v>
      </c>
      <c r="AM34" s="907">
        <v>2</v>
      </c>
      <c r="AN34" s="908">
        <v>1</v>
      </c>
      <c r="AO34" s="1089" t="str">
        <f t="shared" si="1"/>
        <v/>
      </c>
      <c r="AQ34" s="1427">
        <v>1</v>
      </c>
      <c r="AR34" s="1427">
        <v>2</v>
      </c>
      <c r="AS34" s="1427">
        <v>18</v>
      </c>
      <c r="AT34">
        <v>121</v>
      </c>
      <c r="AU34" s="913" t="s">
        <v>982</v>
      </c>
    </row>
    <row r="35" spans="10:47" ht="21.75" customHeight="1">
      <c r="J35" s="899"/>
      <c r="K35" s="897" t="s">
        <v>449</v>
      </c>
      <c r="AB35" s="909" t="s">
        <v>780</v>
      </c>
      <c r="AC35" s="1390">
        <v>0</v>
      </c>
      <c r="AD35" s="910">
        <v>0</v>
      </c>
      <c r="AE35" s="910">
        <v>31</v>
      </c>
      <c r="AF35" s="910"/>
      <c r="AG35" s="910"/>
      <c r="AH35" s="910"/>
      <c r="AI35" s="910"/>
      <c r="AJ35" s="910">
        <v>4</v>
      </c>
      <c r="AK35" s="907">
        <v>4</v>
      </c>
      <c r="AL35" s="907">
        <v>4</v>
      </c>
      <c r="AM35" s="907">
        <v>4</v>
      </c>
      <c r="AN35" s="908">
        <v>4</v>
      </c>
      <c r="AO35" s="1089" t="str">
        <f t="shared" si="1"/>
        <v/>
      </c>
      <c r="AQ35" s="1426">
        <v>1</v>
      </c>
      <c r="AR35" s="1426">
        <v>2</v>
      </c>
      <c r="AS35" s="1426">
        <v>19</v>
      </c>
      <c r="AT35">
        <v>122</v>
      </c>
      <c r="AU35" s="913" t="s">
        <v>984</v>
      </c>
    </row>
    <row r="36" spans="10:47" ht="21.75" customHeight="1">
      <c r="J36" s="899"/>
      <c r="K36" s="897" t="s">
        <v>450</v>
      </c>
      <c r="AB36" s="1355" t="s">
        <v>756</v>
      </c>
      <c r="AC36" s="1390">
        <v>0</v>
      </c>
      <c r="AD36" s="910">
        <v>1</v>
      </c>
      <c r="AE36" s="910">
        <v>32</v>
      </c>
      <c r="AF36" s="910"/>
      <c r="AG36" s="910"/>
      <c r="AH36" s="910"/>
      <c r="AI36" s="910"/>
      <c r="AJ36" s="907">
        <v>7</v>
      </c>
      <c r="AK36" s="907">
        <v>5</v>
      </c>
      <c r="AL36" s="907">
        <v>7</v>
      </c>
      <c r="AM36" s="907">
        <v>7</v>
      </c>
      <c r="AN36" s="908">
        <v>7</v>
      </c>
      <c r="AO36" s="1089" t="str">
        <f t="shared" si="1"/>
        <v/>
      </c>
      <c r="AQ36" s="1426">
        <v>1</v>
      </c>
      <c r="AR36" s="1426">
        <v>1</v>
      </c>
      <c r="AS36" s="1426">
        <v>8</v>
      </c>
      <c r="AT36">
        <v>123</v>
      </c>
      <c r="AU36" s="1550" t="s">
        <v>988</v>
      </c>
    </row>
    <row r="37" spans="10:47" ht="21.75" customHeight="1">
      <c r="J37" s="899"/>
      <c r="K37" s="897" t="s">
        <v>451</v>
      </c>
      <c r="AB37" s="1355" t="s">
        <v>1003</v>
      </c>
      <c r="AC37" s="1390">
        <v>0</v>
      </c>
      <c r="AD37" s="910">
        <v>1</v>
      </c>
      <c r="AE37" s="910">
        <v>32</v>
      </c>
      <c r="AF37" s="910"/>
      <c r="AG37" s="910"/>
      <c r="AH37" s="910"/>
      <c r="AI37" s="910"/>
      <c r="AJ37" s="907">
        <v>7</v>
      </c>
      <c r="AK37" s="907">
        <v>5</v>
      </c>
      <c r="AL37" s="907">
        <v>27</v>
      </c>
      <c r="AM37" s="907">
        <v>27</v>
      </c>
      <c r="AN37" s="908">
        <v>27</v>
      </c>
      <c r="AO37" s="1089" t="str">
        <f t="shared" si="1"/>
        <v/>
      </c>
      <c r="AQ37" s="1426">
        <v>1</v>
      </c>
      <c r="AR37" s="1426">
        <v>1</v>
      </c>
      <c r="AS37" s="1426">
        <v>9</v>
      </c>
      <c r="AT37">
        <v>124</v>
      </c>
      <c r="AU37" s="1550" t="s">
        <v>990</v>
      </c>
    </row>
    <row r="38" spans="10:47" ht="21.75" customHeight="1" thickBot="1">
      <c r="J38" s="899"/>
      <c r="K38" s="897" t="s">
        <v>452</v>
      </c>
      <c r="AB38" s="1422" t="s">
        <v>1073</v>
      </c>
      <c r="AC38" s="1390">
        <v>1</v>
      </c>
      <c r="AD38" s="1423">
        <v>1</v>
      </c>
      <c r="AE38" s="1423">
        <v>33</v>
      </c>
      <c r="AF38" s="1423"/>
      <c r="AG38" s="1423"/>
      <c r="AH38" s="1423"/>
      <c r="AI38" s="1423"/>
      <c r="AJ38" s="1423">
        <v>99</v>
      </c>
      <c r="AK38" s="1423">
        <v>99</v>
      </c>
      <c r="AL38" s="1423">
        <v>99</v>
      </c>
      <c r="AM38" s="1423">
        <v>99</v>
      </c>
      <c r="AN38" s="1424">
        <v>99</v>
      </c>
      <c r="AO38" s="1089" t="s">
        <v>972</v>
      </c>
      <c r="AQ38" s="1428">
        <v>1</v>
      </c>
      <c r="AR38" s="1428">
        <v>3</v>
      </c>
      <c r="AS38" s="1428">
        <v>1</v>
      </c>
      <c r="AT38">
        <v>125</v>
      </c>
      <c r="AU38" s="1551" t="s">
        <v>972</v>
      </c>
    </row>
    <row r="39" spans="10:47" ht="21.75" customHeight="1" thickBot="1">
      <c r="J39" s="899"/>
      <c r="K39" s="897" t="s">
        <v>453</v>
      </c>
      <c r="AB39" s="1422" t="s">
        <v>1079</v>
      </c>
      <c r="AC39" s="1390">
        <v>1</v>
      </c>
      <c r="AD39" s="1423">
        <v>1</v>
      </c>
      <c r="AE39" s="1423">
        <v>33</v>
      </c>
      <c r="AF39" s="1423"/>
      <c r="AG39" s="1423"/>
      <c r="AH39" s="1423"/>
      <c r="AI39" s="1423"/>
      <c r="AJ39" s="1423">
        <v>99</v>
      </c>
      <c r="AK39" s="1423">
        <v>99</v>
      </c>
      <c r="AL39" s="1423">
        <v>99</v>
      </c>
      <c r="AM39" s="1423">
        <v>99</v>
      </c>
      <c r="AN39" s="1424">
        <v>99</v>
      </c>
      <c r="AO39" s="1089" t="s">
        <v>1086</v>
      </c>
      <c r="AQ39" s="1428">
        <v>1</v>
      </c>
      <c r="AR39" s="1428">
        <v>3</v>
      </c>
      <c r="AS39" s="1428">
        <v>2</v>
      </c>
      <c r="AT39">
        <v>126</v>
      </c>
      <c r="AU39" s="1551" t="s">
        <v>1086</v>
      </c>
    </row>
    <row r="40" spans="10:47" ht="21.75" customHeight="1">
      <c r="J40" s="899"/>
      <c r="K40" s="897" t="s">
        <v>454</v>
      </c>
      <c r="AB40" s="1419"/>
      <c r="AC40" s="1420"/>
      <c r="AD40" s="1421"/>
      <c r="AE40" s="1421"/>
      <c r="AF40" s="1421"/>
      <c r="AG40" s="1421"/>
      <c r="AH40" s="1421"/>
      <c r="AI40" s="1421"/>
      <c r="AJ40" s="1553" t="s">
        <v>131</v>
      </c>
      <c r="AK40" s="1553" t="s">
        <v>132</v>
      </c>
      <c r="AL40" s="1553" t="s">
        <v>133</v>
      </c>
      <c r="AM40" s="1553" t="s">
        <v>134</v>
      </c>
      <c r="AN40" s="1554" t="s">
        <v>616</v>
      </c>
      <c r="AU40" s="1419"/>
    </row>
    <row r="41" spans="10:47" ht="21.75" customHeight="1">
      <c r="J41" s="899"/>
      <c r="K41" s="897" t="s">
        <v>455</v>
      </c>
      <c r="AB41" s="1419"/>
      <c r="AC41" s="1420"/>
      <c r="AD41" s="1421"/>
      <c r="AE41" s="1421"/>
      <c r="AF41" s="1421"/>
      <c r="AG41" s="1421"/>
      <c r="AH41" s="1421"/>
      <c r="AI41" s="1421"/>
      <c r="AJ41" s="1421"/>
      <c r="AK41" s="1421"/>
      <c r="AL41" s="1421"/>
      <c r="AM41" s="1421"/>
      <c r="AN41" s="1421"/>
      <c r="AU41" s="1419"/>
    </row>
    <row r="42" spans="10:47" ht="21.75" customHeight="1">
      <c r="J42" s="899"/>
      <c r="K42" s="897" t="s">
        <v>456</v>
      </c>
      <c r="AB42" s="1419"/>
      <c r="AC42" s="1420"/>
      <c r="AD42" s="1421"/>
      <c r="AE42" s="1421"/>
      <c r="AF42" s="1421"/>
      <c r="AG42" s="1421"/>
      <c r="AH42" s="1421"/>
      <c r="AI42" s="1421"/>
      <c r="AJ42" s="1421"/>
      <c r="AK42" s="1421"/>
      <c r="AL42" s="1421"/>
      <c r="AM42" s="1421"/>
      <c r="AN42" s="1421"/>
      <c r="AU42" s="1419"/>
    </row>
    <row r="43" spans="10:47" ht="21.75" customHeight="1">
      <c r="J43" s="899"/>
      <c r="K43" s="897" t="s">
        <v>457</v>
      </c>
      <c r="AB43" s="1419"/>
      <c r="AC43" s="1420"/>
      <c r="AD43" s="1421"/>
      <c r="AE43" s="1421"/>
      <c r="AF43" s="1421"/>
      <c r="AG43" s="1421"/>
      <c r="AH43" s="1421"/>
      <c r="AI43" s="1421"/>
      <c r="AJ43" s="1421"/>
      <c r="AK43" s="1421"/>
      <c r="AL43" s="1421"/>
      <c r="AM43" s="1421"/>
      <c r="AN43" s="1421"/>
      <c r="AU43" s="1419"/>
    </row>
    <row r="44" spans="10:47" ht="21.75" customHeight="1" thickBot="1">
      <c r="J44" s="899"/>
      <c r="K44" s="898" t="s">
        <v>458</v>
      </c>
      <c r="AB44" s="1419"/>
      <c r="AC44" s="1420"/>
      <c r="AD44" s="1421"/>
      <c r="AE44" s="1421"/>
      <c r="AF44" s="1421"/>
      <c r="AG44" s="1421"/>
      <c r="AH44" s="1421"/>
      <c r="AI44" s="1421"/>
      <c r="AJ44" s="1421"/>
      <c r="AK44" s="1421"/>
      <c r="AL44" s="1421"/>
      <c r="AM44" s="1421"/>
      <c r="AN44" s="1421"/>
      <c r="AU44" s="1419"/>
    </row>
    <row r="45" spans="10:47" ht="21.75" customHeight="1">
      <c r="J45" s="899"/>
      <c r="K45" s="897"/>
      <c r="AB45" s="1419"/>
      <c r="AC45" s="1420"/>
      <c r="AD45" s="1421"/>
      <c r="AE45" s="1421"/>
      <c r="AF45" s="1421"/>
      <c r="AG45" s="1421"/>
      <c r="AH45" s="1421"/>
      <c r="AI45" s="1421"/>
      <c r="AJ45" s="1421"/>
      <c r="AK45" s="1421"/>
      <c r="AL45" s="1421"/>
      <c r="AM45" s="1421"/>
      <c r="AN45" s="1421"/>
      <c r="AU45" s="1419"/>
    </row>
    <row r="46" spans="10:47" ht="21.75" customHeight="1"/>
    <row r="47" spans="10:47" ht="21.75" customHeight="1"/>
    <row r="48" spans="10:47" ht="21.75" customHeight="1"/>
    <row r="49" ht="21.75" customHeight="1"/>
    <row r="50" ht="21.75" customHeight="1"/>
    <row r="51" ht="21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</sheetData>
  <dataConsolidate/>
  <mergeCells count="12">
    <mergeCell ref="Y3:AA3"/>
    <mergeCell ref="M15:P15"/>
    <mergeCell ref="M16:P16"/>
    <mergeCell ref="M19:P19"/>
    <mergeCell ref="M17:P17"/>
    <mergeCell ref="M18:P18"/>
    <mergeCell ref="L3:P3"/>
    <mergeCell ref="Q3:U3"/>
    <mergeCell ref="V3:X3"/>
    <mergeCell ref="V9:X9"/>
    <mergeCell ref="Y9:AA9"/>
    <mergeCell ref="V15:X15"/>
  </mergeCells>
  <conditionalFormatting sqref="C9">
    <cfRule type="expression" dxfId="19" priority="7" stopIfTrue="1">
      <formula>IF($AD$4&lt;&gt;1,1,0)</formula>
    </cfRule>
  </conditionalFormatting>
  <dataValidations disablePrompts="1" count="1">
    <dataValidation type="list" allowBlank="1" showInputMessage="1" showErrorMessage="1" sqref="E13">
      <formula1>$AJ$3:$AN$3</formula1>
    </dataValidation>
  </dataValidations>
  <pageMargins left="0" right="0" top="0" bottom="0" header="0" footer="0"/>
  <pageSetup paperSize="256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autoLine="0" r:id="rId5">
            <anchor moveWithCells="1">
              <from>
                <xdr:col>4</xdr:col>
                <xdr:colOff>47625</xdr:colOff>
                <xdr:row>5</xdr:row>
                <xdr:rowOff>9525</xdr:rowOff>
              </from>
              <to>
                <xdr:col>4</xdr:col>
                <xdr:colOff>1504950</xdr:colOff>
                <xdr:row>5</xdr:row>
                <xdr:rowOff>314325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9" r:id="rId6" name="CommandButton2">
          <controlPr autoLine="0" r:id="rId7">
            <anchor moveWithCells="1">
              <from>
                <xdr:col>4</xdr:col>
                <xdr:colOff>1609725</xdr:colOff>
                <xdr:row>8</xdr:row>
                <xdr:rowOff>28575</xdr:rowOff>
              </from>
              <to>
                <xdr:col>4</xdr:col>
                <xdr:colOff>3314700</xdr:colOff>
                <xdr:row>8</xdr:row>
                <xdr:rowOff>333375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30" r:id="rId8" name="CommandButton3">
          <controlPr autoLine="0" r:id="rId9">
            <anchor moveWithCells="1">
              <from>
                <xdr:col>4</xdr:col>
                <xdr:colOff>1562100</xdr:colOff>
                <xdr:row>5</xdr:row>
                <xdr:rowOff>0</xdr:rowOff>
              </from>
              <to>
                <xdr:col>4</xdr:col>
                <xdr:colOff>3305175</xdr:colOff>
                <xdr:row>5</xdr:row>
                <xdr:rowOff>304800</xdr:rowOff>
              </to>
            </anchor>
          </controlPr>
        </control>
      </mc:Choice>
      <mc:Fallback>
        <control shapeId="1030" r:id="rId8" name="CommandButton3"/>
      </mc:Fallback>
    </mc:AlternateContent>
    <mc:AlternateContent xmlns:mc="http://schemas.openxmlformats.org/markup-compatibility/2006">
      <mc:Choice Requires="x14">
        <control shapeId="1063" r:id="rId10" name="CommandButton4">
          <controlPr autoLine="0" r:id="rId11">
            <anchor moveWithCells="1" sizeWithCells="1">
              <from>
                <xdr:col>9</xdr:col>
                <xdr:colOff>0</xdr:colOff>
                <xdr:row>1</xdr:row>
                <xdr:rowOff>200025</xdr:rowOff>
              </from>
              <to>
                <xdr:col>9</xdr:col>
                <xdr:colOff>0</xdr:colOff>
                <xdr:row>1</xdr:row>
                <xdr:rowOff>514350</xdr:rowOff>
              </to>
            </anchor>
          </controlPr>
        </control>
      </mc:Choice>
      <mc:Fallback>
        <control shapeId="1063" r:id="rId10" name="CommandButton4"/>
      </mc:Fallback>
    </mc:AlternateContent>
    <mc:AlternateContent xmlns:mc="http://schemas.openxmlformats.org/markup-compatibility/2006">
      <mc:Choice Requires="x14">
        <control shapeId="1076" r:id="rId12" name="ComboBox1">
          <controlPr autoLine="0" r:id="rId13">
            <anchor moveWithCells="1">
              <from>
                <xdr:col>2</xdr:col>
                <xdr:colOff>95250</xdr:colOff>
                <xdr:row>2</xdr:row>
                <xdr:rowOff>57150</xdr:rowOff>
              </from>
              <to>
                <xdr:col>2</xdr:col>
                <xdr:colOff>2933700</xdr:colOff>
                <xdr:row>2</xdr:row>
                <xdr:rowOff>295275</xdr:rowOff>
              </to>
            </anchor>
          </controlPr>
        </control>
      </mc:Choice>
      <mc:Fallback>
        <control shapeId="1076" r:id="rId12" name="ComboBox1"/>
      </mc:Fallback>
    </mc:AlternateContent>
    <mc:AlternateContent xmlns:mc="http://schemas.openxmlformats.org/markup-compatibility/2006">
      <mc:Choice Requires="x14">
        <control shapeId="1078" r:id="rId14" name="CommandButton5">
          <controlPr autoLine="0" r:id="rId15">
            <anchor moveWithCells="1" sizeWithCells="1">
              <from>
                <xdr:col>4</xdr:col>
                <xdr:colOff>38100</xdr:colOff>
                <xdr:row>2</xdr:row>
                <xdr:rowOff>28575</xdr:rowOff>
              </from>
              <to>
                <xdr:col>4</xdr:col>
                <xdr:colOff>1533525</xdr:colOff>
                <xdr:row>2</xdr:row>
                <xdr:rowOff>323850</xdr:rowOff>
              </to>
            </anchor>
          </controlPr>
        </control>
      </mc:Choice>
      <mc:Fallback>
        <control shapeId="1078" r:id="rId14" name="CommandButton5"/>
      </mc:Fallback>
    </mc:AlternateContent>
    <mc:AlternateContent xmlns:mc="http://schemas.openxmlformats.org/markup-compatibility/2006">
      <mc:Choice Requires="x14">
        <control shapeId="1210" r:id="rId16" name="CommandButton6">
          <controlPr autoLine="0" r:id="rId17">
            <anchor moveWithCells="1" sizeWithCells="1">
              <from>
                <xdr:col>4</xdr:col>
                <xdr:colOff>38100</xdr:colOff>
                <xdr:row>9</xdr:row>
                <xdr:rowOff>38100</xdr:rowOff>
              </from>
              <to>
                <xdr:col>4</xdr:col>
                <xdr:colOff>1533525</xdr:colOff>
                <xdr:row>9</xdr:row>
                <xdr:rowOff>333375</xdr:rowOff>
              </to>
            </anchor>
          </controlPr>
        </control>
      </mc:Choice>
      <mc:Fallback>
        <control shapeId="1210" r:id="rId16" name="CommandButton6"/>
      </mc:Fallback>
    </mc:AlternateContent>
    <mc:AlternateContent xmlns:mc="http://schemas.openxmlformats.org/markup-compatibility/2006">
      <mc:Choice Requires="x14">
        <control shapeId="1211" r:id="rId18" name="ComboBox2">
          <controlPr autoLine="0" r:id="rId19">
            <anchor moveWithCells="1">
              <from>
                <xdr:col>2</xdr:col>
                <xdr:colOff>85725</xdr:colOff>
                <xdr:row>9</xdr:row>
                <xdr:rowOff>47625</xdr:rowOff>
              </from>
              <to>
                <xdr:col>2</xdr:col>
                <xdr:colOff>2924175</xdr:colOff>
                <xdr:row>9</xdr:row>
                <xdr:rowOff>285750</xdr:rowOff>
              </to>
            </anchor>
          </controlPr>
        </control>
      </mc:Choice>
      <mc:Fallback>
        <control shapeId="1211" r:id="rId18" name="ComboBox2"/>
      </mc:Fallback>
    </mc:AlternateContent>
    <mc:AlternateContent xmlns:mc="http://schemas.openxmlformats.org/markup-compatibility/2006">
      <mc:Choice Requires="x14">
        <control shapeId="1569" r:id="rId20" name="OptionButton1">
          <controlPr autoLine="0" r:id="rId21">
            <anchor moveWithCells="1">
              <from>
                <xdr:col>1</xdr:col>
                <xdr:colOff>1257300</xdr:colOff>
                <xdr:row>1</xdr:row>
                <xdr:rowOff>314325</xdr:rowOff>
              </from>
              <to>
                <xdr:col>1</xdr:col>
                <xdr:colOff>1685925</xdr:colOff>
                <xdr:row>1</xdr:row>
                <xdr:rowOff>581025</xdr:rowOff>
              </to>
            </anchor>
          </controlPr>
        </control>
      </mc:Choice>
      <mc:Fallback>
        <control shapeId="1569" r:id="rId20" name="OptionButton1"/>
      </mc:Fallback>
    </mc:AlternateContent>
    <mc:AlternateContent xmlns:mc="http://schemas.openxmlformats.org/markup-compatibility/2006">
      <mc:Choice Requires="x14">
        <control shapeId="1570" r:id="rId22" name="OptionButton2">
          <controlPr autoLine="0" r:id="rId23">
            <anchor moveWithCells="1">
              <from>
                <xdr:col>2</xdr:col>
                <xdr:colOff>114300</xdr:colOff>
                <xdr:row>1</xdr:row>
                <xdr:rowOff>314325</xdr:rowOff>
              </from>
              <to>
                <xdr:col>2</xdr:col>
                <xdr:colOff>628650</xdr:colOff>
                <xdr:row>1</xdr:row>
                <xdr:rowOff>581025</xdr:rowOff>
              </to>
            </anchor>
          </controlPr>
        </control>
      </mc:Choice>
      <mc:Fallback>
        <control shapeId="1570" r:id="rId22" name="OptionButton2"/>
      </mc:Fallback>
    </mc:AlternateContent>
    <mc:AlternateContent xmlns:mc="http://schemas.openxmlformats.org/markup-compatibility/2006">
      <mc:Choice Requires="x14">
        <control shapeId="1571" r:id="rId24" name="OptionButton3">
          <controlPr autoLine="0" r:id="rId25">
            <anchor moveWithCells="1">
              <from>
                <xdr:col>2</xdr:col>
                <xdr:colOff>657225</xdr:colOff>
                <xdr:row>1</xdr:row>
                <xdr:rowOff>323850</xdr:rowOff>
              </from>
              <to>
                <xdr:col>2</xdr:col>
                <xdr:colOff>1190625</xdr:colOff>
                <xdr:row>1</xdr:row>
                <xdr:rowOff>590550</xdr:rowOff>
              </to>
            </anchor>
          </controlPr>
        </control>
      </mc:Choice>
      <mc:Fallback>
        <control shapeId="1571" r:id="rId24" name="OptionButton3"/>
      </mc:Fallback>
    </mc:AlternateContent>
    <mc:AlternateContent xmlns:mc="http://schemas.openxmlformats.org/markup-compatibility/2006">
      <mc:Choice Requires="x14">
        <control shapeId="1581" r:id="rId26" name="OptionButton4">
          <controlPr autoLine="0" r:id="rId27">
            <anchor moveWithCells="1">
              <from>
                <xdr:col>2</xdr:col>
                <xdr:colOff>1276350</xdr:colOff>
                <xdr:row>1</xdr:row>
                <xdr:rowOff>323850</xdr:rowOff>
              </from>
              <to>
                <xdr:col>2</xdr:col>
                <xdr:colOff>1781175</xdr:colOff>
                <xdr:row>1</xdr:row>
                <xdr:rowOff>590550</xdr:rowOff>
              </to>
            </anchor>
          </controlPr>
        </control>
      </mc:Choice>
      <mc:Fallback>
        <control shapeId="1581" r:id="rId26" name="OptionButton4"/>
      </mc:Fallback>
    </mc:AlternateContent>
    <mc:AlternateContent xmlns:mc="http://schemas.openxmlformats.org/markup-compatibility/2006">
      <mc:Choice Requires="x14">
        <control shapeId="1582" r:id="rId28" name="OptionButton5">
          <controlPr autoLine="0" r:id="rId29">
            <anchor moveWithCells="1">
              <from>
                <xdr:col>2</xdr:col>
                <xdr:colOff>1895475</xdr:colOff>
                <xdr:row>1</xdr:row>
                <xdr:rowOff>323850</xdr:rowOff>
              </from>
              <to>
                <xdr:col>2</xdr:col>
                <xdr:colOff>2400300</xdr:colOff>
                <xdr:row>1</xdr:row>
                <xdr:rowOff>590550</xdr:rowOff>
              </to>
            </anchor>
          </controlPr>
        </control>
      </mc:Choice>
      <mc:Fallback>
        <control shapeId="1582" r:id="rId28" name="OptionButton5"/>
      </mc:Fallback>
    </mc:AlternateContent>
    <mc:AlternateContent xmlns:mc="http://schemas.openxmlformats.org/markup-compatibility/2006">
      <mc:Choice Requires="x14">
        <control shapeId="1583" r:id="rId30" name="OptionButton6">
          <controlPr autoLine="0" r:id="rId31">
            <anchor moveWithCells="1">
              <from>
                <xdr:col>2</xdr:col>
                <xdr:colOff>2486025</xdr:colOff>
                <xdr:row>1</xdr:row>
                <xdr:rowOff>323850</xdr:rowOff>
              </from>
              <to>
                <xdr:col>2</xdr:col>
                <xdr:colOff>2990850</xdr:colOff>
                <xdr:row>1</xdr:row>
                <xdr:rowOff>590550</xdr:rowOff>
              </to>
            </anchor>
          </controlPr>
        </control>
      </mc:Choice>
      <mc:Fallback>
        <control shapeId="1583" r:id="rId30" name="OptionButton6"/>
      </mc:Fallback>
    </mc:AlternateContent>
    <mc:AlternateContent xmlns:mc="http://schemas.openxmlformats.org/markup-compatibility/2006">
      <mc:Choice Requires="x14">
        <control shapeId="1696" r:id="rId32" name="CommandButton7">
          <controlPr autoLine="0" r:id="rId33">
            <anchor moveWithCells="1">
              <from>
                <xdr:col>4</xdr:col>
                <xdr:colOff>38100</xdr:colOff>
                <xdr:row>8</xdr:row>
                <xdr:rowOff>28575</xdr:rowOff>
              </from>
              <to>
                <xdr:col>4</xdr:col>
                <xdr:colOff>1552575</xdr:colOff>
                <xdr:row>8</xdr:row>
                <xdr:rowOff>333375</xdr:rowOff>
              </to>
            </anchor>
          </controlPr>
        </control>
      </mc:Choice>
      <mc:Fallback>
        <control shapeId="1696" r:id="rId32" name="CommandButton7"/>
      </mc:Fallback>
    </mc:AlternateContent>
    <mc:AlternateContent xmlns:mc="http://schemas.openxmlformats.org/markup-compatibility/2006">
      <mc:Choice Requires="x14">
        <control shapeId="2110083" r:id="rId34" name="OptionButton7">
          <controlPr autoLine="0" r:id="rId35">
            <anchor moveWithCells="1">
              <from>
                <xdr:col>2</xdr:col>
                <xdr:colOff>466725</xdr:colOff>
                <xdr:row>11</xdr:row>
                <xdr:rowOff>38100</xdr:rowOff>
              </from>
              <to>
                <xdr:col>2</xdr:col>
                <xdr:colOff>1333500</xdr:colOff>
                <xdr:row>11</xdr:row>
                <xdr:rowOff>304800</xdr:rowOff>
              </to>
            </anchor>
          </controlPr>
        </control>
      </mc:Choice>
      <mc:Fallback>
        <control shapeId="2110083" r:id="rId34" name="OptionButton7"/>
      </mc:Fallback>
    </mc:AlternateContent>
    <mc:AlternateContent xmlns:mc="http://schemas.openxmlformats.org/markup-compatibility/2006">
      <mc:Choice Requires="x14">
        <control shapeId="2110084" r:id="rId36" name="OptionButton8">
          <controlPr autoLine="0" r:id="rId37">
            <anchor moveWithCells="1">
              <from>
                <xdr:col>2</xdr:col>
                <xdr:colOff>1828800</xdr:colOff>
                <xdr:row>11</xdr:row>
                <xdr:rowOff>38100</xdr:rowOff>
              </from>
              <to>
                <xdr:col>2</xdr:col>
                <xdr:colOff>2609850</xdr:colOff>
                <xdr:row>11</xdr:row>
                <xdr:rowOff>304800</xdr:rowOff>
              </to>
            </anchor>
          </controlPr>
        </control>
      </mc:Choice>
      <mc:Fallback>
        <control shapeId="2110084" r:id="rId36" name="OptionButton8"/>
      </mc:Fallback>
    </mc:AlternateContent>
    <mc:AlternateContent xmlns:mc="http://schemas.openxmlformats.org/markup-compatibility/2006">
      <mc:Choice Requires="x14">
        <control shapeId="2110085" r:id="rId38" name="CommandButton9">
          <controlPr autoLine="0" r:id="rId39">
            <anchor moveWithCells="1">
              <from>
                <xdr:col>4</xdr:col>
                <xdr:colOff>9525</xdr:colOff>
                <xdr:row>1</xdr:row>
                <xdr:rowOff>209550</xdr:rowOff>
              </from>
              <to>
                <xdr:col>4</xdr:col>
                <xdr:colOff>1457325</xdr:colOff>
                <xdr:row>1</xdr:row>
                <xdr:rowOff>514350</xdr:rowOff>
              </to>
            </anchor>
          </controlPr>
        </control>
      </mc:Choice>
      <mc:Fallback>
        <control shapeId="2110085" r:id="rId38" name="CommandButton9"/>
      </mc:Fallback>
    </mc:AlternateContent>
    <mc:AlternateContent xmlns:mc="http://schemas.openxmlformats.org/markup-compatibility/2006">
      <mc:Choice Requires="x14">
        <control shapeId="1043" r:id="rId40" name="Option Button 19">
          <controlPr defaultSize="0" autoFill="0" autoLine="0" autoPict="0">
            <anchor moveWithCells="1" sizeWithCells="1">
              <from>
                <xdr:col>9</xdr:col>
                <xdr:colOff>0</xdr:colOff>
                <xdr:row>20</xdr:row>
                <xdr:rowOff>247650</xdr:rowOff>
              </from>
              <to>
                <xdr:col>9</xdr:col>
                <xdr:colOff>0</xdr:colOff>
                <xdr:row>21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41" name="Option Button 20">
          <controlPr defaultSize="0" autoFill="0" autoLine="0" autoPict="0">
            <anchor moveWithCells="1" sizeWithCells="1">
              <from>
                <xdr:col>9</xdr:col>
                <xdr:colOff>0</xdr:colOff>
                <xdr:row>20</xdr:row>
                <xdr:rowOff>190500</xdr:rowOff>
              </from>
              <to>
                <xdr:col>9</xdr:col>
                <xdr:colOff>0</xdr:colOff>
                <xdr:row>21</xdr:row>
                <xdr:rowOff>219075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1:N21"/>
  <sheetViews>
    <sheetView workbookViewId="0">
      <selection activeCell="B11" sqref="B11"/>
    </sheetView>
  </sheetViews>
  <sheetFormatPr defaultRowHeight="15"/>
  <cols>
    <col min="2" max="2" width="22.7109375" bestFit="1" customWidth="1"/>
    <col min="3" max="3" width="8" bestFit="1" customWidth="1"/>
    <col min="4" max="4" width="17.7109375" style="1378" bestFit="1" customWidth="1"/>
    <col min="5" max="5" width="8.5703125" bestFit="1" customWidth="1"/>
    <col min="6" max="6" width="6.140625" bestFit="1" customWidth="1"/>
    <col min="7" max="7" width="8.85546875" bestFit="1" customWidth="1"/>
    <col min="8" max="8" width="5.85546875" bestFit="1" customWidth="1"/>
    <col min="9" max="9" width="8.7109375" bestFit="1" customWidth="1"/>
    <col min="10" max="10" width="8.42578125" bestFit="1" customWidth="1"/>
    <col min="11" max="11" width="10.5703125" bestFit="1" customWidth="1"/>
    <col min="12" max="12" width="6" bestFit="1" customWidth="1"/>
    <col min="13" max="13" width="57.7109375" customWidth="1"/>
    <col min="14" max="14" width="10" bestFit="1" customWidth="1"/>
  </cols>
  <sheetData>
    <row r="1" spans="1:14">
      <c r="A1">
        <f>+COUNTA(B:B)+1</f>
        <v>22</v>
      </c>
      <c r="B1" s="1091" t="s">
        <v>617</v>
      </c>
      <c r="C1" s="5" t="s">
        <v>1</v>
      </c>
      <c r="D1" s="1377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276</v>
      </c>
      <c r="L1" s="5" t="s">
        <v>9</v>
      </c>
      <c r="M1" s="1203" t="s">
        <v>726</v>
      </c>
      <c r="N1" s="1203" t="s">
        <v>759</v>
      </c>
    </row>
    <row r="2" spans="1:14">
      <c r="B2" t="s">
        <v>1073</v>
      </c>
      <c r="F2">
        <v>1225</v>
      </c>
      <c r="G2">
        <v>2347</v>
      </c>
      <c r="H2">
        <v>1</v>
      </c>
      <c r="I2" t="s">
        <v>423</v>
      </c>
      <c r="J2" t="s">
        <v>122</v>
      </c>
      <c r="K2" t="s">
        <v>626</v>
      </c>
      <c r="L2" t="s">
        <v>936</v>
      </c>
      <c r="M2" t="s">
        <v>1085</v>
      </c>
      <c r="N2">
        <v>9900038</v>
      </c>
    </row>
    <row r="3" spans="1:14">
      <c r="B3" t="s">
        <v>1079</v>
      </c>
      <c r="F3">
        <v>1225</v>
      </c>
      <c r="G3">
        <v>2347</v>
      </c>
      <c r="H3">
        <v>1</v>
      </c>
      <c r="I3" t="s">
        <v>423</v>
      </c>
      <c r="J3" t="s">
        <v>122</v>
      </c>
      <c r="K3" t="s">
        <v>626</v>
      </c>
      <c r="L3" t="s">
        <v>936</v>
      </c>
      <c r="M3" t="s">
        <v>1087</v>
      </c>
      <c r="N3">
        <v>9900039</v>
      </c>
    </row>
    <row r="4" spans="1:14">
      <c r="B4" t="s">
        <v>1073</v>
      </c>
      <c r="C4" t="s">
        <v>1090</v>
      </c>
      <c r="D4" s="1378">
        <v>42504</v>
      </c>
      <c r="E4" t="s">
        <v>1091</v>
      </c>
      <c r="F4">
        <v>1225</v>
      </c>
      <c r="G4">
        <v>2347</v>
      </c>
      <c r="H4">
        <v>2</v>
      </c>
      <c r="I4" t="s">
        <v>423</v>
      </c>
      <c r="J4" t="s">
        <v>122</v>
      </c>
      <c r="K4" t="s">
        <v>606</v>
      </c>
      <c r="L4" t="s">
        <v>1092</v>
      </c>
      <c r="M4" t="s">
        <v>1109</v>
      </c>
      <c r="N4">
        <v>1600005</v>
      </c>
    </row>
    <row r="5" spans="1:14" ht="14.25" customHeight="1">
      <c r="B5" t="s">
        <v>1073</v>
      </c>
      <c r="C5" t="s">
        <v>1090</v>
      </c>
      <c r="D5" s="1378">
        <v>42504</v>
      </c>
      <c r="E5" t="s">
        <v>1091</v>
      </c>
      <c r="F5">
        <v>1400</v>
      </c>
      <c r="G5">
        <v>2500</v>
      </c>
      <c r="H5">
        <v>1</v>
      </c>
      <c r="I5" t="s">
        <v>423</v>
      </c>
      <c r="J5" t="s">
        <v>122</v>
      </c>
      <c r="K5" t="s">
        <v>606</v>
      </c>
      <c r="L5" t="s">
        <v>1092</v>
      </c>
      <c r="M5" t="s">
        <v>1110</v>
      </c>
      <c r="N5">
        <v>1600006</v>
      </c>
    </row>
    <row r="6" spans="1:14">
      <c r="B6" t="s">
        <v>1073</v>
      </c>
      <c r="C6" t="s">
        <v>1090</v>
      </c>
      <c r="D6" s="1378">
        <v>42504</v>
      </c>
      <c r="E6" t="s">
        <v>1091</v>
      </c>
      <c r="F6">
        <v>1400</v>
      </c>
      <c r="G6">
        <v>2500</v>
      </c>
      <c r="H6">
        <v>1</v>
      </c>
      <c r="I6" t="s">
        <v>423</v>
      </c>
      <c r="J6" t="s">
        <v>122</v>
      </c>
      <c r="K6" t="s">
        <v>606</v>
      </c>
      <c r="L6" t="s">
        <v>1092</v>
      </c>
      <c r="M6" t="s">
        <v>1110</v>
      </c>
      <c r="N6">
        <v>1600007</v>
      </c>
    </row>
    <row r="7" spans="1:14">
      <c r="B7" t="s">
        <v>1073</v>
      </c>
      <c r="C7" t="s">
        <v>1090</v>
      </c>
      <c r="D7" s="1378">
        <v>42504</v>
      </c>
      <c r="E7" t="s">
        <v>1091</v>
      </c>
      <c r="F7">
        <v>1600</v>
      </c>
      <c r="G7">
        <v>2500</v>
      </c>
      <c r="H7">
        <v>2</v>
      </c>
      <c r="I7" t="s">
        <v>423</v>
      </c>
      <c r="J7" t="s">
        <v>122</v>
      </c>
      <c r="K7" t="s">
        <v>606</v>
      </c>
      <c r="L7" t="s">
        <v>1092</v>
      </c>
      <c r="M7" t="s">
        <v>1111</v>
      </c>
      <c r="N7">
        <v>1600008</v>
      </c>
    </row>
    <row r="8" spans="1:14">
      <c r="B8" t="s">
        <v>1073</v>
      </c>
      <c r="C8" t="s">
        <v>1090</v>
      </c>
      <c r="D8" s="1378">
        <v>42504</v>
      </c>
      <c r="E8" t="s">
        <v>1091</v>
      </c>
      <c r="F8">
        <v>1600</v>
      </c>
      <c r="G8">
        <v>2500</v>
      </c>
      <c r="H8">
        <v>2</v>
      </c>
      <c r="I8" t="s">
        <v>423</v>
      </c>
      <c r="J8" t="s">
        <v>122</v>
      </c>
      <c r="K8" t="s">
        <v>606</v>
      </c>
      <c r="L8" t="s">
        <v>1092</v>
      </c>
      <c r="M8" t="s">
        <v>1111</v>
      </c>
      <c r="N8">
        <v>1600009</v>
      </c>
    </row>
    <row r="9" spans="1:14">
      <c r="B9" t="s">
        <v>1073</v>
      </c>
      <c r="C9" t="s">
        <v>1090</v>
      </c>
      <c r="D9" s="1378">
        <v>42504</v>
      </c>
      <c r="E9" t="s">
        <v>1091</v>
      </c>
      <c r="F9">
        <v>1400</v>
      </c>
      <c r="G9">
        <v>2500</v>
      </c>
      <c r="H9">
        <v>1</v>
      </c>
      <c r="I9" t="s">
        <v>423</v>
      </c>
      <c r="J9" t="s">
        <v>122</v>
      </c>
      <c r="K9" t="s">
        <v>606</v>
      </c>
      <c r="L9" t="s">
        <v>1092</v>
      </c>
      <c r="M9" t="s">
        <v>1110</v>
      </c>
      <c r="N9">
        <v>1600010</v>
      </c>
    </row>
    <row r="10" spans="1:14">
      <c r="B10" t="s">
        <v>1073</v>
      </c>
      <c r="C10" t="s">
        <v>1090</v>
      </c>
      <c r="D10" s="1378">
        <v>42504</v>
      </c>
      <c r="E10" t="s">
        <v>1091</v>
      </c>
      <c r="F10">
        <v>1400</v>
      </c>
      <c r="G10">
        <v>2500</v>
      </c>
      <c r="H10">
        <v>1</v>
      </c>
      <c r="I10" t="s">
        <v>423</v>
      </c>
      <c r="J10" t="s">
        <v>122</v>
      </c>
      <c r="K10" t="s">
        <v>606</v>
      </c>
      <c r="L10" t="s">
        <v>1092</v>
      </c>
      <c r="M10" t="s">
        <v>1110</v>
      </c>
      <c r="N10">
        <v>1600011</v>
      </c>
    </row>
    <row r="11" spans="1:14">
      <c r="B11" t="s">
        <v>1073</v>
      </c>
      <c r="C11" t="s">
        <v>1090</v>
      </c>
      <c r="D11" s="1378">
        <v>42504</v>
      </c>
      <c r="E11" t="s">
        <v>1091</v>
      </c>
      <c r="F11">
        <v>1600</v>
      </c>
      <c r="G11">
        <v>2500</v>
      </c>
      <c r="H11">
        <v>2</v>
      </c>
      <c r="I11" t="s">
        <v>423</v>
      </c>
      <c r="J11" t="s">
        <v>122</v>
      </c>
      <c r="K11" t="s">
        <v>606</v>
      </c>
      <c r="L11" t="s">
        <v>1092</v>
      </c>
      <c r="M11" t="s">
        <v>1111</v>
      </c>
      <c r="N11">
        <v>1600012</v>
      </c>
    </row>
    <row r="12" spans="1:14">
      <c r="B12" t="s">
        <v>1073</v>
      </c>
      <c r="C12" t="s">
        <v>1090</v>
      </c>
      <c r="D12" s="1378">
        <v>42504</v>
      </c>
      <c r="E12" t="s">
        <v>1091</v>
      </c>
      <c r="F12">
        <v>1600</v>
      </c>
      <c r="G12">
        <v>2500</v>
      </c>
      <c r="H12">
        <v>2</v>
      </c>
      <c r="I12" t="s">
        <v>423</v>
      </c>
      <c r="J12" t="s">
        <v>122</v>
      </c>
      <c r="K12" t="s">
        <v>606</v>
      </c>
      <c r="L12" t="s">
        <v>1092</v>
      </c>
      <c r="M12" t="s">
        <v>1111</v>
      </c>
      <c r="N12">
        <v>1600013</v>
      </c>
    </row>
    <row r="13" spans="1:14">
      <c r="B13" t="s">
        <v>1079</v>
      </c>
      <c r="C13" t="s">
        <v>1090</v>
      </c>
      <c r="D13" s="1378">
        <v>42504</v>
      </c>
      <c r="E13" t="s">
        <v>1091</v>
      </c>
      <c r="F13">
        <v>1225</v>
      </c>
      <c r="G13">
        <v>2347</v>
      </c>
      <c r="H13">
        <v>1</v>
      </c>
      <c r="I13" t="s">
        <v>423</v>
      </c>
      <c r="J13" t="s">
        <v>122</v>
      </c>
      <c r="K13" t="s">
        <v>606</v>
      </c>
      <c r="L13" t="s">
        <v>1092</v>
      </c>
      <c r="M13" t="s">
        <v>1112</v>
      </c>
      <c r="N13">
        <v>1600014</v>
      </c>
    </row>
    <row r="14" spans="1:14">
      <c r="B14" t="s">
        <v>1079</v>
      </c>
      <c r="C14" t="s">
        <v>1090</v>
      </c>
      <c r="D14" s="1378">
        <v>42504</v>
      </c>
      <c r="E14" t="s">
        <v>1091</v>
      </c>
      <c r="F14">
        <v>1225</v>
      </c>
      <c r="G14">
        <v>2347</v>
      </c>
      <c r="H14">
        <v>1</v>
      </c>
      <c r="I14" t="s">
        <v>423</v>
      </c>
      <c r="J14" t="s">
        <v>122</v>
      </c>
      <c r="K14" t="s">
        <v>606</v>
      </c>
      <c r="L14" t="s">
        <v>1092</v>
      </c>
      <c r="M14" t="s">
        <v>1112</v>
      </c>
      <c r="N14">
        <v>1600015</v>
      </c>
    </row>
    <row r="15" spans="1:14">
      <c r="B15" t="s">
        <v>1079</v>
      </c>
      <c r="C15" t="s">
        <v>1090</v>
      </c>
      <c r="D15" s="1378">
        <v>42504</v>
      </c>
      <c r="E15" t="s">
        <v>1091</v>
      </c>
      <c r="F15">
        <v>2200</v>
      </c>
      <c r="G15">
        <v>2347</v>
      </c>
      <c r="H15">
        <v>2</v>
      </c>
      <c r="I15" t="s">
        <v>423</v>
      </c>
      <c r="J15" t="s">
        <v>122</v>
      </c>
      <c r="K15" t="s">
        <v>606</v>
      </c>
      <c r="L15" t="s">
        <v>1092</v>
      </c>
      <c r="M15" t="s">
        <v>1113</v>
      </c>
      <c r="N15">
        <v>1600016</v>
      </c>
    </row>
    <row r="16" spans="1:14">
      <c r="B16" t="s">
        <v>1079</v>
      </c>
      <c r="C16" t="s">
        <v>1090</v>
      </c>
      <c r="D16" s="1378">
        <v>42504</v>
      </c>
      <c r="E16" t="s">
        <v>1091</v>
      </c>
      <c r="F16">
        <v>2200</v>
      </c>
      <c r="G16">
        <v>2347</v>
      </c>
      <c r="H16">
        <v>2</v>
      </c>
      <c r="I16" t="s">
        <v>423</v>
      </c>
      <c r="J16" t="s">
        <v>122</v>
      </c>
      <c r="K16" t="s">
        <v>606</v>
      </c>
      <c r="L16" t="s">
        <v>1092</v>
      </c>
      <c r="M16" t="s">
        <v>1113</v>
      </c>
      <c r="N16">
        <v>1600017</v>
      </c>
    </row>
    <row r="17" spans="2:14">
      <c r="B17" t="s">
        <v>1079</v>
      </c>
      <c r="C17" t="s">
        <v>1090</v>
      </c>
      <c r="D17" s="1378">
        <v>42504</v>
      </c>
      <c r="E17" t="s">
        <v>1091</v>
      </c>
      <c r="F17">
        <v>1250</v>
      </c>
      <c r="G17">
        <v>2467</v>
      </c>
      <c r="H17">
        <v>1</v>
      </c>
      <c r="I17" t="s">
        <v>423</v>
      </c>
      <c r="J17" t="s">
        <v>122</v>
      </c>
      <c r="K17" t="s">
        <v>606</v>
      </c>
      <c r="L17" t="s">
        <v>1092</v>
      </c>
      <c r="M17" t="s">
        <v>1116</v>
      </c>
      <c r="N17">
        <v>1600018</v>
      </c>
    </row>
    <row r="18" spans="2:14">
      <c r="B18" t="s">
        <v>1079</v>
      </c>
      <c r="C18" t="s">
        <v>1090</v>
      </c>
      <c r="D18" s="1378">
        <v>42504</v>
      </c>
      <c r="E18" t="s">
        <v>1091</v>
      </c>
      <c r="F18">
        <v>1000</v>
      </c>
      <c r="G18">
        <v>2000</v>
      </c>
      <c r="H18">
        <v>1</v>
      </c>
      <c r="I18" t="s">
        <v>423</v>
      </c>
      <c r="J18" t="s">
        <v>122</v>
      </c>
      <c r="K18" t="s">
        <v>606</v>
      </c>
      <c r="L18" t="s">
        <v>1092</v>
      </c>
      <c r="M18" t="s">
        <v>1117</v>
      </c>
      <c r="N18">
        <v>1600019</v>
      </c>
    </row>
    <row r="19" spans="2:14">
      <c r="B19" t="s">
        <v>778</v>
      </c>
      <c r="C19" t="s">
        <v>1090</v>
      </c>
      <c r="D19" s="1378">
        <v>42504</v>
      </c>
      <c r="E19" t="s">
        <v>1091</v>
      </c>
      <c r="F19">
        <v>2000</v>
      </c>
      <c r="G19">
        <v>2000</v>
      </c>
      <c r="H19">
        <v>1</v>
      </c>
      <c r="I19" t="s">
        <v>423</v>
      </c>
      <c r="J19" t="s">
        <v>122</v>
      </c>
      <c r="K19" t="s">
        <v>606</v>
      </c>
      <c r="L19" t="s">
        <v>1092</v>
      </c>
      <c r="M19" t="s">
        <v>1119</v>
      </c>
      <c r="N19">
        <v>1600020</v>
      </c>
    </row>
    <row r="20" spans="2:14">
      <c r="B20" t="s">
        <v>780</v>
      </c>
      <c r="C20" t="s">
        <v>1090</v>
      </c>
      <c r="D20" s="1378">
        <v>42504</v>
      </c>
      <c r="E20" t="s">
        <v>1091</v>
      </c>
      <c r="F20">
        <v>1000</v>
      </c>
      <c r="G20">
        <v>2200</v>
      </c>
      <c r="H20">
        <v>1</v>
      </c>
      <c r="I20" t="s">
        <v>423</v>
      </c>
      <c r="J20" t="s">
        <v>122</v>
      </c>
      <c r="K20" t="s">
        <v>606</v>
      </c>
      <c r="L20" t="s">
        <v>1092</v>
      </c>
      <c r="M20" t="s">
        <v>1120</v>
      </c>
      <c r="N20">
        <v>1600021</v>
      </c>
    </row>
    <row r="21" spans="2:14">
      <c r="B21" t="s">
        <v>779</v>
      </c>
      <c r="C21" t="s">
        <v>1090</v>
      </c>
      <c r="D21" s="1378">
        <v>42504</v>
      </c>
      <c r="E21" t="s">
        <v>1091</v>
      </c>
      <c r="F21">
        <v>1500</v>
      </c>
      <c r="G21">
        <v>2200</v>
      </c>
      <c r="H21">
        <v>1</v>
      </c>
      <c r="I21" t="s">
        <v>423</v>
      </c>
      <c r="J21" t="s">
        <v>122</v>
      </c>
      <c r="K21" t="s">
        <v>606</v>
      </c>
      <c r="L21" t="s">
        <v>1092</v>
      </c>
      <c r="M21" t="s">
        <v>1121</v>
      </c>
      <c r="N21">
        <v>1600022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>
    <tabColor rgb="FFFF0000"/>
    <pageSetUpPr fitToPage="1"/>
  </sheetPr>
  <dimension ref="A1:AS67"/>
  <sheetViews>
    <sheetView topLeftCell="A13" zoomScale="40" zoomScaleNormal="40" workbookViewId="0">
      <selection activeCell="AL8" sqref="AL8"/>
    </sheetView>
  </sheetViews>
  <sheetFormatPr defaultRowHeight="25.5"/>
  <cols>
    <col min="1" max="1" width="19.85546875" style="289" customWidth="1"/>
    <col min="2" max="2" width="11.85546875" style="250" customWidth="1"/>
    <col min="3" max="3" width="14.42578125" style="250" customWidth="1"/>
    <col min="4" max="4" width="6.5703125" style="250" customWidth="1"/>
    <col min="5" max="5" width="21.5703125" style="250" bestFit="1" customWidth="1"/>
    <col min="6" max="7" width="10.85546875" style="250" customWidth="1"/>
    <col min="8" max="8" width="9.42578125" style="250" customWidth="1"/>
    <col min="9" max="9" width="9.140625" style="250"/>
    <col min="10" max="10" width="13" style="250" customWidth="1"/>
    <col min="11" max="12" width="13.42578125" style="250" customWidth="1"/>
    <col min="13" max="13" width="13.5703125" style="250" customWidth="1"/>
    <col min="14" max="14" width="16" style="250" customWidth="1"/>
    <col min="15" max="15" width="12.7109375" style="250" customWidth="1"/>
    <col min="16" max="17" width="12.28515625" style="250" customWidth="1"/>
    <col min="18" max="19" width="9.140625" style="250"/>
    <col min="20" max="20" width="24.42578125" style="250" customWidth="1"/>
    <col min="21" max="21" width="13.5703125" style="250" customWidth="1"/>
    <col min="22" max="22" width="13.140625" style="250" customWidth="1"/>
    <col min="23" max="23" width="13.85546875" style="250" customWidth="1"/>
    <col min="24" max="24" width="15.28515625" style="250" customWidth="1"/>
    <col min="25" max="25" width="5.42578125" style="250" customWidth="1"/>
    <col min="26" max="26" width="11.42578125" style="250" customWidth="1"/>
    <col min="27" max="27" width="12.5703125" style="250" customWidth="1"/>
    <col min="28" max="28" width="27.5703125" style="250" customWidth="1"/>
    <col min="29" max="29" width="27.28515625" style="250" customWidth="1"/>
    <col min="30" max="30" width="15.42578125" style="250" customWidth="1"/>
    <col min="31" max="31" width="30" style="250" customWidth="1"/>
    <col min="32" max="32" width="5.28515625" style="250" customWidth="1"/>
    <col min="33" max="33" width="3.140625" style="250" customWidth="1"/>
    <col min="34" max="37" width="9.140625" style="250"/>
    <col min="38" max="38" width="12.28515625" style="250" bestFit="1" customWidth="1"/>
    <col min="39" max="39" width="14.42578125" style="250" bestFit="1" customWidth="1"/>
    <col min="40" max="16384" width="9.140625" style="250"/>
  </cols>
  <sheetData>
    <row r="1" spans="1:44" s="233" customFormat="1" ht="36" customHeight="1" thickBot="1">
      <c r="A1" s="289"/>
      <c r="B1" s="228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30" t="str">
        <f>+VLOOKUP(1,TRADUZIONI,DATI!C2-1,0)</f>
        <v>FOGLIO LAVORO PLISSE A MISURA</v>
      </c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31"/>
      <c r="AE1" s="232" t="s">
        <v>37</v>
      </c>
      <c r="AG1" s="234"/>
      <c r="AH1" s="234"/>
    </row>
    <row r="2" spans="1:44" s="237" customFormat="1" ht="27" customHeight="1">
      <c r="A2" s="289"/>
      <c r="B2" s="1919" t="str">
        <f>+VLOOKUP(2,TRADUZIONI,DATI!C2-1,0)</f>
        <v>MODELLO</v>
      </c>
      <c r="C2" s="1905"/>
      <c r="D2" s="1905"/>
      <c r="E2" s="1905" t="str">
        <f>+VLOOKUP(3,TRADUZIONI,DATI!C2-1,0)</f>
        <v>ORD. PRODUZ. NR.</v>
      </c>
      <c r="F2" s="1905"/>
      <c r="G2" s="1905"/>
      <c r="H2" s="1905"/>
      <c r="I2" s="1906" t="str">
        <f>+VLOOKUP(5,TRADUZIONI,DATI!C2-1,0)</f>
        <v>DATA SPEDIZIONE</v>
      </c>
      <c r="J2" s="1907"/>
      <c r="K2" s="1907"/>
      <c r="L2" s="1907"/>
      <c r="M2" s="1907"/>
      <c r="N2" s="1920"/>
      <c r="O2" s="1905" t="str">
        <f>+VLOOKUP(6,TRADUZIONI,DATI!C2-1,0)</f>
        <v>L MIN</v>
      </c>
      <c r="P2" s="1905"/>
      <c r="Q2" s="1905"/>
      <c r="R2" s="1905"/>
      <c r="S2" s="1905" t="str">
        <f>+VLOOKUP(7,TRADUZIONI,DATI!C2-1,0)</f>
        <v>L MM</v>
      </c>
      <c r="T2" s="1906"/>
      <c r="U2" s="236" t="s">
        <v>144</v>
      </c>
      <c r="V2" s="1920" t="str">
        <f>+VLOOKUP(8,TRADUZIONI,DATI!C2-1,0)</f>
        <v>H MM</v>
      </c>
      <c r="W2" s="1905"/>
      <c r="X2" s="235" t="str">
        <f>+VLOOKUP(9,TRADUZIONI,DATI!C2-1,0)</f>
        <v>H MIN</v>
      </c>
      <c r="Y2" s="1905" t="str">
        <f>+VLOOKUP(10,TRADUZIONI,DATI!C2-1,0)</f>
        <v>CORDINO</v>
      </c>
      <c r="Z2" s="1905"/>
      <c r="AA2" s="1905"/>
      <c r="AB2" s="235" t="str">
        <f>+VLOOKUP(11,TRADUZIONI,DATI!C2-1,0)</f>
        <v>QUANTITA'</v>
      </c>
      <c r="AC2" s="1906" t="str">
        <f>+VLOOKUP(12,TRADUZIONI,DATI!C2-1,0)</f>
        <v>COLORE</v>
      </c>
      <c r="AD2" s="1907"/>
      <c r="AE2" s="1908"/>
      <c r="AG2" s="238"/>
      <c r="AH2" s="238"/>
    </row>
    <row r="3" spans="1:44" s="242" customFormat="1" ht="37.15" customHeight="1" thickBot="1">
      <c r="A3" s="289"/>
      <c r="B3" s="1909" t="str">
        <f>+E17</f>
        <v>49-58</v>
      </c>
      <c r="C3" s="1910"/>
      <c r="D3" s="1910"/>
      <c r="E3" s="1911">
        <f>F9</f>
        <v>0</v>
      </c>
      <c r="F3" s="1910"/>
      <c r="G3" s="1910"/>
      <c r="H3" s="1910"/>
      <c r="I3" s="1902">
        <f>+DATI!C5</f>
        <v>42370</v>
      </c>
      <c r="J3" s="1903"/>
      <c r="K3" s="1903"/>
      <c r="L3" s="1903"/>
      <c r="M3" s="1903"/>
      <c r="N3" s="1904"/>
      <c r="O3" s="1912" t="e">
        <f>+VLOOKUP(DATI!C3,DATI!AB:AI,5,0)</f>
        <v>#N/A</v>
      </c>
      <c r="P3" s="1913"/>
      <c r="Q3" s="1913"/>
      <c r="R3" s="1914"/>
      <c r="S3" s="1912" t="e">
        <f>IF(C20&lt;O3,O3,C20)</f>
        <v>#N/A</v>
      </c>
      <c r="T3" s="1913"/>
      <c r="U3" s="240"/>
      <c r="V3" s="1915">
        <f>+F20</f>
        <v>2200</v>
      </c>
      <c r="W3" s="1914"/>
      <c r="X3" s="239" t="e">
        <f>+VLOOKUP(DATI!C3,DATI!AB:AI,7,0)</f>
        <v>#N/A</v>
      </c>
      <c r="Y3" s="1912">
        <f>IF(L10&lt;501,2,IF(L10&lt;1066,3,IF(L10&lt;1451,4,IF(L10&lt;1901,5,IF(L10&lt;2351,6,IF(L10&lt;2790,7,8))))))</f>
        <v>6</v>
      </c>
      <c r="Z3" s="1913"/>
      <c r="AA3" s="1914"/>
      <c r="AB3" s="241" t="str">
        <f>+E11</f>
        <v>1</v>
      </c>
      <c r="AC3" s="1916" t="str">
        <f>E13</f>
        <v>06.NERO</v>
      </c>
      <c r="AD3" s="1917"/>
      <c r="AE3" s="1918"/>
      <c r="AG3" s="243"/>
      <c r="AH3" s="243"/>
    </row>
    <row r="4" spans="1:44" s="242" customFormat="1" ht="40.15" customHeight="1" thickBot="1">
      <c r="A4" s="289"/>
      <c r="B4" s="244" t="str">
        <f>+VLOOKUP(13,TRADUZIONI,DATI!C2-1,0)</f>
        <v>COMPENSAZIONE MISURA</v>
      </c>
      <c r="C4" s="243"/>
      <c r="D4" s="243"/>
      <c r="E4" s="243"/>
      <c r="F4" s="243"/>
      <c r="G4" s="243"/>
      <c r="H4" s="243"/>
      <c r="I4" s="1921"/>
      <c r="J4" s="1921"/>
      <c r="K4" s="1922"/>
      <c r="L4" s="1923" t="str">
        <f>+VLOOKUP(14,TRADUZIONI,DATI!C2-1,0)</f>
        <v>LARGHEZZA X ANTA</v>
      </c>
      <c r="M4" s="1924"/>
      <c r="N4" s="1924"/>
      <c r="O4" s="1924"/>
      <c r="P4" s="1924"/>
      <c r="Q4" s="1924"/>
      <c r="R4" s="1924"/>
      <c r="S4" s="243"/>
      <c r="T4" s="689" t="e">
        <f>IF(S3/E15&lt;O3,O3,S3/E15)</f>
        <v>#N/A</v>
      </c>
      <c r="U4" s="690"/>
      <c r="V4" s="243"/>
      <c r="W4" s="247" t="s">
        <v>37</v>
      </c>
      <c r="X4" s="243"/>
      <c r="Y4" s="243"/>
      <c r="Z4" s="248"/>
      <c r="AA4" s="1898" t="str">
        <f>+VLOOKUP(4,TRADUZIONI,DATI!C2-1,0)</f>
        <v>DATA ORDINE</v>
      </c>
      <c r="AB4" s="1898"/>
      <c r="AC4" s="1899">
        <f ca="1">NOW()</f>
        <v>45247.406918981484</v>
      </c>
      <c r="AD4" s="1900"/>
      <c r="AE4" s="1901"/>
      <c r="AF4" s="243"/>
      <c r="AG4" s="243"/>
      <c r="AH4" s="243"/>
    </row>
    <row r="5" spans="1:44" ht="39.75" customHeight="1">
      <c r="B5" s="1882" t="str">
        <f>+VLOOKUP(15,TRADUZIONI,DATI!C2-1,0)&amp;" A"</f>
        <v>QUADRO A</v>
      </c>
      <c r="C5" s="1848"/>
      <c r="D5" s="1881" t="str">
        <f>+VLOOKUP(16,TRADUZIONI,DATI!C2-1,0)</f>
        <v>PRODOTTO</v>
      </c>
      <c r="E5" s="1881"/>
      <c r="F5" s="1881"/>
      <c r="G5" s="1881"/>
      <c r="H5" s="1890"/>
      <c r="I5" s="1882" t="str">
        <f>+VLOOKUP(15,TRADUZIONI,DATI!C2-1,0)&amp;" B"</f>
        <v>QUADRO B</v>
      </c>
      <c r="J5" s="1848"/>
      <c r="K5" s="1881" t="str">
        <f>+VLOOKUP(17,TRADUZIONI,DATI!C2-1,0)</f>
        <v xml:space="preserve">RETE PLISSETTATA 20MM </v>
      </c>
      <c r="L5" s="1881"/>
      <c r="M5" s="1881"/>
      <c r="N5" s="1881"/>
      <c r="O5" s="1881"/>
      <c r="P5" s="1881"/>
      <c r="Q5" s="1382"/>
      <c r="R5" s="1848" t="str">
        <f>+VLOOKUP(15,TRADUZIONI,DATI!C2-1,0)&amp;" D"</f>
        <v>QUADRO D</v>
      </c>
      <c r="S5" s="1848"/>
      <c r="T5" s="1881" t="str">
        <f>+VLOOKUP(18,TRADUZIONI,DATI!C2-1,0)</f>
        <v>PROFILI IN ALLUMINIO</v>
      </c>
      <c r="U5" s="1881"/>
      <c r="V5" s="1881"/>
      <c r="W5" s="1881"/>
      <c r="X5" s="1881"/>
      <c r="Y5" s="1881"/>
      <c r="Z5" s="1881"/>
      <c r="AA5" s="1881"/>
      <c r="AB5" s="1881"/>
      <c r="AC5" s="1881"/>
      <c r="AD5" s="1881"/>
      <c r="AE5" s="1890"/>
      <c r="AF5" s="249"/>
      <c r="AG5" s="249"/>
      <c r="AH5" s="249"/>
      <c r="AJ5" s="242"/>
      <c r="AK5" s="242"/>
      <c r="AL5" s="242"/>
      <c r="AM5" s="242"/>
      <c r="AN5" s="242"/>
      <c r="AO5" s="242"/>
      <c r="AP5" s="242"/>
      <c r="AQ5" s="242"/>
      <c r="AR5" s="242"/>
    </row>
    <row r="6" spans="1:44" ht="30.75" customHeight="1">
      <c r="B6" s="251"/>
      <c r="C6" s="234"/>
      <c r="D6" s="234"/>
      <c r="E6" s="234"/>
      <c r="F6" s="234"/>
      <c r="G6" s="234"/>
      <c r="H6" s="234"/>
      <c r="I6" s="252"/>
      <c r="J6" s="249"/>
      <c r="K6" s="253" t="str">
        <f>+VLOOKUP(19,TRADUZIONI,DATI!C2-1,0)</f>
        <v>PIEGHE</v>
      </c>
      <c r="L6" s="254" t="s">
        <v>158</v>
      </c>
      <c r="M6" s="255" t="e">
        <f>ROUNDUP(((IF(S3/E15&lt;O3,O3,S3/E15))-65)*0.036,0)</f>
        <v>#N/A</v>
      </c>
      <c r="N6" s="249"/>
      <c r="O6" s="256">
        <f>+E15*E11</f>
        <v>1</v>
      </c>
      <c r="P6" s="256" t="s">
        <v>159</v>
      </c>
      <c r="Q6" s="257"/>
      <c r="R6" s="1872" t="str">
        <f>+VLOOKUP(20,TRADUZIONI,DATI!C2-1,0)</f>
        <v>BARRA SCORR/BARRA DORSO</v>
      </c>
      <c r="S6" s="1872"/>
      <c r="T6" s="1872"/>
      <c r="U6" s="1872"/>
      <c r="V6" s="1872"/>
      <c r="W6" s="1872"/>
      <c r="X6" s="1925"/>
      <c r="Y6" s="1872" t="str">
        <f>+VLOOKUP(21,TRADUZIONI,DATI!C2-1,0)</f>
        <v>GUIDA COMP/GUIDA A TERRA</v>
      </c>
      <c r="Z6" s="1872"/>
      <c r="AA6" s="1872"/>
      <c r="AB6" s="1872"/>
      <c r="AC6" s="1872"/>
      <c r="AD6" s="1872"/>
      <c r="AE6" s="1873"/>
      <c r="AF6" s="249"/>
      <c r="AG6" s="249"/>
      <c r="AH6" s="249"/>
      <c r="AJ6" s="242"/>
      <c r="AK6" s="242"/>
      <c r="AL6" s="242"/>
      <c r="AM6" s="242"/>
      <c r="AN6" s="242"/>
      <c r="AO6" s="242"/>
      <c r="AP6" s="242"/>
      <c r="AQ6" s="242"/>
      <c r="AR6" s="242"/>
    </row>
    <row r="7" spans="1:44" ht="30.75" customHeight="1">
      <c r="B7" s="251"/>
      <c r="C7" s="258" t="str">
        <f>+VLOOKUP(22,TRADUZIONI,DATI!C2-1,0)</f>
        <v>CLIENTE</v>
      </c>
      <c r="D7" s="234"/>
      <c r="E7" s="1891">
        <f>+DATI!C6</f>
        <v>0</v>
      </c>
      <c r="F7" s="1892"/>
      <c r="G7" s="1892"/>
      <c r="H7" s="1893"/>
      <c r="Q7" s="263"/>
      <c r="R7" s="260"/>
      <c r="S7" s="260"/>
      <c r="T7" s="260"/>
      <c r="U7" s="260"/>
      <c r="V7" s="260"/>
      <c r="W7" s="260"/>
      <c r="X7" s="261"/>
      <c r="Y7" s="249"/>
      <c r="Z7" s="262"/>
      <c r="AA7" s="256"/>
      <c r="AB7" s="256"/>
      <c r="AC7" s="249"/>
      <c r="AD7" s="249"/>
      <c r="AE7" s="263"/>
      <c r="AF7" s="249"/>
      <c r="AG7" s="249"/>
      <c r="AH7" s="249"/>
      <c r="AJ7" s="242"/>
      <c r="AK7" s="242"/>
      <c r="AL7" s="242"/>
      <c r="AM7" s="242"/>
      <c r="AN7" s="242"/>
      <c r="AO7" s="242"/>
      <c r="AP7" s="242"/>
      <c r="AQ7" s="242"/>
      <c r="AR7" s="242"/>
    </row>
    <row r="8" spans="1:44" ht="30.75" customHeight="1">
      <c r="B8" s="251"/>
      <c r="C8" s="234"/>
      <c r="D8" s="234" t="s">
        <v>37</v>
      </c>
      <c r="E8" s="234"/>
      <c r="F8" s="234"/>
      <c r="G8" s="234"/>
      <c r="H8" s="234"/>
      <c r="I8" s="252"/>
      <c r="J8" s="249"/>
      <c r="K8" s="249"/>
      <c r="L8" s="249"/>
      <c r="M8" s="249"/>
      <c r="N8" s="249"/>
      <c r="O8" s="249"/>
      <c r="P8" s="249"/>
      <c r="Q8" s="263"/>
      <c r="R8" s="260"/>
      <c r="V8" s="260"/>
      <c r="W8" s="264"/>
      <c r="X8" s="265"/>
      <c r="Y8" s="249"/>
      <c r="Z8" s="238"/>
      <c r="AA8" s="249"/>
      <c r="AB8" s="249"/>
      <c r="AC8" s="249"/>
      <c r="AD8" s="249"/>
      <c r="AE8" s="263"/>
      <c r="AF8" s="249"/>
      <c r="AG8" s="249"/>
      <c r="AH8" s="249"/>
      <c r="AJ8" s="242"/>
      <c r="AK8" s="242"/>
      <c r="AL8" s="242"/>
      <c r="AM8" s="242"/>
      <c r="AN8" s="242"/>
      <c r="AO8" s="242"/>
      <c r="AP8" s="242"/>
      <c r="AQ8" s="242"/>
      <c r="AR8" s="242"/>
    </row>
    <row r="9" spans="1:44" ht="30.75" customHeight="1">
      <c r="B9" s="251"/>
      <c r="C9" s="697" t="str">
        <f>+VLOOKUP(23,TRADUZIONI,DATI!C2-1,0)</f>
        <v>NUM. ORDINE</v>
      </c>
      <c r="D9" s="698"/>
      <c r="E9" s="699"/>
      <c r="F9" s="696">
        <f>+DATI!C4</f>
        <v>0</v>
      </c>
      <c r="G9" s="700"/>
      <c r="H9" s="266"/>
      <c r="I9" s="252"/>
      <c r="J9" s="1895" t="str">
        <f>+IF(DATI!$L$15=1,"",VLOOKUP(38,TRADUZIONI,DATI!C2-1,0))</f>
        <v/>
      </c>
      <c r="K9" s="1895"/>
      <c r="L9" s="1895"/>
      <c r="M9" s="1895"/>
      <c r="N9" s="1895"/>
      <c r="O9" s="1895"/>
      <c r="P9" s="249"/>
      <c r="Q9" s="263"/>
      <c r="R9" s="260"/>
      <c r="S9" s="253"/>
      <c r="T9" s="267" t="s">
        <v>162</v>
      </c>
      <c r="U9" s="268">
        <f>V3-136+21</f>
        <v>2085</v>
      </c>
      <c r="V9" s="260"/>
      <c r="W9" s="260"/>
      <c r="X9" s="261"/>
      <c r="Y9" s="249"/>
      <c r="Z9" s="262"/>
      <c r="AA9" s="256" t="s">
        <v>471</v>
      </c>
      <c r="AB9" s="256" t="e">
        <f>S3 - 5</f>
        <v>#N/A</v>
      </c>
      <c r="AC9" s="249"/>
      <c r="AD9" s="249"/>
      <c r="AE9" s="1886" t="e">
        <f>+"*"&amp;AB9&amp;"*"</f>
        <v>#N/A</v>
      </c>
      <c r="AF9" s="249"/>
      <c r="AG9" s="249"/>
      <c r="AH9" s="249"/>
      <c r="AJ9" s="242"/>
      <c r="AK9" s="242"/>
      <c r="AL9" s="242"/>
      <c r="AM9" s="242"/>
      <c r="AN9" s="242"/>
      <c r="AO9" s="242"/>
      <c r="AP9" s="242"/>
      <c r="AQ9" s="242"/>
      <c r="AR9" s="242"/>
    </row>
    <row r="10" spans="1:44" ht="30.75" customHeight="1">
      <c r="B10" s="251"/>
      <c r="C10" s="234"/>
      <c r="D10" s="234"/>
      <c r="E10" s="234"/>
      <c r="F10" s="234"/>
      <c r="G10" s="234"/>
      <c r="H10" s="234"/>
      <c r="I10" s="252"/>
      <c r="J10" s="1083" t="str">
        <f>+VLOOKUP(39,TRADUZIONI,DATI!C2-1,0)</f>
        <v>MISURA RETE</v>
      </c>
      <c r="K10" s="249"/>
      <c r="L10" s="1894">
        <f>V3-64+21-3</f>
        <v>2154</v>
      </c>
      <c r="M10" s="1894"/>
      <c r="N10" s="1854"/>
      <c r="O10" s="1854"/>
      <c r="P10" s="279" t="s">
        <v>37</v>
      </c>
      <c r="Q10" s="270"/>
      <c r="R10" s="260"/>
      <c r="S10" s="260"/>
      <c r="T10" s="260"/>
      <c r="U10" s="260"/>
      <c r="V10" s="260"/>
      <c r="W10" s="260"/>
      <c r="X10" s="261"/>
      <c r="Y10" s="249"/>
      <c r="Z10" s="238"/>
      <c r="AA10" s="249"/>
      <c r="AB10" s="249"/>
      <c r="AC10" s="249"/>
      <c r="AD10" s="249"/>
      <c r="AE10" s="1886"/>
      <c r="AF10" s="249"/>
      <c r="AG10" s="249"/>
      <c r="AH10" s="249"/>
      <c r="AJ10" s="242"/>
      <c r="AK10" s="242"/>
      <c r="AL10" s="242"/>
      <c r="AM10" s="242"/>
      <c r="AN10" s="242"/>
      <c r="AO10" s="242"/>
      <c r="AP10" s="242"/>
      <c r="AQ10" s="242"/>
      <c r="AR10" s="242"/>
    </row>
    <row r="11" spans="1:44" ht="30.75" customHeight="1">
      <c r="B11" s="251"/>
      <c r="C11" s="1878" t="str">
        <f>+VLOOKUP(24,TRADUZIONI,DATI!C2-1,0)</f>
        <v>PEZZI</v>
      </c>
      <c r="D11" s="1878"/>
      <c r="E11" s="701" t="str">
        <f>+DATI!C11</f>
        <v>1</v>
      </c>
      <c r="F11" s="691"/>
      <c r="G11" s="691"/>
      <c r="I11" s="252"/>
      <c r="J11" s="249"/>
      <c r="K11" s="249"/>
      <c r="L11" s="249"/>
      <c r="M11" s="249"/>
      <c r="N11" s="249"/>
      <c r="O11" s="249"/>
      <c r="P11" s="249"/>
      <c r="Q11" s="263"/>
      <c r="R11" s="260"/>
      <c r="S11" s="260"/>
      <c r="T11" s="260"/>
      <c r="U11" s="260"/>
      <c r="V11" s="260"/>
      <c r="W11" s="260"/>
      <c r="X11" s="261"/>
      <c r="Y11" s="249"/>
      <c r="Z11" s="249"/>
      <c r="AA11" s="249"/>
      <c r="AB11" s="249"/>
      <c r="AC11" s="249"/>
      <c r="AD11" s="249"/>
      <c r="AE11" s="1886"/>
      <c r="AF11" s="249"/>
      <c r="AG11" s="249"/>
      <c r="AH11" s="249"/>
      <c r="AJ11" s="242"/>
      <c r="AK11" s="242"/>
      <c r="AL11" s="242"/>
      <c r="AM11" s="242"/>
      <c r="AN11" s="242"/>
      <c r="AO11" s="242"/>
      <c r="AP11" s="242"/>
      <c r="AQ11" s="242"/>
      <c r="AR11" s="242"/>
    </row>
    <row r="12" spans="1:44" ht="30.75" customHeight="1">
      <c r="B12" s="251"/>
      <c r="C12" s="233"/>
      <c r="D12" s="233"/>
      <c r="E12" s="233"/>
      <c r="F12" s="233"/>
      <c r="G12" s="233"/>
      <c r="H12" s="233"/>
      <c r="I12" s="252"/>
      <c r="J12" s="262" t="str">
        <f>+VLOOKUP(49,TRADUZIONI,DATI!C2-1,0)</f>
        <v>FORI</v>
      </c>
      <c r="K12" s="249"/>
      <c r="L12" s="272"/>
      <c r="M12" s="272"/>
      <c r="N12" s="272"/>
      <c r="O12" s="272"/>
      <c r="P12" s="249"/>
      <c r="Q12" s="263"/>
      <c r="R12" s="260"/>
      <c r="S12" s="1896" t="str">
        <f>+VLOOKUP(50,TRADUZIONI,DATI!C2-1,0)</f>
        <v>PORTASPAZZOLINO</v>
      </c>
      <c r="T12" s="1896"/>
      <c r="U12" s="1896"/>
      <c r="V12" s="260"/>
      <c r="W12" s="260"/>
      <c r="X12" s="261"/>
      <c r="Y12" s="249"/>
      <c r="Z12" s="249"/>
      <c r="AA12" s="249"/>
      <c r="AB12" s="249"/>
      <c r="AC12" s="249"/>
      <c r="AD12" s="249"/>
      <c r="AE12" s="1886"/>
      <c r="AF12" s="249"/>
      <c r="AG12" s="249"/>
      <c r="AH12" s="249"/>
    </row>
    <row r="13" spans="1:44" ht="30.75" customHeight="1">
      <c r="B13" s="273"/>
      <c r="C13" s="258" t="str">
        <f>+VLOOKUP(25,TRADUZIONI,DATI!C2-1,0)</f>
        <v>COLORE</v>
      </c>
      <c r="D13" s="234"/>
      <c r="E13" s="1891" t="str">
        <f>+DATI!C10</f>
        <v>06.NERO</v>
      </c>
      <c r="F13" s="1892"/>
      <c r="G13" s="1892"/>
      <c r="H13" s="1893"/>
      <c r="I13" s="252"/>
      <c r="J13" s="249"/>
      <c r="K13" s="249"/>
      <c r="L13" s="249"/>
      <c r="M13" s="249"/>
      <c r="N13" s="249"/>
      <c r="O13" s="249"/>
      <c r="P13" s="249"/>
      <c r="Q13" s="263"/>
      <c r="R13" s="260"/>
      <c r="S13" s="1896"/>
      <c r="T13" s="1896"/>
      <c r="U13" s="1896"/>
      <c r="V13" s="268">
        <f>V3-146.6-1.4+21</f>
        <v>2073</v>
      </c>
      <c r="W13" s="264" t="s">
        <v>171</v>
      </c>
      <c r="X13" s="274">
        <f>+E15*E11</f>
        <v>1</v>
      </c>
      <c r="Y13" s="1897"/>
      <c r="Z13" s="1858"/>
      <c r="AA13" s="1858"/>
      <c r="AB13" s="1858"/>
      <c r="AC13" s="1858"/>
      <c r="AD13" s="1858"/>
      <c r="AE13" s="1859"/>
      <c r="AF13" s="249"/>
      <c r="AG13" s="249"/>
      <c r="AH13" s="249"/>
    </row>
    <row r="14" spans="1:44" ht="30.75" customHeight="1">
      <c r="B14" s="251"/>
      <c r="C14" s="234"/>
      <c r="D14" s="277"/>
      <c r="E14" s="234"/>
      <c r="F14" s="277"/>
      <c r="G14" s="277"/>
      <c r="H14" s="277"/>
      <c r="I14" s="252"/>
      <c r="J14" s="249"/>
      <c r="K14" s="249"/>
      <c r="L14" s="249"/>
      <c r="M14" s="249"/>
      <c r="N14" s="249"/>
      <c r="O14" s="249"/>
      <c r="P14" s="249"/>
      <c r="Q14" s="263"/>
      <c r="R14" s="260"/>
      <c r="S14" s="1867" t="str">
        <f>+VLOOKUP(51,TRADUZIONI,DATI!C2-1,0)</f>
        <v>MAGNETE</v>
      </c>
      <c r="T14" s="1867"/>
      <c r="U14" s="1867"/>
      <c r="V14" s="268">
        <f>V3-35</f>
        <v>2165</v>
      </c>
      <c r="W14" s="264" t="s">
        <v>171</v>
      </c>
      <c r="X14" s="278">
        <f>+E15*E11</f>
        <v>1</v>
      </c>
      <c r="Y14" s="249"/>
      <c r="Z14" s="249"/>
      <c r="AA14" s="249"/>
      <c r="AB14" s="249"/>
      <c r="AC14" s="249"/>
      <c r="AD14" s="249"/>
      <c r="AE14" s="1868"/>
      <c r="AF14" s="249"/>
      <c r="AG14" s="249"/>
      <c r="AH14" s="249"/>
    </row>
    <row r="15" spans="1:44" ht="30.75" customHeight="1">
      <c r="B15" s="251"/>
      <c r="C15" s="279" t="str">
        <f>+VLOOKUP(26,TRADUZIONI,DATI!C2-1,0)</f>
        <v>ANTE</v>
      </c>
      <c r="D15" s="234"/>
      <c r="E15" s="676">
        <f>+DATI!C9</f>
        <v>1</v>
      </c>
      <c r="F15" s="281"/>
      <c r="G15" s="282"/>
      <c r="H15" s="234"/>
      <c r="I15" s="283">
        <v>50</v>
      </c>
      <c r="J15" s="284"/>
      <c r="K15" s="285"/>
      <c r="L15" s="238"/>
      <c r="M15" s="238"/>
      <c r="N15" s="238"/>
      <c r="O15" s="238"/>
      <c r="P15" s="249"/>
      <c r="Q15" s="263"/>
      <c r="R15" s="1869" t="str">
        <f>+"*"&amp;U9&amp;"*"</f>
        <v>*2085*</v>
      </c>
      <c r="S15" s="1869"/>
      <c r="T15" s="1869"/>
      <c r="U15" s="1869"/>
      <c r="V15" s="1869"/>
      <c r="W15" s="1869"/>
      <c r="X15" s="1870"/>
      <c r="Y15" s="249"/>
      <c r="Z15" s="249"/>
      <c r="AA15" s="267"/>
      <c r="AB15" s="256"/>
      <c r="AC15" s="272"/>
      <c r="AD15" s="272"/>
      <c r="AE15" s="1868"/>
      <c r="AF15" s="249"/>
      <c r="AG15" s="249"/>
      <c r="AH15" s="249"/>
      <c r="AM15" s="249"/>
      <c r="AN15" s="272"/>
      <c r="AO15" s="249"/>
      <c r="AP15" s="272"/>
      <c r="AQ15" s="272"/>
      <c r="AR15" s="249"/>
    </row>
    <row r="16" spans="1:44" ht="30.75" customHeight="1">
      <c r="B16" s="251"/>
      <c r="C16" s="233"/>
      <c r="D16" s="233"/>
      <c r="E16" s="233"/>
      <c r="F16" s="234"/>
      <c r="G16" s="234"/>
      <c r="H16" s="234"/>
      <c r="I16" s="286"/>
      <c r="J16" s="287">
        <f>IF(Y3=2,L10-50,K17-O28)</f>
        <v>460.80000000000013</v>
      </c>
      <c r="K16" s="238"/>
      <c r="L16" s="238"/>
      <c r="M16" s="238"/>
      <c r="N16" s="238"/>
      <c r="O16" s="238"/>
      <c r="P16" s="249"/>
      <c r="Q16" s="263"/>
      <c r="R16" s="1869"/>
      <c r="S16" s="1869"/>
      <c r="T16" s="1869"/>
      <c r="U16" s="1869"/>
      <c r="V16" s="1869"/>
      <c r="W16" s="1869"/>
      <c r="X16" s="1870"/>
      <c r="Y16" s="249"/>
      <c r="Z16" s="262"/>
      <c r="AA16" s="249"/>
      <c r="AB16" s="249"/>
      <c r="AC16" s="281"/>
      <c r="AD16" s="284"/>
      <c r="AE16" s="1868"/>
      <c r="AF16" s="249"/>
      <c r="AG16" s="249"/>
      <c r="AH16" s="249"/>
      <c r="AM16" s="262"/>
      <c r="AN16" s="249"/>
      <c r="AO16" s="249"/>
      <c r="AP16" s="281"/>
      <c r="AQ16" s="284"/>
      <c r="AR16" s="249"/>
    </row>
    <row r="17" spans="2:45" ht="30.75" customHeight="1">
      <c r="B17" s="251"/>
      <c r="C17" s="1878" t="str">
        <f>+VLOOKUP(27,TRADUZIONI,DATI!C2-1,0)</f>
        <v>MODULO</v>
      </c>
      <c r="D17" s="1878"/>
      <c r="E17" s="1875" t="str">
        <f>+DATI!M5</f>
        <v>49-58</v>
      </c>
      <c r="F17" s="1875"/>
      <c r="G17" s="1875"/>
      <c r="H17" s="234"/>
      <c r="I17" s="286"/>
      <c r="J17" s="238"/>
      <c r="K17" s="287">
        <f>IF(Y3&lt;3,"",IF(Y3=3,L10-50,L18-O28))</f>
        <v>871.60000000000014</v>
      </c>
      <c r="L17" s="238"/>
      <c r="M17" s="238"/>
      <c r="N17" s="238"/>
      <c r="O17" s="238"/>
      <c r="P17" s="249"/>
      <c r="Q17" s="263"/>
      <c r="R17" s="1869"/>
      <c r="S17" s="1869"/>
      <c r="T17" s="1869"/>
      <c r="U17" s="1869"/>
      <c r="V17" s="1869"/>
      <c r="W17" s="1869"/>
      <c r="X17" s="1870"/>
      <c r="Y17" s="249"/>
      <c r="Z17" s="262"/>
      <c r="AA17" s="249"/>
      <c r="AB17" s="249"/>
      <c r="AC17" s="281"/>
      <c r="AD17" s="284"/>
      <c r="AE17" s="1868"/>
      <c r="AF17" s="249"/>
      <c r="AG17" s="249"/>
      <c r="AH17" s="249"/>
      <c r="AM17" s="262"/>
      <c r="AN17" s="249"/>
      <c r="AO17" s="249"/>
      <c r="AP17" s="281"/>
      <c r="AQ17" s="284"/>
      <c r="AR17" s="249"/>
    </row>
    <row r="18" spans="2:45" ht="30.75" customHeight="1">
      <c r="B18" s="251"/>
      <c r="H18" s="288"/>
      <c r="I18" s="286"/>
      <c r="J18" s="238"/>
      <c r="K18" s="238"/>
      <c r="L18" s="287">
        <f>IF(Y3&lt;4,"",IF(Y3=4,L10-50,M19-O28))</f>
        <v>1282.4000000000001</v>
      </c>
      <c r="M18" s="238"/>
      <c r="N18" s="238"/>
      <c r="O18" s="238"/>
      <c r="P18" s="249"/>
      <c r="Q18" s="263"/>
      <c r="R18" s="1869"/>
      <c r="S18" s="1869"/>
      <c r="T18" s="1869"/>
      <c r="U18" s="1869"/>
      <c r="V18" s="1869"/>
      <c r="W18" s="1869"/>
      <c r="X18" s="1870"/>
      <c r="AE18" s="263"/>
      <c r="AF18" s="249"/>
      <c r="AG18" s="249"/>
      <c r="AH18" s="249"/>
      <c r="AM18" s="249"/>
      <c r="AN18" s="249"/>
      <c r="AO18" s="249"/>
      <c r="AP18" s="249"/>
      <c r="AQ18" s="249"/>
      <c r="AR18" s="249"/>
    </row>
    <row r="19" spans="2:45" ht="30.75" customHeight="1">
      <c r="B19" s="702" t="e">
        <f>IF(AND(C20&lt;O3,E15=1),"MINIMO L "&amp;O3&amp;" - REIMPOSTA ! ","")</f>
        <v>#N/A</v>
      </c>
      <c r="C19" s="1860" t="str">
        <f>+VLOOKUP(28,TRADUZIONI,DATI!C2-1,0)</f>
        <v>BASE</v>
      </c>
      <c r="D19" s="1860"/>
      <c r="F19" s="1849" t="str">
        <f>+VLOOKUP(29,TRADUZIONI,DATI!C2-1,0)</f>
        <v>ALTEZZA</v>
      </c>
      <c r="G19" s="1849"/>
      <c r="H19" s="249"/>
      <c r="I19" s="286"/>
      <c r="J19" s="238"/>
      <c r="K19" s="238"/>
      <c r="L19" s="238"/>
      <c r="M19" s="287">
        <f>IF(Y3&lt;5,"",IF(Y3=5,L10-50,IF(Y3=6,N20-O28,IF(Y3&gt;6,N20-O28))))</f>
        <v>1693.2</v>
      </c>
      <c r="N19" s="290"/>
      <c r="O19" s="238"/>
      <c r="P19" s="249"/>
      <c r="Q19" s="263"/>
      <c r="R19" s="260"/>
      <c r="S19" s="260"/>
      <c r="T19" s="260"/>
      <c r="U19" s="260"/>
      <c r="V19" s="260"/>
      <c r="W19" s="260"/>
      <c r="X19" s="261"/>
      <c r="Y19" s="249"/>
      <c r="Z19" s="249"/>
      <c r="AA19" s="249"/>
      <c r="AB19" s="249"/>
      <c r="AC19" s="249"/>
      <c r="AD19" s="249"/>
      <c r="AE19" s="263"/>
      <c r="AF19" s="249"/>
      <c r="AG19" s="249"/>
      <c r="AH19" s="249"/>
      <c r="AM19" s="249"/>
      <c r="AN19" s="249"/>
      <c r="AO19" s="285"/>
      <c r="AP19" s="282"/>
      <c r="AQ19" s="249"/>
      <c r="AR19" s="249"/>
      <c r="AS19" s="249"/>
    </row>
    <row r="20" spans="2:45" ht="30.75" customHeight="1">
      <c r="B20" s="252"/>
      <c r="C20" s="1876">
        <f>+DATI!C7</f>
        <v>1400</v>
      </c>
      <c r="D20" s="1877"/>
      <c r="E20" s="282" t="s">
        <v>44</v>
      </c>
      <c r="F20" s="1876">
        <f>+DATI!C8</f>
        <v>2200</v>
      </c>
      <c r="G20" s="1877"/>
      <c r="I20" s="286"/>
      <c r="J20" s="238"/>
      <c r="K20" s="238"/>
      <c r="L20" s="238"/>
      <c r="N20" s="281">
        <f>IF(Y3&lt;6,0,IF(Y3=6,L10-50,IF(Y3&gt;6,N21-O28)))</f>
        <v>2104</v>
      </c>
      <c r="O20" s="238"/>
      <c r="P20" s="249"/>
      <c r="Q20" s="263"/>
      <c r="R20" s="260"/>
      <c r="S20" s="260"/>
      <c r="T20" s="260"/>
      <c r="U20" s="260"/>
      <c r="V20" s="260"/>
      <c r="W20" s="260"/>
      <c r="X20" s="261"/>
      <c r="Y20" s="1871" t="str">
        <f>+VLOOKUP(61,TRADUZIONI,DATI!C2-1,0)</f>
        <v>PROFILO CHIUSURA</v>
      </c>
      <c r="Z20" s="1872"/>
      <c r="AA20" s="1872"/>
      <c r="AB20" s="1872"/>
      <c r="AC20" s="1872"/>
      <c r="AD20" s="1872"/>
      <c r="AE20" s="1873"/>
      <c r="AF20" s="249"/>
      <c r="AG20" s="249"/>
      <c r="AH20" s="249"/>
      <c r="AM20" s="249"/>
      <c r="AN20" s="249"/>
      <c r="AO20" s="249"/>
      <c r="AP20" s="249"/>
      <c r="AQ20" s="249"/>
      <c r="AR20" s="249"/>
      <c r="AS20" s="249"/>
    </row>
    <row r="21" spans="2:45" ht="30.75" customHeight="1">
      <c r="B21" s="252"/>
      <c r="I21" s="286"/>
      <c r="J21" s="238"/>
      <c r="K21" s="238"/>
      <c r="L21" s="238"/>
      <c r="M21" s="238"/>
      <c r="N21" s="1883">
        <f>IF(Y3&lt;7,0,IF(Y3=7,L10-50,IF(Y3&gt;7,P22-O28)))</f>
        <v>0</v>
      </c>
      <c r="O21" s="1883"/>
      <c r="P21" s="1384"/>
      <c r="Q21" s="263"/>
      <c r="R21" s="260"/>
      <c r="S21" s="292"/>
      <c r="V21" s="264" t="s">
        <v>37</v>
      </c>
      <c r="W21" s="267"/>
      <c r="X21" s="293"/>
      <c r="Y21" s="249"/>
      <c r="AD21" s="264" t="s">
        <v>37</v>
      </c>
      <c r="AE21" s="294" t="s">
        <v>37</v>
      </c>
      <c r="AF21" s="249"/>
      <c r="AG21" s="249"/>
      <c r="AH21" s="249"/>
      <c r="AM21" s="249"/>
      <c r="AN21" s="249"/>
      <c r="AO21" s="249"/>
      <c r="AP21" s="249"/>
      <c r="AQ21" s="249"/>
      <c r="AR21" s="249"/>
      <c r="AS21" s="249"/>
    </row>
    <row r="22" spans="2:45" ht="30.75" customHeight="1">
      <c r="B22" s="1864" t="str">
        <f>IF(AND(C20&gt;1430,E15=1),"MASSIMO L 1430 O 2 ANTE DA 720","")</f>
        <v/>
      </c>
      <c r="C22" s="1858"/>
      <c r="D22" s="1858"/>
      <c r="E22" s="1858"/>
      <c r="F22" s="1858"/>
      <c r="G22" s="1858"/>
      <c r="H22" s="1859"/>
      <c r="I22" s="252"/>
      <c r="K22" s="1386"/>
      <c r="L22" s="1386"/>
      <c r="M22" s="1386"/>
      <c r="N22" s="1386"/>
      <c r="O22" s="1386"/>
      <c r="P22" s="1387">
        <f>IF(Y3=8,L10-50,0)</f>
        <v>0</v>
      </c>
      <c r="Q22" s="263"/>
      <c r="R22" s="260"/>
      <c r="S22" s="260"/>
      <c r="T22" s="267" t="s">
        <v>175</v>
      </c>
      <c r="U22" s="268">
        <f>V3-136+21</f>
        <v>2085</v>
      </c>
      <c r="V22" s="260"/>
      <c r="W22" s="260"/>
      <c r="X22" s="261"/>
      <c r="Y22" s="249"/>
      <c r="Z22" s="1874" t="s">
        <v>781</v>
      </c>
      <c r="AA22" s="1874"/>
      <c r="AB22" s="1874"/>
      <c r="AC22" s="1431">
        <f>IF(OR(E15=1,F15="S"),V3-57,"")</f>
        <v>2143</v>
      </c>
      <c r="AD22" s="297"/>
      <c r="AE22" s="263"/>
      <c r="AF22" s="249"/>
      <c r="AG22" s="249"/>
      <c r="AH22" s="249"/>
      <c r="AM22" s="249"/>
      <c r="AN22" s="249"/>
      <c r="AO22" s="249"/>
      <c r="AP22" s="249"/>
      <c r="AQ22" s="249"/>
      <c r="AR22" s="249"/>
      <c r="AS22" s="249"/>
    </row>
    <row r="23" spans="2:45" ht="30.75" customHeight="1">
      <c r="B23" s="252"/>
      <c r="C23" s="279" t="str">
        <f>IF((F20&gt;2580),VLOOKUP(30,TRADUZIONI,DATI!C2-1,0),"")</f>
        <v/>
      </c>
      <c r="D23" s="249"/>
      <c r="E23" s="249"/>
      <c r="F23" s="249"/>
      <c r="G23" s="249"/>
      <c r="H23" s="249"/>
      <c r="I23" s="252"/>
      <c r="J23" s="1386"/>
      <c r="K23" s="1386"/>
      <c r="L23" s="1386"/>
      <c r="M23" s="1386"/>
      <c r="N23" s="1386"/>
      <c r="O23" s="1386"/>
      <c r="P23" s="249"/>
      <c r="Q23" s="263"/>
      <c r="R23" s="260"/>
      <c r="S23" s="260"/>
      <c r="T23" s="260"/>
      <c r="U23" s="260"/>
      <c r="V23" s="260"/>
      <c r="W23" s="260"/>
      <c r="X23" s="261"/>
      <c r="Y23" s="249"/>
      <c r="Z23" s="249"/>
      <c r="AA23" s="249"/>
      <c r="AB23" s="249"/>
      <c r="AC23" s="249"/>
      <c r="AD23" s="249"/>
      <c r="AE23" s="263"/>
      <c r="AF23" s="249"/>
      <c r="AG23" s="249"/>
      <c r="AH23" s="249"/>
      <c r="AM23" s="249"/>
      <c r="AN23" s="279"/>
      <c r="AO23" s="267"/>
      <c r="AP23" s="297"/>
      <c r="AQ23" s="264"/>
      <c r="AR23" s="269"/>
      <c r="AS23" s="238"/>
    </row>
    <row r="24" spans="2:45" ht="30.75" customHeight="1">
      <c r="B24" s="692" t="str">
        <f>IF(AND(C20&lt;1440,E15=2),"ERRORE !!! L MIN 1440 2 ANTE","")</f>
        <v/>
      </c>
      <c r="C24" s="249"/>
      <c r="D24" s="249"/>
      <c r="E24" s="249"/>
      <c r="F24" s="249"/>
      <c r="G24" s="249"/>
      <c r="H24" s="249"/>
      <c r="I24" s="252"/>
      <c r="J24" s="1866" t="e">
        <f>IF(DATI!E13="AUTOMATICA",CONCATENATE("*",DATI!E14,"-",REPT("0",4-LEN(L10)),L10,"*"),CONCATENATE("*",DATI!L14,REPT("0",3-LEN(M6)),M6,REPT("0",4-LEN(L10)),L10,DATI!L13,"*"))</f>
        <v>#VALUE!</v>
      </c>
      <c r="K24" s="1866"/>
      <c r="L24" s="1866"/>
      <c r="M24" s="1866"/>
      <c r="N24" s="1866"/>
      <c r="O24" s="1866"/>
      <c r="P24" s="1866"/>
      <c r="Q24" s="263"/>
      <c r="R24" s="260"/>
      <c r="S24" s="260"/>
      <c r="T24" s="260"/>
      <c r="U24" s="260"/>
      <c r="V24" s="260"/>
      <c r="W24" s="260"/>
      <c r="X24" s="261"/>
      <c r="Y24" s="249"/>
      <c r="Z24" s="249"/>
      <c r="AA24" s="249"/>
      <c r="AB24" s="249"/>
      <c r="AC24" s="249"/>
      <c r="AD24" s="249"/>
      <c r="AE24" s="263"/>
      <c r="AF24" s="249"/>
      <c r="AG24" s="249"/>
      <c r="AH24" s="249"/>
      <c r="AM24" s="249"/>
      <c r="AN24" s="249"/>
      <c r="AO24" s="249"/>
      <c r="AP24" s="249"/>
      <c r="AQ24" s="249"/>
      <c r="AR24" s="249"/>
      <c r="AS24" s="249"/>
    </row>
    <row r="25" spans="2:45" ht="30.75" customHeight="1">
      <c r="B25" s="252"/>
      <c r="C25" s="249"/>
      <c r="D25" s="1865" t="e">
        <f>S3-0</f>
        <v>#N/A</v>
      </c>
      <c r="E25" s="1865"/>
      <c r="F25" s="1865"/>
      <c r="G25" s="249"/>
      <c r="H25" s="249"/>
      <c r="I25" s="252"/>
      <c r="J25" s="1866"/>
      <c r="K25" s="1866"/>
      <c r="L25" s="1866"/>
      <c r="M25" s="1866"/>
      <c r="N25" s="1866"/>
      <c r="O25" s="1866"/>
      <c r="P25" s="1866"/>
      <c r="Q25" s="263"/>
      <c r="R25" s="260"/>
      <c r="S25" s="260"/>
      <c r="T25" s="260"/>
      <c r="U25" s="260"/>
      <c r="V25" s="260"/>
      <c r="W25" s="260"/>
      <c r="X25" s="261"/>
      <c r="Y25" s="249"/>
      <c r="Z25" s="249"/>
      <c r="AA25" s="249"/>
      <c r="AB25" s="249"/>
      <c r="AC25" s="249"/>
      <c r="AD25" s="249"/>
      <c r="AE25" s="263"/>
      <c r="AF25" s="249"/>
      <c r="AG25" s="249"/>
      <c r="AH25" s="249"/>
      <c r="AM25" s="249"/>
      <c r="AN25" s="249"/>
      <c r="AO25" s="249"/>
      <c r="AP25" s="249"/>
      <c r="AQ25" s="249"/>
      <c r="AR25" s="249"/>
      <c r="AS25" s="249"/>
    </row>
    <row r="26" spans="2:45" ht="30.75" customHeight="1">
      <c r="B26" s="252"/>
      <c r="C26" s="249"/>
      <c r="D26" s="299"/>
      <c r="E26" s="299"/>
      <c r="F26" s="299"/>
      <c r="G26" s="249"/>
      <c r="H26" s="249"/>
      <c r="I26" s="252"/>
      <c r="J26" s="1866"/>
      <c r="K26" s="1866"/>
      <c r="L26" s="1866"/>
      <c r="M26" s="1866"/>
      <c r="N26" s="1866"/>
      <c r="O26" s="1866"/>
      <c r="P26" s="1866"/>
      <c r="Q26" s="263"/>
      <c r="R26" s="260"/>
      <c r="S26" s="260"/>
      <c r="T26" s="260"/>
      <c r="U26" s="260"/>
      <c r="V26" s="260"/>
      <c r="W26" s="260"/>
      <c r="X26" s="261"/>
      <c r="Y26" s="249"/>
      <c r="Z26" s="249"/>
      <c r="AA26" s="249"/>
      <c r="AB26" s="249"/>
      <c r="AC26" s="249"/>
      <c r="AD26" s="249"/>
      <c r="AE26" s="263"/>
      <c r="AF26" s="249"/>
      <c r="AG26" s="249"/>
      <c r="AH26" s="249"/>
      <c r="AM26" s="249"/>
      <c r="AN26" s="249"/>
      <c r="AO26" s="249"/>
      <c r="AP26" s="249"/>
      <c r="AQ26" s="249"/>
      <c r="AR26" s="249"/>
      <c r="AS26" s="249"/>
    </row>
    <row r="27" spans="2:45" ht="30.75" customHeight="1">
      <c r="B27" s="259"/>
      <c r="C27" s="249"/>
      <c r="D27" s="284"/>
      <c r="E27" s="249"/>
      <c r="F27" s="249"/>
      <c r="G27" s="249"/>
      <c r="H27" s="249"/>
      <c r="I27" s="252"/>
      <c r="J27" s="1860" t="str">
        <f>+VLOOKUP(40,TRADUZIONI,DATI!C2-1,0)</f>
        <v>segno " BIANCO" a SX</v>
      </c>
      <c r="K27" s="1860"/>
      <c r="L27" s="1860"/>
      <c r="M27" s="1860"/>
      <c r="N27" s="1860"/>
      <c r="O27" s="1860"/>
      <c r="P27" s="249"/>
      <c r="Q27" s="263"/>
      <c r="R27" s="260"/>
      <c r="S27" s="260"/>
      <c r="T27" s="260"/>
      <c r="U27" s="260"/>
      <c r="V27" s="260"/>
      <c r="W27" s="253" t="s">
        <v>37</v>
      </c>
      <c r="X27" s="261"/>
      <c r="Y27" s="1884" t="str">
        <f>+"*"&amp;AC22&amp;"*"</f>
        <v>*2143*</v>
      </c>
      <c r="Z27" s="1885"/>
      <c r="AA27" s="1885"/>
      <c r="AB27" s="1885"/>
      <c r="AC27" s="1885"/>
      <c r="AD27" s="1885"/>
      <c r="AE27" s="1886"/>
      <c r="AF27" s="249"/>
      <c r="AG27" s="249"/>
      <c r="AH27" s="249"/>
      <c r="AM27" s="249"/>
      <c r="AN27" s="249"/>
      <c r="AO27" s="249"/>
      <c r="AP27" s="249"/>
      <c r="AQ27" s="249"/>
      <c r="AR27" s="249"/>
      <c r="AS27" s="249"/>
    </row>
    <row r="28" spans="2:45" ht="30.75" customHeight="1">
      <c r="B28" s="252"/>
      <c r="C28" s="249"/>
      <c r="D28" s="249"/>
      <c r="E28" s="249"/>
      <c r="F28" s="249"/>
      <c r="G28" s="249"/>
      <c r="H28" s="249"/>
      <c r="I28" s="252"/>
      <c r="K28" s="1084"/>
      <c r="L28" s="1084"/>
      <c r="M28" s="1084"/>
      <c r="N28" s="1085" t="str">
        <f>+VLOOKUP(41,TRADUZIONI,DATI!C2-1,0)</f>
        <v>DIST.STD TRA FORI RETE</v>
      </c>
      <c r="O28" s="1077">
        <f>(L10-100)/(Y3-1)</f>
        <v>410.8</v>
      </c>
      <c r="Q28" s="263"/>
      <c r="R28" s="260"/>
      <c r="S28" s="260"/>
      <c r="T28" s="301"/>
      <c r="U28" s="253" t="str">
        <f>+VLOOKUP(52,TRADUZIONI,DATI!C2-1,0)</f>
        <v>ATTACCHI A MURO</v>
      </c>
      <c r="V28" s="292">
        <v>4</v>
      </c>
      <c r="W28" s="292" t="s">
        <v>37</v>
      </c>
      <c r="X28" s="261"/>
      <c r="Y28" s="1884"/>
      <c r="Z28" s="1885"/>
      <c r="AA28" s="1885"/>
      <c r="AB28" s="1885"/>
      <c r="AC28" s="1885"/>
      <c r="AD28" s="1885"/>
      <c r="AE28" s="1886"/>
      <c r="AF28" s="249"/>
      <c r="AG28" s="249"/>
      <c r="AH28" s="249"/>
      <c r="AM28" s="249"/>
      <c r="AN28" s="249"/>
      <c r="AO28" s="249"/>
      <c r="AP28" s="249"/>
      <c r="AQ28" s="249"/>
      <c r="AR28" s="249"/>
      <c r="AS28" s="249"/>
    </row>
    <row r="29" spans="2:45" ht="30.75" customHeight="1">
      <c r="B29" s="252"/>
      <c r="C29" s="249"/>
      <c r="D29" s="249"/>
      <c r="E29" s="249"/>
      <c r="F29" s="302"/>
      <c r="G29" s="302"/>
      <c r="H29" s="249"/>
      <c r="I29" s="1879" t="str">
        <f>+VLOOKUP(42,TRADUZIONI,DATI!C2-1,0)</f>
        <v>SCANTONARE FASCETTE PORTARETE 7MM</v>
      </c>
      <c r="J29" s="1880"/>
      <c r="K29" s="1880"/>
      <c r="L29" s="1880"/>
      <c r="M29" s="1880"/>
      <c r="N29" s="1880"/>
      <c r="O29" s="1880"/>
      <c r="P29" s="1880"/>
      <c r="Q29" s="294"/>
      <c r="R29" s="260"/>
      <c r="S29" s="260"/>
      <c r="T29" s="260"/>
      <c r="U29" s="253"/>
      <c r="V29" s="292"/>
      <c r="W29" s="292" t="s">
        <v>37</v>
      </c>
      <c r="X29" s="261"/>
      <c r="Y29" s="1884"/>
      <c r="Z29" s="1885"/>
      <c r="AA29" s="1885"/>
      <c r="AB29" s="1885"/>
      <c r="AC29" s="1885"/>
      <c r="AD29" s="1885"/>
      <c r="AE29" s="1886"/>
      <c r="AF29" s="249"/>
      <c r="AG29" s="249"/>
      <c r="AH29" s="249"/>
      <c r="AM29" s="249"/>
      <c r="AN29" s="249"/>
      <c r="AO29" s="249"/>
      <c r="AP29" s="249"/>
      <c r="AQ29" s="249"/>
      <c r="AR29" s="275"/>
      <c r="AS29" s="249"/>
    </row>
    <row r="30" spans="2:45" ht="30.75" customHeight="1" thickBot="1">
      <c r="B30" s="252"/>
      <c r="C30" s="249"/>
      <c r="D30" s="249"/>
      <c r="E30" s="249"/>
      <c r="F30" s="303"/>
      <c r="G30" s="303"/>
      <c r="H30" s="249"/>
      <c r="I30" s="304"/>
      <c r="J30" s="305"/>
      <c r="K30" s="305"/>
      <c r="L30" s="305"/>
      <c r="M30" s="306"/>
      <c r="N30" s="305"/>
      <c r="O30" s="305"/>
      <c r="P30" s="305"/>
      <c r="Q30" s="307"/>
      <c r="R30" s="309"/>
      <c r="S30" s="309"/>
      <c r="T30" s="309"/>
      <c r="U30" s="309"/>
      <c r="V30" s="309"/>
      <c r="W30" s="309"/>
      <c r="X30" s="310"/>
      <c r="Y30" s="1887"/>
      <c r="Z30" s="1888"/>
      <c r="AA30" s="1888"/>
      <c r="AB30" s="1888"/>
      <c r="AC30" s="1888"/>
      <c r="AD30" s="1888"/>
      <c r="AE30" s="1889"/>
      <c r="AF30" s="249"/>
      <c r="AG30" s="249"/>
      <c r="AH30" s="249"/>
      <c r="AM30" s="260"/>
      <c r="AN30" s="249"/>
      <c r="AO30" s="249"/>
      <c r="AP30" s="253"/>
      <c r="AQ30" s="279"/>
      <c r="AR30" s="282"/>
      <c r="AS30" s="249"/>
    </row>
    <row r="31" spans="2:45" ht="39" customHeight="1">
      <c r="B31" s="252"/>
      <c r="C31" s="249"/>
      <c r="D31" s="249"/>
      <c r="E31" s="249"/>
      <c r="F31" s="249"/>
      <c r="G31" s="249"/>
      <c r="H31" s="249"/>
      <c r="I31" s="1882" t="str">
        <f>+VLOOKUP(15,TRADUZIONI,DATI!C2-1,0)&amp;" D"</f>
        <v>QUADRO D</v>
      </c>
      <c r="J31" s="1848"/>
      <c r="K31" s="1881" t="str">
        <f>+VLOOKUP(43,TRADUZIONI,DATI!C2-1,0)</f>
        <v>LUNGHEZZA E NR. CORDINI</v>
      </c>
      <c r="L31" s="1881"/>
      <c r="M31" s="1881"/>
      <c r="N31" s="1881"/>
      <c r="O31" s="1881"/>
      <c r="P31" s="1881"/>
      <c r="Q31" s="1382"/>
      <c r="R31" s="1848" t="str">
        <f>+VLOOKUP(15,TRADUZIONI,DATI!C2-1,0)&amp;" E"</f>
        <v>QUADRO E</v>
      </c>
      <c r="S31" s="1848"/>
      <c r="T31" s="1881" t="str">
        <f>+VLOOKUP(53,TRADUZIONI,DATI!C2-1,0)</f>
        <v>TAVOLO CORDINO</v>
      </c>
      <c r="U31" s="1881"/>
      <c r="V31" s="1881"/>
      <c r="W31" s="1881"/>
      <c r="X31" s="1890"/>
      <c r="Y31" s="1882" t="str">
        <f>+VLOOKUP(15,TRADUZIONI,DATI!C2-1,0)&amp;" F"</f>
        <v>QUADRO F</v>
      </c>
      <c r="Z31" s="1848"/>
      <c r="AA31" s="1881" t="str">
        <f>+VLOOKUP(62,TRADUZIONI,DATI!C2-1,0)</f>
        <v>CINGOLI</v>
      </c>
      <c r="AB31" s="1881"/>
      <c r="AC31" s="1881"/>
      <c r="AD31" s="1881"/>
      <c r="AE31" s="1890"/>
      <c r="AF31" s="249"/>
      <c r="AG31" s="249"/>
      <c r="AH31" s="249"/>
      <c r="AM31" s="260"/>
      <c r="AN31" s="249"/>
      <c r="AO31" s="249"/>
      <c r="AP31" s="253"/>
      <c r="AQ31" s="279"/>
      <c r="AR31" s="282"/>
      <c r="AS31" s="249"/>
    </row>
    <row r="32" spans="2:45" ht="28.15" customHeight="1">
      <c r="B32" s="1830">
        <f>F20 -20</f>
        <v>2180</v>
      </c>
      <c r="C32" s="249"/>
      <c r="D32" s="249"/>
      <c r="E32" s="249"/>
      <c r="F32" s="249"/>
      <c r="G32" s="249"/>
      <c r="H32" s="249"/>
      <c r="I32" s="311"/>
      <c r="J32" s="302"/>
      <c r="K32" s="302"/>
      <c r="L32" s="264" t="str">
        <f>+VLOOKUP(44,TRADUZIONI,DATI!C2-1,0)</f>
        <v>ALTO</v>
      </c>
      <c r="M32" s="302"/>
      <c r="N32" s="302"/>
      <c r="O32" s="302"/>
      <c r="P32" s="302"/>
      <c r="Q32" s="312"/>
      <c r="R32" s="260"/>
      <c r="S32" s="260"/>
      <c r="T32" s="260"/>
      <c r="U32" s="260"/>
      <c r="V32" s="260"/>
      <c r="W32" s="260"/>
      <c r="X32" s="313"/>
      <c r="Y32" s="252"/>
      <c r="Z32" s="249"/>
      <c r="AA32" s="249"/>
      <c r="AB32" s="249"/>
      <c r="AC32" s="249"/>
      <c r="AD32" s="249"/>
      <c r="AE32" s="263"/>
      <c r="AF32" s="249"/>
      <c r="AG32" s="249"/>
      <c r="AH32" s="249"/>
    </row>
    <row r="33" spans="2:34" ht="30.75" customHeight="1">
      <c r="B33" s="1830"/>
      <c r="C33" s="249"/>
      <c r="D33" s="249"/>
      <c r="E33" s="249"/>
      <c r="F33" s="249"/>
      <c r="G33" s="249"/>
      <c r="H33" s="249"/>
      <c r="I33" s="311"/>
      <c r="J33" s="1835" t="str">
        <f>+VLOOKUP(45,TRADUZIONI,DATI!C2-1,0)</f>
        <v>ROSSO</v>
      </c>
      <c r="K33" s="1835"/>
      <c r="L33" s="302"/>
      <c r="M33" s="302"/>
      <c r="N33" s="1086" t="str">
        <f>+VLOOKUP(45,TRADUZIONI,DATI!C2-1,0)</f>
        <v>ROSSO</v>
      </c>
      <c r="P33" s="302"/>
      <c r="Q33" s="312"/>
      <c r="R33" s="1838" t="str">
        <f>+VLOOKUP(39,TRADUZIONI,DATI!C2-1,0)</f>
        <v>MISURA RETE</v>
      </c>
      <c r="S33" s="1838"/>
      <c r="T33" s="1838"/>
      <c r="U33" s="1838"/>
      <c r="V33" s="1836">
        <f>L10</f>
        <v>2154</v>
      </c>
      <c r="W33" s="1836"/>
      <c r="X33" s="1837"/>
      <c r="Y33" s="252"/>
      <c r="Z33" s="249"/>
      <c r="AA33" s="249"/>
      <c r="AB33" s="249"/>
      <c r="AC33" s="249"/>
      <c r="AD33" s="249"/>
      <c r="AE33" s="263"/>
      <c r="AF33" s="249"/>
      <c r="AG33" s="249"/>
      <c r="AH33" s="249"/>
    </row>
    <row r="34" spans="2:34" ht="24.6" customHeight="1">
      <c r="B34" s="1830"/>
      <c r="C34" s="249"/>
      <c r="D34" s="249"/>
      <c r="E34" s="249"/>
      <c r="F34" s="249"/>
      <c r="G34" s="249"/>
      <c r="H34" s="249"/>
      <c r="I34" s="311"/>
      <c r="J34" s="302"/>
      <c r="K34" s="302"/>
      <c r="L34" s="302"/>
      <c r="M34" s="302"/>
      <c r="N34" s="302"/>
      <c r="O34" s="302"/>
      <c r="P34" s="303" t="s">
        <v>171</v>
      </c>
      <c r="Q34" s="314"/>
      <c r="R34" s="260"/>
      <c r="S34" s="260"/>
      <c r="T34" s="260"/>
      <c r="U34" s="260"/>
      <c r="V34" s="260"/>
      <c r="W34" s="260"/>
      <c r="X34" s="313"/>
      <c r="Y34" s="311"/>
      <c r="Z34" s="303" t="str">
        <f>+VLOOKUP(63,TRADUZIONI,DATI!C2-1,0)</f>
        <v>CINGOLI ESCLUSO IL PRETERMINALE</v>
      </c>
      <c r="AA34" s="302"/>
      <c r="AB34" s="302"/>
      <c r="AC34" s="303"/>
      <c r="AD34" s="302"/>
      <c r="AE34" s="312"/>
      <c r="AF34" s="302"/>
      <c r="AG34" s="302"/>
      <c r="AH34" s="249"/>
    </row>
    <row r="35" spans="2:34" ht="21.75" customHeight="1">
      <c r="B35" s="1830"/>
      <c r="C35" s="249"/>
      <c r="D35" s="249"/>
      <c r="E35" s="249"/>
      <c r="F35" s="249"/>
      <c r="G35" s="249"/>
      <c r="H35" s="249"/>
      <c r="I35" s="311"/>
      <c r="J35" s="302"/>
      <c r="K35" s="302"/>
      <c r="L35" s="302"/>
      <c r="M35" s="315"/>
      <c r="N35" s="254" t="e">
        <f>ROUNDUP((IF(S3/E15&lt;O3,O3,S3/E15))+250,-2)</f>
        <v>#N/A</v>
      </c>
      <c r="O35" s="254">
        <v>2</v>
      </c>
      <c r="P35" s="357">
        <f>+O35*E15*E11</f>
        <v>2</v>
      </c>
      <c r="Q35" s="316"/>
      <c r="Y35" s="251"/>
      <c r="Z35" s="234"/>
      <c r="AA35" s="234"/>
      <c r="AB35" s="292"/>
      <c r="AC35" s="234"/>
      <c r="AD35" s="234"/>
      <c r="AE35" s="317"/>
      <c r="AF35" s="234"/>
      <c r="AG35" s="234"/>
      <c r="AH35" s="249"/>
    </row>
    <row r="36" spans="2:34" ht="27.6" customHeight="1">
      <c r="B36" s="1830"/>
      <c r="C36" s="249"/>
      <c r="D36" s="249"/>
      <c r="E36" s="249"/>
      <c r="F36" s="249"/>
      <c r="G36" s="249"/>
      <c r="H36" s="249"/>
      <c r="I36" s="311"/>
      <c r="J36" s="1086" t="str">
        <f>+VLOOKUP(46,TRADUZIONI,DATI!C2-1,0)</f>
        <v>GIALLO</v>
      </c>
      <c r="K36" s="302"/>
      <c r="L36" s="302"/>
      <c r="M36" s="302"/>
      <c r="N36" s="302"/>
      <c r="O36" s="318"/>
      <c r="P36" s="302"/>
      <c r="Q36" s="312"/>
      <c r="R36" s="322"/>
      <c r="S36" s="320"/>
      <c r="T36" s="321"/>
      <c r="U36" s="322"/>
      <c r="V36" s="320"/>
      <c r="W36" s="322"/>
      <c r="X36" s="323"/>
      <c r="Y36" s="251"/>
      <c r="Z36" s="258" t="str">
        <f>+VLOOKUP(64,TRADUZIONI,DATI!C2-1,0)</f>
        <v>TOTALI</v>
      </c>
      <c r="AC36" s="282" t="e">
        <f>IF(V3&gt;=X3,3+ROUNDUP((IF(S3/E15&lt;O3,O3,S3/E15)-95)/22,0),"x")</f>
        <v>#N/A</v>
      </c>
      <c r="AD36" s="279" t="s">
        <v>189</v>
      </c>
      <c r="AE36" s="317"/>
      <c r="AF36" s="234"/>
      <c r="AG36" s="234"/>
      <c r="AH36" s="249"/>
    </row>
    <row r="37" spans="2:34" ht="34.9" customHeight="1">
      <c r="B37" s="1830"/>
      <c r="C37" s="1831"/>
      <c r="D37" s="1831"/>
      <c r="E37" s="1831"/>
      <c r="F37" s="279"/>
      <c r="G37" s="324" t="s">
        <v>190</v>
      </c>
      <c r="I37" s="311"/>
      <c r="J37" s="302"/>
      <c r="K37" s="302"/>
      <c r="L37" s="302"/>
      <c r="M37" s="315"/>
      <c r="N37" s="325" t="e">
        <f>IF(Y3=2,"",ROUNDUP((IF(S3/E15&lt;O3,O3,S3/E15))+O28*2+300,-2)-50)</f>
        <v>#N/A</v>
      </c>
      <c r="O37" s="254">
        <v>2</v>
      </c>
      <c r="P37" s="357">
        <f>+O37*E15*E11</f>
        <v>2</v>
      </c>
      <c r="Q37" s="316"/>
      <c r="R37" s="260"/>
      <c r="S37" s="260"/>
      <c r="T37" s="260"/>
      <c r="U37" s="260"/>
      <c r="V37" s="326"/>
      <c r="W37" s="260"/>
      <c r="X37" s="313"/>
      <c r="Y37" s="327"/>
      <c r="Z37" s="279" t="str">
        <f>+VLOOKUP(65,TRADUZIONI,DATI!C2-1,0)</f>
        <v>B. SCORR</v>
      </c>
      <c r="AA37" s="234"/>
      <c r="AC37" s="282" t="e">
        <f>IF(AC36&lt;=ROUNDDOWN(((V3-114.6)-(4+Y3)*22)/44,0),AC36-1,ROUNDDOWN(((V3-114.6)-(4+Y3)*22)/44,0))</f>
        <v>#N/A</v>
      </c>
      <c r="AD37" s="279" t="s">
        <v>189</v>
      </c>
      <c r="AE37" s="317"/>
      <c r="AF37" s="234"/>
      <c r="AG37" s="234"/>
      <c r="AH37" s="249"/>
    </row>
    <row r="38" spans="2:34" ht="39.75" customHeight="1">
      <c r="B38" s="1830"/>
      <c r="C38" s="249"/>
      <c r="D38" s="249"/>
      <c r="E38" s="249"/>
      <c r="F38" s="249"/>
      <c r="G38" s="249"/>
      <c r="H38" s="249"/>
      <c r="I38" s="311"/>
      <c r="J38" s="302"/>
      <c r="K38" s="302"/>
      <c r="L38" s="302"/>
      <c r="M38" s="302"/>
      <c r="N38" s="302"/>
      <c r="O38" s="318"/>
      <c r="P38" s="303"/>
      <c r="Q38" s="314"/>
      <c r="R38" s="1832" t="str">
        <f>+VLOOKUP(54,TRADUZIONI,DATI!C2-1,0)</f>
        <v>DIMA:</v>
      </c>
      <c r="S38" s="1832"/>
      <c r="T38" s="1833" t="e">
        <f>+IF(T39&lt;&gt;0,VLOOKUP(56,TRADUZIONI,DATI!C2-1,0),"")</f>
        <v>#N/A</v>
      </c>
      <c r="U38" s="1833"/>
      <c r="V38" s="1833"/>
      <c r="W38" s="1833"/>
      <c r="X38" s="1834"/>
      <c r="Y38" s="251"/>
      <c r="Z38" s="258" t="str">
        <f>+VLOOKUP(66,TRADUZIONI,DATI!C2-1,0)</f>
        <v>B. DORSO</v>
      </c>
      <c r="AA38" s="234"/>
      <c r="AC38" s="282" t="e">
        <f>AC36-AC37</f>
        <v>#N/A</v>
      </c>
      <c r="AD38" s="279" t="s">
        <v>194</v>
      </c>
      <c r="AE38" s="317"/>
      <c r="AF38" s="234"/>
      <c r="AG38" s="234"/>
      <c r="AH38" s="249"/>
    </row>
    <row r="39" spans="2:34" ht="39.75" customHeight="1">
      <c r="B39" s="1830"/>
      <c r="C39" s="249"/>
      <c r="D39" s="249"/>
      <c r="E39" s="249"/>
      <c r="F39" s="249"/>
      <c r="G39" s="249"/>
      <c r="H39" s="249"/>
      <c r="I39" s="311"/>
      <c r="J39" s="302"/>
      <c r="K39" s="303" t="s">
        <v>195</v>
      </c>
      <c r="L39" s="302"/>
      <c r="M39" s="315"/>
      <c r="N39" s="325" t="e">
        <f>IF(Y3&lt;=4,"",ROUNDUP((IF(S3/E15&lt;O3,O3,S3/E15))+O28*2*2+350,-2)-50)</f>
        <v>#N/A</v>
      </c>
      <c r="O39" s="254" t="str">
        <f>IF(Y3=5,"1",IF(Y3&gt;5,"2",0))</f>
        <v>2</v>
      </c>
      <c r="P39" s="357">
        <f>+O39*E15*E11</f>
        <v>2</v>
      </c>
      <c r="Q39" s="316"/>
      <c r="R39" s="1832" t="str">
        <f>+VLOOKUP(55,TRADUZIONI,DATI!C2-1,0)</f>
        <v>MISURA:</v>
      </c>
      <c r="S39" s="1832"/>
      <c r="T39" s="282" t="e">
        <f>IF(AC36&gt;=41,((+AC36-41)*22)+58,0)</f>
        <v>#N/A</v>
      </c>
      <c r="U39" s="260"/>
      <c r="V39" s="260"/>
      <c r="W39" s="260"/>
      <c r="X39" s="313"/>
      <c r="Y39" s="329" t="str">
        <f>+VLOOKUP(67,TRADUZIONI,DATI!C2-1,0)</f>
        <v>ALTO</v>
      </c>
      <c r="Z39" s="234"/>
      <c r="AA39" s="258" t="str">
        <f>"PRIMO Rosso 1＋"&amp;IF(Y3=0,"Giallo 1",IF(Y3&lt;3,"Giallo 2",IF(Y3=3,"Giallo 3",IF(Y3=4,"Giallo 3",IF(Y3=5,"Giallo 4",)))))&amp;"＋ULTIMO Rosso 1"</f>
        <v>PRIMO Rosso 1＋＋ULTIMO Rosso 1</v>
      </c>
      <c r="AB39" s="234"/>
      <c r="AC39" s="234"/>
      <c r="AD39" s="234"/>
      <c r="AE39" s="317"/>
      <c r="AF39" s="234"/>
      <c r="AG39" s="234"/>
      <c r="AH39" s="249"/>
    </row>
    <row r="40" spans="2:34" ht="24.6" customHeight="1">
      <c r="B40" s="1830"/>
      <c r="C40" s="249"/>
      <c r="D40" s="249"/>
      <c r="E40" s="249"/>
      <c r="F40" s="249"/>
      <c r="G40" s="249"/>
      <c r="H40" s="249"/>
      <c r="I40" s="311"/>
      <c r="J40" s="302"/>
      <c r="K40" s="302"/>
      <c r="L40" s="302"/>
      <c r="M40" s="302"/>
      <c r="N40" s="302"/>
      <c r="O40" s="318"/>
      <c r="P40" s="302"/>
      <c r="Q40" s="312"/>
      <c r="R40" s="260"/>
      <c r="S40" s="260"/>
      <c r="T40" s="260"/>
      <c r="U40" s="260"/>
      <c r="V40" s="260"/>
      <c r="W40" s="260"/>
      <c r="X40" s="313"/>
      <c r="Y40" s="329" t="str">
        <f>+VLOOKUP(68,TRADUZIONI,DATI!C2-1,0)</f>
        <v>BASSO</v>
      </c>
      <c r="Z40" s="234"/>
      <c r="AA40" s="258" t="str">
        <f>"PRIMO Bianco 1＋"&amp;IF(Y3&lt;2,"Giallo 1",IF(Y3=2,"Giallo 2",IF(Y3=3,"Giallo 2",IF(OR(Y3=4,Y3=5),"Giallo 3",))))&amp;"＋ULTIMO Bianco 1"</f>
        <v>PRIMO Bianco 1＋＋ULTIMO Bianco 1</v>
      </c>
      <c r="AB40" s="234"/>
      <c r="AC40" s="234"/>
      <c r="AD40" s="234"/>
      <c r="AE40" s="317"/>
      <c r="AF40" s="234"/>
      <c r="AG40" s="234"/>
      <c r="AH40" s="249"/>
    </row>
    <row r="41" spans="2:34" ht="24.6" customHeight="1">
      <c r="B41" s="1830"/>
      <c r="C41" s="249"/>
      <c r="D41" s="249"/>
      <c r="E41" s="249"/>
      <c r="F41" s="249"/>
      <c r="G41" s="249"/>
      <c r="H41" s="249"/>
      <c r="I41" s="311"/>
      <c r="J41" s="302"/>
      <c r="K41" s="302"/>
      <c r="L41" s="302"/>
      <c r="M41" s="315"/>
      <c r="N41" s="325" t="str">
        <f>IF(Y3&gt;6,ROUNDUP((IF(S3/E15&lt;O3,O3,S3/E15))+O28*3*2+400,-2)-50,"")</f>
        <v/>
      </c>
      <c r="O41" s="254">
        <f>IF(Y3=7,"1",IF(Y3=8,"2",0))</f>
        <v>0</v>
      </c>
      <c r="P41" s="1385">
        <f>+O41*E15*E11</f>
        <v>0</v>
      </c>
      <c r="Q41" s="330"/>
      <c r="R41" s="322"/>
      <c r="S41" s="322"/>
      <c r="T41" s="322"/>
      <c r="U41" s="322"/>
      <c r="V41" s="322"/>
      <c r="W41" s="331"/>
      <c r="X41" s="323"/>
      <c r="Y41" s="251"/>
      <c r="Z41" s="234"/>
      <c r="AA41" s="234"/>
      <c r="AB41" s="234"/>
      <c r="AC41" s="234"/>
      <c r="AD41" s="234"/>
      <c r="AE41" s="317"/>
      <c r="AF41" s="1853" t="s">
        <v>199</v>
      </c>
      <c r="AG41" s="234"/>
      <c r="AH41" s="249"/>
    </row>
    <row r="42" spans="2:34" ht="21.95" customHeight="1">
      <c r="B42" s="1830"/>
      <c r="C42" s="249"/>
      <c r="D42" s="249"/>
      <c r="E42" s="249"/>
      <c r="F42" s="249"/>
      <c r="G42" s="249"/>
      <c r="H42" s="249"/>
      <c r="I42" s="311"/>
      <c r="J42" s="302"/>
      <c r="K42" s="254">
        <v>4</v>
      </c>
      <c r="L42" s="302" t="s">
        <v>37</v>
      </c>
      <c r="M42" s="302"/>
      <c r="N42" s="302"/>
      <c r="O42" s="302"/>
      <c r="P42" s="302"/>
      <c r="Q42" s="312"/>
      <c r="R42" s="260"/>
      <c r="S42" s="260"/>
      <c r="T42" s="260"/>
      <c r="U42" s="260"/>
      <c r="V42" s="326"/>
      <c r="W42" s="260"/>
      <c r="X42" s="313"/>
      <c r="Y42" s="251"/>
      <c r="Z42" s="234"/>
      <c r="AA42" s="234"/>
      <c r="AB42" s="234"/>
      <c r="AC42" s="234"/>
      <c r="AD42" s="234"/>
      <c r="AE42" s="317"/>
      <c r="AF42" s="1853"/>
      <c r="AG42" s="234"/>
      <c r="AH42" s="249"/>
    </row>
    <row r="43" spans="2:34" ht="33.75" customHeight="1">
      <c r="B43" s="1830"/>
      <c r="C43" s="249"/>
      <c r="D43" s="249"/>
      <c r="E43" s="249"/>
      <c r="F43" s="249"/>
      <c r="G43" s="249"/>
      <c r="H43" s="249"/>
      <c r="I43" s="311"/>
      <c r="J43" s="302"/>
      <c r="K43" s="302"/>
      <c r="L43" s="302"/>
      <c r="M43" s="302"/>
      <c r="N43" s="303"/>
      <c r="O43" s="302"/>
      <c r="P43" s="302"/>
      <c r="Q43" s="312"/>
      <c r="R43" s="1832" t="str">
        <f>+VLOOKUP(54,TRADUZIONI,DATI!C2-1,0)</f>
        <v>DIMA:</v>
      </c>
      <c r="S43" s="1832"/>
      <c r="T43" s="1854" t="e">
        <f>IF(T44&lt;&gt;0,VLOOKUP(57,TRADUZIONI,DATI!C2-1,0),"")</f>
        <v>#N/A</v>
      </c>
      <c r="U43" s="1854"/>
      <c r="V43" s="1854"/>
      <c r="W43" s="1854"/>
      <c r="X43" s="1855"/>
      <c r="Y43" s="251"/>
      <c r="Z43" s="234"/>
      <c r="AA43" s="234"/>
      <c r="AB43" s="234"/>
      <c r="AC43" s="234"/>
      <c r="AD43" s="234"/>
      <c r="AE43" s="317"/>
      <c r="AF43" s="1853"/>
      <c r="AG43" s="234"/>
      <c r="AH43" s="249"/>
    </row>
    <row r="44" spans="2:34" ht="33.75" customHeight="1">
      <c r="B44" s="252"/>
      <c r="C44" s="249"/>
      <c r="D44" s="249"/>
      <c r="E44" s="249"/>
      <c r="F44" s="249"/>
      <c r="G44" s="249"/>
      <c r="H44" s="249"/>
      <c r="I44" s="311"/>
      <c r="J44" s="302"/>
      <c r="K44" s="302"/>
      <c r="L44" s="302"/>
      <c r="M44" s="302"/>
      <c r="N44" s="302"/>
      <c r="O44" s="302"/>
      <c r="P44" s="302"/>
      <c r="Q44" s="312"/>
      <c r="R44" s="1851" t="str">
        <f>+VLOOKUP(55,TRADUZIONI,DATI!C2-1,0)</f>
        <v>MISURA:</v>
      </c>
      <c r="S44" s="1851"/>
      <c r="T44" s="1852" t="e">
        <f>IF(AC36&lt;41,((+AC36-32)*22)+57,0)</f>
        <v>#N/A</v>
      </c>
      <c r="U44" s="1852"/>
      <c r="V44" s="1852"/>
      <c r="W44" s="1852"/>
      <c r="X44" s="313"/>
      <c r="Y44" s="252"/>
      <c r="Z44" s="332" t="str">
        <f>+VLOOKUP(69,TRADUZIONI,DATI!C2-1,0)</f>
        <v>IMBALLARE INSIEME</v>
      </c>
      <c r="AA44" s="332"/>
      <c r="AB44" s="332"/>
      <c r="AC44" s="332"/>
      <c r="AD44" s="272"/>
      <c r="AE44" s="263"/>
      <c r="AF44" s="1853"/>
      <c r="AG44" s="249"/>
      <c r="AH44" s="249"/>
    </row>
    <row r="45" spans="2:34" ht="18.95" customHeight="1">
      <c r="B45" s="252"/>
      <c r="C45" s="249"/>
      <c r="D45" s="249"/>
      <c r="E45" s="249"/>
      <c r="F45" s="249"/>
      <c r="G45" s="249"/>
      <c r="H45" s="249"/>
      <c r="I45" s="311"/>
      <c r="J45" s="302"/>
      <c r="K45" s="1087" t="str">
        <f>+VLOOKUP(46,TRADUZIONI,DATI!C2-1,0)</f>
        <v>GIALLO</v>
      </c>
      <c r="L45" s="302"/>
      <c r="M45" s="302"/>
      <c r="N45" s="303"/>
      <c r="O45" s="302"/>
      <c r="P45" s="302"/>
      <c r="Q45" s="312"/>
      <c r="R45" s="1856" t="str">
        <f>+VLOOKUP(58,TRADUZIONI,DATI!C2-1,0)</f>
        <v>DIMENSIONAMENTO CORDINO DA TAVOLO</v>
      </c>
      <c r="S45" s="1856"/>
      <c r="T45" s="1856"/>
      <c r="U45" s="1856"/>
      <c r="V45" s="1856"/>
      <c r="W45" s="1856"/>
      <c r="X45" s="1857"/>
      <c r="Y45" s="252"/>
      <c r="Z45" s="332"/>
      <c r="AA45" s="262" t="str">
        <f>+VLOOKUP(70,TRADUZIONI,DATI!C2-1,0)</f>
        <v>GUIDA COMPENSATORE</v>
      </c>
      <c r="AB45" s="332"/>
      <c r="AC45" s="332"/>
      <c r="AD45" s="272"/>
      <c r="AE45" s="263"/>
      <c r="AF45" s="1853"/>
      <c r="AG45" s="249"/>
      <c r="AH45" s="249"/>
    </row>
    <row r="46" spans="2:34" ht="18.600000000000001" customHeight="1">
      <c r="B46" s="252"/>
      <c r="C46" s="249"/>
      <c r="D46" s="249"/>
      <c r="E46" s="333"/>
      <c r="F46" s="249"/>
      <c r="G46" s="249"/>
      <c r="H46" s="249"/>
      <c r="I46" s="311"/>
      <c r="J46" s="302"/>
      <c r="K46" s="302"/>
      <c r="L46" s="302"/>
      <c r="M46" s="302"/>
      <c r="N46" s="302"/>
      <c r="O46" s="302"/>
      <c r="P46" s="302"/>
      <c r="Q46" s="312"/>
      <c r="R46" s="1858"/>
      <c r="S46" s="1858"/>
      <c r="T46" s="1858"/>
      <c r="U46" s="1858"/>
      <c r="V46" s="1858"/>
      <c r="W46" s="1858"/>
      <c r="X46" s="1859"/>
      <c r="Y46" s="252"/>
      <c r="Z46" s="332"/>
      <c r="AA46" s="262" t="str">
        <f>+VLOOKUP(71,TRADUZIONI,DATI!C2-1,0)</f>
        <v>GUIDA A TERRA</v>
      </c>
      <c r="AB46" s="332"/>
      <c r="AC46" s="334"/>
      <c r="AD46" s="272"/>
      <c r="AE46" s="263"/>
      <c r="AF46" s="1853"/>
      <c r="AG46" s="249"/>
      <c r="AH46" s="249"/>
    </row>
    <row r="47" spans="2:34" ht="26.45" customHeight="1" thickBot="1">
      <c r="B47" s="304"/>
      <c r="C47" s="305"/>
      <c r="D47" s="305"/>
      <c r="E47" s="305" t="str">
        <f>+VLOOKUP(31,TRADUZIONI,DATI!C2-1,0)</f>
        <v>VISTA</v>
      </c>
      <c r="F47" s="305"/>
      <c r="G47" s="305"/>
      <c r="H47" s="305"/>
      <c r="I47" s="311"/>
      <c r="J47" s="302"/>
      <c r="K47" s="303" t="s">
        <v>205</v>
      </c>
      <c r="L47" s="302"/>
      <c r="M47" s="302"/>
      <c r="N47" s="302"/>
      <c r="O47" s="302"/>
      <c r="P47" s="302"/>
      <c r="Q47" s="312"/>
      <c r="R47" s="1858"/>
      <c r="S47" s="1858"/>
      <c r="T47" s="1858"/>
      <c r="U47" s="1858"/>
      <c r="V47" s="1858"/>
      <c r="W47" s="1858"/>
      <c r="X47" s="1859"/>
      <c r="Y47" s="252"/>
      <c r="Z47" s="335"/>
      <c r="AA47" s="262" t="str">
        <f>+VLOOKUP(72,TRADUZIONI,DATI!C2-1,0)</f>
        <v>SET ACCESSORI</v>
      </c>
      <c r="AB47" s="332"/>
      <c r="AC47" s="253"/>
      <c r="AD47" s="336"/>
      <c r="AE47" s="263"/>
      <c r="AF47" s="1853"/>
      <c r="AG47" s="249"/>
      <c r="AH47" s="249"/>
    </row>
    <row r="48" spans="2:34" ht="18.95" customHeight="1">
      <c r="B48" s="252"/>
      <c r="C48" s="272" t="str">
        <f>+VLOOKUP(32,TRADUZIONI,DATI!C2-1,0)</f>
        <v>CONTROLLATO DA</v>
      </c>
      <c r="D48" s="337"/>
      <c r="E48" s="249"/>
      <c r="F48" s="260" t="str">
        <f>+VLOOKUP(35,TRADUZIONI,DATI!C2-1,0)</f>
        <v>NOTE</v>
      </c>
      <c r="G48" s="260"/>
      <c r="H48" s="249"/>
      <c r="I48" s="311"/>
      <c r="J48" s="302"/>
      <c r="K48" s="302"/>
      <c r="L48" s="302"/>
      <c r="M48" s="302"/>
      <c r="N48" s="302"/>
      <c r="O48" s="302"/>
      <c r="P48" s="302"/>
      <c r="Q48" s="312"/>
      <c r="R48" s="1860" t="e">
        <f>+IF(AC36&lt;22,0,(AC36-22)*22)</f>
        <v>#N/A</v>
      </c>
      <c r="S48" s="1860"/>
      <c r="T48" s="1860"/>
      <c r="U48" s="1860"/>
      <c r="V48" s="1860"/>
      <c r="W48" s="1860"/>
      <c r="X48" s="1861"/>
      <c r="Y48" s="252"/>
      <c r="Z48" s="260"/>
      <c r="AA48" s="262" t="str">
        <f>+VLOOKUP(73,TRADUZIONI,DATI!C2-1,0)</f>
        <v>OPUSCOLO PLISSE</v>
      </c>
      <c r="AB48" s="249"/>
      <c r="AC48" s="253"/>
      <c r="AD48" s="336"/>
      <c r="AE48" s="263"/>
      <c r="AF48" s="1853"/>
      <c r="AG48" s="249"/>
      <c r="AH48" s="249"/>
    </row>
    <row r="49" spans="2:34" ht="18.95" customHeight="1" thickBot="1">
      <c r="B49" s="1081" t="str">
        <f>+VLOOKUP(33,TRADUZIONI,DATI!C2-1,0)</f>
        <v>OPERATORE</v>
      </c>
      <c r="C49" s="339"/>
      <c r="D49" s="1082" t="str">
        <f>+VLOOKUP(34,TRADUZIONI,DATI!C2-1,0)</f>
        <v>PRODUZIONE</v>
      </c>
      <c r="E49" s="1839" t="str">
        <f>+DATI!M15</f>
        <v>RETE NERA</v>
      </c>
      <c r="F49" s="1840"/>
      <c r="G49" s="1840"/>
      <c r="H49" s="1841"/>
      <c r="I49" s="311"/>
      <c r="J49" s="302"/>
      <c r="K49" s="302"/>
      <c r="L49" s="302"/>
      <c r="M49" s="302"/>
      <c r="N49" s="302"/>
      <c r="O49" s="302"/>
      <c r="P49" s="302"/>
      <c r="Q49" s="312"/>
      <c r="R49" s="1860"/>
      <c r="S49" s="1860"/>
      <c r="T49" s="1860"/>
      <c r="U49" s="1860"/>
      <c r="V49" s="1860"/>
      <c r="W49" s="1860"/>
      <c r="X49" s="1861"/>
      <c r="Y49" s="304"/>
      <c r="Z49" s="341"/>
      <c r="AA49" s="305"/>
      <c r="AB49" s="305"/>
      <c r="AC49" s="305"/>
      <c r="AD49" s="305"/>
      <c r="AE49" s="307"/>
      <c r="AF49" s="1853"/>
      <c r="AG49" s="249"/>
      <c r="AH49" s="249"/>
    </row>
    <row r="50" spans="2:34" ht="18.95" customHeight="1" thickBot="1">
      <c r="B50" s="342"/>
      <c r="C50" s="343"/>
      <c r="D50" s="344"/>
      <c r="E50" s="1842"/>
      <c r="F50" s="1843"/>
      <c r="G50" s="1843"/>
      <c r="H50" s="1844"/>
      <c r="I50" s="311"/>
      <c r="J50" s="1087" t="str">
        <f>+VLOOKUP(47,TRADUZIONI,DATI!C2-1,0)</f>
        <v xml:space="preserve">BIANCO </v>
      </c>
      <c r="K50" s="302"/>
      <c r="L50" s="302"/>
      <c r="M50" s="302"/>
      <c r="N50" s="302"/>
      <c r="O50" s="302"/>
      <c r="P50" s="302"/>
      <c r="Q50" s="312"/>
      <c r="R50" s="1862"/>
      <c r="S50" s="1862"/>
      <c r="T50" s="1862"/>
      <c r="U50" s="1862"/>
      <c r="V50" s="1862"/>
      <c r="W50" s="1862"/>
      <c r="X50" s="1863"/>
      <c r="Y50" s="346" t="s">
        <v>37</v>
      </c>
      <c r="Z50" s="249"/>
      <c r="AA50" s="249"/>
      <c r="AB50" s="249"/>
      <c r="AC50" s="249"/>
      <c r="AD50" s="249"/>
      <c r="AE50" s="263"/>
      <c r="AF50" s="1853"/>
      <c r="AG50" s="249"/>
      <c r="AH50" s="249"/>
    </row>
    <row r="51" spans="2:34" ht="39" customHeight="1">
      <c r="B51" s="252"/>
      <c r="C51" s="249"/>
      <c r="D51" s="337"/>
      <c r="E51" s="1845"/>
      <c r="F51" s="1846"/>
      <c r="G51" s="1846"/>
      <c r="H51" s="1847"/>
      <c r="I51" s="311"/>
      <c r="J51" s="302"/>
      <c r="K51" s="302"/>
      <c r="L51" s="264"/>
      <c r="M51" s="302"/>
      <c r="N51" s="1086" t="str">
        <f>+VLOOKUP(47,TRADUZIONI,DATI!C2-1,0)</f>
        <v xml:space="preserve">BIANCO </v>
      </c>
      <c r="O51" s="302"/>
      <c r="P51" s="302"/>
      <c r="Q51" s="312"/>
      <c r="R51" s="1848" t="str">
        <f>+VLOOKUP(15,TRADUZIONI,DATI!C2-1,0)&amp;" G"</f>
        <v>QUADRO G</v>
      </c>
      <c r="S51" s="1848"/>
      <c r="T51" s="1849" t="str">
        <f>+VLOOKUP(59,TRADUZIONI,DATI!C2-1,0)</f>
        <v>CORDINO 8</v>
      </c>
      <c r="U51" s="1849"/>
      <c r="V51" s="1849"/>
      <c r="W51" s="1849"/>
      <c r="X51" s="1850"/>
      <c r="Y51" s="328"/>
      <c r="Z51" s="249"/>
      <c r="AA51" s="347" t="str">
        <f>+VLOOKUP(47,TRADUZIONI,DATI!C2-1,0)</f>
        <v xml:space="preserve">BIANCO </v>
      </c>
      <c r="AB51" s="347" t="str">
        <f>+VLOOKUP(74,TRADUZIONI,DATI!C2-1,0)</f>
        <v>NEUTRO</v>
      </c>
      <c r="AC51" s="347" t="s">
        <v>100</v>
      </c>
      <c r="AD51" s="249"/>
      <c r="AE51" s="263"/>
      <c r="AF51" s="1853"/>
      <c r="AG51" s="249"/>
      <c r="AH51" s="249"/>
    </row>
    <row r="52" spans="2:34" ht="21.95" customHeight="1">
      <c r="B52" s="252"/>
      <c r="C52" s="249"/>
      <c r="D52" s="337"/>
      <c r="E52" s="348" t="str">
        <f>+VLOOKUP(36,TRADUZIONI,DATI!C2-1,0)</f>
        <v xml:space="preserve">RETE </v>
      </c>
      <c r="F52" s="348" t="str">
        <f>+VLOOKUP(37,TRADUZIONI,DATI!C2-1,0)</f>
        <v>LOTTO NR.</v>
      </c>
      <c r="G52" s="348"/>
      <c r="H52" s="348"/>
      <c r="I52" s="311"/>
      <c r="J52" s="302"/>
      <c r="K52" s="302"/>
      <c r="L52" s="303" t="str">
        <f>+VLOOKUP(48,TRADUZIONI,DATI!C2-1,0)</f>
        <v>BASSO</v>
      </c>
      <c r="M52" s="302"/>
      <c r="N52" s="302"/>
      <c r="O52" s="302"/>
      <c r="P52" s="302"/>
      <c r="Q52" s="312"/>
      <c r="R52" s="350"/>
      <c r="S52" s="350"/>
      <c r="T52" s="350"/>
      <c r="U52" s="350"/>
      <c r="V52" s="350"/>
      <c r="W52" s="350"/>
      <c r="X52" s="351"/>
      <c r="Y52" s="352"/>
      <c r="Z52" s="249"/>
      <c r="AA52" s="353" t="s">
        <v>44</v>
      </c>
      <c r="AB52" s="354"/>
      <c r="AC52" s="354"/>
      <c r="AD52" s="249"/>
      <c r="AE52" s="263"/>
      <c r="AF52" s="1853"/>
      <c r="AG52" s="249"/>
      <c r="AH52" s="249"/>
    </row>
    <row r="53" spans="2:34" ht="26.45" customHeight="1">
      <c r="B53" s="252"/>
      <c r="C53" s="249"/>
      <c r="D53" s="337"/>
      <c r="E53" s="355"/>
      <c r="F53" s="350"/>
      <c r="G53" s="350"/>
      <c r="H53" s="350"/>
      <c r="I53" s="311"/>
      <c r="J53" s="302"/>
      <c r="K53" s="302"/>
      <c r="L53" s="302"/>
      <c r="M53" s="302"/>
      <c r="N53" s="302"/>
      <c r="O53" s="302"/>
      <c r="P53" s="303"/>
      <c r="Q53" s="314"/>
      <c r="R53" s="1383"/>
      <c r="S53" s="249"/>
      <c r="T53" s="260" t="str">
        <f>+VLOOKUP(60,TRADUZIONI,DATI!C2-1,0)</f>
        <v>LUNGHEZZA</v>
      </c>
      <c r="U53" s="258">
        <f>ROUNDUP((V3-42)*2+200,-2)</f>
        <v>4600</v>
      </c>
      <c r="V53" s="326"/>
      <c r="W53" s="357" t="s">
        <v>211</v>
      </c>
      <c r="X53" s="263"/>
      <c r="Y53" s="329"/>
      <c r="Z53" s="249"/>
      <c r="AA53" s="249">
        <v>0.05</v>
      </c>
      <c r="AB53" s="272">
        <v>0.115</v>
      </c>
      <c r="AC53" s="358" t="s">
        <v>102</v>
      </c>
      <c r="AD53" s="359">
        <f>(V3-42+207)/1000</f>
        <v>2.3650000000000002</v>
      </c>
      <c r="AE53" s="263"/>
      <c r="AF53" s="1853"/>
      <c r="AG53" s="249"/>
      <c r="AH53" s="249"/>
    </row>
    <row r="54" spans="2:34" ht="19.899999999999999" customHeight="1">
      <c r="B54" s="252"/>
      <c r="C54" s="249"/>
      <c r="D54" s="337"/>
      <c r="E54" s="360"/>
      <c r="F54" s="361"/>
      <c r="G54" s="361"/>
      <c r="H54" s="361"/>
      <c r="I54" s="362"/>
      <c r="J54" s="302"/>
      <c r="K54" s="302"/>
      <c r="L54" s="357"/>
      <c r="M54" s="264"/>
      <c r="N54" s="357"/>
      <c r="O54" s="302"/>
      <c r="P54" s="357"/>
      <c r="Q54" s="316"/>
      <c r="R54" s="249"/>
      <c r="S54" s="249"/>
      <c r="T54" s="249"/>
      <c r="U54" s="249"/>
      <c r="V54" s="249"/>
      <c r="W54" s="249"/>
      <c r="X54" s="263"/>
      <c r="Y54" s="252"/>
      <c r="Z54" s="249"/>
      <c r="AA54" s="249" t="str">
        <f>+VLOOKUP(75,TRADUZIONI,DATI!C2-1,0)</f>
        <v>CONFEZIONE</v>
      </c>
      <c r="AB54" s="249"/>
      <c r="AC54" s="254">
        <f>+F11</f>
        <v>0</v>
      </c>
      <c r="AD54" s="238" t="s">
        <v>104</v>
      </c>
      <c r="AE54" s="263"/>
      <c r="AF54" s="1853"/>
      <c r="AG54" s="249"/>
      <c r="AH54" s="249"/>
    </row>
    <row r="55" spans="2:34" ht="18.95" customHeight="1" thickBot="1">
      <c r="B55" s="304"/>
      <c r="C55" s="305"/>
      <c r="D55" s="363"/>
      <c r="E55" s="364"/>
      <c r="F55" s="305"/>
      <c r="G55" s="305"/>
      <c r="H55" s="305"/>
      <c r="I55" s="365"/>
      <c r="J55" s="366"/>
      <c r="K55" s="366"/>
      <c r="L55" s="366"/>
      <c r="M55" s="366"/>
      <c r="N55" s="366"/>
      <c r="O55" s="366"/>
      <c r="P55" s="366"/>
      <c r="Q55" s="367"/>
      <c r="R55" s="305"/>
      <c r="S55" s="305"/>
      <c r="T55" s="309"/>
      <c r="U55" s="309"/>
      <c r="V55" s="309"/>
      <c r="W55" s="309"/>
      <c r="X55" s="307"/>
      <c r="Y55" s="304"/>
      <c r="Z55" s="305"/>
      <c r="AA55" s="305" t="str">
        <f>+VLOOKUP(76,TRADUZIONI,DATI!C2-1,0)</f>
        <v>VOLUME</v>
      </c>
      <c r="AB55" s="305"/>
      <c r="AC55" s="368">
        <f>(AA53*AB53*AD53)</f>
        <v>1.3598750000000003E-2</v>
      </c>
      <c r="AD55" s="305" t="s">
        <v>212</v>
      </c>
      <c r="AE55" s="307"/>
      <c r="AF55" s="1853"/>
    </row>
    <row r="56" spans="2:34" ht="102" customHeight="1">
      <c r="M56" s="249"/>
      <c r="T56" s="369"/>
    </row>
    <row r="57" spans="2:34">
      <c r="T57" s="369"/>
      <c r="U57" s="369"/>
      <c r="V57" s="369"/>
      <c r="W57" s="260"/>
      <c r="X57" s="249"/>
      <c r="Y57" s="249"/>
      <c r="Z57" s="249"/>
      <c r="AA57" s="249"/>
      <c r="AB57" s="249"/>
      <c r="AC57" s="249"/>
    </row>
    <row r="58" spans="2:34">
      <c r="T58" s="369"/>
      <c r="U58" s="369"/>
      <c r="V58" s="369"/>
      <c r="W58" s="260"/>
      <c r="X58" s="249"/>
      <c r="Y58" s="249"/>
      <c r="Z58" s="249"/>
      <c r="AA58" s="249"/>
      <c r="AB58" s="249"/>
      <c r="AC58" s="249"/>
    </row>
    <row r="59" spans="2:34" ht="27.75">
      <c r="T59" s="369"/>
      <c r="U59" s="369"/>
      <c r="V59" s="369"/>
      <c r="W59" s="292"/>
      <c r="X59" s="260"/>
      <c r="Y59" s="279"/>
      <c r="Z59" s="249"/>
      <c r="AA59" s="249"/>
      <c r="AB59" s="249"/>
      <c r="AC59" s="249"/>
    </row>
    <row r="60" spans="2:34" ht="27.75">
      <c r="T60" s="369"/>
      <c r="U60" s="369"/>
      <c r="V60" s="369"/>
      <c r="W60" s="292"/>
      <c r="X60" s="260"/>
      <c r="Y60" s="279"/>
      <c r="Z60" s="249"/>
      <c r="AA60" s="249"/>
      <c r="AB60" s="249"/>
      <c r="AC60" s="249"/>
    </row>
    <row r="61" spans="2:34">
      <c r="T61" s="369"/>
      <c r="U61" s="369"/>
      <c r="V61" s="369"/>
      <c r="W61" s="260"/>
      <c r="X61" s="249"/>
      <c r="Y61" s="249"/>
      <c r="Z61" s="249"/>
      <c r="AA61" s="249"/>
      <c r="AB61" s="249"/>
      <c r="AC61" s="249"/>
    </row>
    <row r="62" spans="2:34" ht="27">
      <c r="T62" s="369"/>
      <c r="U62" s="369"/>
      <c r="V62" s="369"/>
      <c r="W62" s="260"/>
      <c r="X62" s="249"/>
      <c r="Y62" s="234"/>
      <c r="Z62" s="249"/>
      <c r="AA62" s="275"/>
      <c r="AB62" s="254"/>
      <c r="AC62" s="254"/>
    </row>
    <row r="63" spans="2:34" ht="27.75">
      <c r="W63" s="249"/>
      <c r="X63" s="326"/>
      <c r="Y63" s="279"/>
      <c r="Z63" s="249"/>
      <c r="AA63" s="238"/>
      <c r="AB63" s="249"/>
      <c r="AC63" s="249"/>
    </row>
    <row r="64" spans="2:34">
      <c r="W64" s="249"/>
      <c r="X64" s="249"/>
      <c r="Y64" s="249"/>
      <c r="Z64" s="249"/>
      <c r="AA64" s="238"/>
      <c r="AB64" s="249"/>
      <c r="AC64" s="249"/>
    </row>
    <row r="65" spans="23:29" ht="26.25">
      <c r="W65" s="249"/>
      <c r="X65" s="249"/>
      <c r="Y65" s="303"/>
      <c r="Z65" s="249"/>
      <c r="AA65" s="262"/>
      <c r="AB65" s="254"/>
      <c r="AC65" s="275"/>
    </row>
    <row r="66" spans="23:29" ht="33.75">
      <c r="W66" s="249"/>
      <c r="X66" s="326"/>
      <c r="Y66" s="370"/>
      <c r="Z66" s="249"/>
      <c r="AA66" s="249"/>
      <c r="AB66" s="249"/>
      <c r="AC66" s="249"/>
    </row>
    <row r="67" spans="23:29">
      <c r="W67" s="249"/>
      <c r="X67" s="249"/>
      <c r="Y67" s="249"/>
      <c r="Z67" s="249"/>
      <c r="AA67" s="249"/>
      <c r="AB67" s="249"/>
      <c r="AC67" s="249"/>
    </row>
  </sheetData>
  <sheetProtection formatCells="0" formatColumns="0"/>
  <mergeCells count="79">
    <mergeCell ref="C11:D11"/>
    <mergeCell ref="I4:K4"/>
    <mergeCell ref="L4:R4"/>
    <mergeCell ref="R6:X6"/>
    <mergeCell ref="V2:W2"/>
    <mergeCell ref="Y2:AA2"/>
    <mergeCell ref="AC2:AE2"/>
    <mergeCell ref="B3:D3"/>
    <mergeCell ref="E3:H3"/>
    <mergeCell ref="O3:R3"/>
    <mergeCell ref="S3:T3"/>
    <mergeCell ref="V3:W3"/>
    <mergeCell ref="Y3:AA3"/>
    <mergeCell ref="AC3:AE3"/>
    <mergeCell ref="B2:D2"/>
    <mergeCell ref="S2:T2"/>
    <mergeCell ref="I2:N2"/>
    <mergeCell ref="E2:H2"/>
    <mergeCell ref="O2:R2"/>
    <mergeCell ref="AA4:AB4"/>
    <mergeCell ref="AC4:AE4"/>
    <mergeCell ref="I3:N3"/>
    <mergeCell ref="B5:C5"/>
    <mergeCell ref="D5:H5"/>
    <mergeCell ref="I5:J5"/>
    <mergeCell ref="K5:P5"/>
    <mergeCell ref="R5:S5"/>
    <mergeCell ref="T5:AE5"/>
    <mergeCell ref="Y6:AE6"/>
    <mergeCell ref="E7:H7"/>
    <mergeCell ref="AE9:AE12"/>
    <mergeCell ref="L10:M10"/>
    <mergeCell ref="N10:O10"/>
    <mergeCell ref="J9:O9"/>
    <mergeCell ref="S12:U13"/>
    <mergeCell ref="E13:H13"/>
    <mergeCell ref="Y13:AE13"/>
    <mergeCell ref="Y27:AE30"/>
    <mergeCell ref="AA31:AE31"/>
    <mergeCell ref="Y31:Z31"/>
    <mergeCell ref="R31:S31"/>
    <mergeCell ref="T31:X31"/>
    <mergeCell ref="J27:O27"/>
    <mergeCell ref="I29:P29"/>
    <mergeCell ref="K31:P31"/>
    <mergeCell ref="I31:J31"/>
    <mergeCell ref="N21:O21"/>
    <mergeCell ref="B22:H22"/>
    <mergeCell ref="D25:F25"/>
    <mergeCell ref="J24:P26"/>
    <mergeCell ref="S14:U14"/>
    <mergeCell ref="AE14:AE17"/>
    <mergeCell ref="R15:X18"/>
    <mergeCell ref="Y20:AE20"/>
    <mergeCell ref="Z22:AB22"/>
    <mergeCell ref="E17:G17"/>
    <mergeCell ref="C20:D20"/>
    <mergeCell ref="F20:G20"/>
    <mergeCell ref="C19:D19"/>
    <mergeCell ref="C17:D17"/>
    <mergeCell ref="F19:G19"/>
    <mergeCell ref="AF41:AF55"/>
    <mergeCell ref="R43:S43"/>
    <mergeCell ref="T43:X43"/>
    <mergeCell ref="R45:X47"/>
    <mergeCell ref="R48:X50"/>
    <mergeCell ref="E49:H51"/>
    <mergeCell ref="R51:S51"/>
    <mergeCell ref="T51:X51"/>
    <mergeCell ref="R44:S44"/>
    <mergeCell ref="T44:W44"/>
    <mergeCell ref="B32:B43"/>
    <mergeCell ref="C37:E37"/>
    <mergeCell ref="R38:S38"/>
    <mergeCell ref="T38:X38"/>
    <mergeCell ref="R39:S39"/>
    <mergeCell ref="J33:K33"/>
    <mergeCell ref="V33:X33"/>
    <mergeCell ref="R33:U33"/>
  </mergeCells>
  <conditionalFormatting sqref="E49:H51">
    <cfRule type="expression" dxfId="18" priority="2" stopIfTrue="1">
      <formula>IF(#REF!=1,1,0)</formula>
    </cfRule>
  </conditionalFormatting>
  <conditionalFormatting sqref="J9:O9">
    <cfRule type="cellIs" dxfId="17" priority="1" stopIfTrue="1" operator="equal">
      <formula>"RETE GRIGIA"</formula>
    </cfRule>
  </conditionalFormatting>
  <printOptions horizontalCentered="1" verticalCentered="1"/>
  <pageMargins left="0" right="0" top="0" bottom="0" header="0" footer="0"/>
  <pageSetup paperSize="9" scale="33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>
    <tabColor rgb="FFFF0000"/>
    <pageSetUpPr fitToPage="1"/>
  </sheetPr>
  <dimension ref="A1:AB58"/>
  <sheetViews>
    <sheetView topLeftCell="A10" workbookViewId="0">
      <selection activeCell="G3" sqref="G3:P3"/>
    </sheetView>
  </sheetViews>
  <sheetFormatPr defaultRowHeight="18.75"/>
  <cols>
    <col min="1" max="1" width="9.140625" style="376"/>
    <col min="2" max="2" width="14.140625" style="376" customWidth="1"/>
    <col min="3" max="3" width="9.140625" style="376"/>
    <col min="4" max="4" width="10.42578125" style="376" bestFit="1" customWidth="1"/>
    <col min="5" max="5" width="18" style="376" customWidth="1"/>
    <col min="6" max="6" width="9.140625" style="376"/>
    <col min="7" max="7" width="10.42578125" style="376" bestFit="1" customWidth="1"/>
    <col min="8" max="8" width="11.85546875" style="376" bestFit="1" customWidth="1"/>
    <col min="9" max="9" width="9.140625" style="376"/>
    <col min="10" max="10" width="13.28515625" style="376" customWidth="1"/>
    <col min="11" max="12" width="11.5703125" style="376" customWidth="1"/>
    <col min="13" max="13" width="13.7109375" style="376" customWidth="1"/>
    <col min="14" max="14" width="11.140625" style="376" customWidth="1"/>
    <col min="15" max="16" width="9.140625" style="376"/>
    <col min="17" max="17" width="10.85546875" style="376" bestFit="1" customWidth="1"/>
    <col min="18" max="18" width="13.85546875" style="376" customWidth="1"/>
    <col min="19" max="19" width="12.140625" style="376" customWidth="1"/>
    <col min="20" max="20" width="11.28515625" style="376" bestFit="1" customWidth="1"/>
    <col min="21" max="22" width="9.140625" style="376"/>
    <col min="23" max="23" width="10.42578125" style="376" bestFit="1" customWidth="1"/>
    <col min="24" max="24" width="9.140625" style="376"/>
    <col min="25" max="25" width="10.42578125" style="376" bestFit="1" customWidth="1"/>
    <col min="26" max="26" width="12.7109375" style="376" customWidth="1"/>
    <col min="27" max="27" width="12.42578125" style="376" customWidth="1"/>
    <col min="28" max="28" width="12.140625" style="376" customWidth="1"/>
    <col min="29" max="16384" width="9.140625" style="376"/>
  </cols>
  <sheetData>
    <row r="1" spans="1:28">
      <c r="A1" s="371"/>
      <c r="B1" s="372"/>
      <c r="C1" s="372"/>
      <c r="D1" s="372"/>
      <c r="E1" s="372"/>
      <c r="F1" s="372"/>
      <c r="G1" s="372"/>
      <c r="H1" s="372"/>
      <c r="I1" s="372"/>
      <c r="J1" s="372"/>
      <c r="K1" s="372"/>
      <c r="L1" s="373" t="s">
        <v>478</v>
      </c>
      <c r="M1" s="372"/>
      <c r="N1" s="372"/>
      <c r="O1" s="372"/>
      <c r="P1" s="372"/>
      <c r="Q1" s="372"/>
      <c r="R1" s="372"/>
      <c r="S1" s="372"/>
      <c r="T1" s="372"/>
      <c r="U1" s="372"/>
      <c r="V1" s="372"/>
      <c r="W1" s="372"/>
      <c r="X1" s="372"/>
      <c r="Y1" s="372"/>
      <c r="Z1" s="374"/>
      <c r="AA1" s="372"/>
      <c r="AB1" s="375"/>
    </row>
    <row r="2" spans="1:28" ht="19.5" thickBot="1">
      <c r="A2" s="377"/>
      <c r="B2" s="378"/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  <c r="N2" s="378"/>
      <c r="O2" s="378"/>
      <c r="P2" s="378"/>
      <c r="Q2" s="378"/>
      <c r="R2" s="378"/>
      <c r="S2" s="378"/>
      <c r="T2" s="378"/>
      <c r="U2" s="378"/>
      <c r="V2" s="378"/>
      <c r="W2" s="378"/>
      <c r="X2" s="378"/>
      <c r="Y2" s="378"/>
      <c r="Z2" s="378"/>
      <c r="AA2" s="1926">
        <f ca="1">NOW()</f>
        <v>45247.406918981484</v>
      </c>
      <c r="AB2" s="1927"/>
    </row>
    <row r="3" spans="1:28" ht="20.100000000000001" customHeight="1">
      <c r="A3" s="371"/>
      <c r="B3" s="379" t="s">
        <v>213</v>
      </c>
      <c r="C3" s="372"/>
      <c r="D3" s="380"/>
      <c r="E3" s="379" t="s">
        <v>214</v>
      </c>
      <c r="F3" s="372"/>
      <c r="G3" s="380"/>
      <c r="H3" s="379" t="s">
        <v>215</v>
      </c>
      <c r="I3" s="372"/>
      <c r="J3" s="381"/>
      <c r="K3" s="382" t="s">
        <v>216</v>
      </c>
      <c r="L3" s="383"/>
      <c r="M3" s="384"/>
      <c r="N3" s="379" t="s">
        <v>217</v>
      </c>
      <c r="O3" s="372"/>
      <c r="P3" s="380"/>
      <c r="Q3" s="379" t="s">
        <v>143</v>
      </c>
      <c r="R3" s="385" t="s">
        <v>144</v>
      </c>
      <c r="S3" s="372"/>
      <c r="T3" s="379" t="s">
        <v>145</v>
      </c>
      <c r="U3" s="372"/>
      <c r="V3" s="384"/>
      <c r="W3" s="379" t="s">
        <v>54</v>
      </c>
      <c r="X3" s="372"/>
      <c r="Y3" s="386" t="s">
        <v>7</v>
      </c>
      <c r="Z3" s="384"/>
      <c r="AA3" s="379" t="s">
        <v>218</v>
      </c>
      <c r="AB3" s="387"/>
    </row>
    <row r="4" spans="1:28" s="400" customFormat="1" ht="30" customHeight="1" thickBot="1">
      <c r="A4" s="388"/>
      <c r="B4" s="713"/>
      <c r="C4" s="390"/>
      <c r="D4" s="391"/>
      <c r="E4" s="392">
        <f>+DATI!C4</f>
        <v>0</v>
      </c>
      <c r="F4" s="390"/>
      <c r="G4" s="391"/>
      <c r="H4" s="393"/>
      <c r="I4" s="390"/>
      <c r="J4" s="391"/>
      <c r="K4" s="394">
        <f>+DATI!C5</f>
        <v>42370</v>
      </c>
      <c r="L4" s="390"/>
      <c r="M4" s="395"/>
      <c r="N4" s="396"/>
      <c r="O4" s="390"/>
      <c r="P4" s="391"/>
      <c r="Q4" s="389">
        <f>+DATI!C7</f>
        <v>1400</v>
      </c>
      <c r="R4" s="390"/>
      <c r="S4" s="390"/>
      <c r="T4" s="389">
        <f>+DATI!C8</f>
        <v>2200</v>
      </c>
      <c r="U4" s="390"/>
      <c r="V4" s="395"/>
      <c r="W4" s="397">
        <f>IF(K13&lt;551,0,IF(K13&lt;1001,1,IF(K13&lt;1451,2,IF(K13&lt;1901,3,IF(K13&lt;2200,4,5)))))</f>
        <v>4</v>
      </c>
      <c r="X4" s="390"/>
      <c r="Y4" s="398"/>
      <c r="Z4" s="395"/>
      <c r="AA4" s="389"/>
      <c r="AB4" s="399" t="s">
        <v>37</v>
      </c>
    </row>
    <row r="5" spans="1:28" ht="40.5" customHeight="1" thickBot="1">
      <c r="A5" s="401"/>
      <c r="B5" s="402"/>
      <c r="C5" s="403"/>
      <c r="D5" s="404" t="s">
        <v>37</v>
      </c>
      <c r="E5" s="405"/>
      <c r="F5" s="404"/>
      <c r="G5" s="403"/>
      <c r="H5" s="402"/>
      <c r="I5" s="406" t="s">
        <v>219</v>
      </c>
      <c r="J5" s="403"/>
      <c r="K5" s="402"/>
      <c r="L5" s="404" t="s">
        <v>37</v>
      </c>
      <c r="M5" s="407"/>
      <c r="N5" s="403"/>
      <c r="O5" s="404" t="s">
        <v>37</v>
      </c>
      <c r="P5" s="403"/>
      <c r="Q5" s="404"/>
      <c r="R5" s="407"/>
      <c r="S5" s="403"/>
      <c r="T5" s="402"/>
      <c r="U5" s="403"/>
      <c r="V5" s="403"/>
      <c r="W5" s="402"/>
      <c r="X5" s="403"/>
      <c r="Y5" s="402"/>
      <c r="Z5" s="403"/>
      <c r="AA5" s="402"/>
      <c r="AB5" s="408"/>
    </row>
    <row r="6" spans="1:28" s="416" customFormat="1" ht="24" customHeight="1">
      <c r="A6" s="411"/>
      <c r="B6" s="412"/>
      <c r="C6" s="412"/>
      <c r="D6" s="415" t="s">
        <v>0</v>
      </c>
      <c r="E6" s="412"/>
      <c r="F6" s="414"/>
      <c r="G6" s="461"/>
      <c r="H6" s="865"/>
      <c r="I6" s="865"/>
      <c r="J6" s="865"/>
      <c r="K6" s="462" t="s">
        <v>220</v>
      </c>
      <c r="L6" s="865"/>
      <c r="M6" s="865"/>
      <c r="N6" s="870"/>
      <c r="O6" s="461"/>
      <c r="P6" s="865"/>
      <c r="Q6" s="865"/>
      <c r="R6" s="462" t="s">
        <v>86</v>
      </c>
      <c r="S6" s="865"/>
      <c r="T6" s="865"/>
      <c r="U6" s="870"/>
      <c r="V6" s="461"/>
      <c r="W6" s="874" t="s">
        <v>221</v>
      </c>
      <c r="X6" s="865"/>
      <c r="Y6" s="869"/>
      <c r="Z6" s="865"/>
      <c r="AA6" s="865"/>
      <c r="AB6" s="870"/>
    </row>
    <row r="7" spans="1:28" ht="18.95" customHeight="1">
      <c r="A7" s="417"/>
      <c r="B7" s="418"/>
      <c r="C7" s="419"/>
      <c r="D7" s="418"/>
      <c r="E7" s="418"/>
      <c r="F7" s="424"/>
      <c r="G7" s="1928" t="e">
        <f>IF(DATI!E13&lt;&gt;"AUTOMATICA","*"&amp;DATI!L14&amp;RIGHT(("000"&amp;N9),3)&amp;RIGHT(("0000"&amp;K13),4)&amp;DATI!L13&amp;"*","*"&amp;DATI!E14&amp;"-"&amp;RIGHT(("0000"&amp;K13),4)&amp;"*")</f>
        <v>#VALUE!</v>
      </c>
      <c r="H7" s="1928"/>
      <c r="I7" s="1928"/>
      <c r="J7" s="1928"/>
      <c r="K7" s="429"/>
      <c r="L7" s="432"/>
      <c r="M7" s="872"/>
      <c r="N7" s="873"/>
      <c r="O7" s="377"/>
      <c r="P7" s="378"/>
      <c r="Q7" s="378"/>
      <c r="R7" s="378"/>
      <c r="S7" s="378"/>
      <c r="T7" s="378"/>
      <c r="U7" s="425"/>
      <c r="V7" s="377"/>
      <c r="W7" s="378"/>
      <c r="X7" s="378"/>
      <c r="Y7" s="378"/>
      <c r="Z7" s="378"/>
      <c r="AA7" s="378"/>
      <c r="AB7" s="425"/>
    </row>
    <row r="8" spans="1:28" ht="18.95" customHeight="1">
      <c r="A8" s="377"/>
      <c r="B8" s="378"/>
      <c r="C8" s="378"/>
      <c r="D8" s="378"/>
      <c r="E8" s="378"/>
      <c r="F8" s="425"/>
      <c r="G8" s="1928"/>
      <c r="H8" s="1928"/>
      <c r="I8" s="1928"/>
      <c r="J8" s="1928"/>
      <c r="M8" s="378"/>
      <c r="N8" s="425"/>
      <c r="O8" s="377"/>
      <c r="P8" s="378"/>
      <c r="Q8" s="378"/>
      <c r="R8" s="378"/>
      <c r="S8" s="378"/>
      <c r="T8" s="378"/>
      <c r="U8" s="425"/>
      <c r="V8" s="377"/>
      <c r="W8" s="378"/>
      <c r="X8" s="378"/>
      <c r="Y8" s="378"/>
      <c r="Z8" s="378"/>
      <c r="AA8" s="378"/>
      <c r="AB8" s="425"/>
    </row>
    <row r="9" spans="1:28" ht="18.95" customHeight="1">
      <c r="A9" s="377"/>
      <c r="B9" s="378" t="s">
        <v>3</v>
      </c>
      <c r="C9" s="378"/>
      <c r="D9" s="657">
        <f>+DATI!C6</f>
        <v>0</v>
      </c>
      <c r="E9" s="378"/>
      <c r="F9" s="425"/>
      <c r="G9" s="1928"/>
      <c r="H9" s="1928"/>
      <c r="I9" s="1928"/>
      <c r="J9" s="1928"/>
      <c r="M9" s="438" t="s">
        <v>222</v>
      </c>
      <c r="N9" s="426">
        <f>ROUNDUP((Q4-48)*0.036,0)</f>
        <v>49</v>
      </c>
      <c r="O9" s="377"/>
      <c r="P9" s="378"/>
      <c r="Q9" s="378"/>
      <c r="R9" s="378"/>
      <c r="S9" s="378"/>
      <c r="T9" s="378"/>
      <c r="U9" s="425"/>
      <c r="V9" s="1871" t="s">
        <v>270</v>
      </c>
      <c r="W9" s="1872"/>
      <c r="X9" s="1872"/>
      <c r="Y9" s="1872"/>
      <c r="Z9" s="1872"/>
      <c r="AA9" s="1872"/>
      <c r="AB9" s="1873"/>
    </row>
    <row r="10" spans="1:28" ht="18.95" customHeight="1">
      <c r="A10" s="377"/>
      <c r="B10" s="378" t="s">
        <v>223</v>
      </c>
      <c r="C10" s="378" t="s">
        <v>224</v>
      </c>
      <c r="D10" s="378">
        <f>+DATI!C3</f>
        <v>0</v>
      </c>
      <c r="E10" s="427"/>
      <c r="F10" s="425"/>
      <c r="G10" s="1928"/>
      <c r="H10" s="1928"/>
      <c r="I10" s="1928"/>
      <c r="J10" s="1928"/>
      <c r="K10" s="378"/>
      <c r="L10" s="378"/>
      <c r="M10" s="378"/>
      <c r="N10" s="425"/>
      <c r="O10" s="377"/>
      <c r="P10" s="378"/>
      <c r="Q10" s="378"/>
      <c r="R10" s="378"/>
      <c r="S10" s="378"/>
      <c r="T10" s="378"/>
      <c r="U10" s="425"/>
      <c r="V10" s="249"/>
      <c r="W10" s="238"/>
      <c r="X10" s="249"/>
      <c r="Y10" s="249"/>
      <c r="Z10" s="249"/>
      <c r="AA10" s="249"/>
      <c r="AB10" s="263"/>
    </row>
    <row r="11" spans="1:28" ht="18.95" customHeight="1">
      <c r="A11" s="377"/>
      <c r="B11" s="378"/>
      <c r="C11" s="378"/>
      <c r="D11" s="378"/>
      <c r="E11" s="378"/>
      <c r="F11" s="425"/>
      <c r="G11" s="378"/>
      <c r="H11" s="378"/>
      <c r="I11" s="378"/>
      <c r="J11" s="378"/>
      <c r="K11" s="378"/>
      <c r="L11" s="378"/>
      <c r="M11" s="378"/>
      <c r="N11" s="425"/>
      <c r="O11" s="377"/>
      <c r="P11" s="378"/>
      <c r="Q11" s="428" t="s">
        <v>377</v>
      </c>
      <c r="R11" s="378">
        <f>T4-135</f>
        <v>2065</v>
      </c>
      <c r="S11" s="378"/>
      <c r="T11" s="378"/>
      <c r="U11" s="425"/>
      <c r="V11" s="249"/>
      <c r="W11" s="262"/>
      <c r="X11" s="267" t="s">
        <v>470</v>
      </c>
      <c r="Z11" s="256">
        <f>Q4 - 5</f>
        <v>1395</v>
      </c>
      <c r="AA11" s="249"/>
      <c r="AB11" s="263"/>
    </row>
    <row r="12" spans="1:28" ht="18.95" customHeight="1">
      <c r="A12" s="377"/>
      <c r="B12" s="378"/>
      <c r="C12" s="378" t="s">
        <v>224</v>
      </c>
      <c r="D12" s="378"/>
      <c r="E12" s="378"/>
      <c r="F12" s="425"/>
      <c r="G12" s="378"/>
      <c r="H12" s="378"/>
      <c r="I12" s="378"/>
      <c r="J12" s="378"/>
      <c r="K12" s="378"/>
      <c r="L12" s="378"/>
      <c r="M12" s="378"/>
      <c r="N12" s="425"/>
      <c r="O12" s="377"/>
      <c r="P12" s="378"/>
      <c r="Q12" s="378"/>
      <c r="R12" s="378"/>
      <c r="S12" s="378"/>
      <c r="T12" s="378"/>
      <c r="U12" s="425"/>
      <c r="V12" s="249"/>
      <c r="W12" s="238"/>
      <c r="X12" s="249"/>
      <c r="Y12" s="249"/>
      <c r="Z12" s="249"/>
      <c r="AA12" s="249"/>
      <c r="AB12" s="263"/>
    </row>
    <row r="13" spans="1:28" ht="22.5">
      <c r="A13" s="377"/>
      <c r="B13" s="378"/>
      <c r="C13" s="378"/>
      <c r="D13" s="378"/>
      <c r="E13" s="378"/>
      <c r="F13" s="425"/>
      <c r="G13" s="378"/>
      <c r="H13" s="378"/>
      <c r="I13" s="378"/>
      <c r="J13" s="428" t="s">
        <v>198</v>
      </c>
      <c r="K13" s="429">
        <f>T4-64</f>
        <v>2136</v>
      </c>
      <c r="L13" s="378"/>
      <c r="M13" s="378"/>
      <c r="N13" s="425"/>
      <c r="O13" s="377"/>
      <c r="P13" s="378"/>
      <c r="Q13" s="1941" t="str">
        <f>+"*"&amp;R11&amp;"*"</f>
        <v>*2065*</v>
      </c>
      <c r="R13" s="1941"/>
      <c r="S13" s="1941"/>
      <c r="T13" s="378"/>
      <c r="U13" s="425"/>
      <c r="V13" s="249"/>
      <c r="W13" s="249"/>
      <c r="X13" s="249"/>
      <c r="Y13" s="249"/>
      <c r="Z13" s="249"/>
      <c r="AA13" s="249"/>
      <c r="AB13" s="263"/>
    </row>
    <row r="14" spans="1:28" ht="18.95" customHeight="1">
      <c r="A14" s="377"/>
      <c r="B14" s="430"/>
      <c r="C14" s="378" t="s">
        <v>37</v>
      </c>
      <c r="D14" s="431" t="s">
        <v>37</v>
      </c>
      <c r="E14" s="378"/>
      <c r="F14" s="425"/>
      <c r="G14" s="378"/>
      <c r="H14" s="378"/>
      <c r="I14" s="378"/>
      <c r="J14" s="378"/>
      <c r="K14" s="378"/>
      <c r="L14" s="378"/>
      <c r="M14" s="378"/>
      <c r="N14" s="425"/>
      <c r="O14" s="377"/>
      <c r="P14" s="378"/>
      <c r="Q14" s="1941"/>
      <c r="R14" s="1941"/>
      <c r="S14" s="1941"/>
      <c r="T14" s="378"/>
      <c r="U14" s="425"/>
      <c r="V14" s="249"/>
      <c r="W14" s="249"/>
      <c r="X14" s="249"/>
      <c r="Y14" s="249"/>
      <c r="Z14" s="249"/>
      <c r="AA14" s="249"/>
      <c r="AB14" s="263"/>
    </row>
    <row r="15" spans="1:28" ht="18.95" customHeight="1">
      <c r="A15" s="377"/>
      <c r="B15" s="378"/>
      <c r="C15" s="378"/>
      <c r="D15" s="378"/>
      <c r="E15" s="378"/>
      <c r="F15" s="425"/>
      <c r="G15" s="378"/>
      <c r="H15" s="378"/>
      <c r="I15" s="378"/>
      <c r="J15" s="432"/>
      <c r="K15" s="432"/>
      <c r="L15" s="432"/>
      <c r="M15" s="432"/>
      <c r="N15" s="425"/>
      <c r="O15" s="377"/>
      <c r="P15" s="378"/>
      <c r="Q15" s="1941"/>
      <c r="R15" s="1941"/>
      <c r="S15" s="1941"/>
      <c r="T15" s="378"/>
      <c r="U15" s="425"/>
      <c r="V15" s="250"/>
      <c r="W15" s="250"/>
      <c r="X15" s="250"/>
      <c r="Y15" s="250"/>
      <c r="Z15" s="250"/>
      <c r="AA15" s="250"/>
      <c r="AB15" s="263"/>
    </row>
    <row r="16" spans="1:28" ht="18.95" customHeight="1">
      <c r="A16" s="866"/>
      <c r="B16" s="378" t="s">
        <v>226</v>
      </c>
      <c r="C16" s="378" t="s">
        <v>224</v>
      </c>
      <c r="D16" s="378">
        <f>+IF(DATI!C9="",1,IF(DATI!C9=0,1,DATI!C9))</f>
        <v>1</v>
      </c>
      <c r="E16" s="378"/>
      <c r="F16" s="425"/>
      <c r="G16" s="378"/>
      <c r="H16" s="378"/>
      <c r="I16" s="378"/>
      <c r="J16" s="378"/>
      <c r="K16" s="378"/>
      <c r="L16" s="378"/>
      <c r="M16" s="378"/>
      <c r="N16" s="425"/>
      <c r="O16" s="377"/>
      <c r="P16" s="378"/>
      <c r="Q16" s="1941"/>
      <c r="R16" s="1941"/>
      <c r="S16" s="1941"/>
      <c r="T16" s="378"/>
      <c r="U16" s="425"/>
      <c r="V16" s="249"/>
      <c r="W16" s="249"/>
      <c r="X16" s="249"/>
      <c r="Y16" s="249"/>
      <c r="Z16" s="249"/>
      <c r="AA16" s="249"/>
      <c r="AB16" s="263"/>
    </row>
    <row r="17" spans="1:28" ht="18.95" customHeight="1">
      <c r="A17" s="377"/>
      <c r="B17" s="378"/>
      <c r="C17" s="378"/>
      <c r="D17" s="378"/>
      <c r="E17" s="378"/>
      <c r="F17" s="425"/>
      <c r="G17" s="378"/>
      <c r="H17" s="378"/>
      <c r="I17" s="378"/>
      <c r="J17" s="378"/>
      <c r="K17" s="378"/>
      <c r="L17" s="378"/>
      <c r="M17" s="378"/>
      <c r="N17" s="425"/>
      <c r="O17" s="377"/>
      <c r="P17" s="378"/>
      <c r="Q17" s="378"/>
      <c r="R17" s="378"/>
      <c r="S17" s="378"/>
      <c r="T17" s="378"/>
      <c r="U17" s="425"/>
      <c r="V17" s="249"/>
      <c r="W17" s="1942" t="str">
        <f>+"*"&amp;Z11&amp;"*"</f>
        <v>*1395*</v>
      </c>
      <c r="X17" s="1942"/>
      <c r="Y17" s="1942"/>
      <c r="Z17" s="1942"/>
      <c r="AA17" s="272"/>
      <c r="AB17" s="263"/>
    </row>
    <row r="18" spans="1:28" ht="18.95" customHeight="1">
      <c r="A18" s="377"/>
      <c r="B18" s="378"/>
      <c r="C18" s="378"/>
      <c r="D18" s="378"/>
      <c r="E18" s="378"/>
      <c r="F18" s="425"/>
      <c r="G18" s="432">
        <v>50</v>
      </c>
      <c r="H18" s="432"/>
      <c r="I18" s="434"/>
      <c r="J18" s="378"/>
      <c r="K18" s="378"/>
      <c r="L18" s="378"/>
      <c r="M18" s="378"/>
      <c r="N18" s="425"/>
      <c r="O18" s="377"/>
      <c r="P18" s="378"/>
      <c r="Q18" s="378"/>
      <c r="R18" s="378"/>
      <c r="S18" s="378"/>
      <c r="T18" s="378"/>
      <c r="U18" s="425"/>
      <c r="V18" s="249"/>
      <c r="W18" s="1942"/>
      <c r="X18" s="1942"/>
      <c r="Y18" s="1942"/>
      <c r="Z18" s="1942"/>
      <c r="AA18" s="284"/>
      <c r="AB18" s="263"/>
    </row>
    <row r="19" spans="1:28" ht="18.95" customHeight="1">
      <c r="A19" s="377"/>
      <c r="B19" s="378"/>
      <c r="C19" s="378"/>
      <c r="D19" s="378"/>
      <c r="E19" s="378"/>
      <c r="F19" s="425"/>
      <c r="G19" s="378"/>
      <c r="H19" s="435">
        <f>IF(W4=0,K13-50,I20-T53)</f>
        <v>457.19999999999987</v>
      </c>
      <c r="I19" s="378"/>
      <c r="J19" s="378"/>
      <c r="K19" s="378"/>
      <c r="L19" s="378"/>
      <c r="M19" s="378"/>
      <c r="N19" s="425"/>
      <c r="O19" s="377"/>
      <c r="P19" s="378" t="s">
        <v>37</v>
      </c>
      <c r="Q19" s="378"/>
      <c r="R19" s="432"/>
      <c r="S19" s="378"/>
      <c r="T19" s="378"/>
      <c r="U19" s="425"/>
      <c r="V19" s="249"/>
      <c r="W19" s="1942"/>
      <c r="X19" s="1942"/>
      <c r="Y19" s="1942"/>
      <c r="Z19" s="1942"/>
      <c r="AA19" s="284"/>
      <c r="AB19" s="263"/>
    </row>
    <row r="20" spans="1:28" ht="18.95" customHeight="1">
      <c r="A20" s="377"/>
      <c r="B20" s="378"/>
      <c r="C20" s="378"/>
      <c r="D20" s="378"/>
      <c r="E20" s="378"/>
      <c r="F20" s="425"/>
      <c r="G20" s="378"/>
      <c r="H20" s="378"/>
      <c r="I20" s="436">
        <f>IF(W4&lt;1,"VUOTO",IF(W4=1,K13-50,J21-T53))</f>
        <v>864.39999999999986</v>
      </c>
      <c r="J20" s="378"/>
      <c r="K20" s="378"/>
      <c r="L20" s="378"/>
      <c r="M20" s="378"/>
      <c r="N20" s="425"/>
      <c r="O20" s="377"/>
      <c r="P20" s="378"/>
      <c r="Q20" s="378"/>
      <c r="R20" s="378"/>
      <c r="S20" s="378"/>
      <c r="T20" s="378"/>
      <c r="U20" s="425"/>
      <c r="V20" s="250"/>
      <c r="W20" s="1942"/>
      <c r="X20" s="1942"/>
      <c r="Y20" s="1942"/>
      <c r="Z20" s="1942"/>
      <c r="AA20" s="250"/>
      <c r="AB20" s="263"/>
    </row>
    <row r="21" spans="1:28" ht="20.25">
      <c r="A21" s="377"/>
      <c r="B21" s="378"/>
      <c r="C21" s="432" t="s">
        <v>228</v>
      </c>
      <c r="D21" s="437">
        <f>Q4-0</f>
        <v>1400</v>
      </c>
      <c r="E21" s="378"/>
      <c r="F21" s="425"/>
      <c r="G21" s="378"/>
      <c r="H21" s="378"/>
      <c r="I21" s="378"/>
      <c r="J21" s="436">
        <f>IF(W4&lt;2,"VUOTO",IF(W4=2,K13-50,K22-T53))</f>
        <v>1271.5999999999999</v>
      </c>
      <c r="K21" s="378"/>
      <c r="L21" s="378"/>
      <c r="M21" s="378"/>
      <c r="N21" s="425"/>
      <c r="O21" s="377"/>
      <c r="P21" s="378"/>
      <c r="Q21" s="378"/>
      <c r="R21" s="438" t="s">
        <v>229</v>
      </c>
      <c r="S21" s="439">
        <f>T4-146.6-1.4</f>
        <v>2052</v>
      </c>
      <c r="T21" s="378"/>
      <c r="U21" s="425"/>
      <c r="V21" s="249"/>
      <c r="W21" s="1942"/>
      <c r="X21" s="1942"/>
      <c r="Y21" s="1942"/>
      <c r="Z21" s="1942"/>
      <c r="AA21" s="249"/>
      <c r="AB21" s="263"/>
    </row>
    <row r="22" spans="1:28" ht="18.95" customHeight="1">
      <c r="A22" s="377"/>
      <c r="B22" s="378"/>
      <c r="C22" s="378"/>
      <c r="D22" s="378"/>
      <c r="E22" s="378"/>
      <c r="F22" s="425"/>
      <c r="G22" s="378"/>
      <c r="H22" s="378"/>
      <c r="I22" s="378"/>
      <c r="J22" s="378"/>
      <c r="K22" s="436">
        <f>IF(W4&lt;3,"VUOTO",IF(W4=3,K13-50,IF(W4=4,L23-T53,IF(W4=5,L23-T53))))</f>
        <v>1678.8</v>
      </c>
      <c r="L22" s="440"/>
      <c r="M22" s="378"/>
      <c r="N22" s="425"/>
      <c r="O22" s="377"/>
      <c r="P22" s="378"/>
      <c r="Q22" s="378"/>
      <c r="R22" s="438" t="s">
        <v>396</v>
      </c>
      <c r="S22" s="439">
        <f>T4-56</f>
        <v>2144</v>
      </c>
      <c r="T22" s="378"/>
      <c r="U22" s="425"/>
      <c r="V22" s="249"/>
      <c r="W22" s="249"/>
      <c r="X22" s="249"/>
      <c r="Y22" s="249"/>
      <c r="Z22" s="249"/>
      <c r="AA22" s="249"/>
      <c r="AB22" s="263"/>
    </row>
    <row r="23" spans="1:28" ht="18.95" customHeight="1">
      <c r="A23" s="377"/>
      <c r="B23" s="378"/>
      <c r="C23" s="438" t="s">
        <v>230</v>
      </c>
      <c r="D23" s="378"/>
      <c r="E23" s="378"/>
      <c r="F23" s="425"/>
      <c r="G23" s="378"/>
      <c r="H23" s="378"/>
      <c r="I23" s="378"/>
      <c r="J23" s="378"/>
      <c r="K23" s="378"/>
      <c r="L23" s="436">
        <f>IF(W4&lt;4,"VUOTO",IF(W4=4,K13-50,IF(W4=5,M27-T53)))</f>
        <v>2086</v>
      </c>
      <c r="M23" s="378"/>
      <c r="N23" s="425"/>
      <c r="O23" s="377"/>
      <c r="P23" s="378"/>
      <c r="Q23" s="378"/>
      <c r="R23" s="378"/>
      <c r="S23" s="378"/>
      <c r="T23" s="378"/>
      <c r="U23" s="425"/>
      <c r="V23" s="377"/>
      <c r="W23" s="378"/>
      <c r="X23" s="378"/>
      <c r="Y23" s="378"/>
      <c r="Z23" s="378"/>
      <c r="AA23" s="378"/>
      <c r="AB23" s="425"/>
    </row>
    <row r="24" spans="1:28" ht="18.95" customHeight="1">
      <c r="A24" s="377"/>
      <c r="B24" s="378"/>
      <c r="C24" s="378"/>
      <c r="D24" s="378"/>
      <c r="E24" s="378"/>
      <c r="F24" s="425"/>
      <c r="G24" s="378"/>
      <c r="H24" s="378"/>
      <c r="I24" s="378"/>
      <c r="J24" s="378"/>
      <c r="K24" s="378"/>
      <c r="L24" s="378"/>
      <c r="N24" s="441"/>
      <c r="O24" s="377"/>
      <c r="P24" s="378"/>
      <c r="Q24" s="378"/>
      <c r="R24" s="378"/>
      <c r="S24" s="378"/>
      <c r="T24" s="378"/>
      <c r="U24" s="425"/>
      <c r="V24" s="377"/>
      <c r="W24" s="378"/>
      <c r="X24" s="378"/>
      <c r="Y24" s="378"/>
      <c r="Z24" s="378"/>
      <c r="AA24" s="378"/>
      <c r="AB24" s="425"/>
    </row>
    <row r="25" spans="1:28" ht="18.95" customHeight="1">
      <c r="A25" s="377"/>
      <c r="B25" s="442"/>
      <c r="C25" s="443"/>
      <c r="D25" s="444"/>
      <c r="E25" s="378"/>
      <c r="F25" s="425"/>
      <c r="G25" s="378"/>
      <c r="H25" s="378"/>
      <c r="I25" s="378"/>
      <c r="J25" s="378"/>
      <c r="K25" s="378"/>
      <c r="L25" s="378"/>
      <c r="M25" s="378"/>
      <c r="N25" s="425"/>
      <c r="O25" s="377"/>
      <c r="P25" s="378"/>
      <c r="Q25" s="378"/>
      <c r="R25" s="378"/>
      <c r="S25" s="378"/>
      <c r="T25" s="378"/>
      <c r="U25" s="425"/>
      <c r="V25" s="377"/>
      <c r="W25" s="378" t="s">
        <v>231</v>
      </c>
      <c r="X25" s="378"/>
      <c r="Y25" s="432"/>
      <c r="Z25" s="378"/>
      <c r="AA25" s="378"/>
      <c r="AB25" s="425"/>
    </row>
    <row r="26" spans="1:28" ht="18.95" customHeight="1">
      <c r="A26" s="377"/>
      <c r="B26" s="378"/>
      <c r="C26" s="378"/>
      <c r="D26" s="378"/>
      <c r="E26" s="378"/>
      <c r="F26" s="425"/>
      <c r="G26" s="378"/>
      <c r="H26" s="378" t="s">
        <v>37</v>
      </c>
      <c r="I26" s="378"/>
      <c r="J26" s="378"/>
      <c r="K26" s="378"/>
      <c r="L26" s="445"/>
      <c r="M26" s="378"/>
      <c r="N26" s="425"/>
      <c r="O26" s="377"/>
      <c r="P26" s="378"/>
      <c r="Q26" s="378"/>
      <c r="R26" s="378"/>
      <c r="S26" s="378"/>
      <c r="T26" s="378"/>
      <c r="U26" s="425"/>
      <c r="V26" s="377"/>
      <c r="W26" s="378"/>
      <c r="X26" s="378"/>
      <c r="Y26" s="378"/>
      <c r="Z26" s="378"/>
      <c r="AA26" s="378"/>
      <c r="AB26" s="425"/>
    </row>
    <row r="27" spans="1:28" ht="18.95" customHeight="1">
      <c r="A27" s="377"/>
      <c r="B27" s="378"/>
      <c r="C27" s="378"/>
      <c r="D27" s="378"/>
      <c r="E27" s="446" t="s">
        <v>232</v>
      </c>
      <c r="F27" s="425"/>
      <c r="G27" s="378"/>
      <c r="H27" s="378"/>
      <c r="I27" s="378"/>
      <c r="J27" s="378"/>
      <c r="K27" s="378"/>
      <c r="L27" s="378"/>
      <c r="M27" s="447" t="str">
        <f>IF(W4=5,K13-50,"VUOTO")</f>
        <v>VUOTO</v>
      </c>
      <c r="N27" s="425"/>
      <c r="O27" s="377"/>
      <c r="P27" s="378"/>
      <c r="Q27" s="378"/>
      <c r="R27" s="378"/>
      <c r="S27" s="378"/>
      <c r="T27" s="378"/>
      <c r="U27" s="425"/>
      <c r="V27" s="377"/>
      <c r="X27" s="438" t="s">
        <v>467</v>
      </c>
      <c r="Y27" s="429">
        <f>ROUNDUP((Q4-86)/22,0)+2</f>
        <v>62</v>
      </c>
      <c r="Z27" s="378" t="s">
        <v>48</v>
      </c>
      <c r="AA27" s="378"/>
      <c r="AB27" s="425"/>
    </row>
    <row r="28" spans="1:28" ht="18.95" customHeight="1">
      <c r="A28" s="377"/>
      <c r="B28" s="378"/>
      <c r="C28" s="378"/>
      <c r="D28" s="378"/>
      <c r="E28" s="446"/>
      <c r="F28" s="425"/>
      <c r="G28" s="378"/>
      <c r="H28" s="378"/>
      <c r="I28" s="378"/>
      <c r="J28" s="378"/>
      <c r="K28" s="378"/>
      <c r="L28" s="378"/>
      <c r="M28" s="378"/>
      <c r="N28" s="425"/>
      <c r="O28" s="377"/>
      <c r="P28" s="378"/>
      <c r="Q28" s="378"/>
      <c r="R28" s="378"/>
      <c r="S28" s="378"/>
      <c r="T28" s="378"/>
      <c r="U28" s="425"/>
      <c r="V28" s="377"/>
      <c r="X28" s="438" t="s">
        <v>468</v>
      </c>
      <c r="Y28" s="429">
        <f>+Y27</f>
        <v>62</v>
      </c>
      <c r="Z28" s="378" t="s">
        <v>48</v>
      </c>
      <c r="AA28" s="378"/>
      <c r="AB28" s="425"/>
    </row>
    <row r="29" spans="1:28" ht="18.95" customHeight="1">
      <c r="A29" s="377"/>
      <c r="B29" s="378"/>
      <c r="C29" s="378"/>
      <c r="D29" s="378"/>
      <c r="E29" s="378"/>
      <c r="F29" s="425"/>
      <c r="G29" s="378"/>
      <c r="H29" s="1929" t="s">
        <v>235</v>
      </c>
      <c r="I29" s="1929"/>
      <c r="J29" s="1929"/>
      <c r="K29" s="1929"/>
      <c r="L29" s="1929"/>
      <c r="M29" s="1929"/>
      <c r="N29" s="425"/>
      <c r="O29" s="377"/>
      <c r="P29" s="378"/>
      <c r="Q29" s="378"/>
      <c r="R29" s="378"/>
      <c r="S29" s="378"/>
      <c r="T29" s="378"/>
      <c r="U29" s="425"/>
      <c r="V29" s="377"/>
      <c r="W29" s="438" t="s">
        <v>236</v>
      </c>
      <c r="X29" s="378"/>
      <c r="Y29" s="448" t="s">
        <v>237</v>
      </c>
      <c r="Z29" s="378" t="s">
        <v>238</v>
      </c>
      <c r="AA29" s="378"/>
      <c r="AB29" s="425"/>
    </row>
    <row r="30" spans="1:28" ht="18.95" customHeight="1">
      <c r="A30" s="377"/>
      <c r="B30" s="449"/>
      <c r="C30" s="450"/>
      <c r="D30" s="451"/>
      <c r="E30" s="378"/>
      <c r="F30" s="425"/>
      <c r="G30" s="378"/>
      <c r="H30" s="1929"/>
      <c r="I30" s="1929"/>
      <c r="J30" s="1929"/>
      <c r="K30" s="1929"/>
      <c r="L30" s="1929"/>
      <c r="M30" s="1929"/>
      <c r="N30" s="425"/>
      <c r="O30" s="377"/>
      <c r="P30" s="378"/>
      <c r="Q30" s="378"/>
      <c r="R30" s="378"/>
      <c r="S30" s="378"/>
      <c r="T30" s="378"/>
      <c r="U30" s="425"/>
      <c r="V30" s="377"/>
      <c r="W30" s="438" t="s">
        <v>239</v>
      </c>
      <c r="X30" s="378"/>
      <c r="Y30" s="434" t="s">
        <v>240</v>
      </c>
      <c r="Z30" s="378" t="s">
        <v>238</v>
      </c>
      <c r="AA30" s="378"/>
      <c r="AB30" s="425"/>
    </row>
    <row r="31" spans="1:28" ht="18.95" customHeight="1">
      <c r="A31" s="377"/>
      <c r="B31" s="452"/>
      <c r="C31" s="453"/>
      <c r="D31" s="454"/>
      <c r="E31" s="378"/>
      <c r="F31" s="425"/>
      <c r="G31" s="378"/>
      <c r="H31" s="1930" t="str">
        <f>+IF(DATI!$L$15=1,"","RETE GRIGIA")</f>
        <v/>
      </c>
      <c r="I31" s="1930"/>
      <c r="J31" s="1930"/>
      <c r="K31" s="1930"/>
      <c r="L31" s="1930"/>
      <c r="M31" s="1930"/>
      <c r="N31" s="425"/>
      <c r="O31" s="377"/>
      <c r="P31" s="378"/>
      <c r="Q31" s="378"/>
      <c r="R31" s="378"/>
      <c r="S31" s="378"/>
      <c r="T31" s="378"/>
      <c r="U31" s="425"/>
      <c r="V31" s="377"/>
      <c r="W31" s="378"/>
      <c r="X31" s="378"/>
      <c r="Y31" s="378"/>
      <c r="Z31" s="378"/>
      <c r="AA31" s="378"/>
      <c r="AB31" s="425"/>
    </row>
    <row r="32" spans="1:28" s="416" customFormat="1" ht="24" customHeight="1" thickBot="1">
      <c r="A32" s="409"/>
      <c r="B32" s="458"/>
      <c r="C32" s="459"/>
      <c r="D32" s="460"/>
      <c r="E32" s="410"/>
      <c r="F32" s="867"/>
      <c r="G32" s="455"/>
      <c r="H32" s="1931"/>
      <c r="I32" s="1931"/>
      <c r="J32" s="1931"/>
      <c r="K32" s="1931"/>
      <c r="L32" s="1931"/>
      <c r="M32" s="1931"/>
      <c r="N32" s="457"/>
      <c r="O32" s="455"/>
      <c r="P32" s="456"/>
      <c r="Q32" s="456"/>
      <c r="R32" s="456"/>
      <c r="S32" s="456"/>
      <c r="T32" s="456"/>
      <c r="U32" s="457"/>
      <c r="V32" s="455"/>
      <c r="W32" s="456"/>
      <c r="X32" s="456"/>
      <c r="Y32" s="456"/>
      <c r="Z32" s="456"/>
      <c r="AA32" s="456"/>
      <c r="AB32" s="457"/>
    </row>
    <row r="33" spans="1:28" ht="18.95" customHeight="1">
      <c r="A33" s="377"/>
      <c r="B33" s="452"/>
      <c r="C33" s="453"/>
      <c r="D33" s="454"/>
      <c r="E33" s="378"/>
      <c r="F33" s="425"/>
      <c r="G33" s="461"/>
      <c r="H33" s="865"/>
      <c r="I33" s="865"/>
      <c r="J33" s="865"/>
      <c r="K33" s="869" t="s">
        <v>241</v>
      </c>
      <c r="L33" s="865"/>
      <c r="M33" s="865"/>
      <c r="N33" s="870"/>
      <c r="O33" s="461"/>
      <c r="P33" s="865"/>
      <c r="Q33" s="871"/>
      <c r="R33" s="462" t="s">
        <v>242</v>
      </c>
      <c r="S33" s="865"/>
      <c r="T33" s="865"/>
      <c r="U33" s="870"/>
      <c r="V33" s="461"/>
      <c r="W33" s="865"/>
      <c r="X33" s="865"/>
      <c r="Y33" s="869" t="s">
        <v>37</v>
      </c>
      <c r="Z33" s="865"/>
      <c r="AA33" s="865"/>
      <c r="AB33" s="870"/>
    </row>
    <row r="34" spans="1:28" ht="18.95" customHeight="1">
      <c r="A34" s="377"/>
      <c r="B34" s="452"/>
      <c r="C34" s="453"/>
      <c r="D34" s="454"/>
      <c r="E34" s="378"/>
      <c r="F34" s="425"/>
      <c r="G34" s="378"/>
      <c r="H34" s="378"/>
      <c r="I34" s="378"/>
      <c r="J34" s="378"/>
      <c r="K34" s="378"/>
      <c r="L34" s="378"/>
      <c r="M34" s="378"/>
      <c r="N34" s="425"/>
      <c r="O34" s="377"/>
      <c r="P34" s="378"/>
      <c r="Q34" s="378"/>
      <c r="R34" s="378"/>
      <c r="S34" s="378"/>
      <c r="T34" s="378"/>
      <c r="U34" s="425"/>
      <c r="V34" s="377"/>
      <c r="W34" s="378"/>
      <c r="X34" s="378"/>
      <c r="Y34" s="378"/>
      <c r="Z34" s="378"/>
      <c r="AA34" s="378"/>
      <c r="AB34" s="425"/>
    </row>
    <row r="35" spans="1:28" ht="18.95" customHeight="1">
      <c r="A35" s="377"/>
      <c r="B35" s="452"/>
      <c r="C35" s="453"/>
      <c r="D35" s="454"/>
      <c r="E35" s="378"/>
      <c r="F35" s="868" t="s">
        <v>243</v>
      </c>
      <c r="G35" s="378"/>
      <c r="H35" s="378"/>
      <c r="I35" s="378"/>
      <c r="J35" s="378"/>
      <c r="K35" s="378"/>
      <c r="L35" s="378"/>
      <c r="M35" s="378"/>
      <c r="N35" s="425"/>
      <c r="O35" s="377"/>
      <c r="P35" s="378"/>
      <c r="Q35" s="378"/>
      <c r="R35" s="378"/>
      <c r="S35" s="378"/>
      <c r="T35" s="378"/>
      <c r="U35" s="425"/>
      <c r="V35" s="377"/>
      <c r="W35" s="658"/>
      <c r="X35" s="659"/>
      <c r="Y35" s="660"/>
      <c r="Z35" s="661"/>
      <c r="AA35" s="662"/>
      <c r="AB35" s="464"/>
    </row>
    <row r="36" spans="1:28" ht="18.95" customHeight="1">
      <c r="A36" s="377"/>
      <c r="B36" s="452"/>
      <c r="C36" s="453"/>
      <c r="D36" s="454"/>
      <c r="E36" s="378"/>
      <c r="F36" s="425"/>
      <c r="G36" s="378"/>
      <c r="H36" s="378"/>
      <c r="I36" s="378"/>
      <c r="J36" s="378"/>
      <c r="K36" s="437">
        <f>ROUNDUP(Q4+250,0)</f>
        <v>1650</v>
      </c>
      <c r="L36" s="428" t="s">
        <v>245</v>
      </c>
      <c r="M36" s="378">
        <v>2</v>
      </c>
      <c r="N36" s="464"/>
      <c r="O36" s="377"/>
      <c r="P36" s="378"/>
      <c r="Q36" s="378"/>
      <c r="R36" s="378"/>
      <c r="S36" s="378"/>
      <c r="T36" s="378"/>
      <c r="U36" s="425"/>
      <c r="V36" s="377"/>
      <c r="W36" s="663"/>
      <c r="X36" s="465"/>
      <c r="Y36" s="463"/>
      <c r="Z36" s="886"/>
      <c r="AA36" s="664"/>
      <c r="AB36" s="464"/>
    </row>
    <row r="37" spans="1:28" ht="18.95" customHeight="1">
      <c r="A37" s="377"/>
      <c r="B37" s="452"/>
      <c r="C37" s="453"/>
      <c r="D37" s="454"/>
      <c r="E37" s="378"/>
      <c r="F37" s="425"/>
      <c r="G37" s="378"/>
      <c r="H37" s="378"/>
      <c r="I37" s="378"/>
      <c r="J37" s="378"/>
      <c r="K37" s="427"/>
      <c r="L37" s="427"/>
      <c r="M37" s="378"/>
      <c r="N37" s="464"/>
      <c r="O37" s="377"/>
      <c r="P37" s="378"/>
      <c r="Q37" s="428" t="s">
        <v>247</v>
      </c>
      <c r="R37" s="439">
        <f>T4-107</f>
        <v>2093</v>
      </c>
      <c r="S37" s="378"/>
      <c r="T37" s="378"/>
      <c r="U37" s="425"/>
      <c r="V37" s="377"/>
      <c r="W37" s="665"/>
      <c r="X37" s="666"/>
      <c r="Y37" s="667"/>
      <c r="Z37" s="887"/>
      <c r="AA37" s="668"/>
      <c r="AB37" s="464"/>
    </row>
    <row r="38" spans="1:28" ht="18.95" customHeight="1">
      <c r="A38" s="377"/>
      <c r="B38" s="452"/>
      <c r="C38" s="453"/>
      <c r="D38" s="454"/>
      <c r="E38" s="378"/>
      <c r="F38" s="425"/>
      <c r="G38" s="378"/>
      <c r="H38" s="378"/>
      <c r="I38" s="378"/>
      <c r="J38" s="378"/>
      <c r="K38" s="466">
        <f>IF(W4=0,"EMPTY",ROUNDUP(Q4+T53+250,-2))</f>
        <v>2100</v>
      </c>
      <c r="L38" s="428" t="str">
        <f>IF(W4=1,"X 1",IF(W4&gt;1,"X 2",""))</f>
        <v>X 2</v>
      </c>
      <c r="M38" s="378">
        <v>2</v>
      </c>
      <c r="N38" s="464"/>
      <c r="O38" s="377"/>
      <c r="P38" s="378"/>
      <c r="Q38" s="378"/>
      <c r="R38" s="378"/>
      <c r="S38" s="378"/>
      <c r="T38" s="378"/>
      <c r="U38" s="425"/>
      <c r="V38" s="377"/>
      <c r="W38" s="378"/>
      <c r="X38" s="378"/>
      <c r="Y38" s="378"/>
      <c r="Z38" s="378"/>
      <c r="AA38" s="432"/>
      <c r="AB38" s="425"/>
    </row>
    <row r="39" spans="1:28" ht="18.95" customHeight="1">
      <c r="A39" s="377"/>
      <c r="B39" s="452"/>
      <c r="C39" s="453"/>
      <c r="D39" s="454"/>
      <c r="E39" s="378"/>
      <c r="F39" s="425"/>
      <c r="G39" s="378"/>
      <c r="H39" s="378"/>
      <c r="I39" s="378"/>
      <c r="J39" s="378"/>
      <c r="K39" s="378"/>
      <c r="L39" s="427"/>
      <c r="M39" s="378"/>
      <c r="N39" s="464"/>
      <c r="O39" s="377"/>
      <c r="P39" s="378"/>
      <c r="Q39" s="378"/>
      <c r="R39" s="378"/>
      <c r="S39" s="378"/>
      <c r="T39" s="378"/>
      <c r="U39" s="425"/>
      <c r="V39" s="377"/>
      <c r="W39" s="378"/>
      <c r="X39" s="378"/>
      <c r="Y39" s="378"/>
      <c r="Z39" s="378"/>
      <c r="AA39" s="432"/>
      <c r="AB39" s="425"/>
    </row>
    <row r="40" spans="1:28" ht="18.95" customHeight="1">
      <c r="A40" s="377"/>
      <c r="B40" s="452"/>
      <c r="C40" s="453"/>
      <c r="D40" s="454"/>
      <c r="E40" s="378"/>
      <c r="F40" s="425"/>
      <c r="G40" s="378"/>
      <c r="H40" s="378"/>
      <c r="I40" s="378"/>
      <c r="J40" s="378"/>
      <c r="K40" s="466">
        <f>IF(OR(W4=2,W4=1,W4=0),"EMPTY",ROUNDUP(Q4+T53*2+250,-2))</f>
        <v>2500</v>
      </c>
      <c r="L40" s="428" t="str">
        <f>IF(W4=3,"X 1",IF(W4&gt;3,"X 2",""))</f>
        <v>X 2</v>
      </c>
      <c r="M40" s="378">
        <v>2</v>
      </c>
      <c r="N40" s="464"/>
      <c r="O40" s="377"/>
      <c r="P40" s="442"/>
      <c r="Q40" s="467"/>
      <c r="R40" s="467"/>
      <c r="S40" s="467"/>
      <c r="T40" s="468"/>
      <c r="U40" s="425"/>
      <c r="V40" s="377"/>
      <c r="W40" s="378"/>
      <c r="X40" s="378"/>
      <c r="Y40" s="378"/>
      <c r="Z40" s="378"/>
      <c r="AA40" s="432"/>
      <c r="AB40" s="425"/>
    </row>
    <row r="41" spans="1:28" ht="18.95" customHeight="1">
      <c r="A41" s="377"/>
      <c r="B41" s="469"/>
      <c r="C41" s="470"/>
      <c r="D41" s="471"/>
      <c r="E41" s="378"/>
      <c r="F41" s="425"/>
      <c r="G41" s="378"/>
      <c r="H41" s="378"/>
      <c r="I41" s="378"/>
      <c r="J41" s="378"/>
      <c r="K41" s="378"/>
      <c r="L41" s="427"/>
      <c r="M41" s="427"/>
      <c r="N41" s="425"/>
      <c r="O41" s="377"/>
      <c r="P41" s="378"/>
      <c r="Q41" s="378"/>
      <c r="R41" s="378"/>
      <c r="S41" s="378"/>
      <c r="T41" s="378"/>
      <c r="U41" s="425"/>
      <c r="V41" s="377"/>
      <c r="W41" s="378"/>
      <c r="X41" s="378"/>
      <c r="Y41" s="378"/>
      <c r="Z41" s="378"/>
      <c r="AA41" s="432"/>
      <c r="AB41" s="425"/>
    </row>
    <row r="42" spans="1:28" ht="18.95" customHeight="1">
      <c r="A42" s="377"/>
      <c r="B42" s="378"/>
      <c r="C42" s="378"/>
      <c r="D42" s="378"/>
      <c r="E42" s="378"/>
      <c r="F42" s="425"/>
      <c r="G42" s="378"/>
      <c r="H42" s="378"/>
      <c r="I42" s="378"/>
      <c r="J42" s="378"/>
      <c r="K42" s="466" t="str">
        <f>IF(W4=5,ROUNDUP(Q4+T53*3+250,-2),"")</f>
        <v/>
      </c>
      <c r="L42" s="428" t="str">
        <f>IF(W4=5,"X 1","")</f>
        <v/>
      </c>
      <c r="M42" s="378">
        <v>1</v>
      </c>
      <c r="N42" s="425"/>
      <c r="O42" s="377"/>
      <c r="P42" s="378"/>
      <c r="Q42" s="378"/>
      <c r="R42" s="378"/>
      <c r="S42" s="378"/>
      <c r="T42" s="378"/>
      <c r="U42" s="425"/>
      <c r="V42" s="377"/>
      <c r="W42" s="378"/>
      <c r="X42" s="378"/>
      <c r="Y42" s="378"/>
      <c r="Z42" s="378"/>
      <c r="AA42" s="432"/>
      <c r="AB42" s="425"/>
    </row>
    <row r="43" spans="1:28" ht="18.95" customHeight="1">
      <c r="A43" s="377"/>
      <c r="B43" s="378"/>
      <c r="C43" s="378"/>
      <c r="D43" s="378"/>
      <c r="E43" s="378"/>
      <c r="F43" s="868"/>
      <c r="G43" s="378"/>
      <c r="H43" s="378"/>
      <c r="I43" s="378"/>
      <c r="J43" s="378"/>
      <c r="K43" s="378"/>
      <c r="L43" s="378"/>
      <c r="M43" s="378"/>
      <c r="N43" s="425"/>
      <c r="O43" s="472"/>
      <c r="P43" s="378"/>
      <c r="U43" s="425"/>
      <c r="V43" s="377"/>
      <c r="W43" s="378"/>
      <c r="X43" s="378"/>
      <c r="Y43" s="378"/>
      <c r="Z43" s="378"/>
      <c r="AA43" s="432"/>
      <c r="AB43" s="425"/>
    </row>
    <row r="44" spans="1:28" ht="18.95" customHeight="1">
      <c r="A44" s="377"/>
      <c r="B44" s="378"/>
      <c r="C44" s="378"/>
      <c r="D44" s="378"/>
      <c r="E44" s="378"/>
      <c r="F44" s="425"/>
      <c r="G44" s="378"/>
      <c r="H44" s="378"/>
      <c r="I44" s="378"/>
      <c r="J44" s="378"/>
      <c r="K44" s="378"/>
      <c r="L44" s="378"/>
      <c r="M44" s="378"/>
      <c r="N44" s="425"/>
      <c r="O44" s="377"/>
      <c r="P44" s="1941" t="str">
        <f>+"*"&amp;R37&amp;"*"</f>
        <v>*2093*</v>
      </c>
      <c r="Q44" s="1941"/>
      <c r="R44" s="1941"/>
      <c r="S44" s="1941"/>
      <c r="T44" s="1941"/>
      <c r="U44" s="425"/>
      <c r="V44" s="377"/>
      <c r="W44" s="378"/>
      <c r="X44" s="378"/>
      <c r="Y44" s="378"/>
      <c r="Z44" s="378"/>
      <c r="AA44" s="432"/>
      <c r="AB44" s="473"/>
    </row>
    <row r="45" spans="1:28" ht="18.95" customHeight="1">
      <c r="A45" s="377"/>
      <c r="B45" s="378"/>
      <c r="C45" s="378"/>
      <c r="D45" s="378"/>
      <c r="E45" s="378"/>
      <c r="F45" s="425"/>
      <c r="G45" s="378"/>
      <c r="H45" s="378"/>
      <c r="I45" s="378"/>
      <c r="J45" s="378"/>
      <c r="K45" s="378"/>
      <c r="L45" s="378"/>
      <c r="M45" s="378"/>
      <c r="N45" s="425"/>
      <c r="O45" s="377"/>
      <c r="P45" s="1941"/>
      <c r="Q45" s="1941"/>
      <c r="R45" s="1941"/>
      <c r="S45" s="1941"/>
      <c r="T45" s="1941"/>
      <c r="U45" s="425"/>
      <c r="V45" s="377"/>
      <c r="W45" s="378" t="s">
        <v>249</v>
      </c>
      <c r="X45" s="378"/>
      <c r="Y45" s="378"/>
      <c r="Z45" s="378"/>
      <c r="AA45" s="432"/>
      <c r="AB45" s="425"/>
    </row>
    <row r="46" spans="1:28" ht="18.95" customHeight="1">
      <c r="A46" s="377"/>
      <c r="B46" s="378"/>
      <c r="C46" s="378"/>
      <c r="D46" s="378" t="s">
        <v>250</v>
      </c>
      <c r="E46" s="378"/>
      <c r="F46" s="425"/>
      <c r="G46" s="378"/>
      <c r="H46" s="378"/>
      <c r="I46" s="378"/>
      <c r="J46" s="378"/>
      <c r="K46" s="378"/>
      <c r="L46" s="378"/>
      <c r="M46" s="378"/>
      <c r="N46" s="425"/>
      <c r="O46" s="377"/>
      <c r="P46" s="1941"/>
      <c r="Q46" s="1941"/>
      <c r="R46" s="1941"/>
      <c r="S46" s="1941"/>
      <c r="T46" s="1941"/>
      <c r="U46" s="425"/>
      <c r="V46" s="377"/>
      <c r="W46" s="378"/>
      <c r="X46" s="378" t="s">
        <v>251</v>
      </c>
      <c r="Y46" s="378"/>
      <c r="Z46" s="378"/>
      <c r="AA46" s="432"/>
      <c r="AB46" s="425"/>
    </row>
    <row r="47" spans="1:28" ht="18.95" customHeight="1">
      <c r="A47" s="377"/>
      <c r="B47" s="378"/>
      <c r="C47" s="378"/>
      <c r="D47" s="378"/>
      <c r="E47" s="378"/>
      <c r="F47" s="425"/>
      <c r="G47" s="378"/>
      <c r="H47" s="378"/>
      <c r="I47" s="378"/>
      <c r="J47" s="378"/>
      <c r="K47" s="378"/>
      <c r="L47" s="378"/>
      <c r="M47" s="378"/>
      <c r="N47" s="425"/>
      <c r="O47" s="377"/>
      <c r="P47" s="1941"/>
      <c r="Q47" s="1941"/>
      <c r="R47" s="1941"/>
      <c r="S47" s="1941"/>
      <c r="T47" s="1941"/>
      <c r="U47" s="425"/>
      <c r="V47" s="377"/>
      <c r="W47" s="378"/>
      <c r="X47" s="474" t="s">
        <v>227</v>
      </c>
      <c r="Y47" s="378"/>
      <c r="Z47" s="432"/>
      <c r="AA47" s="432"/>
      <c r="AB47" s="425"/>
    </row>
    <row r="48" spans="1:28" ht="18.95" customHeight="1" thickBot="1">
      <c r="A48" s="455"/>
      <c r="B48" s="456"/>
      <c r="C48" s="456"/>
      <c r="D48" s="456"/>
      <c r="E48" s="456"/>
      <c r="F48" s="457"/>
      <c r="G48" s="456"/>
      <c r="H48" s="456"/>
      <c r="I48" s="456"/>
      <c r="J48" s="456"/>
      <c r="K48" s="456"/>
      <c r="L48" s="456"/>
      <c r="M48" s="456"/>
      <c r="N48" s="457"/>
      <c r="O48" s="377"/>
      <c r="U48" s="425"/>
      <c r="V48" s="377"/>
      <c r="W48" s="438"/>
      <c r="X48" s="378" t="s">
        <v>253</v>
      </c>
      <c r="Y48" s="378"/>
      <c r="Z48" s="476"/>
      <c r="AA48" s="477"/>
      <c r="AB48" s="425"/>
    </row>
    <row r="49" spans="1:28" ht="18.95" customHeight="1">
      <c r="A49" s="371"/>
      <c r="B49" s="379" t="s">
        <v>109</v>
      </c>
      <c r="C49" s="478"/>
      <c r="D49" s="372"/>
      <c r="E49" s="385" t="s">
        <v>9</v>
      </c>
      <c r="F49" s="372" t="s">
        <v>37</v>
      </c>
      <c r="G49" s="387"/>
      <c r="H49" s="371"/>
      <c r="I49" s="372"/>
      <c r="J49" s="372"/>
      <c r="K49" s="372"/>
      <c r="L49" s="372"/>
      <c r="M49" s="372"/>
      <c r="N49" s="387"/>
      <c r="O49" s="377"/>
      <c r="P49" s="378"/>
      <c r="Q49" s="378"/>
      <c r="R49" s="378"/>
      <c r="S49" s="378"/>
      <c r="T49" s="378"/>
      <c r="U49" s="425"/>
      <c r="V49" s="377"/>
      <c r="W49" s="438"/>
      <c r="X49" s="378"/>
      <c r="Y49" s="378"/>
      <c r="Z49" s="476"/>
      <c r="AA49" s="477"/>
      <c r="AB49" s="425"/>
    </row>
    <row r="50" spans="1:28" ht="18.95" customHeight="1">
      <c r="A50" s="479" t="s">
        <v>112</v>
      </c>
      <c r="B50" s="480"/>
      <c r="C50" s="481" t="s">
        <v>254</v>
      </c>
      <c r="D50" s="1932" t="str">
        <f>+DATI!M15</f>
        <v>RETE NERA</v>
      </c>
      <c r="E50" s="1933"/>
      <c r="F50" s="1933"/>
      <c r="G50" s="1934"/>
      <c r="H50" s="377"/>
      <c r="I50" s="378" t="s">
        <v>255</v>
      </c>
      <c r="J50" s="378"/>
      <c r="K50" s="378"/>
      <c r="L50" s="378"/>
      <c r="M50" s="378"/>
      <c r="N50" s="425"/>
      <c r="O50" s="377"/>
      <c r="P50" s="378"/>
      <c r="Q50" s="378"/>
      <c r="R50" s="378"/>
      <c r="S50" s="378"/>
      <c r="T50" s="378"/>
      <c r="U50" s="425"/>
      <c r="V50" s="377"/>
      <c r="W50" s="427"/>
      <c r="X50" s="378"/>
      <c r="Y50" s="378"/>
      <c r="Z50" s="378"/>
      <c r="AA50" s="378"/>
      <c r="AB50" s="425"/>
    </row>
    <row r="51" spans="1:28" ht="18.95" customHeight="1">
      <c r="A51" s="417"/>
      <c r="B51" s="418"/>
      <c r="C51" s="484"/>
      <c r="D51" s="1935"/>
      <c r="E51" s="1936"/>
      <c r="F51" s="1936"/>
      <c r="G51" s="1937"/>
      <c r="H51" s="377"/>
      <c r="I51" s="378"/>
      <c r="J51" s="378"/>
      <c r="K51" s="378"/>
      <c r="L51" s="378"/>
      <c r="M51" s="378"/>
      <c r="N51" s="425"/>
      <c r="O51" s="377"/>
      <c r="P51" s="378"/>
      <c r="Q51" s="378"/>
      <c r="R51" s="438" t="s">
        <v>248</v>
      </c>
      <c r="S51" s="378">
        <f>IF(T4&gt;1964,4,IF(AND(T4&lt;1964,T4&gt;1230),3,2))</f>
        <v>4</v>
      </c>
      <c r="T51" s="378" t="s">
        <v>48</v>
      </c>
      <c r="U51" s="425"/>
      <c r="V51" s="485" t="s">
        <v>256</v>
      </c>
      <c r="W51" s="449"/>
      <c r="X51" s="482"/>
      <c r="Y51" s="482"/>
      <c r="Z51" s="482"/>
      <c r="AA51" s="482"/>
      <c r="AB51" s="483"/>
    </row>
    <row r="52" spans="1:28" ht="18.95" customHeight="1">
      <c r="A52" s="377"/>
      <c r="B52" s="378"/>
      <c r="C52" s="486"/>
      <c r="D52" s="1938"/>
      <c r="E52" s="1939"/>
      <c r="F52" s="1939"/>
      <c r="G52" s="1940"/>
      <c r="H52" s="377"/>
      <c r="I52" s="487" t="s">
        <v>257</v>
      </c>
      <c r="J52" s="378"/>
      <c r="K52" s="488">
        <f>ROUNDUP((T4-42)*2+200,-2)</f>
        <v>4600</v>
      </c>
      <c r="L52" s="378" t="s">
        <v>473</v>
      </c>
      <c r="M52" s="378"/>
      <c r="N52" s="425"/>
      <c r="O52" s="377"/>
      <c r="P52" s="378"/>
      <c r="Q52" s="378"/>
      <c r="R52" s="432"/>
      <c r="S52" s="378"/>
      <c r="T52" s="378"/>
      <c r="U52" s="425"/>
      <c r="V52" s="433" t="s">
        <v>258</v>
      </c>
      <c r="W52" s="452"/>
      <c r="X52" s="378"/>
      <c r="Y52" s="378"/>
      <c r="Z52" s="378"/>
      <c r="AA52" s="378"/>
      <c r="AB52" s="425"/>
    </row>
    <row r="53" spans="1:28" ht="18.95" customHeight="1">
      <c r="A53" s="377"/>
      <c r="B53" s="378"/>
      <c r="C53" s="486"/>
      <c r="D53" s="467"/>
      <c r="E53" s="467" t="s">
        <v>259</v>
      </c>
      <c r="F53" s="467" t="s">
        <v>260</v>
      </c>
      <c r="G53" s="489"/>
      <c r="H53" s="490"/>
      <c r="I53" s="378"/>
      <c r="J53" s="488"/>
      <c r="K53" s="378"/>
      <c r="L53" s="378"/>
      <c r="M53" s="378"/>
      <c r="N53" s="425"/>
      <c r="O53" s="377"/>
      <c r="Q53" s="378"/>
      <c r="R53" s="378"/>
      <c r="S53" s="438" t="s">
        <v>252</v>
      </c>
      <c r="T53" s="475">
        <f>(K13-100)/(W4+1)</f>
        <v>407.2</v>
      </c>
      <c r="U53" s="425"/>
      <c r="V53" s="491" t="s">
        <v>261</v>
      </c>
      <c r="W53" s="452"/>
      <c r="X53" s="378" t="s">
        <v>262</v>
      </c>
      <c r="Y53" s="378"/>
      <c r="Z53" s="378"/>
      <c r="AA53" s="378"/>
      <c r="AB53" s="425"/>
    </row>
    <row r="54" spans="1:28" ht="18.95" customHeight="1">
      <c r="A54" s="377"/>
      <c r="B54" s="378"/>
      <c r="C54" s="486"/>
      <c r="D54" s="378"/>
      <c r="E54" s="378"/>
      <c r="F54" s="378"/>
      <c r="G54" s="483"/>
      <c r="H54" s="377"/>
      <c r="I54" s="378"/>
      <c r="J54" s="378"/>
      <c r="K54" s="378"/>
      <c r="L54" s="378"/>
      <c r="M54" s="378"/>
      <c r="N54" s="425"/>
      <c r="O54" s="377"/>
      <c r="P54" s="378"/>
      <c r="Q54" s="378"/>
      <c r="R54" s="378"/>
      <c r="S54" s="378"/>
      <c r="T54" s="378"/>
      <c r="U54" s="425"/>
      <c r="V54" s="491" t="s">
        <v>263</v>
      </c>
      <c r="W54" s="452"/>
      <c r="X54" s="378" t="s">
        <v>264</v>
      </c>
      <c r="Y54" s="432">
        <v>115</v>
      </c>
      <c r="Z54" s="434" t="s">
        <v>265</v>
      </c>
      <c r="AA54" s="437">
        <f>T4-42+207</f>
        <v>2365</v>
      </c>
      <c r="AB54" s="425"/>
    </row>
    <row r="55" spans="1:28" ht="18.95" customHeight="1">
      <c r="A55" s="377"/>
      <c r="B55" s="378"/>
      <c r="C55" s="486"/>
      <c r="D55" s="378"/>
      <c r="E55" s="378"/>
      <c r="F55" s="378"/>
      <c r="G55" s="425"/>
      <c r="H55" s="377"/>
      <c r="I55" s="378"/>
      <c r="J55" s="378"/>
      <c r="K55" s="378"/>
      <c r="L55" s="378"/>
      <c r="M55" s="378"/>
      <c r="N55" s="425"/>
      <c r="O55" s="377"/>
      <c r="P55" s="378"/>
      <c r="Q55" s="378"/>
      <c r="R55" s="378"/>
      <c r="S55" s="378"/>
      <c r="T55" s="378"/>
      <c r="U55" s="425"/>
      <c r="V55" s="491" t="s">
        <v>266</v>
      </c>
      <c r="W55" s="452"/>
      <c r="X55" s="378" t="s">
        <v>37</v>
      </c>
      <c r="Y55" s="378"/>
      <c r="Z55" s="378"/>
      <c r="AA55" s="378"/>
      <c r="AB55" s="425"/>
    </row>
    <row r="56" spans="1:28" ht="18.95" customHeight="1">
      <c r="A56" s="377"/>
      <c r="B56" s="378"/>
      <c r="C56" s="486"/>
      <c r="D56" s="378"/>
      <c r="E56" s="378"/>
      <c r="F56" s="378"/>
      <c r="G56" s="425"/>
      <c r="H56" s="377"/>
      <c r="I56" s="378"/>
      <c r="J56" s="378"/>
      <c r="K56" s="378"/>
      <c r="L56" s="378"/>
      <c r="M56" s="378"/>
      <c r="N56" s="425"/>
      <c r="O56" s="377"/>
      <c r="P56" s="378"/>
      <c r="Q56" s="378"/>
      <c r="R56" s="378"/>
      <c r="S56" s="378"/>
      <c r="T56" s="378"/>
      <c r="U56" s="425"/>
      <c r="V56" s="491" t="s">
        <v>266</v>
      </c>
      <c r="W56" s="452"/>
      <c r="X56" s="378"/>
      <c r="Y56" s="378"/>
      <c r="Z56" s="378"/>
      <c r="AA56" s="378"/>
      <c r="AB56" s="425"/>
    </row>
    <row r="57" spans="1:28" ht="18.95" customHeight="1" thickBot="1">
      <c r="A57" s="455"/>
      <c r="B57" s="456"/>
      <c r="C57" s="492"/>
      <c r="D57" s="456"/>
      <c r="E57" s="456"/>
      <c r="F57" s="456"/>
      <c r="G57" s="457"/>
      <c r="H57" s="455"/>
      <c r="I57" s="456"/>
      <c r="J57" s="456"/>
      <c r="K57" s="456"/>
      <c r="L57" s="456"/>
      <c r="M57" s="456"/>
      <c r="N57" s="457"/>
      <c r="O57" s="455"/>
      <c r="P57" s="456"/>
      <c r="Q57" s="456"/>
      <c r="R57" s="456"/>
      <c r="S57" s="456"/>
      <c r="T57" s="456"/>
      <c r="U57" s="457"/>
      <c r="V57" s="493" t="s">
        <v>267</v>
      </c>
      <c r="W57" s="494"/>
      <c r="X57" s="456"/>
      <c r="Y57" s="456"/>
      <c r="Z57" s="456"/>
      <c r="AA57" s="456"/>
      <c r="AB57" s="457"/>
    </row>
    <row r="58" spans="1:28" ht="18.95" customHeight="1">
      <c r="K58" s="495"/>
      <c r="Z58" s="376" t="s">
        <v>268</v>
      </c>
      <c r="AA58" s="496"/>
      <c r="AB58" s="497"/>
    </row>
  </sheetData>
  <mergeCells count="9">
    <mergeCell ref="AA2:AB2"/>
    <mergeCell ref="G7:J10"/>
    <mergeCell ref="H29:M30"/>
    <mergeCell ref="H31:M32"/>
    <mergeCell ref="D50:G52"/>
    <mergeCell ref="Q13:S16"/>
    <mergeCell ref="P44:T47"/>
    <mergeCell ref="V9:AB9"/>
    <mergeCell ref="W17:Z21"/>
  </mergeCells>
  <conditionalFormatting sqref="H31">
    <cfRule type="cellIs" dxfId="16" priority="1" stopIfTrue="1" operator="equal">
      <formula>"RETE GRIGIA"</formula>
    </cfRule>
  </conditionalFormatting>
  <pageMargins left="0.74803149606299213" right="0.74803149606299213" top="0.98425196850393704" bottom="0.98425196850393704" header="0.51181102362204722" footer="0.51181102362204722"/>
  <pageSetup paperSize="9" scale="41" orientation="landscape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6">
    <tabColor rgb="FFFF0000"/>
    <pageSetUpPr fitToPage="1"/>
  </sheetPr>
  <dimension ref="A1:AB58"/>
  <sheetViews>
    <sheetView topLeftCell="A4" workbookViewId="0">
      <selection activeCell="G3" sqref="G3:P3"/>
    </sheetView>
  </sheetViews>
  <sheetFormatPr defaultRowHeight="18.75"/>
  <cols>
    <col min="1" max="1" width="9.140625" style="376"/>
    <col min="2" max="2" width="14.140625" style="376" customWidth="1"/>
    <col min="3" max="3" width="9.140625" style="376"/>
    <col min="4" max="4" width="10.42578125" style="376" bestFit="1" customWidth="1"/>
    <col min="5" max="5" width="18" style="376" customWidth="1"/>
    <col min="6" max="6" width="9.140625" style="376"/>
    <col min="7" max="7" width="10.42578125" style="376" bestFit="1" customWidth="1"/>
    <col min="8" max="8" width="11.85546875" style="376" bestFit="1" customWidth="1"/>
    <col min="9" max="9" width="9.140625" style="376"/>
    <col min="10" max="10" width="13.28515625" style="376" customWidth="1"/>
    <col min="11" max="12" width="11.5703125" style="376" customWidth="1"/>
    <col min="13" max="13" width="13.7109375" style="376" customWidth="1"/>
    <col min="14" max="14" width="11.140625" style="376" customWidth="1"/>
    <col min="15" max="16" width="9.140625" style="376"/>
    <col min="17" max="17" width="10.85546875" style="376" bestFit="1" customWidth="1"/>
    <col min="18" max="18" width="13.85546875" style="376" customWidth="1"/>
    <col min="19" max="19" width="12.140625" style="376" customWidth="1"/>
    <col min="20" max="20" width="11.28515625" style="376" bestFit="1" customWidth="1"/>
    <col min="21" max="22" width="9.140625" style="376"/>
    <col min="23" max="23" width="10.42578125" style="376" bestFit="1" customWidth="1"/>
    <col min="24" max="24" width="9.140625" style="376"/>
    <col min="25" max="25" width="10.42578125" style="376" bestFit="1" customWidth="1"/>
    <col min="26" max="26" width="11.7109375" style="376" customWidth="1"/>
    <col min="27" max="27" width="12.42578125" style="376" customWidth="1"/>
    <col min="28" max="28" width="12.140625" style="376" customWidth="1"/>
    <col min="29" max="16384" width="9.140625" style="376"/>
  </cols>
  <sheetData>
    <row r="1" spans="1:28">
      <c r="A1" s="371"/>
      <c r="B1" s="372"/>
      <c r="C1" s="372"/>
      <c r="D1" s="372"/>
      <c r="E1" s="372"/>
      <c r="F1" s="372"/>
      <c r="G1" s="372"/>
      <c r="H1" s="372"/>
      <c r="I1" s="372"/>
      <c r="J1" s="372"/>
      <c r="K1" s="372"/>
      <c r="L1" s="373" t="s">
        <v>479</v>
      </c>
      <c r="M1" s="372"/>
      <c r="N1" s="372"/>
      <c r="O1" s="372"/>
      <c r="P1" s="372"/>
      <c r="Q1" s="372"/>
      <c r="R1" s="372"/>
      <c r="S1" s="372"/>
      <c r="T1" s="372"/>
      <c r="U1" s="372"/>
      <c r="V1" s="372"/>
      <c r="W1" s="372"/>
      <c r="X1" s="372"/>
      <c r="Y1" s="372"/>
      <c r="Z1" s="374"/>
      <c r="AA1" s="1943">
        <f ca="1">NOW()</f>
        <v>45247.406918981484</v>
      </c>
      <c r="AB1" s="1944"/>
    </row>
    <row r="2" spans="1:28" ht="19.5" thickBot="1">
      <c r="A2" s="377"/>
      <c r="B2" s="378"/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  <c r="N2" s="378"/>
      <c r="O2" s="378"/>
      <c r="P2" s="378"/>
      <c r="Q2" s="378"/>
      <c r="R2" s="378"/>
      <c r="S2" s="378"/>
      <c r="T2" s="378"/>
      <c r="U2" s="378"/>
      <c r="V2" s="378"/>
      <c r="W2" s="378"/>
      <c r="X2" s="378"/>
      <c r="Y2" s="378"/>
      <c r="Z2" s="378"/>
      <c r="AA2" s="1926"/>
      <c r="AB2" s="1927"/>
    </row>
    <row r="3" spans="1:28" ht="20.100000000000001" customHeight="1">
      <c r="A3" s="371"/>
      <c r="B3" s="379" t="s">
        <v>213</v>
      </c>
      <c r="C3" s="372"/>
      <c r="D3" s="380"/>
      <c r="E3" s="379" t="s">
        <v>214</v>
      </c>
      <c r="F3" s="372"/>
      <c r="G3" s="380"/>
      <c r="H3" s="379" t="s">
        <v>215</v>
      </c>
      <c r="I3" s="372"/>
      <c r="J3" s="381"/>
      <c r="K3" s="382" t="s">
        <v>216</v>
      </c>
      <c r="L3" s="383"/>
      <c r="M3" s="384"/>
      <c r="N3" s="379" t="s">
        <v>217</v>
      </c>
      <c r="O3" s="372"/>
      <c r="P3" s="380"/>
      <c r="Q3" s="379" t="s">
        <v>143</v>
      </c>
      <c r="R3" s="385" t="s">
        <v>144</v>
      </c>
      <c r="S3" s="372"/>
      <c r="T3" s="379" t="s">
        <v>145</v>
      </c>
      <c r="U3" s="372"/>
      <c r="V3" s="384"/>
      <c r="W3" s="379" t="s">
        <v>54</v>
      </c>
      <c r="X3" s="372"/>
      <c r="Y3" s="386" t="s">
        <v>7</v>
      </c>
      <c r="Z3" s="384"/>
      <c r="AA3" s="379" t="s">
        <v>218</v>
      </c>
      <c r="AB3" s="387"/>
    </row>
    <row r="4" spans="1:28" s="400" customFormat="1" ht="30" customHeight="1" thickBot="1">
      <c r="A4" s="388"/>
      <c r="B4" s="389"/>
      <c r="C4" s="390"/>
      <c r="D4" s="391"/>
      <c r="E4" s="392">
        <f>+DATI!C4</f>
        <v>0</v>
      </c>
      <c r="F4" s="390"/>
      <c r="G4" s="391"/>
      <c r="H4" s="393"/>
      <c r="I4" s="390"/>
      <c r="J4" s="391"/>
      <c r="K4" s="394">
        <f>+DATI!C5</f>
        <v>42370</v>
      </c>
      <c r="L4" s="390"/>
      <c r="M4" s="395"/>
      <c r="N4" s="396"/>
      <c r="O4" s="390"/>
      <c r="P4" s="391"/>
      <c r="Q4" s="389">
        <f>+DATI!C7</f>
        <v>1400</v>
      </c>
      <c r="R4" s="390"/>
      <c r="S4" s="390"/>
      <c r="T4" s="389">
        <f>+DATI!C8</f>
        <v>2200</v>
      </c>
      <c r="U4" s="390"/>
      <c r="V4" s="395"/>
      <c r="W4" s="397">
        <f>IF(K13&lt;551,0,IF(K13&lt;1001,1,IF(K13&lt;1451,2,IF(K13&lt;1901,3,IF(K13&lt;2200,4,5)))))</f>
        <v>4</v>
      </c>
      <c r="X4" s="390"/>
      <c r="Y4" s="398"/>
      <c r="Z4" s="395"/>
      <c r="AA4" s="389"/>
      <c r="AB4" s="399" t="s">
        <v>37</v>
      </c>
    </row>
    <row r="5" spans="1:28" ht="40.5" customHeight="1" thickBot="1">
      <c r="A5" s="401"/>
      <c r="B5" s="402"/>
      <c r="C5" s="403"/>
      <c r="D5" s="404" t="s">
        <v>37</v>
      </c>
      <c r="E5" s="405"/>
      <c r="F5" s="404"/>
      <c r="G5" s="403"/>
      <c r="H5" s="402"/>
      <c r="I5" s="406" t="s">
        <v>219</v>
      </c>
      <c r="J5" s="403"/>
      <c r="K5" s="402"/>
      <c r="L5" s="404" t="s">
        <v>37</v>
      </c>
      <c r="M5" s="407"/>
      <c r="N5" s="403"/>
      <c r="O5" s="404" t="s">
        <v>37</v>
      </c>
      <c r="P5" s="403"/>
      <c r="Q5" s="404"/>
      <c r="R5" s="407"/>
      <c r="S5" s="403"/>
      <c r="T5" s="402"/>
      <c r="U5" s="403"/>
      <c r="V5" s="403"/>
      <c r="W5" s="402"/>
      <c r="X5" s="403"/>
      <c r="Y5" s="402"/>
      <c r="Z5" s="403"/>
      <c r="AA5" s="402"/>
      <c r="AB5" s="408"/>
    </row>
    <row r="6" spans="1:28" s="416" customFormat="1" ht="24" customHeight="1">
      <c r="A6" s="411"/>
      <c r="B6" s="412"/>
      <c r="C6" s="412"/>
      <c r="D6" s="415" t="s">
        <v>0</v>
      </c>
      <c r="E6" s="412"/>
      <c r="F6" s="414"/>
      <c r="G6" s="412"/>
      <c r="H6" s="412"/>
      <c r="I6" s="412"/>
      <c r="J6" s="412"/>
      <c r="K6" s="413" t="s">
        <v>220</v>
      </c>
      <c r="L6" s="412"/>
      <c r="M6" s="412"/>
      <c r="N6" s="414"/>
      <c r="O6" s="411"/>
      <c r="P6" s="412"/>
      <c r="Q6" s="412"/>
      <c r="R6" s="413" t="s">
        <v>86</v>
      </c>
      <c r="S6" s="412"/>
      <c r="T6" s="412"/>
      <c r="U6" s="414"/>
      <c r="V6" s="411"/>
      <c r="W6" s="372" t="s">
        <v>221</v>
      </c>
      <c r="X6" s="412"/>
      <c r="Y6" s="415"/>
      <c r="Z6" s="412"/>
      <c r="AA6" s="412"/>
      <c r="AB6" s="414"/>
    </row>
    <row r="7" spans="1:28" ht="18.95" customHeight="1">
      <c r="A7" s="417"/>
      <c r="B7" s="418"/>
      <c r="C7" s="419"/>
      <c r="D7" s="418"/>
      <c r="E7" s="418"/>
      <c r="F7" s="424"/>
      <c r="G7" s="1928" t="e">
        <f>IF(DATI!E13&lt;&gt;"AUTOMATICA","*"&amp;DATI!L14&amp;RIGHT(("000"&amp;N9),3)&amp;RIGHT(("0000"&amp;K13),4)&amp;DATI!L13&amp;"*","*"&amp;DATI!E14&amp;"-"&amp;RIGHT(("0000"&amp;K13),4)&amp;"*")</f>
        <v>#VALUE!</v>
      </c>
      <c r="H7" s="1928"/>
      <c r="I7" s="1928"/>
      <c r="J7" s="1928"/>
      <c r="K7" s="420"/>
      <c r="L7" s="421"/>
      <c r="M7" s="422"/>
      <c r="N7" s="423"/>
      <c r="O7" s="417"/>
      <c r="P7" s="418"/>
      <c r="Q7" s="418"/>
      <c r="R7" s="418"/>
      <c r="S7" s="418"/>
      <c r="T7" s="418"/>
      <c r="U7" s="424"/>
      <c r="V7" s="377"/>
      <c r="W7" s="378"/>
      <c r="X7" s="378"/>
      <c r="Y7" s="378"/>
      <c r="Z7" s="378"/>
      <c r="AA7" s="378"/>
      <c r="AB7" s="425"/>
    </row>
    <row r="8" spans="1:28" ht="18.95" customHeight="1">
      <c r="A8" s="377"/>
      <c r="B8" s="378"/>
      <c r="C8" s="378"/>
      <c r="D8" s="378"/>
      <c r="E8" s="378"/>
      <c r="F8" s="425"/>
      <c r="G8" s="1928"/>
      <c r="H8" s="1928"/>
      <c r="I8" s="1928"/>
      <c r="J8" s="1928"/>
      <c r="M8" s="378"/>
      <c r="N8" s="425"/>
      <c r="O8" s="377"/>
      <c r="P8" s="378"/>
      <c r="Q8" s="378"/>
      <c r="R8" s="378"/>
      <c r="S8" s="378"/>
      <c r="T8" s="378"/>
      <c r="U8" s="425"/>
      <c r="V8" s="377"/>
      <c r="W8" s="378"/>
      <c r="X8" s="378"/>
      <c r="Y8" s="378"/>
      <c r="Z8" s="378"/>
      <c r="AA8" s="378"/>
      <c r="AB8" s="425"/>
    </row>
    <row r="9" spans="1:28" ht="18.95" customHeight="1">
      <c r="A9" s="377"/>
      <c r="B9" s="378" t="s">
        <v>3</v>
      </c>
      <c r="C9" s="378"/>
      <c r="D9" s="657">
        <f>+DATI!C6</f>
        <v>0</v>
      </c>
      <c r="E9" s="378"/>
      <c r="F9" s="425"/>
      <c r="G9" s="1928"/>
      <c r="H9" s="1928"/>
      <c r="I9" s="1928"/>
      <c r="J9" s="1928"/>
      <c r="L9" s="378"/>
      <c r="M9" s="438" t="s">
        <v>222</v>
      </c>
      <c r="N9" s="426">
        <f>ROUNDUP((Q4-48)*0.036,0)</f>
        <v>49</v>
      </c>
      <c r="O9" s="377"/>
      <c r="P9" s="378"/>
      <c r="Q9" s="378"/>
      <c r="R9" s="378"/>
      <c r="S9" s="378"/>
      <c r="T9" s="378"/>
      <c r="U9" s="425"/>
      <c r="V9" s="1871" t="s">
        <v>270</v>
      </c>
      <c r="W9" s="1872"/>
      <c r="X9" s="1872"/>
      <c r="Y9" s="1872"/>
      <c r="Z9" s="1872"/>
      <c r="AA9" s="1872"/>
      <c r="AB9" s="1873"/>
    </row>
    <row r="10" spans="1:28" ht="18.95" customHeight="1">
      <c r="A10" s="377"/>
      <c r="B10" s="378" t="s">
        <v>223</v>
      </c>
      <c r="C10" s="378" t="s">
        <v>224</v>
      </c>
      <c r="D10" s="378">
        <f>+DATI!C3</f>
        <v>0</v>
      </c>
      <c r="E10" s="427"/>
      <c r="F10" s="425"/>
      <c r="G10" s="1928"/>
      <c r="H10" s="1928"/>
      <c r="I10" s="1928"/>
      <c r="J10" s="1928"/>
      <c r="K10" s="378"/>
      <c r="L10" s="378"/>
      <c r="M10" s="378"/>
      <c r="N10" s="425"/>
      <c r="O10" s="377"/>
      <c r="P10" s="378"/>
      <c r="Q10" s="378"/>
      <c r="R10" s="378"/>
      <c r="S10" s="378"/>
      <c r="T10" s="378"/>
      <c r="U10" s="425"/>
      <c r="V10" s="249"/>
      <c r="W10" s="238"/>
      <c r="X10" s="249"/>
      <c r="Y10" s="249"/>
      <c r="Z10" s="249"/>
      <c r="AA10" s="249"/>
      <c r="AB10" s="263"/>
    </row>
    <row r="11" spans="1:28" ht="18.95" customHeight="1">
      <c r="A11" s="377"/>
      <c r="B11" s="378"/>
      <c r="C11" s="378"/>
      <c r="D11" s="378"/>
      <c r="E11" s="378"/>
      <c r="F11" s="425"/>
      <c r="G11" s="378"/>
      <c r="H11" s="378"/>
      <c r="I11" s="378"/>
      <c r="J11" s="378"/>
      <c r="K11" s="378"/>
      <c r="L11" s="378"/>
      <c r="M11" s="378"/>
      <c r="N11" s="425"/>
      <c r="O11" s="377"/>
      <c r="P11" s="378"/>
      <c r="Q11" s="428" t="s">
        <v>378</v>
      </c>
      <c r="R11" s="378">
        <f>T4-115</f>
        <v>2085</v>
      </c>
      <c r="S11" s="378"/>
      <c r="T11" s="378"/>
      <c r="U11" s="425"/>
      <c r="V11" s="249"/>
      <c r="W11" s="262"/>
      <c r="X11" s="267" t="s">
        <v>470</v>
      </c>
      <c r="Z11" s="256">
        <f>Q4 - 5</f>
        <v>1395</v>
      </c>
      <c r="AA11" s="249"/>
      <c r="AB11" s="263"/>
    </row>
    <row r="12" spans="1:28" ht="18.95" customHeight="1">
      <c r="A12" s="377"/>
      <c r="B12" s="378"/>
      <c r="C12" s="378" t="s">
        <v>224</v>
      </c>
      <c r="D12" s="378"/>
      <c r="E12" s="378"/>
      <c r="F12" s="425"/>
      <c r="G12" s="378"/>
      <c r="H12" s="378"/>
      <c r="I12" s="378"/>
      <c r="J12" s="378"/>
      <c r="K12" s="378"/>
      <c r="L12" s="378"/>
      <c r="M12" s="378"/>
      <c r="N12" s="425"/>
      <c r="O12" s="377"/>
      <c r="P12" s="378"/>
      <c r="Q12" s="378"/>
      <c r="R12" s="378"/>
      <c r="S12" s="378"/>
      <c r="T12" s="378"/>
      <c r="U12" s="425"/>
      <c r="V12" s="249"/>
      <c r="W12" s="238"/>
      <c r="X12" s="249"/>
      <c r="Y12" s="249"/>
      <c r="Z12" s="249"/>
      <c r="AA12" s="249"/>
      <c r="AB12" s="263"/>
    </row>
    <row r="13" spans="1:28" ht="22.5">
      <c r="A13" s="377"/>
      <c r="B13" s="378"/>
      <c r="C13" s="378"/>
      <c r="D13" s="378"/>
      <c r="E13" s="378"/>
      <c r="F13" s="425"/>
      <c r="G13" s="378"/>
      <c r="H13" s="378"/>
      <c r="I13" s="378"/>
      <c r="J13" s="428" t="s">
        <v>198</v>
      </c>
      <c r="K13" s="429">
        <f>T4-44</f>
        <v>2156</v>
      </c>
      <c r="L13" s="378"/>
      <c r="M13" s="378"/>
      <c r="N13" s="425"/>
      <c r="O13" s="377"/>
      <c r="P13" s="378"/>
      <c r="Q13" s="378"/>
      <c r="R13" s="378"/>
      <c r="S13" s="378"/>
      <c r="T13" s="378"/>
      <c r="U13" s="425"/>
      <c r="V13" s="249"/>
      <c r="W13" s="249"/>
      <c r="X13" s="249"/>
      <c r="Y13" s="249"/>
      <c r="Z13" s="249"/>
      <c r="AA13" s="249"/>
      <c r="AB13" s="263"/>
    </row>
    <row r="14" spans="1:28" ht="18.95" customHeight="1">
      <c r="A14" s="377"/>
      <c r="B14" s="430"/>
      <c r="C14" s="378" t="s">
        <v>37</v>
      </c>
      <c r="D14" s="431" t="s">
        <v>37</v>
      </c>
      <c r="E14" s="378"/>
      <c r="F14" s="425"/>
      <c r="G14" s="378"/>
      <c r="H14" s="378"/>
      <c r="I14" s="378"/>
      <c r="J14" s="378"/>
      <c r="K14" s="378"/>
      <c r="L14" s="378"/>
      <c r="M14" s="378"/>
      <c r="N14" s="425"/>
      <c r="O14" s="377"/>
      <c r="P14" s="378"/>
      <c r="Q14" s="1941" t="str">
        <f>+"*"&amp;R11&amp;"*"</f>
        <v>*2085*</v>
      </c>
      <c r="R14" s="1941"/>
      <c r="S14" s="1941"/>
      <c r="T14" s="378"/>
      <c r="U14" s="425"/>
      <c r="V14" s="249"/>
      <c r="W14" s="249"/>
      <c r="X14" s="249"/>
      <c r="Y14" s="249"/>
      <c r="Z14" s="249"/>
      <c r="AA14" s="249"/>
      <c r="AB14" s="263"/>
    </row>
    <row r="15" spans="1:28" ht="18.95" customHeight="1">
      <c r="A15" s="377"/>
      <c r="B15" s="378"/>
      <c r="C15" s="378"/>
      <c r="D15" s="378"/>
      <c r="E15" s="378"/>
      <c r="F15" s="425"/>
      <c r="G15" s="378"/>
      <c r="H15" s="378"/>
      <c r="I15" s="378"/>
      <c r="J15" s="432"/>
      <c r="K15" s="432"/>
      <c r="L15" s="432"/>
      <c r="M15" s="432"/>
      <c r="N15" s="425"/>
      <c r="O15" s="377"/>
      <c r="P15" s="378"/>
      <c r="Q15" s="1941"/>
      <c r="R15" s="1941"/>
      <c r="S15" s="1941"/>
      <c r="T15" s="378"/>
      <c r="U15" s="425"/>
      <c r="V15" s="250"/>
      <c r="W15" s="250"/>
      <c r="X15" s="250"/>
      <c r="Y15" s="250"/>
      <c r="Z15" s="250"/>
      <c r="AA15" s="250"/>
      <c r="AB15" s="263"/>
    </row>
    <row r="16" spans="1:28" ht="18.95" customHeight="1">
      <c r="A16" s="866"/>
      <c r="B16" s="378" t="s">
        <v>226</v>
      </c>
      <c r="C16" s="378" t="s">
        <v>224</v>
      </c>
      <c r="D16" s="378">
        <f>+IF(DATI!C9="",1,IF(DATI!C9=0,1,DATI!C9))</f>
        <v>1</v>
      </c>
      <c r="E16" s="378"/>
      <c r="F16" s="425"/>
      <c r="G16" s="378"/>
      <c r="H16" s="378"/>
      <c r="I16" s="378"/>
      <c r="J16" s="378"/>
      <c r="K16" s="378"/>
      <c r="L16" s="378"/>
      <c r="M16" s="378"/>
      <c r="N16" s="425"/>
      <c r="O16" s="377"/>
      <c r="P16" s="378"/>
      <c r="Q16" s="1941"/>
      <c r="R16" s="1941"/>
      <c r="S16" s="1941"/>
      <c r="T16" s="378"/>
      <c r="U16" s="425"/>
      <c r="V16" s="249"/>
      <c r="W16" s="249"/>
      <c r="X16" s="249"/>
      <c r="Y16" s="249"/>
      <c r="Z16" s="249"/>
      <c r="AA16" s="249"/>
      <c r="AB16" s="263"/>
    </row>
    <row r="17" spans="1:28" ht="18.95" customHeight="1">
      <c r="A17" s="377"/>
      <c r="B17" s="378"/>
      <c r="C17" s="378"/>
      <c r="D17" s="378"/>
      <c r="E17" s="378"/>
      <c r="F17" s="425"/>
      <c r="G17" s="378"/>
      <c r="H17" s="378"/>
      <c r="I17" s="378"/>
      <c r="J17" s="378"/>
      <c r="K17" s="378"/>
      <c r="L17" s="378"/>
      <c r="M17" s="378"/>
      <c r="N17" s="425"/>
      <c r="O17" s="377"/>
      <c r="P17" s="378"/>
      <c r="Q17" s="1941"/>
      <c r="R17" s="1941"/>
      <c r="S17" s="1941"/>
      <c r="T17" s="378"/>
      <c r="U17" s="425"/>
      <c r="V17" s="249"/>
      <c r="W17" s="1942" t="str">
        <f>+"*"&amp;Z11&amp;"*"</f>
        <v>*1395*</v>
      </c>
      <c r="X17" s="1942"/>
      <c r="Y17" s="1942"/>
      <c r="Z17" s="1942"/>
      <c r="AA17" s="272"/>
      <c r="AB17" s="263"/>
    </row>
    <row r="18" spans="1:28" ht="18.95" customHeight="1">
      <c r="A18" s="377"/>
      <c r="B18" s="378"/>
      <c r="C18" s="378"/>
      <c r="D18" s="378"/>
      <c r="E18" s="378"/>
      <c r="F18" s="425"/>
      <c r="G18" s="432">
        <v>50</v>
      </c>
      <c r="H18" s="432"/>
      <c r="I18" s="434"/>
      <c r="J18" s="378"/>
      <c r="K18" s="378"/>
      <c r="L18" s="378"/>
      <c r="M18" s="378"/>
      <c r="N18" s="425"/>
      <c r="O18" s="377"/>
      <c r="P18" s="378"/>
      <c r="Q18" s="378"/>
      <c r="R18" s="378"/>
      <c r="S18" s="378"/>
      <c r="T18" s="378"/>
      <c r="U18" s="425"/>
      <c r="V18" s="249"/>
      <c r="W18" s="1942"/>
      <c r="X18" s="1942"/>
      <c r="Y18" s="1942"/>
      <c r="Z18" s="1942"/>
      <c r="AA18" s="284"/>
      <c r="AB18" s="263"/>
    </row>
    <row r="19" spans="1:28" ht="18.95" customHeight="1">
      <c r="A19" s="377"/>
      <c r="B19" s="378"/>
      <c r="C19" s="378"/>
      <c r="D19" s="378"/>
      <c r="E19" s="378"/>
      <c r="F19" s="425"/>
      <c r="G19" s="378"/>
      <c r="H19" s="435">
        <f>IF(W4=0,K13-50,I20-T55)</f>
        <v>461.19999999999987</v>
      </c>
      <c r="I19" s="378"/>
      <c r="J19" s="378"/>
      <c r="K19" s="378"/>
      <c r="L19" s="378"/>
      <c r="M19" s="378"/>
      <c r="N19" s="425"/>
      <c r="O19" s="377"/>
      <c r="P19" s="378" t="s">
        <v>37</v>
      </c>
      <c r="Q19" s="378"/>
      <c r="R19" s="432"/>
      <c r="S19" s="378"/>
      <c r="T19" s="378"/>
      <c r="U19" s="425"/>
      <c r="V19" s="249"/>
      <c r="W19" s="1942"/>
      <c r="X19" s="1942"/>
      <c r="Y19" s="1942"/>
      <c r="Z19" s="1942"/>
      <c r="AA19" s="284"/>
      <c r="AB19" s="263"/>
    </row>
    <row r="20" spans="1:28" ht="18.95" customHeight="1">
      <c r="A20" s="377"/>
      <c r="B20" s="378"/>
      <c r="C20" s="378"/>
      <c r="D20" s="378"/>
      <c r="E20" s="378"/>
      <c r="F20" s="425"/>
      <c r="G20" s="378"/>
      <c r="H20" s="378"/>
      <c r="I20" s="436">
        <f>IF(W4&lt;1,"VUOTO",IF(W4=1,K13-50,J21-T55))</f>
        <v>872.39999999999986</v>
      </c>
      <c r="J20" s="378"/>
      <c r="K20" s="378"/>
      <c r="L20" s="378"/>
      <c r="M20" s="378"/>
      <c r="N20" s="425"/>
      <c r="O20" s="377"/>
      <c r="P20" s="378"/>
      <c r="Q20" s="378"/>
      <c r="R20" s="378"/>
      <c r="S20" s="378"/>
      <c r="T20" s="378"/>
      <c r="U20" s="425"/>
      <c r="V20" s="250"/>
      <c r="W20" s="1942"/>
      <c r="X20" s="1942"/>
      <c r="Y20" s="1942"/>
      <c r="Z20" s="1942"/>
      <c r="AA20" s="250"/>
      <c r="AB20" s="263"/>
    </row>
    <row r="21" spans="1:28" ht="20.25">
      <c r="A21" s="377"/>
      <c r="B21" s="378"/>
      <c r="C21" s="432" t="s">
        <v>228</v>
      </c>
      <c r="D21" s="437">
        <f>Q4-0</f>
        <v>1400</v>
      </c>
      <c r="E21" s="378"/>
      <c r="F21" s="425"/>
      <c r="G21" s="378"/>
      <c r="H21" s="378"/>
      <c r="I21" s="378"/>
      <c r="J21" s="436">
        <f>IF(W4&lt;2,"VUOTO",IF(W4=2,K13-50,K22-T55))</f>
        <v>1283.5999999999999</v>
      </c>
      <c r="K21" s="378"/>
      <c r="L21" s="378"/>
      <c r="M21" s="378"/>
      <c r="N21" s="425"/>
      <c r="O21" s="377"/>
      <c r="P21" s="378"/>
      <c r="Q21" s="378"/>
      <c r="R21" s="438" t="s">
        <v>229</v>
      </c>
      <c r="S21" s="439">
        <f>T4-127</f>
        <v>2073</v>
      </c>
      <c r="T21" s="378"/>
      <c r="U21" s="425"/>
      <c r="V21" s="249"/>
      <c r="W21" s="1942"/>
      <c r="X21" s="1942"/>
      <c r="Y21" s="1942"/>
      <c r="Z21" s="1942"/>
      <c r="AA21" s="249"/>
      <c r="AB21" s="263"/>
    </row>
    <row r="22" spans="1:28" ht="18.95" customHeight="1">
      <c r="A22" s="377"/>
      <c r="B22" s="378"/>
      <c r="C22" s="378"/>
      <c r="D22" s="378"/>
      <c r="E22" s="378"/>
      <c r="F22" s="425"/>
      <c r="G22" s="378"/>
      <c r="H22" s="378"/>
      <c r="I22" s="378"/>
      <c r="J22" s="378"/>
      <c r="K22" s="436">
        <f>IF(W4&lt;3,"VUOTO",IF(W4=3,K13-50,IF(W4=4,L23-T55,IF(W4=5,L23-T55))))</f>
        <v>1694.8</v>
      </c>
      <c r="L22" s="440"/>
      <c r="M22" s="378"/>
      <c r="N22" s="425"/>
      <c r="O22" s="377"/>
      <c r="P22" s="378"/>
      <c r="Q22" s="378"/>
      <c r="R22" s="438" t="s">
        <v>396</v>
      </c>
      <c r="S22" s="439">
        <f>T4-35</f>
        <v>2165</v>
      </c>
      <c r="T22" s="378"/>
      <c r="U22" s="425"/>
      <c r="V22" s="249"/>
      <c r="W22" s="249"/>
      <c r="X22" s="249"/>
      <c r="Y22" s="249"/>
      <c r="Z22" s="249"/>
      <c r="AA22" s="249"/>
      <c r="AB22" s="263"/>
    </row>
    <row r="23" spans="1:28" ht="18.95" customHeight="1">
      <c r="A23" s="377"/>
      <c r="B23" s="378"/>
      <c r="C23" s="438" t="s">
        <v>230</v>
      </c>
      <c r="D23" s="378"/>
      <c r="E23" s="378"/>
      <c r="F23" s="425"/>
      <c r="G23" s="378"/>
      <c r="H23" s="378"/>
      <c r="I23" s="378"/>
      <c r="J23" s="378"/>
      <c r="K23" s="378"/>
      <c r="L23" s="436">
        <f>IF(W4&lt;4,"VUOTO",IF(W4=4,K13-50,IF(W4=5,M27-T55)))</f>
        <v>2106</v>
      </c>
      <c r="M23" s="378"/>
      <c r="N23" s="425"/>
      <c r="O23" s="377"/>
      <c r="P23" s="378"/>
      <c r="Q23" s="378"/>
      <c r="R23" s="378"/>
      <c r="S23" s="378"/>
      <c r="T23" s="378"/>
      <c r="U23" s="425"/>
      <c r="V23" s="377"/>
      <c r="W23" s="378"/>
      <c r="X23" s="378"/>
      <c r="Y23" s="378"/>
      <c r="Z23" s="378"/>
      <c r="AA23" s="378"/>
      <c r="AB23" s="425"/>
    </row>
    <row r="24" spans="1:28" ht="18.95" customHeight="1">
      <c r="A24" s="377"/>
      <c r="B24" s="378"/>
      <c r="C24" s="378"/>
      <c r="D24" s="378"/>
      <c r="E24" s="378"/>
      <c r="F24" s="425"/>
      <c r="G24" s="378"/>
      <c r="H24" s="378"/>
      <c r="I24" s="378"/>
      <c r="J24" s="378"/>
      <c r="K24" s="378"/>
      <c r="L24" s="378"/>
      <c r="N24" s="441"/>
      <c r="O24" s="377"/>
      <c r="P24" s="378"/>
      <c r="Q24" s="378"/>
      <c r="R24" s="378"/>
      <c r="S24" s="378"/>
      <c r="T24" s="378"/>
      <c r="U24" s="425"/>
      <c r="V24" s="377"/>
      <c r="W24" s="378"/>
      <c r="X24" s="378"/>
      <c r="Y24" s="378"/>
      <c r="Z24" s="378"/>
      <c r="AA24" s="378"/>
      <c r="AB24" s="425"/>
    </row>
    <row r="25" spans="1:28" ht="18.95" customHeight="1">
      <c r="A25" s="377"/>
      <c r="B25" s="442"/>
      <c r="C25" s="443"/>
      <c r="D25" s="444"/>
      <c r="E25" s="378"/>
      <c r="F25" s="425"/>
      <c r="G25" s="378"/>
      <c r="H25" s="378"/>
      <c r="I25" s="378"/>
      <c r="J25" s="378"/>
      <c r="K25" s="378"/>
      <c r="L25" s="378"/>
      <c r="M25" s="378"/>
      <c r="N25" s="425"/>
      <c r="O25" s="377"/>
      <c r="P25" s="378"/>
      <c r="Q25" s="378"/>
      <c r="R25" s="378"/>
      <c r="S25" s="378"/>
      <c r="T25" s="378"/>
      <c r="U25" s="425"/>
      <c r="V25" s="377"/>
      <c r="W25" s="378" t="s">
        <v>231</v>
      </c>
      <c r="X25" s="378"/>
      <c r="Y25" s="432"/>
      <c r="Z25" s="378"/>
      <c r="AA25" s="378"/>
      <c r="AB25" s="425"/>
    </row>
    <row r="26" spans="1:28" ht="18.95" customHeight="1">
      <c r="A26" s="377"/>
      <c r="B26" s="378"/>
      <c r="C26" s="378"/>
      <c r="D26" s="378"/>
      <c r="E26" s="378"/>
      <c r="F26" s="425"/>
      <c r="G26" s="378"/>
      <c r="H26" s="378" t="s">
        <v>37</v>
      </c>
      <c r="I26" s="378"/>
      <c r="J26" s="378"/>
      <c r="K26" s="378"/>
      <c r="L26" s="445"/>
      <c r="M26" s="378"/>
      <c r="N26" s="425"/>
      <c r="O26" s="377"/>
      <c r="P26" s="378"/>
      <c r="Q26" s="378"/>
      <c r="R26" s="378"/>
      <c r="S26" s="378"/>
      <c r="T26" s="378"/>
      <c r="U26" s="425"/>
      <c r="V26" s="377"/>
      <c r="W26" s="378"/>
      <c r="X26" s="378"/>
      <c r="Y26" s="378"/>
      <c r="Z26" s="378"/>
      <c r="AA26" s="378"/>
      <c r="AB26" s="425"/>
    </row>
    <row r="27" spans="1:28" ht="18.95" customHeight="1">
      <c r="A27" s="377"/>
      <c r="B27" s="378"/>
      <c r="C27" s="378"/>
      <c r="D27" s="378"/>
      <c r="E27" s="446" t="s">
        <v>232</v>
      </c>
      <c r="F27" s="425"/>
      <c r="G27" s="378"/>
      <c r="H27" s="378"/>
      <c r="I27" s="378"/>
      <c r="J27" s="378"/>
      <c r="K27" s="378"/>
      <c r="L27" s="378"/>
      <c r="M27" s="436" t="str">
        <f>IF(W4=5,K13-50,"VUOTO")</f>
        <v>VUOTO</v>
      </c>
      <c r="N27" s="425"/>
      <c r="O27" s="377"/>
      <c r="P27" s="378"/>
      <c r="Q27" s="378"/>
      <c r="R27" s="378"/>
      <c r="S27" s="378"/>
      <c r="T27" s="378"/>
      <c r="U27" s="425"/>
      <c r="V27" s="377"/>
      <c r="W27" s="432" t="s">
        <v>233</v>
      </c>
      <c r="X27" s="378"/>
      <c r="Y27" s="429">
        <f>ROUNDUP((Q4-86)/22,0)+2</f>
        <v>62</v>
      </c>
      <c r="Z27" s="378" t="s">
        <v>48</v>
      </c>
      <c r="AA27" s="378"/>
      <c r="AB27" s="425"/>
    </row>
    <row r="28" spans="1:28" ht="18.95" customHeight="1">
      <c r="A28" s="377"/>
      <c r="B28" s="378"/>
      <c r="C28" s="378"/>
      <c r="D28" s="378"/>
      <c r="E28" s="446"/>
      <c r="F28" s="425"/>
      <c r="G28" s="1945" t="s">
        <v>235</v>
      </c>
      <c r="H28" s="1929"/>
      <c r="I28" s="1929"/>
      <c r="J28" s="1929"/>
      <c r="K28" s="1929"/>
      <c r="L28" s="1929"/>
      <c r="M28" s="1929"/>
      <c r="N28" s="1946"/>
      <c r="O28" s="377"/>
      <c r="P28" s="378"/>
      <c r="Q28" s="378"/>
      <c r="R28" s="378"/>
      <c r="S28" s="378"/>
      <c r="T28" s="378"/>
      <c r="U28" s="425"/>
      <c r="V28" s="377"/>
      <c r="W28" s="432" t="s">
        <v>234</v>
      </c>
      <c r="X28" s="378"/>
      <c r="Y28" s="429">
        <f>+Y27</f>
        <v>62</v>
      </c>
      <c r="Z28" s="378" t="s">
        <v>48</v>
      </c>
      <c r="AA28" s="378"/>
      <c r="AB28" s="425"/>
    </row>
    <row r="29" spans="1:28" ht="18.95" customHeight="1">
      <c r="A29" s="377"/>
      <c r="B29" s="378"/>
      <c r="C29" s="378"/>
      <c r="D29" s="378"/>
      <c r="E29" s="378"/>
      <c r="F29" s="425"/>
      <c r="G29" s="1945"/>
      <c r="H29" s="1929"/>
      <c r="I29" s="1929"/>
      <c r="J29" s="1929"/>
      <c r="K29" s="1929"/>
      <c r="L29" s="1929"/>
      <c r="M29" s="1929"/>
      <c r="N29" s="1946"/>
      <c r="O29" s="377"/>
      <c r="P29" s="378"/>
      <c r="Q29" s="378"/>
      <c r="R29" s="378"/>
      <c r="S29" s="378"/>
      <c r="T29" s="378"/>
      <c r="U29" s="425"/>
      <c r="V29" s="377"/>
      <c r="W29" s="438" t="s">
        <v>236</v>
      </c>
      <c r="X29" s="378"/>
      <c r="Y29" s="448" t="s">
        <v>237</v>
      </c>
      <c r="Z29" s="378" t="s">
        <v>238</v>
      </c>
      <c r="AA29" s="378"/>
      <c r="AB29" s="425"/>
    </row>
    <row r="30" spans="1:28" ht="18.95" customHeight="1">
      <c r="A30" s="377"/>
      <c r="B30" s="449"/>
      <c r="C30" s="450"/>
      <c r="D30" s="451"/>
      <c r="E30" s="378"/>
      <c r="F30" s="425"/>
      <c r="G30" s="378"/>
      <c r="H30" s="1930" t="str">
        <f>+IF(DATI!$L$15=1,"","RETE GRIGIA")</f>
        <v/>
      </c>
      <c r="I30" s="1930"/>
      <c r="J30" s="1930"/>
      <c r="K30" s="1930"/>
      <c r="L30" s="1930"/>
      <c r="M30" s="1930"/>
      <c r="N30" s="425"/>
      <c r="O30" s="377"/>
      <c r="P30" s="378"/>
      <c r="Q30" s="378"/>
      <c r="R30" s="378"/>
      <c r="S30" s="378"/>
      <c r="T30" s="378"/>
      <c r="U30" s="425"/>
      <c r="V30" s="377"/>
      <c r="W30" s="378"/>
      <c r="X30" s="378"/>
      <c r="Y30" s="378"/>
      <c r="Z30" s="378"/>
      <c r="AA30" s="378"/>
      <c r="AB30" s="425"/>
    </row>
    <row r="31" spans="1:28" ht="18.95" customHeight="1" thickBot="1">
      <c r="A31" s="377"/>
      <c r="B31" s="452"/>
      <c r="C31" s="453"/>
      <c r="D31" s="454"/>
      <c r="E31" s="378"/>
      <c r="F31" s="425"/>
      <c r="G31" s="456"/>
      <c r="H31" s="1931"/>
      <c r="I31" s="1931"/>
      <c r="J31" s="1931"/>
      <c r="K31" s="1931"/>
      <c r="L31" s="1931"/>
      <c r="M31" s="1931"/>
      <c r="N31" s="457"/>
      <c r="O31" s="455"/>
      <c r="P31" s="456"/>
      <c r="Q31" s="456"/>
      <c r="R31" s="456"/>
      <c r="S31" s="456"/>
      <c r="T31" s="456"/>
      <c r="U31" s="457"/>
      <c r="V31" s="455"/>
      <c r="W31" s="456"/>
      <c r="X31" s="456"/>
      <c r="Y31" s="456"/>
      <c r="Z31" s="456"/>
      <c r="AA31" s="456"/>
      <c r="AB31" s="457"/>
    </row>
    <row r="32" spans="1:28" s="416" customFormat="1" ht="24" customHeight="1">
      <c r="A32" s="409"/>
      <c r="B32" s="458"/>
      <c r="C32" s="459"/>
      <c r="D32" s="460"/>
      <c r="E32" s="410"/>
      <c r="F32" s="867"/>
      <c r="G32" s="865"/>
      <c r="H32" s="865"/>
      <c r="I32" s="865"/>
      <c r="J32" s="865"/>
      <c r="K32" s="869" t="s">
        <v>241</v>
      </c>
      <c r="L32" s="865"/>
      <c r="M32" s="865"/>
      <c r="N32" s="870"/>
      <c r="O32" s="461"/>
      <c r="P32" s="865"/>
      <c r="Q32" s="871"/>
      <c r="R32" s="462" t="s">
        <v>242</v>
      </c>
      <c r="S32" s="865"/>
      <c r="T32" s="865"/>
      <c r="U32" s="870"/>
      <c r="V32" s="461"/>
      <c r="W32" s="865"/>
      <c r="X32" s="865"/>
      <c r="Y32" s="869" t="s">
        <v>37</v>
      </c>
      <c r="Z32" s="865"/>
      <c r="AA32" s="865"/>
      <c r="AB32" s="870"/>
    </row>
    <row r="33" spans="1:28" ht="18.95" customHeight="1">
      <c r="A33" s="377"/>
      <c r="B33" s="452"/>
      <c r="C33" s="453"/>
      <c r="D33" s="454"/>
      <c r="E33" s="378"/>
      <c r="F33" s="425"/>
      <c r="G33" s="378"/>
      <c r="H33" s="418"/>
      <c r="I33" s="418"/>
      <c r="J33" s="418"/>
      <c r="K33" s="418"/>
      <c r="L33" s="418"/>
      <c r="M33" s="418"/>
      <c r="N33" s="424"/>
      <c r="O33" s="417"/>
      <c r="P33" s="418"/>
      <c r="Q33" s="418"/>
      <c r="R33" s="418"/>
      <c r="S33" s="418"/>
      <c r="T33" s="418"/>
      <c r="U33" s="424"/>
      <c r="V33" s="417"/>
      <c r="W33" s="418"/>
      <c r="X33" s="418"/>
      <c r="Y33" s="418"/>
      <c r="Z33" s="418"/>
      <c r="AA33" s="418"/>
      <c r="AB33" s="424"/>
    </row>
    <row r="34" spans="1:28" ht="18.95" customHeight="1">
      <c r="A34" s="377"/>
      <c r="B34" s="452"/>
      <c r="C34" s="453"/>
      <c r="D34" s="454"/>
      <c r="E34" s="378"/>
      <c r="F34" s="425"/>
      <c r="G34" s="378"/>
      <c r="H34" s="378"/>
      <c r="I34" s="378"/>
      <c r="J34" s="378"/>
      <c r="K34" s="378"/>
      <c r="L34" s="378"/>
      <c r="M34" s="378"/>
      <c r="N34" s="425"/>
      <c r="O34" s="377"/>
      <c r="P34" s="378"/>
      <c r="Q34" s="378"/>
      <c r="R34" s="378"/>
      <c r="S34" s="378"/>
      <c r="T34" s="378"/>
      <c r="U34" s="425"/>
      <c r="V34" s="377"/>
      <c r="W34" s="378"/>
      <c r="X34" s="378"/>
      <c r="Y34" s="378"/>
      <c r="Z34" s="378"/>
      <c r="AA34" s="378"/>
      <c r="AB34" s="425"/>
    </row>
    <row r="35" spans="1:28" ht="18.95" customHeight="1">
      <c r="A35" s="377"/>
      <c r="B35" s="452"/>
      <c r="C35" s="453"/>
      <c r="D35" s="454"/>
      <c r="E35" s="378"/>
      <c r="F35" s="868" t="s">
        <v>243</v>
      </c>
      <c r="G35" s="378"/>
      <c r="H35" s="378"/>
      <c r="I35" s="378"/>
      <c r="J35" s="378"/>
      <c r="K35" s="378"/>
      <c r="L35" s="378"/>
      <c r="M35" s="378"/>
      <c r="N35" s="425"/>
      <c r="O35" s="377"/>
      <c r="P35" s="378"/>
      <c r="Q35" s="378"/>
      <c r="R35" s="378"/>
      <c r="S35" s="378"/>
      <c r="T35" s="378"/>
      <c r="U35" s="425"/>
      <c r="V35" s="377"/>
      <c r="W35" s="658"/>
      <c r="X35" s="659"/>
      <c r="Y35" s="660"/>
      <c r="Z35" s="661"/>
      <c r="AA35" s="662"/>
      <c r="AB35" s="464"/>
    </row>
    <row r="36" spans="1:28" ht="18.95" customHeight="1">
      <c r="A36" s="377"/>
      <c r="B36" s="452"/>
      <c r="C36" s="453"/>
      <c r="D36" s="454"/>
      <c r="E36" s="378"/>
      <c r="F36" s="425"/>
      <c r="G36" s="378"/>
      <c r="H36" s="378"/>
      <c r="I36" s="378"/>
      <c r="J36" s="378"/>
      <c r="K36" s="437">
        <f>ROUNDUP(Q4+250,0)</f>
        <v>1650</v>
      </c>
      <c r="L36" s="428" t="s">
        <v>245</v>
      </c>
      <c r="M36" s="378">
        <v>2</v>
      </c>
      <c r="N36" s="464"/>
      <c r="O36" s="377"/>
      <c r="P36" s="378"/>
      <c r="Q36" s="378"/>
      <c r="R36" s="378"/>
      <c r="S36" s="378"/>
      <c r="T36" s="378"/>
      <c r="U36" s="425"/>
      <c r="V36" s="377"/>
      <c r="W36" s="663"/>
      <c r="X36" s="465"/>
      <c r="Y36" s="463"/>
      <c r="Z36" s="886"/>
      <c r="AA36" s="664"/>
      <c r="AB36" s="464"/>
    </row>
    <row r="37" spans="1:28" ht="18.95" customHeight="1">
      <c r="A37" s="377"/>
      <c r="B37" s="452"/>
      <c r="C37" s="453"/>
      <c r="D37" s="454"/>
      <c r="E37" s="378"/>
      <c r="F37" s="425"/>
      <c r="G37" s="378"/>
      <c r="H37" s="378"/>
      <c r="I37" s="378"/>
      <c r="J37" s="378"/>
      <c r="K37" s="427"/>
      <c r="L37" s="427"/>
      <c r="M37" s="378"/>
      <c r="N37" s="464"/>
      <c r="O37" s="377"/>
      <c r="P37" s="378"/>
      <c r="Q37" s="428" t="s">
        <v>379</v>
      </c>
      <c r="R37" s="439">
        <f>T4-87</f>
        <v>2113</v>
      </c>
      <c r="S37" s="378"/>
      <c r="T37" s="378"/>
      <c r="U37" s="425"/>
      <c r="V37" s="377"/>
      <c r="W37" s="665"/>
      <c r="X37" s="666"/>
      <c r="Y37" s="667"/>
      <c r="Z37" s="887"/>
      <c r="AA37" s="668"/>
      <c r="AB37" s="464"/>
    </row>
    <row r="38" spans="1:28" ht="18.95" customHeight="1">
      <c r="A38" s="377"/>
      <c r="B38" s="452"/>
      <c r="C38" s="453"/>
      <c r="D38" s="454"/>
      <c r="E38" s="378"/>
      <c r="F38" s="425"/>
      <c r="G38" s="378"/>
      <c r="H38" s="378"/>
      <c r="I38" s="378"/>
      <c r="J38" s="378"/>
      <c r="K38" s="466">
        <f>IF(W4=0,"EMPTY",ROUNDUP(Q4+T55+250,-2))</f>
        <v>2100</v>
      </c>
      <c r="L38" s="428" t="str">
        <f>IF(W4=1,"X 1",IF(W4&gt;1,"X 2",""))</f>
        <v>X 2</v>
      </c>
      <c r="M38" s="378">
        <v>2</v>
      </c>
      <c r="N38" s="464"/>
      <c r="O38" s="377"/>
      <c r="P38" s="378"/>
      <c r="Q38" s="378"/>
      <c r="R38" s="378"/>
      <c r="S38" s="378"/>
      <c r="T38" s="378"/>
      <c r="U38" s="425"/>
      <c r="V38" s="377"/>
      <c r="W38" s="378"/>
      <c r="X38" s="378"/>
      <c r="Y38" s="378"/>
      <c r="Z38" s="378"/>
      <c r="AA38" s="432"/>
      <c r="AB38" s="425"/>
    </row>
    <row r="39" spans="1:28" ht="18.95" customHeight="1">
      <c r="A39" s="377"/>
      <c r="B39" s="452"/>
      <c r="C39" s="453"/>
      <c r="D39" s="454"/>
      <c r="E39" s="378"/>
      <c r="F39" s="425"/>
      <c r="G39" s="378"/>
      <c r="H39" s="378"/>
      <c r="I39" s="378"/>
      <c r="J39" s="378"/>
      <c r="K39" s="378"/>
      <c r="L39" s="427"/>
      <c r="M39" s="378"/>
      <c r="N39" s="464"/>
      <c r="O39" s="377"/>
      <c r="P39" s="378"/>
      <c r="Q39" s="378"/>
      <c r="R39" s="378"/>
      <c r="S39" s="378"/>
      <c r="T39" s="378"/>
      <c r="U39" s="425"/>
      <c r="V39" s="377"/>
      <c r="W39" s="378"/>
      <c r="X39" s="378"/>
      <c r="Y39" s="378"/>
      <c r="Z39" s="378"/>
      <c r="AA39" s="432"/>
      <c r="AB39" s="425"/>
    </row>
    <row r="40" spans="1:28" ht="18.95" customHeight="1">
      <c r="A40" s="377"/>
      <c r="B40" s="452"/>
      <c r="C40" s="453"/>
      <c r="D40" s="454"/>
      <c r="E40" s="378"/>
      <c r="F40" s="425"/>
      <c r="G40" s="378"/>
      <c r="H40" s="378"/>
      <c r="I40" s="378"/>
      <c r="J40" s="378"/>
      <c r="K40" s="466">
        <f>IF(OR(W4=2,W4=1,W4=0),"EMPTY",ROUNDUP(Q4+T55*2+250,-2))</f>
        <v>2500</v>
      </c>
      <c r="L40" s="428" t="str">
        <f>IF(W4=3,"X 1",IF(W4&gt;3,"X 2",""))</f>
        <v>X 2</v>
      </c>
      <c r="M40" s="378">
        <v>2</v>
      </c>
      <c r="N40" s="464"/>
      <c r="O40" s="377"/>
      <c r="P40" s="442"/>
      <c r="Q40" s="467"/>
      <c r="R40" s="467"/>
      <c r="S40" s="467"/>
      <c r="T40" s="468"/>
      <c r="U40" s="425"/>
      <c r="V40" s="377"/>
      <c r="W40" s="378"/>
      <c r="X40" s="378"/>
      <c r="Y40" s="378"/>
      <c r="Z40" s="378"/>
      <c r="AA40" s="432"/>
      <c r="AB40" s="425"/>
    </row>
    <row r="41" spans="1:28" ht="18.95" customHeight="1">
      <c r="A41" s="377"/>
      <c r="B41" s="469"/>
      <c r="C41" s="470"/>
      <c r="D41" s="471"/>
      <c r="E41" s="378"/>
      <c r="F41" s="425"/>
      <c r="G41" s="378"/>
      <c r="H41" s="378"/>
      <c r="I41" s="378"/>
      <c r="J41" s="378"/>
      <c r="K41" s="378"/>
      <c r="L41" s="427"/>
      <c r="M41" s="427"/>
      <c r="N41" s="425"/>
      <c r="O41" s="377"/>
      <c r="P41" s="378"/>
      <c r="Q41" s="378"/>
      <c r="R41" s="378"/>
      <c r="S41" s="378"/>
      <c r="T41" s="378"/>
      <c r="U41" s="425"/>
      <c r="V41" s="377"/>
      <c r="W41" s="378"/>
      <c r="X41" s="378"/>
      <c r="Y41" s="378"/>
      <c r="Z41" s="378"/>
      <c r="AA41" s="432"/>
      <c r="AB41" s="425"/>
    </row>
    <row r="42" spans="1:28" ht="18.95" customHeight="1">
      <c r="A42" s="377"/>
      <c r="B42" s="378"/>
      <c r="C42" s="378"/>
      <c r="D42" s="378"/>
      <c r="E42" s="378"/>
      <c r="F42" s="425"/>
      <c r="G42" s="378"/>
      <c r="H42" s="378"/>
      <c r="I42" s="378"/>
      <c r="J42" s="378"/>
      <c r="K42" s="466" t="str">
        <f>IF(W4=5,ROUNDUP(Q4+T55*3+250,-2),"")</f>
        <v/>
      </c>
      <c r="L42" s="428" t="str">
        <f>IF(W4=5,"X 1","")</f>
        <v/>
      </c>
      <c r="M42" s="378">
        <v>1</v>
      </c>
      <c r="N42" s="425"/>
      <c r="O42" s="377"/>
      <c r="P42" s="378"/>
      <c r="Q42" s="378"/>
      <c r="R42" s="378"/>
      <c r="S42" s="378"/>
      <c r="T42" s="378"/>
      <c r="U42" s="425"/>
      <c r="V42" s="377"/>
      <c r="W42" s="378"/>
      <c r="X42" s="378"/>
      <c r="Y42" s="378"/>
      <c r="Z42" s="378"/>
      <c r="AA42" s="432"/>
      <c r="AB42" s="425"/>
    </row>
    <row r="43" spans="1:28" ht="18.95" customHeight="1">
      <c r="A43" s="377"/>
      <c r="B43" s="378"/>
      <c r="C43" s="378"/>
      <c r="D43" s="378"/>
      <c r="E43" s="378"/>
      <c r="F43" s="868"/>
      <c r="G43" s="378"/>
      <c r="H43" s="378"/>
      <c r="I43" s="378"/>
      <c r="J43" s="378"/>
      <c r="K43" s="378"/>
      <c r="L43" s="378"/>
      <c r="M43" s="378"/>
      <c r="N43" s="425"/>
      <c r="O43" s="472"/>
      <c r="P43" s="1941" t="str">
        <f>+"*"&amp;R37&amp;"*"</f>
        <v>*2113*</v>
      </c>
      <c r="Q43" s="1941"/>
      <c r="R43" s="1941"/>
      <c r="S43" s="1941"/>
      <c r="U43" s="425"/>
      <c r="V43" s="377"/>
      <c r="W43" s="378"/>
      <c r="X43" s="378"/>
      <c r="Y43" s="378"/>
      <c r="Z43" s="378"/>
      <c r="AA43" s="432"/>
      <c r="AB43" s="425"/>
    </row>
    <row r="44" spans="1:28" ht="18.95" customHeight="1">
      <c r="A44" s="377"/>
      <c r="B44" s="378"/>
      <c r="C44" s="378"/>
      <c r="D44" s="378"/>
      <c r="E44" s="378"/>
      <c r="F44" s="425"/>
      <c r="G44" s="378"/>
      <c r="H44" s="378"/>
      <c r="I44" s="378"/>
      <c r="J44" s="378"/>
      <c r="K44" s="378"/>
      <c r="L44" s="378"/>
      <c r="M44" s="378"/>
      <c r="N44" s="425"/>
      <c r="O44" s="377"/>
      <c r="P44" s="1941"/>
      <c r="Q44" s="1941"/>
      <c r="R44" s="1941"/>
      <c r="S44" s="1941"/>
      <c r="T44" s="378"/>
      <c r="U44" s="425"/>
      <c r="V44" s="377"/>
      <c r="W44" s="378"/>
      <c r="X44" s="378"/>
      <c r="Y44" s="378"/>
      <c r="Z44" s="378"/>
      <c r="AA44" s="432"/>
      <c r="AB44" s="473"/>
    </row>
    <row r="45" spans="1:28" ht="18.95" customHeight="1">
      <c r="A45" s="377"/>
      <c r="B45" s="378"/>
      <c r="C45" s="378"/>
      <c r="D45" s="378"/>
      <c r="E45" s="378"/>
      <c r="F45" s="425"/>
      <c r="G45" s="378"/>
      <c r="H45" s="378"/>
      <c r="I45" s="378"/>
      <c r="J45" s="378"/>
      <c r="K45" s="378"/>
      <c r="L45" s="378"/>
      <c r="M45" s="378"/>
      <c r="N45" s="425"/>
      <c r="O45" s="377"/>
      <c r="P45" s="1941"/>
      <c r="Q45" s="1941"/>
      <c r="R45" s="1941"/>
      <c r="S45" s="1941"/>
      <c r="T45" s="378"/>
      <c r="U45" s="425"/>
      <c r="V45" s="377"/>
      <c r="W45" s="378" t="s">
        <v>249</v>
      </c>
      <c r="X45" s="378"/>
      <c r="Y45" s="378"/>
      <c r="Z45" s="378"/>
      <c r="AA45" s="432"/>
      <c r="AB45" s="425"/>
    </row>
    <row r="46" spans="1:28" ht="18.95" customHeight="1">
      <c r="A46" s="377"/>
      <c r="B46" s="378"/>
      <c r="C46" s="378"/>
      <c r="D46" s="378" t="s">
        <v>250</v>
      </c>
      <c r="E46" s="378"/>
      <c r="F46" s="425"/>
      <c r="G46" s="378"/>
      <c r="H46" s="378"/>
      <c r="I46" s="378"/>
      <c r="J46" s="378"/>
      <c r="K46" s="378"/>
      <c r="L46" s="378"/>
      <c r="M46" s="378"/>
      <c r="N46" s="425"/>
      <c r="O46" s="377"/>
      <c r="P46" s="1941"/>
      <c r="Q46" s="1941"/>
      <c r="R46" s="1941"/>
      <c r="S46" s="1941"/>
      <c r="T46" s="378"/>
      <c r="U46" s="425"/>
      <c r="V46" s="377"/>
      <c r="W46" s="378"/>
      <c r="X46" s="378" t="s">
        <v>251</v>
      </c>
      <c r="Y46" s="378"/>
      <c r="Z46" s="378"/>
      <c r="AA46" s="432"/>
      <c r="AB46" s="425"/>
    </row>
    <row r="47" spans="1:28" ht="18.95" customHeight="1">
      <c r="A47" s="377"/>
      <c r="B47" s="378"/>
      <c r="C47" s="378"/>
      <c r="D47" s="378"/>
      <c r="E47" s="378"/>
      <c r="F47" s="425"/>
      <c r="G47" s="378"/>
      <c r="H47" s="378"/>
      <c r="I47" s="378"/>
      <c r="J47" s="378"/>
      <c r="K47" s="378"/>
      <c r="L47" s="378"/>
      <c r="M47" s="378"/>
      <c r="N47" s="425"/>
      <c r="O47" s="377"/>
      <c r="P47" s="378"/>
      <c r="Q47" s="378"/>
      <c r="R47" s="378"/>
      <c r="S47" s="378"/>
      <c r="T47" s="378"/>
      <c r="U47" s="425"/>
      <c r="V47" s="377"/>
      <c r="W47" s="378"/>
      <c r="X47" s="474" t="s">
        <v>227</v>
      </c>
      <c r="Y47" s="378"/>
      <c r="Z47" s="432"/>
      <c r="AA47" s="432"/>
      <c r="AB47" s="425"/>
    </row>
    <row r="48" spans="1:28" ht="18.95" customHeight="1" thickBot="1">
      <c r="A48" s="455"/>
      <c r="B48" s="456"/>
      <c r="C48" s="456"/>
      <c r="D48" s="456"/>
      <c r="E48" s="456"/>
      <c r="F48" s="457"/>
      <c r="G48" s="456"/>
      <c r="H48" s="456"/>
      <c r="I48" s="456"/>
      <c r="J48" s="456"/>
      <c r="K48" s="456"/>
      <c r="L48" s="456"/>
      <c r="M48" s="456"/>
      <c r="N48" s="457"/>
      <c r="O48" s="377"/>
      <c r="U48" s="425"/>
      <c r="V48" s="377"/>
      <c r="W48" s="438"/>
      <c r="X48" s="378" t="s">
        <v>253</v>
      </c>
      <c r="Y48" s="378"/>
      <c r="Z48" s="476"/>
      <c r="AA48" s="477"/>
      <c r="AB48" s="425"/>
    </row>
    <row r="49" spans="1:28" ht="18.95" customHeight="1">
      <c r="A49" s="371"/>
      <c r="B49" s="379" t="s">
        <v>109</v>
      </c>
      <c r="C49" s="478"/>
      <c r="D49" s="372"/>
      <c r="E49" s="385" t="s">
        <v>9</v>
      </c>
      <c r="F49" s="372" t="s">
        <v>37</v>
      </c>
      <c r="G49" s="387"/>
      <c r="H49" s="371"/>
      <c r="I49" s="372"/>
      <c r="J49" s="372"/>
      <c r="K49" s="372"/>
      <c r="L49" s="372"/>
      <c r="M49" s="372"/>
      <c r="N49" s="387"/>
      <c r="O49" s="377"/>
      <c r="P49" s="378"/>
      <c r="Q49" s="378"/>
      <c r="R49" s="378"/>
      <c r="S49" s="378"/>
      <c r="T49" s="378"/>
      <c r="U49" s="425"/>
      <c r="V49" s="377"/>
      <c r="W49" s="438"/>
      <c r="X49" s="378"/>
      <c r="Y49" s="378"/>
      <c r="Z49" s="476"/>
      <c r="AA49" s="477"/>
      <c r="AB49" s="425"/>
    </row>
    <row r="50" spans="1:28" ht="18.95" customHeight="1">
      <c r="A50" s="479" t="s">
        <v>112</v>
      </c>
      <c r="B50" s="480"/>
      <c r="C50" s="481" t="s">
        <v>254</v>
      </c>
      <c r="D50" s="1932" t="str">
        <f>+DATI!M15</f>
        <v>RETE NERA</v>
      </c>
      <c r="E50" s="1933"/>
      <c r="F50" s="1933"/>
      <c r="G50" s="1934"/>
      <c r="H50" s="377"/>
      <c r="I50" s="378" t="s">
        <v>255</v>
      </c>
      <c r="J50" s="378"/>
      <c r="K50" s="378"/>
      <c r="L50" s="378"/>
      <c r="M50" s="378"/>
      <c r="N50" s="425"/>
      <c r="O50" s="377"/>
      <c r="P50" s="378"/>
      <c r="Q50" s="378"/>
      <c r="R50" s="378"/>
      <c r="S50" s="378"/>
      <c r="T50" s="378"/>
      <c r="U50" s="425"/>
      <c r="V50" s="377"/>
      <c r="W50" s="427"/>
      <c r="X50" s="378"/>
      <c r="Y50" s="378"/>
      <c r="Z50" s="378"/>
      <c r="AA50" s="378"/>
      <c r="AB50" s="425"/>
    </row>
    <row r="51" spans="1:28" ht="18.95" customHeight="1">
      <c r="A51" s="417"/>
      <c r="B51" s="418"/>
      <c r="C51" s="484"/>
      <c r="D51" s="1935"/>
      <c r="E51" s="1936"/>
      <c r="F51" s="1936"/>
      <c r="G51" s="1937"/>
      <c r="H51" s="377"/>
      <c r="I51" s="378"/>
      <c r="J51" s="378"/>
      <c r="K51" s="378"/>
      <c r="L51" s="378"/>
      <c r="M51" s="378"/>
      <c r="N51" s="425"/>
      <c r="O51" s="377"/>
      <c r="P51" s="378"/>
      <c r="Q51" s="378"/>
      <c r="R51" s="378"/>
      <c r="S51" s="378"/>
      <c r="T51" s="378"/>
      <c r="U51" s="425"/>
      <c r="V51" s="485" t="s">
        <v>256</v>
      </c>
      <c r="W51" s="449"/>
      <c r="X51" s="482"/>
      <c r="Y51" s="482"/>
      <c r="Z51" s="482"/>
      <c r="AA51" s="482"/>
      <c r="AB51" s="483"/>
    </row>
    <row r="52" spans="1:28" ht="18.95" customHeight="1">
      <c r="A52" s="377"/>
      <c r="B52" s="378"/>
      <c r="C52" s="486"/>
      <c r="D52" s="1938"/>
      <c r="E52" s="1939"/>
      <c r="F52" s="1939"/>
      <c r="G52" s="1940"/>
      <c r="H52" s="377"/>
      <c r="I52" s="487" t="s">
        <v>257</v>
      </c>
      <c r="J52" s="378"/>
      <c r="K52" s="488">
        <f>ROUNDUP((T4-42)*2+200,-2)</f>
        <v>4600</v>
      </c>
      <c r="L52" s="378" t="s">
        <v>473</v>
      </c>
      <c r="M52" s="378"/>
      <c r="N52" s="425"/>
      <c r="O52" s="377"/>
      <c r="P52" s="378"/>
      <c r="Q52" s="378"/>
      <c r="R52" s="432"/>
      <c r="S52" s="378"/>
      <c r="T52" s="378"/>
      <c r="U52" s="425"/>
      <c r="V52" s="433" t="s">
        <v>258</v>
      </c>
      <c r="W52" s="452"/>
      <c r="X52" s="378"/>
      <c r="Y52" s="378"/>
      <c r="Z52" s="378"/>
      <c r="AA52" s="378"/>
      <c r="AB52" s="425"/>
    </row>
    <row r="53" spans="1:28" ht="18.95" customHeight="1">
      <c r="A53" s="377"/>
      <c r="B53" s="378"/>
      <c r="C53" s="486"/>
      <c r="D53" s="467"/>
      <c r="E53" s="467" t="s">
        <v>259</v>
      </c>
      <c r="F53" s="467" t="s">
        <v>260</v>
      </c>
      <c r="G53" s="489"/>
      <c r="H53" s="490"/>
      <c r="I53" s="378"/>
      <c r="J53" s="488"/>
      <c r="K53" s="378"/>
      <c r="L53" s="378"/>
      <c r="M53" s="378"/>
      <c r="N53" s="425"/>
      <c r="O53" s="377"/>
      <c r="P53" s="378"/>
      <c r="Q53" s="378"/>
      <c r="R53" s="432"/>
      <c r="S53" s="378"/>
      <c r="T53" s="378"/>
      <c r="U53" s="425"/>
      <c r="V53" s="491" t="s">
        <v>261</v>
      </c>
      <c r="W53" s="452"/>
      <c r="X53" s="378" t="s">
        <v>262</v>
      </c>
      <c r="Y53" s="378"/>
      <c r="Z53" s="378"/>
      <c r="AA53" s="378"/>
      <c r="AB53" s="425"/>
    </row>
    <row r="54" spans="1:28" ht="18.95" customHeight="1">
      <c r="A54" s="377"/>
      <c r="B54" s="378"/>
      <c r="C54" s="486"/>
      <c r="D54" s="378"/>
      <c r="E54" s="378"/>
      <c r="F54" s="378"/>
      <c r="G54" s="483"/>
      <c r="H54" s="377"/>
      <c r="I54" s="378"/>
      <c r="J54" s="378"/>
      <c r="K54" s="378"/>
      <c r="L54" s="378"/>
      <c r="M54" s="378"/>
      <c r="N54" s="425"/>
      <c r="O54" s="377"/>
      <c r="P54" s="378"/>
      <c r="Q54" s="378"/>
      <c r="R54" s="438" t="s">
        <v>248</v>
      </c>
      <c r="S54" s="378">
        <f>IF(T4&gt;1964,4,IF(AND(T4&lt;1964,T4&gt;1230),3,2))</f>
        <v>4</v>
      </c>
      <c r="T54" s="378" t="s">
        <v>48</v>
      </c>
      <c r="U54" s="425"/>
      <c r="V54" s="491" t="s">
        <v>263</v>
      </c>
      <c r="W54" s="452"/>
      <c r="X54" s="378" t="s">
        <v>264</v>
      </c>
      <c r="Y54" s="432">
        <v>115</v>
      </c>
      <c r="Z54" s="434" t="s">
        <v>265</v>
      </c>
      <c r="AA54" s="437">
        <f>T4-42+207</f>
        <v>2365</v>
      </c>
      <c r="AB54" s="425"/>
    </row>
    <row r="55" spans="1:28" ht="18.95" customHeight="1">
      <c r="A55" s="377"/>
      <c r="B55" s="378"/>
      <c r="C55" s="486"/>
      <c r="D55" s="378"/>
      <c r="E55" s="378"/>
      <c r="F55" s="378"/>
      <c r="G55" s="425"/>
      <c r="H55" s="377"/>
      <c r="I55" s="378"/>
      <c r="J55" s="378"/>
      <c r="K55" s="378"/>
      <c r="L55" s="378"/>
      <c r="M55" s="378"/>
      <c r="N55" s="425"/>
      <c r="O55" s="377"/>
      <c r="P55" s="378"/>
      <c r="Q55" s="378"/>
      <c r="R55" s="378"/>
      <c r="S55" s="438" t="s">
        <v>252</v>
      </c>
      <c r="T55" s="475">
        <f>(K13-100)/(W4+1)</f>
        <v>411.2</v>
      </c>
      <c r="U55" s="425"/>
      <c r="V55" s="491" t="s">
        <v>266</v>
      </c>
      <c r="W55" s="452"/>
      <c r="X55" s="378" t="s">
        <v>37</v>
      </c>
      <c r="Y55" s="378"/>
      <c r="Z55" s="378"/>
      <c r="AA55" s="378"/>
      <c r="AB55" s="425"/>
    </row>
    <row r="56" spans="1:28" ht="18.95" customHeight="1">
      <c r="A56" s="377"/>
      <c r="B56" s="378"/>
      <c r="C56" s="486"/>
      <c r="D56" s="378"/>
      <c r="E56" s="378"/>
      <c r="F56" s="378"/>
      <c r="G56" s="425"/>
      <c r="H56" s="377"/>
      <c r="I56" s="378"/>
      <c r="J56" s="378"/>
      <c r="K56" s="378"/>
      <c r="L56" s="378"/>
      <c r="M56" s="378"/>
      <c r="N56" s="425"/>
      <c r="O56" s="377"/>
      <c r="P56" s="378"/>
      <c r="Q56" s="378"/>
      <c r="R56" s="378"/>
      <c r="S56" s="378"/>
      <c r="T56" s="378"/>
      <c r="U56" s="425"/>
      <c r="V56" s="491" t="s">
        <v>266</v>
      </c>
      <c r="W56" s="452"/>
      <c r="X56" s="378"/>
      <c r="Y56" s="378"/>
      <c r="Z56" s="378"/>
      <c r="AA56" s="378"/>
      <c r="AB56" s="425"/>
    </row>
    <row r="57" spans="1:28" ht="18.95" customHeight="1" thickBot="1">
      <c r="A57" s="455"/>
      <c r="B57" s="456"/>
      <c r="C57" s="492"/>
      <c r="D57" s="456"/>
      <c r="E57" s="456"/>
      <c r="F57" s="456"/>
      <c r="G57" s="457"/>
      <c r="H57" s="455"/>
      <c r="I57" s="456"/>
      <c r="J57" s="456"/>
      <c r="K57" s="456"/>
      <c r="L57" s="456"/>
      <c r="M57" s="456"/>
      <c r="N57" s="457"/>
      <c r="O57" s="455"/>
      <c r="P57" s="456"/>
      <c r="Q57" s="456"/>
      <c r="R57" s="456"/>
      <c r="S57" s="456"/>
      <c r="T57" s="456"/>
      <c r="U57" s="457"/>
      <c r="V57" s="493" t="s">
        <v>267</v>
      </c>
      <c r="W57" s="494"/>
      <c r="X57" s="456"/>
      <c r="Y57" s="456"/>
      <c r="Z57" s="456"/>
      <c r="AA57" s="456"/>
      <c r="AB57" s="457"/>
    </row>
    <row r="58" spans="1:28" ht="18.95" customHeight="1">
      <c r="K58" s="495"/>
      <c r="Z58" s="376" t="s">
        <v>268</v>
      </c>
      <c r="AA58" s="496"/>
      <c r="AB58" s="497"/>
    </row>
  </sheetData>
  <mergeCells count="9">
    <mergeCell ref="H30:M31"/>
    <mergeCell ref="G7:J10"/>
    <mergeCell ref="AA1:AB2"/>
    <mergeCell ref="D50:G52"/>
    <mergeCell ref="G28:N29"/>
    <mergeCell ref="Q14:S17"/>
    <mergeCell ref="P43:S46"/>
    <mergeCell ref="V9:AB9"/>
    <mergeCell ref="W17:Z21"/>
  </mergeCells>
  <conditionalFormatting sqref="H30">
    <cfRule type="cellIs" dxfId="15" priority="1" stopIfTrue="1" operator="equal">
      <formula>"RETE GRIGIA"</formula>
    </cfRule>
  </conditionalFormatting>
  <pageMargins left="0.74803149606299213" right="0.74803149606299213" top="0.98425196850393704" bottom="0.98425196850393704" header="0.51181102362204722" footer="0.51181102362204722"/>
  <pageSetup paperSize="9" scale="41" orientation="landscape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1">
    <tabColor rgb="FFFF0000"/>
    <pageSetUpPr fitToPage="1"/>
  </sheetPr>
  <dimension ref="A1:AF56"/>
  <sheetViews>
    <sheetView zoomScale="55" zoomScaleNormal="55" workbookViewId="0">
      <selection activeCell="G3" sqref="G3:P3"/>
    </sheetView>
  </sheetViews>
  <sheetFormatPr defaultRowHeight="25.5" outlineLevelCol="1"/>
  <cols>
    <col min="1" max="1" width="65.85546875" style="712" customWidth="1" outlineLevel="1"/>
    <col min="2" max="2" width="65.5703125" style="769" customWidth="1" outlineLevel="1"/>
    <col min="3" max="3" width="6.140625" style="769" customWidth="1" outlineLevel="1"/>
    <col min="4" max="4" width="16.85546875" style="711" customWidth="1"/>
    <col min="5" max="5" width="20.140625" style="711" customWidth="1"/>
    <col min="6" max="6" width="9.140625" style="711"/>
    <col min="7" max="7" width="13.140625" style="711" customWidth="1"/>
    <col min="8" max="8" width="18" style="711" customWidth="1"/>
    <col min="9" max="9" width="9.140625" style="711"/>
    <col min="10" max="10" width="9.28515625" style="711" bestFit="1" customWidth="1"/>
    <col min="11" max="11" width="10.7109375" style="711" customWidth="1"/>
    <col min="12" max="12" width="9.85546875" style="711" bestFit="1" customWidth="1"/>
    <col min="13" max="13" width="12.28515625" style="711" customWidth="1"/>
    <col min="14" max="14" width="14.28515625" style="711" customWidth="1"/>
    <col min="15" max="15" width="13.7109375" style="711" customWidth="1"/>
    <col min="16" max="16" width="13.85546875" style="711" customWidth="1"/>
    <col min="17" max="17" width="11.140625" style="711" customWidth="1"/>
    <col min="18" max="18" width="2.7109375" style="711" customWidth="1"/>
    <col min="19" max="19" width="9.140625" style="711" customWidth="1"/>
    <col min="20" max="20" width="24" style="711" customWidth="1"/>
    <col min="21" max="21" width="12.42578125" style="711" customWidth="1"/>
    <col min="22" max="22" width="32.42578125" style="711" bestFit="1" customWidth="1"/>
    <col min="23" max="23" width="15.7109375" style="711" customWidth="1"/>
    <col min="24" max="24" width="9.42578125" style="711" bestFit="1" customWidth="1"/>
    <col min="25" max="25" width="13" style="711" customWidth="1"/>
    <col min="26" max="26" width="11.42578125" style="711" customWidth="1"/>
    <col min="27" max="27" width="17.5703125" style="711" customWidth="1"/>
    <col min="28" max="28" width="33.28515625" style="711" customWidth="1"/>
    <col min="29" max="29" width="15.5703125" style="711" customWidth="1"/>
    <col min="30" max="30" width="12.140625" style="711" customWidth="1"/>
    <col min="31" max="31" width="6.42578125" style="711" customWidth="1"/>
    <col min="32" max="32" width="4.140625" style="711" customWidth="1"/>
    <col min="33" max="16384" width="9.140625" style="711"/>
  </cols>
  <sheetData>
    <row r="1" spans="1:31" ht="33">
      <c r="D1" s="1950" t="s">
        <v>380</v>
      </c>
      <c r="E1" s="1950"/>
      <c r="F1" s="1950"/>
      <c r="G1" s="1950"/>
      <c r="H1" s="1950"/>
      <c r="I1" s="1950"/>
      <c r="J1" s="1950"/>
      <c r="K1" s="1950"/>
      <c r="L1" s="1950"/>
      <c r="M1" s="1950"/>
      <c r="N1" s="1950"/>
      <c r="O1" s="1950"/>
      <c r="P1" s="1950"/>
      <c r="Q1" s="1950"/>
      <c r="R1" s="1950"/>
      <c r="S1" s="1950"/>
      <c r="T1" s="1950"/>
      <c r="U1" s="1950"/>
      <c r="V1" s="1950"/>
      <c r="W1" s="1950"/>
      <c r="X1" s="1950"/>
      <c r="Y1" s="1950"/>
      <c r="Z1" s="1950"/>
      <c r="AA1" s="1950"/>
      <c r="AB1" s="1950"/>
      <c r="AC1" s="1950"/>
      <c r="AD1" s="1950"/>
      <c r="AE1" s="1950"/>
    </row>
    <row r="2" spans="1:31" ht="26.25" thickBot="1">
      <c r="N2" s="710"/>
      <c r="O2" s="710"/>
      <c r="P2" s="710"/>
      <c r="Q2" s="710"/>
      <c r="R2" s="710"/>
      <c r="S2" s="710"/>
      <c r="T2" s="710"/>
      <c r="U2" s="710"/>
      <c r="V2" s="710"/>
    </row>
    <row r="3" spans="1:31" ht="20.100000000000001" customHeight="1">
      <c r="D3" s="709"/>
      <c r="E3" s="708" t="s">
        <v>381</v>
      </c>
      <c r="F3" s="707"/>
      <c r="G3" s="706"/>
      <c r="H3" s="708" t="s">
        <v>382</v>
      </c>
      <c r="I3" s="707"/>
      <c r="J3" s="706"/>
      <c r="K3" s="708" t="s">
        <v>383</v>
      </c>
      <c r="L3" s="707"/>
      <c r="M3" s="705"/>
      <c r="N3" s="704" t="s">
        <v>384</v>
      </c>
      <c r="O3" s="715"/>
      <c r="P3" s="716"/>
      <c r="Q3" s="708" t="s">
        <v>37</v>
      </c>
      <c r="R3" s="707"/>
      <c r="S3" s="706" t="s">
        <v>385</v>
      </c>
      <c r="T3" s="717" t="s">
        <v>143</v>
      </c>
      <c r="U3" s="718" t="s">
        <v>144</v>
      </c>
      <c r="V3" s="707"/>
      <c r="W3" s="719" t="s">
        <v>145</v>
      </c>
      <c r="X3" s="707" t="s">
        <v>386</v>
      </c>
      <c r="Y3" s="716"/>
      <c r="Z3" s="719" t="s">
        <v>387</v>
      </c>
      <c r="AA3" s="707"/>
      <c r="AB3" s="720" t="s">
        <v>149</v>
      </c>
      <c r="AC3" s="716"/>
      <c r="AD3" s="708" t="s">
        <v>148</v>
      </c>
      <c r="AE3" s="721"/>
    </row>
    <row r="4" spans="1:31" s="733" customFormat="1" ht="30" customHeight="1" thickBot="1">
      <c r="A4" s="712"/>
      <c r="B4" s="769"/>
      <c r="C4" s="769"/>
      <c r="D4" s="722"/>
      <c r="E4" s="713">
        <f>+DATI!C4</f>
        <v>0</v>
      </c>
      <c r="F4" s="724"/>
      <c r="G4" s="725"/>
      <c r="H4" s="726"/>
      <c r="I4" s="724"/>
      <c r="J4" s="725"/>
      <c r="K4" s="726"/>
      <c r="L4" s="724"/>
      <c r="M4" s="725"/>
      <c r="N4" s="723">
        <f>+DATI!C5</f>
        <v>42370</v>
      </c>
      <c r="O4" s="724"/>
      <c r="P4" s="727"/>
      <c r="Q4" s="726"/>
      <c r="R4" s="724"/>
      <c r="S4" s="728" t="e">
        <f>+VLOOKUP(DATI!C3,DATI!AB:AI,3,0)</f>
        <v>#N/A</v>
      </c>
      <c r="T4" s="729">
        <f>+DATI!C7</f>
        <v>1400</v>
      </c>
      <c r="U4" s="724"/>
      <c r="V4" s="724"/>
      <c r="W4" s="729">
        <f>+DATI!C8</f>
        <v>2200</v>
      </c>
      <c r="X4" s="726">
        <f>+W4-29</f>
        <v>2171</v>
      </c>
      <c r="Y4" s="727"/>
      <c r="Z4" s="730">
        <f>IF(N13&lt;551,0,IF(N13&lt;1001,1,IF(N13&lt;1451,2,IF(N13&lt;1901,3,IF(N13&lt;2351,4,5)))))</f>
        <v>4</v>
      </c>
      <c r="AA4" s="724"/>
      <c r="AB4" s="731" t="str">
        <f>+DATI!C10</f>
        <v>06.NERO</v>
      </c>
      <c r="AC4" s="727"/>
      <c r="AD4" s="723" t="str">
        <f>+DATI!C11</f>
        <v>1</v>
      </c>
      <c r="AE4" s="732" t="s">
        <v>171</v>
      </c>
    </row>
    <row r="5" spans="1:31" ht="40.5" customHeight="1" thickBot="1">
      <c r="D5" s="1951" t="s">
        <v>169</v>
      </c>
      <c r="E5" s="1952"/>
      <c r="F5" s="1952"/>
      <c r="G5" s="1952"/>
      <c r="H5" s="1952"/>
      <c r="I5" s="1952"/>
      <c r="J5" s="734"/>
      <c r="K5" s="735" t="s">
        <v>388</v>
      </c>
      <c r="M5" s="734"/>
      <c r="N5" s="736"/>
      <c r="O5" s="737" t="s">
        <v>37</v>
      </c>
      <c r="P5" s="738"/>
      <c r="Q5" s="734"/>
      <c r="R5" s="739" t="s">
        <v>225</v>
      </c>
      <c r="S5" s="734"/>
      <c r="T5" s="737"/>
      <c r="U5" s="738"/>
      <c r="W5" s="739" t="s">
        <v>5</v>
      </c>
      <c r="X5" s="734"/>
      <c r="Y5" s="734"/>
      <c r="Z5" s="736"/>
      <c r="AA5" s="734"/>
      <c r="AB5" s="736"/>
      <c r="AC5" s="734"/>
      <c r="AD5" s="736"/>
      <c r="AE5" s="734"/>
    </row>
    <row r="6" spans="1:31" s="745" customFormat="1" ht="24.75" customHeight="1">
      <c r="A6" s="712"/>
      <c r="B6" s="769"/>
      <c r="C6" s="769"/>
      <c r="D6" s="740"/>
      <c r="E6" s="741"/>
      <c r="F6" s="741"/>
      <c r="G6" s="742" t="s">
        <v>0</v>
      </c>
      <c r="H6" s="741"/>
      <c r="I6" s="743"/>
      <c r="J6" s="880"/>
      <c r="K6" s="812"/>
      <c r="L6" s="812"/>
      <c r="M6" s="812"/>
      <c r="N6" s="813" t="s">
        <v>155</v>
      </c>
      <c r="O6" s="812"/>
      <c r="P6" s="812"/>
      <c r="Q6" s="881"/>
      <c r="R6" s="1947" t="s">
        <v>86</v>
      </c>
      <c r="S6" s="1948"/>
      <c r="T6" s="1948"/>
      <c r="U6" s="1948"/>
      <c r="V6" s="1948"/>
      <c r="W6" s="1948"/>
      <c r="X6" s="1949"/>
      <c r="Y6" s="741"/>
      <c r="Z6" s="741"/>
      <c r="AA6" s="741"/>
      <c r="AB6" s="742"/>
      <c r="AC6" s="741"/>
      <c r="AD6" s="741"/>
      <c r="AE6" s="744"/>
    </row>
    <row r="7" spans="1:31" ht="24.75" customHeight="1">
      <c r="D7" s="746"/>
      <c r="E7" s="747"/>
      <c r="F7" s="748"/>
      <c r="G7" s="747"/>
      <c r="H7" s="747"/>
      <c r="I7" s="749"/>
      <c r="J7" s="1963" t="e">
        <f>IF(DATI!E13&lt;&gt;"AUTOMATICA","*"&amp;DATI!L14&amp;RIGHT(("000"&amp;P8),3)&amp;RIGHT(("0000"&amp;N13),4)&amp;DATI!L13&amp;"*","*"&amp;DATI!E14&amp;"-"&amp;RIGHT(("0000"&amp;N13),4)&amp;"*")</f>
        <v>#VALUE!</v>
      </c>
      <c r="K7" s="1964"/>
      <c r="L7" s="1964"/>
      <c r="M7" s="1964"/>
      <c r="N7" s="750"/>
      <c r="O7" s="751"/>
      <c r="P7" s="752"/>
      <c r="Q7" s="882"/>
      <c r="R7" s="1947" t="s">
        <v>271</v>
      </c>
      <c r="S7" s="1948"/>
      <c r="T7" s="1948"/>
      <c r="U7" s="1948"/>
      <c r="V7" s="1948"/>
      <c r="W7" s="1948"/>
      <c r="X7" s="1949"/>
      <c r="Y7" s="753"/>
      <c r="Z7" s="734"/>
      <c r="AA7" s="734"/>
      <c r="AB7" s="734"/>
      <c r="AC7" s="734"/>
      <c r="AD7" s="734"/>
      <c r="AE7" s="754"/>
    </row>
    <row r="8" spans="1:31" ht="24.75" customHeight="1">
      <c r="D8" s="755"/>
      <c r="E8" s="756" t="s">
        <v>3</v>
      </c>
      <c r="F8" s="710"/>
      <c r="G8" s="657">
        <f>+DATI!C6</f>
        <v>0</v>
      </c>
      <c r="H8" s="710"/>
      <c r="I8" s="758"/>
      <c r="J8" s="1965"/>
      <c r="K8" s="1966"/>
      <c r="L8" s="1966"/>
      <c r="M8" s="1966"/>
      <c r="N8" s="710"/>
      <c r="O8" s="802" t="s">
        <v>80</v>
      </c>
      <c r="P8" s="761">
        <f>ROUNDUP((T4-65)*0.036,0)</f>
        <v>49</v>
      </c>
      <c r="Q8" s="758"/>
      <c r="R8" s="759"/>
      <c r="S8" s="710"/>
      <c r="T8" s="710"/>
      <c r="U8" s="710"/>
      <c r="V8" s="710"/>
      <c r="W8" s="710"/>
      <c r="X8" s="758"/>
      <c r="Y8" s="759"/>
      <c r="Z8" s="762" t="s">
        <v>472</v>
      </c>
      <c r="AA8" s="710"/>
      <c r="AB8" s="710"/>
      <c r="AC8" s="772">
        <f>+T4-5</f>
        <v>1395</v>
      </c>
      <c r="AD8" s="710"/>
      <c r="AE8" s="763"/>
    </row>
    <row r="9" spans="1:31" ht="24.75" customHeight="1">
      <c r="D9" s="755"/>
      <c r="E9" s="756" t="s">
        <v>223</v>
      </c>
      <c r="F9" s="710" t="s">
        <v>224</v>
      </c>
      <c r="G9" s="757" t="s">
        <v>464</v>
      </c>
      <c r="H9" s="710"/>
      <c r="I9" s="758"/>
      <c r="J9" s="1965"/>
      <c r="K9" s="1966"/>
      <c r="L9" s="1966"/>
      <c r="M9" s="1966"/>
      <c r="N9" s="710"/>
      <c r="O9" s="710"/>
      <c r="P9" s="710"/>
      <c r="Q9" s="758"/>
      <c r="R9" s="759"/>
      <c r="S9" s="710"/>
      <c r="T9" s="710"/>
      <c r="U9" s="710"/>
      <c r="V9" s="710"/>
      <c r="W9" s="710"/>
      <c r="X9" s="758"/>
      <c r="Y9" s="759"/>
      <c r="Z9" s="757"/>
      <c r="AA9" s="710"/>
      <c r="AB9" s="710"/>
      <c r="AC9" s="710"/>
      <c r="AD9" s="710"/>
      <c r="AE9" s="763"/>
    </row>
    <row r="10" spans="1:31" ht="24.75" customHeight="1">
      <c r="D10" s="755"/>
      <c r="E10" s="710"/>
      <c r="F10" s="710"/>
      <c r="G10" s="757"/>
      <c r="H10" s="764"/>
      <c r="I10" s="758"/>
      <c r="J10" s="1965"/>
      <c r="K10" s="1966"/>
      <c r="L10" s="1966"/>
      <c r="M10" s="1966"/>
      <c r="N10" s="757"/>
      <c r="O10" s="757"/>
      <c r="P10" s="757"/>
      <c r="Q10" s="758"/>
      <c r="R10" s="759"/>
      <c r="S10" s="710"/>
      <c r="T10" s="710"/>
      <c r="U10" s="710"/>
      <c r="V10" s="710"/>
      <c r="W10" s="710"/>
      <c r="X10" s="758"/>
      <c r="Y10" s="759"/>
      <c r="Z10" s="710"/>
      <c r="AA10" s="710"/>
      <c r="AB10" s="710"/>
      <c r="AC10" s="710"/>
      <c r="AD10" s="710"/>
      <c r="AE10" s="763"/>
    </row>
    <row r="11" spans="1:31" ht="24.75" customHeight="1">
      <c r="D11" s="755"/>
      <c r="E11" s="756" t="s">
        <v>389</v>
      </c>
      <c r="F11" s="710" t="s">
        <v>224</v>
      </c>
      <c r="G11" s="714" t="str">
        <f>+DATI!C11</f>
        <v>1</v>
      </c>
      <c r="H11" s="710"/>
      <c r="I11" s="758"/>
      <c r="J11" s="759"/>
      <c r="K11" s="710"/>
      <c r="L11" s="757"/>
      <c r="M11" s="757"/>
      <c r="N11" s="757"/>
      <c r="O11" s="757"/>
      <c r="P11" s="757"/>
      <c r="Q11" s="758"/>
      <c r="R11" s="759"/>
      <c r="S11" s="762"/>
      <c r="T11" s="761" t="s">
        <v>390</v>
      </c>
      <c r="U11" s="765">
        <f>W4-135</f>
        <v>2065</v>
      </c>
      <c r="V11" s="710"/>
      <c r="W11" s="710"/>
      <c r="X11" s="758"/>
      <c r="Y11" s="759"/>
      <c r="Z11" s="710"/>
      <c r="AA11" s="710"/>
      <c r="AB11" s="710"/>
      <c r="AC11" s="710"/>
      <c r="AD11" s="710"/>
      <c r="AE11" s="763"/>
    </row>
    <row r="12" spans="1:31" ht="24.75" customHeight="1">
      <c r="D12" s="755" t="s">
        <v>37</v>
      </c>
      <c r="E12" s="766" t="s">
        <v>37</v>
      </c>
      <c r="F12" s="710" t="s">
        <v>37</v>
      </c>
      <c r="G12" s="762" t="s">
        <v>37</v>
      </c>
      <c r="H12" s="710"/>
      <c r="I12" s="758"/>
      <c r="J12" s="759"/>
      <c r="K12" s="710"/>
      <c r="L12" s="757"/>
      <c r="M12" s="757"/>
      <c r="N12" s="757"/>
      <c r="O12" s="757"/>
      <c r="P12" s="757"/>
      <c r="Q12" s="758"/>
      <c r="R12" s="759"/>
      <c r="S12" s="710"/>
      <c r="T12" s="710"/>
      <c r="U12" s="710"/>
      <c r="V12" s="710"/>
      <c r="W12" s="710"/>
      <c r="X12" s="758"/>
      <c r="Y12" s="759"/>
      <c r="Z12" s="710"/>
      <c r="AA12" s="710"/>
      <c r="AB12" s="710"/>
      <c r="AC12" s="710"/>
      <c r="AD12" s="710"/>
      <c r="AE12" s="763"/>
    </row>
    <row r="13" spans="1:31" ht="24.75" customHeight="1">
      <c r="D13" s="755"/>
      <c r="E13" s="710"/>
      <c r="F13" s="710"/>
      <c r="G13" s="710"/>
      <c r="H13" s="710"/>
      <c r="I13" s="758"/>
      <c r="J13" s="759"/>
      <c r="K13" s="762" t="s">
        <v>391</v>
      </c>
      <c r="L13" s="710"/>
      <c r="M13" s="767"/>
      <c r="N13" s="768">
        <f>W4-64</f>
        <v>2136</v>
      </c>
      <c r="O13" s="762" t="s">
        <v>392</v>
      </c>
      <c r="P13" s="710"/>
      <c r="Q13" s="758"/>
      <c r="R13" s="759"/>
      <c r="S13" s="710"/>
      <c r="T13" s="710"/>
      <c r="U13" s="710"/>
      <c r="V13" s="710"/>
      <c r="W13" s="710"/>
      <c r="X13" s="758"/>
      <c r="Y13" s="759"/>
      <c r="Z13" s="1942" t="str">
        <f>+"*"&amp;AC8&amp;"*"</f>
        <v>*1395*</v>
      </c>
      <c r="AA13" s="1942"/>
      <c r="AB13" s="1942"/>
      <c r="AC13" s="1942"/>
      <c r="AD13" s="710"/>
      <c r="AE13" s="763"/>
    </row>
    <row r="14" spans="1:31" ht="24.75" customHeight="1">
      <c r="D14" s="755"/>
      <c r="E14" s="766"/>
      <c r="F14" s="710"/>
      <c r="G14" s="770"/>
      <c r="H14" s="710"/>
      <c r="I14" s="758"/>
      <c r="J14" s="759"/>
      <c r="K14" s="710"/>
      <c r="L14" s="710"/>
      <c r="M14" s="710"/>
      <c r="N14" s="710"/>
      <c r="O14" s="710"/>
      <c r="P14" s="710"/>
      <c r="Q14" s="758"/>
      <c r="R14" s="759"/>
      <c r="S14" s="710"/>
      <c r="T14" s="710"/>
      <c r="U14" s="710"/>
      <c r="V14" s="710"/>
      <c r="W14" s="710"/>
      <c r="X14" s="758"/>
      <c r="Y14" s="759"/>
      <c r="Z14" s="1942"/>
      <c r="AA14" s="1942"/>
      <c r="AB14" s="1942"/>
      <c r="AC14" s="1942"/>
      <c r="AD14" s="710"/>
      <c r="AE14" s="763"/>
    </row>
    <row r="15" spans="1:31" ht="24.75" customHeight="1">
      <c r="D15" s="755"/>
      <c r="E15" s="756"/>
      <c r="F15" s="710"/>
      <c r="G15" s="762"/>
      <c r="H15" s="710"/>
      <c r="I15" s="758"/>
      <c r="J15" s="759"/>
      <c r="K15" s="762" t="s">
        <v>168</v>
      </c>
      <c r="L15" s="710"/>
      <c r="M15" s="771"/>
      <c r="N15" s="771"/>
      <c r="O15" s="771"/>
      <c r="P15" s="771"/>
      <c r="Q15" s="758"/>
      <c r="R15" s="759"/>
      <c r="S15" s="710"/>
      <c r="T15" s="1976" t="str">
        <f>+"*"&amp;U11&amp;"*"</f>
        <v>*2065*</v>
      </c>
      <c r="U15" s="1976"/>
      <c r="V15" s="1976"/>
      <c r="W15" s="710"/>
      <c r="X15" s="758"/>
      <c r="Y15" s="759"/>
      <c r="Z15" s="1942"/>
      <c r="AA15" s="1942"/>
      <c r="AB15" s="1942"/>
      <c r="AC15" s="1942"/>
      <c r="AD15" s="710"/>
      <c r="AE15" s="763"/>
    </row>
    <row r="16" spans="1:31" ht="24.75" customHeight="1">
      <c r="D16" s="755"/>
      <c r="E16" s="767" t="s">
        <v>7</v>
      </c>
      <c r="F16" s="710" t="s">
        <v>224</v>
      </c>
      <c r="G16" s="714" t="str">
        <f>+DATI!C10</f>
        <v>06.NERO</v>
      </c>
      <c r="H16" s="762"/>
      <c r="I16" s="758"/>
      <c r="J16" s="759"/>
      <c r="K16" s="710"/>
      <c r="L16" s="710"/>
      <c r="M16" s="710"/>
      <c r="N16" s="710"/>
      <c r="O16" s="710"/>
      <c r="P16" s="710"/>
      <c r="Q16" s="758"/>
      <c r="R16" s="759"/>
      <c r="S16" s="710"/>
      <c r="T16" s="1976"/>
      <c r="U16" s="1976"/>
      <c r="V16" s="1976"/>
      <c r="W16" s="710"/>
      <c r="X16" s="758"/>
      <c r="Y16" s="759"/>
      <c r="Z16" s="1942"/>
      <c r="AA16" s="1942"/>
      <c r="AB16" s="1942"/>
      <c r="AC16" s="1942"/>
      <c r="AD16" s="710"/>
      <c r="AE16" s="763"/>
    </row>
    <row r="17" spans="1:31" ht="24.75" customHeight="1">
      <c r="D17" s="755"/>
      <c r="E17" s="710"/>
      <c r="F17" s="710"/>
      <c r="G17" s="772"/>
      <c r="H17" s="710"/>
      <c r="I17" s="758"/>
      <c r="J17" s="759"/>
      <c r="K17" s="710"/>
      <c r="L17" s="710"/>
      <c r="M17" s="710"/>
      <c r="N17" s="710"/>
      <c r="O17" s="710"/>
      <c r="P17" s="710"/>
      <c r="Q17" s="758"/>
      <c r="R17" s="759"/>
      <c r="S17" s="710"/>
      <c r="T17" s="1976"/>
      <c r="U17" s="1976"/>
      <c r="V17" s="1976"/>
      <c r="W17" s="710"/>
      <c r="X17" s="758"/>
      <c r="Y17" s="759"/>
      <c r="Z17" s="1942"/>
      <c r="AA17" s="1942"/>
      <c r="AB17" s="1942"/>
      <c r="AC17" s="1942"/>
      <c r="AD17" s="710"/>
      <c r="AE17" s="763"/>
    </row>
    <row r="18" spans="1:31" ht="24.75" customHeight="1">
      <c r="D18" s="755"/>
      <c r="E18" s="710"/>
      <c r="F18" s="710"/>
      <c r="G18" s="710"/>
      <c r="H18" s="710"/>
      <c r="I18" s="758"/>
      <c r="J18" s="773">
        <v>50</v>
      </c>
      <c r="K18" s="774"/>
      <c r="L18" s="775"/>
      <c r="M18" s="768"/>
      <c r="N18" s="768"/>
      <c r="O18" s="768"/>
      <c r="P18" s="768"/>
      <c r="Q18" s="758"/>
      <c r="R18" s="759"/>
      <c r="S18" s="710"/>
      <c r="T18" s="1976"/>
      <c r="U18" s="1976"/>
      <c r="V18" s="1976"/>
      <c r="W18" s="710"/>
      <c r="X18" s="758"/>
      <c r="Y18" s="759"/>
      <c r="Z18" s="710"/>
      <c r="AA18" s="710"/>
      <c r="AB18" s="710"/>
      <c r="AC18" s="710"/>
      <c r="AD18" s="710"/>
      <c r="AE18" s="763"/>
    </row>
    <row r="19" spans="1:31" ht="24.75" customHeight="1">
      <c r="D19" s="755"/>
      <c r="E19" s="710"/>
      <c r="F19" s="710"/>
      <c r="G19" s="710"/>
      <c r="H19" s="710"/>
      <c r="I19" s="758"/>
      <c r="J19" s="776"/>
      <c r="K19" s="777">
        <f>IF(Z4=0,N13-50,L20-P27)</f>
        <v>457.19999999999987</v>
      </c>
      <c r="L19" s="768"/>
      <c r="M19" s="768"/>
      <c r="N19" s="768"/>
      <c r="O19" s="768"/>
      <c r="P19" s="768"/>
      <c r="Q19" s="758"/>
      <c r="R19" s="759"/>
      <c r="S19" s="710"/>
      <c r="T19" s="710"/>
      <c r="U19" s="771"/>
      <c r="V19" s="710"/>
      <c r="W19" s="710"/>
      <c r="X19" s="758"/>
      <c r="Y19" s="759"/>
      <c r="Z19" s="710"/>
      <c r="AA19" s="710"/>
      <c r="AB19" s="710"/>
      <c r="AC19" s="762"/>
      <c r="AD19" s="710"/>
      <c r="AE19" s="763"/>
    </row>
    <row r="20" spans="1:31" ht="24.75" customHeight="1">
      <c r="D20" s="755"/>
      <c r="E20" s="710"/>
      <c r="F20" s="710"/>
      <c r="G20" s="710"/>
      <c r="H20" s="710"/>
      <c r="I20" s="758"/>
      <c r="J20" s="776"/>
      <c r="K20" s="768"/>
      <c r="L20" s="778">
        <f>IF(Z4&lt;1,"VUOTO",IF(Z4=1,N13-50,M21-P27))</f>
        <v>864.39999999999986</v>
      </c>
      <c r="M20" s="768"/>
      <c r="N20" s="768"/>
      <c r="O20" s="768"/>
      <c r="P20" s="768"/>
      <c r="Q20" s="758"/>
      <c r="R20" s="759"/>
      <c r="S20" s="710" t="s">
        <v>393</v>
      </c>
      <c r="T20" s="710"/>
      <c r="U20" s="710"/>
      <c r="V20" s="710"/>
      <c r="W20" s="710"/>
      <c r="X20" s="758"/>
      <c r="Y20" s="759"/>
      <c r="Z20" s="762" t="s">
        <v>394</v>
      </c>
      <c r="AA20" s="710"/>
      <c r="AB20" s="710"/>
      <c r="AC20" s="710"/>
      <c r="AD20" s="710"/>
      <c r="AE20" s="763"/>
    </row>
    <row r="21" spans="1:31" ht="24.75" customHeight="1">
      <c r="D21" s="755"/>
      <c r="E21" s="710"/>
      <c r="F21" s="779" t="s">
        <v>228</v>
      </c>
      <c r="G21" s="779">
        <f>T4-0</f>
        <v>1400</v>
      </c>
      <c r="H21" s="710"/>
      <c r="I21" s="758"/>
      <c r="J21" s="776"/>
      <c r="K21" s="768"/>
      <c r="L21" s="768"/>
      <c r="M21" s="778">
        <f>IF(Z4&lt;2,"VUOTO",IF(Z4=2,N13-50,N22-P27))</f>
        <v>1271.5999999999999</v>
      </c>
      <c r="N21" s="768"/>
      <c r="O21" s="768"/>
      <c r="P21" s="768"/>
      <c r="Q21" s="758"/>
      <c r="R21" s="759"/>
      <c r="S21" s="710"/>
      <c r="U21" s="767" t="s">
        <v>395</v>
      </c>
      <c r="V21" s="768">
        <f>W4-146.6-1.4</f>
        <v>2052</v>
      </c>
      <c r="W21" s="710"/>
      <c r="X21" s="758"/>
      <c r="Y21" s="759"/>
      <c r="Z21" s="710"/>
      <c r="AA21" s="710"/>
      <c r="AB21" s="710"/>
      <c r="AC21" s="710"/>
      <c r="AD21" s="710"/>
      <c r="AE21" s="763"/>
    </row>
    <row r="22" spans="1:31" ht="24.75" customHeight="1">
      <c r="D22" s="755"/>
      <c r="E22" s="710"/>
      <c r="F22" s="710"/>
      <c r="G22" s="710"/>
      <c r="H22" s="710"/>
      <c r="I22" s="758"/>
      <c r="J22" s="776"/>
      <c r="K22" s="768"/>
      <c r="L22" s="768"/>
      <c r="M22" s="768"/>
      <c r="N22" s="774">
        <f>IF(Z4&lt;3,"VUOTO",IF(Z4=3,N13-50,IF(Z4=4,O23-P27,IF(Z4=5,O23-P27))))</f>
        <v>1678.8</v>
      </c>
      <c r="O22" s="775"/>
      <c r="P22" s="768"/>
      <c r="Q22" s="758"/>
      <c r="R22" s="781"/>
      <c r="S22" s="782"/>
      <c r="U22" s="767" t="s">
        <v>396</v>
      </c>
      <c r="V22" s="768">
        <f>W4-56</f>
        <v>2144</v>
      </c>
      <c r="W22" s="710"/>
      <c r="X22" s="758"/>
      <c r="Y22" s="759"/>
      <c r="Z22" s="710"/>
      <c r="AA22" s="710"/>
      <c r="AB22" s="710"/>
      <c r="AC22" s="710"/>
      <c r="AD22" s="710"/>
      <c r="AE22" s="763"/>
    </row>
    <row r="23" spans="1:31" ht="24.75" customHeight="1">
      <c r="D23" s="755"/>
      <c r="E23" s="710"/>
      <c r="F23" s="767" t="s">
        <v>86</v>
      </c>
      <c r="G23" s="710"/>
      <c r="H23" s="710"/>
      <c r="I23" s="758"/>
      <c r="J23" s="776"/>
      <c r="K23" s="768"/>
      <c r="L23" s="768"/>
      <c r="M23" s="768"/>
      <c r="N23" s="768"/>
      <c r="O23" s="778">
        <f>IF(Z4&lt;4,"VUOTO",IF(Z4=4,N13-50,IF(Z4=5,P24-P27)))</f>
        <v>2086</v>
      </c>
      <c r="P23" s="768"/>
      <c r="Q23" s="758"/>
      <c r="R23" s="759"/>
      <c r="S23" s="710"/>
      <c r="T23" s="710"/>
      <c r="U23" s="710"/>
      <c r="V23" s="710"/>
      <c r="W23" s="710"/>
      <c r="X23" s="758"/>
      <c r="Y23" s="759"/>
      <c r="Z23" s="710"/>
      <c r="AA23" s="710"/>
      <c r="AB23" s="710"/>
      <c r="AC23" s="710"/>
      <c r="AD23" s="710"/>
      <c r="AE23" s="763"/>
    </row>
    <row r="24" spans="1:31" ht="24.75" customHeight="1">
      <c r="D24" s="755"/>
      <c r="E24" s="710"/>
      <c r="F24" s="710"/>
      <c r="G24" s="710"/>
      <c r="H24" s="710"/>
      <c r="I24" s="758"/>
      <c r="J24" s="776"/>
      <c r="K24" s="768"/>
      <c r="L24" s="768"/>
      <c r="M24" s="768"/>
      <c r="N24" s="768"/>
      <c r="O24" s="768"/>
      <c r="P24" s="778" t="str">
        <f>IF(Z4=5,N13-50,"VUOTO")</f>
        <v>VUOTO</v>
      </c>
      <c r="Q24" s="883"/>
      <c r="R24" s="759"/>
      <c r="S24" s="710"/>
      <c r="T24" s="710"/>
      <c r="U24" s="710"/>
      <c r="V24" s="710"/>
      <c r="W24" s="710"/>
      <c r="X24" s="758"/>
      <c r="Y24" s="759"/>
      <c r="Z24" s="710"/>
      <c r="AA24" s="710"/>
      <c r="AB24" s="710"/>
      <c r="AC24" s="710"/>
      <c r="AD24" s="710"/>
      <c r="AE24" s="763"/>
    </row>
    <row r="25" spans="1:31" ht="24.75" customHeight="1">
      <c r="D25" s="755"/>
      <c r="E25" s="784"/>
      <c r="F25" s="785"/>
      <c r="G25" s="786"/>
      <c r="H25" s="710"/>
      <c r="I25" s="758"/>
      <c r="J25" s="759"/>
      <c r="K25" s="710"/>
      <c r="L25" s="710"/>
      <c r="M25" s="710"/>
      <c r="N25" s="710"/>
      <c r="O25" s="710"/>
      <c r="P25" s="710"/>
      <c r="Q25" s="758"/>
      <c r="R25" s="787"/>
      <c r="S25" s="788"/>
      <c r="T25" s="788"/>
      <c r="U25" s="788"/>
      <c r="V25" s="788"/>
      <c r="W25" s="788"/>
      <c r="X25" s="837"/>
      <c r="Y25" s="787"/>
      <c r="Z25" s="788"/>
      <c r="AA25" s="788"/>
      <c r="AB25" s="788"/>
      <c r="AC25" s="788"/>
      <c r="AD25" s="788"/>
      <c r="AE25" s="789"/>
    </row>
    <row r="26" spans="1:31" ht="24.75" customHeight="1">
      <c r="D26" s="755"/>
      <c r="E26" s="710"/>
      <c r="F26" s="710"/>
      <c r="G26" s="710"/>
      <c r="H26" s="710"/>
      <c r="I26" s="758"/>
      <c r="J26" s="759"/>
      <c r="K26" s="772" t="s">
        <v>397</v>
      </c>
      <c r="L26" s="764"/>
      <c r="M26" s="764"/>
      <c r="N26" s="710"/>
      <c r="O26" s="756"/>
      <c r="P26" s="710"/>
      <c r="Q26" s="758"/>
      <c r="R26" s="753"/>
      <c r="S26" s="734"/>
      <c r="T26" s="734"/>
      <c r="U26" s="734"/>
      <c r="V26" s="734"/>
      <c r="W26" s="734"/>
      <c r="X26" s="790"/>
      <c r="Y26" s="791"/>
      <c r="Z26" s="791"/>
      <c r="AA26" s="792" t="s">
        <v>187</v>
      </c>
      <c r="AB26" s="791"/>
      <c r="AC26" s="791"/>
      <c r="AD26" s="793"/>
      <c r="AE26" s="794"/>
    </row>
    <row r="27" spans="1:31" ht="24.75" customHeight="1">
      <c r="D27" s="755"/>
      <c r="E27" s="710"/>
      <c r="F27" s="710"/>
      <c r="G27" s="710"/>
      <c r="H27" s="795" t="s">
        <v>271</v>
      </c>
      <c r="I27" s="758"/>
      <c r="J27" s="759"/>
      <c r="K27" s="710"/>
      <c r="L27" s="710"/>
      <c r="M27" s="710"/>
      <c r="N27" s="710"/>
      <c r="O27" s="766" t="s">
        <v>398</v>
      </c>
      <c r="P27" s="772">
        <f>(N13-100)/(Z4+1)</f>
        <v>407.2</v>
      </c>
      <c r="Q27" s="758"/>
      <c r="R27" s="759"/>
      <c r="S27" s="710"/>
      <c r="T27" s="710"/>
      <c r="U27" s="710"/>
      <c r="V27" s="710"/>
      <c r="W27" s="710"/>
      <c r="X27" s="758"/>
      <c r="Y27" s="710"/>
      <c r="Z27" s="710"/>
      <c r="AA27" s="710"/>
      <c r="AB27" s="766"/>
      <c r="AC27" s="710"/>
      <c r="AD27" s="710"/>
      <c r="AE27" s="763"/>
    </row>
    <row r="28" spans="1:31" ht="24.75" customHeight="1">
      <c r="D28" s="755"/>
      <c r="E28" s="710"/>
      <c r="F28" s="710"/>
      <c r="G28" s="710"/>
      <c r="H28" s="710"/>
      <c r="I28" s="758"/>
      <c r="J28" s="884" t="s">
        <v>178</v>
      </c>
      <c r="K28" s="710"/>
      <c r="L28" s="710"/>
      <c r="M28" s="710"/>
      <c r="N28" s="710"/>
      <c r="O28" s="710"/>
      <c r="P28" s="710"/>
      <c r="Q28" s="885"/>
      <c r="R28" s="759"/>
      <c r="S28" s="710"/>
      <c r="T28" s="710"/>
      <c r="U28" s="710"/>
      <c r="V28" s="710"/>
      <c r="W28" s="710"/>
      <c r="X28" s="758"/>
      <c r="Y28" s="710"/>
      <c r="Z28" s="767" t="s">
        <v>188</v>
      </c>
      <c r="AA28" s="710"/>
      <c r="AB28" s="774" t="e">
        <f>IF(AND(T4&lt;B34,W4&lt;B36),3+ROUNDUP((T4-95)/22,0),"X")</f>
        <v>#N/A</v>
      </c>
      <c r="AC28" s="757" t="s">
        <v>189</v>
      </c>
      <c r="AD28" s="710"/>
      <c r="AE28" s="763"/>
    </row>
    <row r="29" spans="1:31" ht="24.75" customHeight="1">
      <c r="D29" s="755"/>
      <c r="E29" s="753"/>
      <c r="F29" s="797"/>
      <c r="G29" s="798"/>
      <c r="H29" s="710"/>
      <c r="I29" s="758"/>
      <c r="J29" s="759"/>
      <c r="K29" s="1895" t="str">
        <f>+IF(DATI!$L$15=1,"","RETE GRIGIA")</f>
        <v/>
      </c>
      <c r="L29" s="1895"/>
      <c r="M29" s="1895"/>
      <c r="N29" s="1895"/>
      <c r="O29" s="1895"/>
      <c r="P29" s="1895"/>
      <c r="Q29" s="758"/>
      <c r="R29" s="759"/>
      <c r="S29" s="799"/>
      <c r="T29" s="799"/>
      <c r="U29" s="799"/>
      <c r="V29" s="710"/>
      <c r="W29" s="710"/>
      <c r="X29" s="758"/>
      <c r="Y29" s="710"/>
      <c r="Z29" s="767" t="s">
        <v>191</v>
      </c>
      <c r="AA29" s="710"/>
      <c r="AB29" s="774">
        <f>IF(3+ROUNDUP((T4-95)/22,0)&lt;=ROUNDDOWN(((W4-114.6)-(2+2+Z4)*22)/44,0),3+ROUNDUP((T4-95)/22,0)-1,ROUNDDOWN(((W4-114.6)-(2+2+Z4)*22)/44,0))</f>
        <v>43</v>
      </c>
      <c r="AC29" s="757" t="s">
        <v>189</v>
      </c>
      <c r="AD29" s="710"/>
      <c r="AE29" s="763"/>
    </row>
    <row r="30" spans="1:31" ht="24.75" customHeight="1">
      <c r="D30" s="755"/>
      <c r="E30" s="759"/>
      <c r="F30" s="800"/>
      <c r="G30" s="801"/>
      <c r="H30" s="710"/>
      <c r="I30" s="758"/>
      <c r="J30" s="787"/>
      <c r="K30" s="788"/>
      <c r="L30" s="788"/>
      <c r="M30" s="788"/>
      <c r="N30" s="788"/>
      <c r="O30" s="788"/>
      <c r="P30" s="788"/>
      <c r="Q30" s="837"/>
      <c r="R30" s="759"/>
      <c r="S30" s="757"/>
      <c r="T30" s="802"/>
      <c r="U30" s="803"/>
      <c r="V30" s="804"/>
      <c r="W30" s="710"/>
      <c r="X30" s="758"/>
      <c r="Y30" s="710"/>
      <c r="Z30" s="767" t="s">
        <v>193</v>
      </c>
      <c r="AA30" s="710"/>
      <c r="AB30" s="774" t="e">
        <f>IF(AB28="X","",AB28-AB29)</f>
        <v>#N/A</v>
      </c>
      <c r="AC30" s="757" t="s">
        <v>194</v>
      </c>
      <c r="AD30" s="710"/>
      <c r="AE30" s="763"/>
    </row>
    <row r="31" spans="1:31" s="745" customFormat="1" ht="24.75" customHeight="1">
      <c r="A31" s="712"/>
      <c r="B31" s="769"/>
      <c r="C31" s="769"/>
      <c r="D31" s="805"/>
      <c r="E31" s="806"/>
      <c r="F31" s="807"/>
      <c r="G31" s="808"/>
      <c r="H31" s="809"/>
      <c r="I31" s="810"/>
      <c r="J31" s="811"/>
      <c r="K31" s="812"/>
      <c r="L31" s="812"/>
      <c r="M31" s="812"/>
      <c r="N31" s="813" t="s">
        <v>400</v>
      </c>
      <c r="O31" s="812"/>
      <c r="P31" s="812"/>
      <c r="Q31" s="812"/>
      <c r="R31" s="759"/>
      <c r="S31" s="710"/>
      <c r="T31" s="710"/>
      <c r="U31" s="710"/>
      <c r="V31" s="710"/>
      <c r="W31" s="710"/>
      <c r="X31" s="758"/>
      <c r="Y31" s="814" t="s">
        <v>185</v>
      </c>
      <c r="Z31" s="710"/>
      <c r="AA31" s="814" t="str">
        <f>"PRIMO Rosso 1＋"&amp;IF(Z4=0,"Giallo 1",IF(Z4&lt;3,"Giallo 2",IF(Z4=3,"Giallo 3",IF(Z4=4,"Giallo 3",IF(Z4=5,"Giallo 4",)))))&amp;"＋ULTIMO Rosso 1"</f>
        <v>PRIMO Rosso 1＋Giallo 3＋ULTIMO Rosso 1</v>
      </c>
      <c r="AB31" s="710"/>
      <c r="AC31" s="710"/>
      <c r="AD31" s="710"/>
      <c r="AE31" s="763"/>
    </row>
    <row r="32" spans="1:31" ht="24.75" customHeight="1">
      <c r="D32" s="755"/>
      <c r="E32" s="759"/>
      <c r="F32" s="800"/>
      <c r="G32" s="801"/>
      <c r="H32" s="710"/>
      <c r="I32" s="758"/>
      <c r="J32" s="759"/>
      <c r="K32" s="747"/>
      <c r="L32" s="747"/>
      <c r="M32" s="815" t="s">
        <v>185</v>
      </c>
      <c r="N32" s="747"/>
      <c r="O32" s="747"/>
      <c r="P32" s="747"/>
      <c r="Q32" s="747"/>
      <c r="R32" s="759"/>
      <c r="S32" s="710"/>
      <c r="T32" s="710"/>
      <c r="U32" s="710"/>
      <c r="V32" s="710"/>
      <c r="W32" s="710"/>
      <c r="X32" s="758"/>
      <c r="Y32" s="814" t="s">
        <v>197</v>
      </c>
      <c r="Z32" s="710"/>
      <c r="AA32" s="814" t="str">
        <f>"PRIMO Bianco 1＋"&amp;IF(Z4&lt;2,"Giallo 1",IF(Z4=2,"Giallo 2",IF(Z4=3,"Giallo 2",IF(OR(Z4=4,Z4=5),"Giallo 3",))))&amp;"＋ULTIMO Bianco 1"</f>
        <v>PRIMO Bianco 1＋Giallo 3＋ULTIMO Bianco 1</v>
      </c>
      <c r="AB32" s="710"/>
      <c r="AC32" s="710"/>
      <c r="AD32" s="710"/>
      <c r="AE32" s="763"/>
    </row>
    <row r="33" spans="1:32" ht="24.75" customHeight="1">
      <c r="A33" s="816" t="s">
        <v>401</v>
      </c>
      <c r="B33" s="817" t="e">
        <f>+VLOOKUP(DATI!C3,DATI!AB:AI,5,0)</f>
        <v>#N/A</v>
      </c>
      <c r="D33" s="755"/>
      <c r="E33" s="759"/>
      <c r="F33" s="800"/>
      <c r="G33" s="801"/>
      <c r="H33" s="710"/>
      <c r="I33" s="758"/>
      <c r="J33" s="759"/>
      <c r="K33" s="710"/>
      <c r="L33" s="710"/>
      <c r="M33" s="710"/>
      <c r="N33" s="710"/>
      <c r="O33" s="710"/>
      <c r="P33" s="710"/>
      <c r="Q33" s="710"/>
      <c r="R33" s="759"/>
      <c r="S33" s="710"/>
      <c r="T33" s="710"/>
      <c r="U33" s="710"/>
      <c r="V33" s="710"/>
      <c r="W33" s="710"/>
      <c r="X33" s="758"/>
      <c r="Y33" s="788"/>
      <c r="Z33" s="788"/>
      <c r="AA33" s="788"/>
      <c r="AB33" s="788"/>
      <c r="AC33" s="788"/>
      <c r="AD33" s="788"/>
      <c r="AE33" s="789"/>
    </row>
    <row r="34" spans="1:32" ht="24.75" customHeight="1">
      <c r="A34" s="816" t="s">
        <v>402</v>
      </c>
      <c r="B34" s="818">
        <v>2000</v>
      </c>
      <c r="D34" s="755"/>
      <c r="E34" s="759"/>
      <c r="F34" s="800"/>
      <c r="G34" s="801"/>
      <c r="H34" s="764"/>
      <c r="I34" s="819" t="s">
        <v>403</v>
      </c>
      <c r="J34" s="759"/>
      <c r="K34" s="710"/>
      <c r="L34" s="710"/>
      <c r="M34" s="710"/>
      <c r="N34" s="710"/>
      <c r="O34" s="710"/>
      <c r="P34" s="710"/>
      <c r="Q34" s="710"/>
      <c r="R34" s="759"/>
      <c r="S34" s="710"/>
      <c r="T34" s="710"/>
      <c r="U34" s="710"/>
      <c r="V34" s="710"/>
      <c r="W34" s="710"/>
      <c r="X34" s="758"/>
      <c r="Y34" s="710"/>
      <c r="Z34" s="710"/>
      <c r="AA34" s="710"/>
      <c r="AB34" s="710"/>
      <c r="AC34" s="710"/>
      <c r="AD34" s="710"/>
      <c r="AE34" s="763"/>
    </row>
    <row r="35" spans="1:32" ht="24.75" customHeight="1">
      <c r="A35" s="816" t="s">
        <v>404</v>
      </c>
      <c r="B35" s="818" t="e">
        <f>+VLOOKUP(DATI!C3,DATI!AB:AI,7,0)</f>
        <v>#N/A</v>
      </c>
      <c r="D35" s="755"/>
      <c r="E35" s="759"/>
      <c r="F35" s="800"/>
      <c r="G35" s="801"/>
      <c r="H35" s="710"/>
      <c r="I35" s="758"/>
      <c r="J35" s="759"/>
      <c r="K35" s="710"/>
      <c r="L35" s="710"/>
      <c r="M35" s="710"/>
      <c r="N35" s="756"/>
      <c r="O35" s="820">
        <f>ROUNDUP(T4+250,-2)</f>
        <v>1700</v>
      </c>
      <c r="P35" s="783" t="s">
        <v>245</v>
      </c>
      <c r="Q35" s="710"/>
      <c r="R35" s="759"/>
      <c r="S35" s="710"/>
      <c r="T35" s="710"/>
      <c r="U35" s="710"/>
      <c r="V35" s="710"/>
      <c r="W35" s="710"/>
      <c r="X35" s="758"/>
      <c r="Y35" s="809"/>
      <c r="Z35" s="809" t="s">
        <v>37</v>
      </c>
      <c r="AA35" s="809" t="s">
        <v>37</v>
      </c>
      <c r="AB35" s="821" t="s">
        <v>37</v>
      </c>
      <c r="AC35" s="809" t="s">
        <v>37</v>
      </c>
      <c r="AD35" s="809" t="s">
        <v>37</v>
      </c>
      <c r="AE35" s="822"/>
    </row>
    <row r="36" spans="1:32" ht="24.75" customHeight="1">
      <c r="A36" s="816" t="s">
        <v>405</v>
      </c>
      <c r="B36" s="823" t="e">
        <f>+VLOOKUP(DATI!C3,DATI!AB:AI,8,0)</f>
        <v>#N/A</v>
      </c>
      <c r="D36" s="755"/>
      <c r="E36" s="759"/>
      <c r="F36" s="800"/>
      <c r="G36" s="801"/>
      <c r="H36" s="710"/>
      <c r="I36" s="758"/>
      <c r="J36" s="759"/>
      <c r="K36" s="710"/>
      <c r="L36" s="710"/>
      <c r="M36" s="710"/>
      <c r="N36" s="710"/>
      <c r="O36" s="796"/>
      <c r="P36" s="824"/>
      <c r="Q36" s="710"/>
      <c r="R36" s="759"/>
      <c r="S36" s="772"/>
      <c r="T36" s="761"/>
      <c r="U36" s="825"/>
      <c r="V36" s="826"/>
      <c r="W36" s="710"/>
      <c r="X36" s="758"/>
      <c r="Y36" s="710"/>
      <c r="Z36" s="710"/>
      <c r="AA36" s="710"/>
      <c r="AB36" s="710"/>
      <c r="AC36" s="710"/>
      <c r="AD36" s="710"/>
      <c r="AE36" s="763"/>
    </row>
    <row r="37" spans="1:32" ht="24.75" customHeight="1">
      <c r="D37" s="755"/>
      <c r="E37" s="759"/>
      <c r="F37" s="800"/>
      <c r="G37" s="801"/>
      <c r="H37" s="710"/>
      <c r="I37" s="758"/>
      <c r="J37" s="759"/>
      <c r="K37" s="710"/>
      <c r="L37" s="710"/>
      <c r="M37" s="710"/>
      <c r="N37" s="756"/>
      <c r="O37" s="820">
        <f>IF(Z4=0,"EMPTY",ROUNDUP(T4+P27*2+300,-2))</f>
        <v>2600</v>
      </c>
      <c r="P37" s="783" t="str">
        <f>IF(Z4=1,"X 1",IF(Z4&gt;1,"X 2",""))</f>
        <v>X 2</v>
      </c>
      <c r="Q37" s="710"/>
      <c r="R37" s="759"/>
      <c r="S37" s="710"/>
      <c r="T37" s="710"/>
      <c r="U37" s="710"/>
      <c r="V37" s="710"/>
      <c r="W37" s="710"/>
      <c r="X37" s="758"/>
      <c r="Y37" s="710"/>
      <c r="Z37" s="827"/>
      <c r="AA37" s="828" t="s">
        <v>406</v>
      </c>
      <c r="AB37" s="829"/>
      <c r="AC37" s="830" t="s">
        <v>244</v>
      </c>
      <c r="AD37" s="830" t="s">
        <v>159</v>
      </c>
      <c r="AE37" s="763"/>
    </row>
    <row r="38" spans="1:32" ht="24.75" customHeight="1">
      <c r="D38" s="755"/>
      <c r="E38" s="759"/>
      <c r="F38" s="800"/>
      <c r="G38" s="801"/>
      <c r="H38" s="710"/>
      <c r="I38" s="758"/>
      <c r="J38" s="759"/>
      <c r="K38" s="710"/>
      <c r="L38" s="710"/>
      <c r="M38" s="710"/>
      <c r="N38" s="710"/>
      <c r="O38" s="796"/>
      <c r="P38" s="824"/>
      <c r="Q38" s="710"/>
      <c r="R38" s="753"/>
      <c r="S38" s="734"/>
      <c r="T38" s="734"/>
      <c r="U38" s="734"/>
      <c r="V38" s="734"/>
      <c r="W38" s="734"/>
      <c r="X38" s="790"/>
      <c r="Y38" s="710"/>
      <c r="Z38" s="831" t="s">
        <v>202</v>
      </c>
      <c r="AA38" s="832"/>
      <c r="AB38" s="829"/>
      <c r="AC38" s="833">
        <f>T4-4</f>
        <v>1396</v>
      </c>
      <c r="AD38" s="834" t="s">
        <v>246</v>
      </c>
      <c r="AE38" s="763"/>
    </row>
    <row r="39" spans="1:32" ht="24.75" customHeight="1">
      <c r="D39" s="755"/>
      <c r="E39" s="759"/>
      <c r="F39" s="800"/>
      <c r="G39" s="801"/>
      <c r="H39" s="710"/>
      <c r="I39" s="758"/>
      <c r="J39" s="759"/>
      <c r="K39" s="710"/>
      <c r="L39" s="762" t="s">
        <v>195</v>
      </c>
      <c r="M39" s="710"/>
      <c r="N39" s="756"/>
      <c r="O39" s="820">
        <f>IF(OR(Z4=2,Z4=1,Z4=0),"",ROUNDUP(T4+P27*2*2+350,-2))</f>
        <v>3400</v>
      </c>
      <c r="P39" s="783" t="str">
        <f>IF(Z4=3,"X 1",IF(Z4&gt;3,"X 2",""))</f>
        <v>X 2</v>
      </c>
      <c r="Q39" s="710"/>
      <c r="R39" s="840"/>
      <c r="S39" s="710"/>
      <c r="T39" s="710"/>
      <c r="U39" s="766" t="s">
        <v>177</v>
      </c>
      <c r="V39" s="772">
        <f>IF(W4&gt;1964,4,IF(AND(W4&lt;1964,W4&gt;1230),3,2))</f>
        <v>4</v>
      </c>
      <c r="W39" s="783" t="s">
        <v>408</v>
      </c>
      <c r="X39" s="758"/>
      <c r="Y39" s="710"/>
      <c r="Z39" s="831" t="s">
        <v>203</v>
      </c>
      <c r="AA39" s="832"/>
      <c r="AB39" s="829"/>
      <c r="AC39" s="833">
        <f>T4</f>
        <v>1400</v>
      </c>
      <c r="AD39" s="834" t="s">
        <v>246</v>
      </c>
      <c r="AE39" s="763"/>
    </row>
    <row r="40" spans="1:32" ht="24.75" customHeight="1">
      <c r="D40" s="755"/>
      <c r="E40" s="787"/>
      <c r="F40" s="835"/>
      <c r="G40" s="836"/>
      <c r="H40" s="710"/>
      <c r="I40" s="758"/>
      <c r="J40" s="759"/>
      <c r="K40" s="710"/>
      <c r="L40" s="710"/>
      <c r="M40" s="710"/>
      <c r="N40" s="710"/>
      <c r="O40" s="796"/>
      <c r="P40" s="824"/>
      <c r="Q40" s="710"/>
      <c r="R40" s="787"/>
      <c r="S40" s="788"/>
      <c r="T40" s="788"/>
      <c r="U40" s="788"/>
      <c r="V40" s="788"/>
      <c r="W40" s="788"/>
      <c r="X40" s="837"/>
      <c r="Y40" s="710"/>
      <c r="Z40" s="831" t="s">
        <v>407</v>
      </c>
      <c r="AA40" s="832"/>
      <c r="AB40" s="829"/>
      <c r="AC40" s="833">
        <v>0</v>
      </c>
      <c r="AD40" s="834" t="s">
        <v>246</v>
      </c>
      <c r="AE40" s="763"/>
    </row>
    <row r="41" spans="1:32" ht="24.75" customHeight="1">
      <c r="D41" s="755"/>
      <c r="E41" s="710"/>
      <c r="F41" s="710"/>
      <c r="G41" s="710"/>
      <c r="H41" s="710"/>
      <c r="I41" s="758"/>
      <c r="J41" s="759"/>
      <c r="K41" s="710"/>
      <c r="L41" s="710"/>
      <c r="M41" s="710"/>
      <c r="N41" s="756"/>
      <c r="O41" s="820" t="str">
        <f>IF(Z4=5,ROUNDUP(T4+P27*3*2+400,-2),"")</f>
        <v/>
      </c>
      <c r="P41" s="783" t="str">
        <f>IF(Z4=5,"X 1","")</f>
        <v/>
      </c>
      <c r="Q41" s="710"/>
      <c r="R41" s="1947" t="s">
        <v>182</v>
      </c>
      <c r="S41" s="1948"/>
      <c r="T41" s="1948"/>
      <c r="U41" s="1948"/>
      <c r="V41" s="1948"/>
      <c r="W41" s="1948"/>
      <c r="X41" s="1949"/>
      <c r="Y41" s="759"/>
      <c r="Z41" s="710"/>
      <c r="AA41" s="710"/>
      <c r="AB41" s="710"/>
      <c r="AC41" s="710"/>
      <c r="AD41" s="710"/>
      <c r="AE41" s="763"/>
    </row>
    <row r="42" spans="1:32" ht="24.75" customHeight="1">
      <c r="D42" s="755"/>
      <c r="E42" s="710"/>
      <c r="F42" s="710"/>
      <c r="G42" s="710"/>
      <c r="H42" s="710"/>
      <c r="I42" s="838"/>
      <c r="J42" s="759"/>
      <c r="K42" s="710"/>
      <c r="L42" s="839">
        <v>4</v>
      </c>
      <c r="M42" s="710" t="s">
        <v>37</v>
      </c>
      <c r="N42" s="710"/>
      <c r="O42" s="710"/>
      <c r="P42" s="710"/>
      <c r="Q42" s="710"/>
      <c r="R42" s="753"/>
      <c r="S42" s="734"/>
      <c r="T42" s="734"/>
      <c r="U42" s="734"/>
      <c r="V42" s="734"/>
      <c r="W42" s="734"/>
      <c r="X42" s="790"/>
      <c r="Y42" s="759"/>
      <c r="Z42" s="710"/>
      <c r="AA42" s="710"/>
      <c r="AB42" s="710"/>
      <c r="AC42" s="710"/>
      <c r="AD42" s="710"/>
      <c r="AE42" s="763"/>
    </row>
    <row r="43" spans="1:32" ht="24.75" customHeight="1">
      <c r="D43" s="755"/>
      <c r="E43" s="710"/>
      <c r="F43" s="710"/>
      <c r="G43" s="710"/>
      <c r="H43" s="710"/>
      <c r="I43" s="758"/>
      <c r="J43" s="759"/>
      <c r="K43" s="710"/>
      <c r="L43" s="710"/>
      <c r="M43" s="710"/>
      <c r="N43" s="710"/>
      <c r="O43" s="757"/>
      <c r="P43" s="710"/>
      <c r="Q43" s="710"/>
      <c r="R43" s="759"/>
      <c r="S43" s="826"/>
      <c r="T43" s="825" t="s">
        <v>409</v>
      </c>
      <c r="U43" s="772"/>
      <c r="V43" s="772" t="e">
        <f>+IF(V44&lt;&gt;0,"GRANDE","")</f>
        <v>#N/A</v>
      </c>
      <c r="W43" s="710"/>
      <c r="X43" s="758"/>
      <c r="Y43" s="759"/>
      <c r="Z43" s="710"/>
      <c r="AA43" s="710"/>
      <c r="AB43" s="710"/>
      <c r="AC43" s="710"/>
      <c r="AD43" s="710"/>
      <c r="AE43" s="841"/>
    </row>
    <row r="44" spans="1:32" ht="24.75" customHeight="1">
      <c r="D44" s="755"/>
      <c r="E44" s="710"/>
      <c r="F44" s="710"/>
      <c r="G44" s="710"/>
      <c r="H44" s="710"/>
      <c r="I44" s="758"/>
      <c r="J44" s="759"/>
      <c r="K44" s="710"/>
      <c r="L44" s="710"/>
      <c r="M44" s="710"/>
      <c r="N44" s="710"/>
      <c r="O44" s="710"/>
      <c r="P44" s="710"/>
      <c r="Q44" s="710"/>
      <c r="R44" s="759"/>
      <c r="T44" s="843" t="s">
        <v>196</v>
      </c>
      <c r="U44" s="772"/>
      <c r="V44" s="825" t="e">
        <f>IF(AB28&gt;=41,((+AB28-41)*22)+58,0)</f>
        <v>#N/A</v>
      </c>
      <c r="W44" s="710"/>
      <c r="X44" s="758"/>
      <c r="Y44" s="759"/>
      <c r="Z44" s="796" t="s">
        <v>92</v>
      </c>
      <c r="AA44" s="796"/>
      <c r="AB44" s="796"/>
      <c r="AC44" s="796"/>
      <c r="AD44" s="771"/>
      <c r="AE44" s="763"/>
      <c r="AF44" s="1953" t="s">
        <v>474</v>
      </c>
    </row>
    <row r="45" spans="1:32" ht="24.75" customHeight="1">
      <c r="D45" s="755"/>
      <c r="E45" s="710"/>
      <c r="F45" s="710"/>
      <c r="G45" s="710"/>
      <c r="H45" s="710"/>
      <c r="I45" s="758"/>
      <c r="J45" s="759"/>
      <c r="K45" s="710"/>
      <c r="L45" s="782" t="s">
        <v>200</v>
      </c>
      <c r="M45" s="710"/>
      <c r="N45" s="710"/>
      <c r="O45" s="757"/>
      <c r="P45" s="710"/>
      <c r="Q45" s="710"/>
      <c r="R45" s="847"/>
      <c r="S45" s="826"/>
      <c r="T45" s="826"/>
      <c r="U45" s="826"/>
      <c r="V45" s="772"/>
      <c r="W45" s="772"/>
      <c r="X45" s="848"/>
      <c r="Y45" s="759"/>
      <c r="Z45" s="796"/>
      <c r="AA45" s="762" t="s">
        <v>202</v>
      </c>
      <c r="AB45" s="796"/>
      <c r="AC45" s="796"/>
      <c r="AD45" s="771"/>
      <c r="AE45" s="763"/>
      <c r="AF45" s="1953"/>
    </row>
    <row r="46" spans="1:32" ht="24.75" customHeight="1">
      <c r="D46" s="755"/>
      <c r="E46" s="710"/>
      <c r="F46" s="710"/>
      <c r="G46" s="757" t="s">
        <v>204</v>
      </c>
      <c r="H46" s="710"/>
      <c r="I46" s="758"/>
      <c r="J46" s="759"/>
      <c r="K46" s="710"/>
      <c r="L46" s="710"/>
      <c r="M46" s="710"/>
      <c r="N46" s="710"/>
      <c r="O46" s="710"/>
      <c r="P46" s="710"/>
      <c r="Q46" s="710"/>
      <c r="R46" s="847"/>
      <c r="S46" s="826"/>
      <c r="T46" s="825" t="s">
        <v>411</v>
      </c>
      <c r="U46" s="772"/>
      <c r="V46" s="772" t="e">
        <f>IF(V47&lt;&gt;0,"PICCOLA","")</f>
        <v>#N/A</v>
      </c>
      <c r="X46" s="848"/>
      <c r="Y46" s="759"/>
      <c r="Z46" s="796"/>
      <c r="AA46" s="842" t="s">
        <v>203</v>
      </c>
      <c r="AB46" s="796"/>
      <c r="AC46" s="824"/>
      <c r="AD46" s="771"/>
      <c r="AE46" s="763"/>
      <c r="AF46" s="1953"/>
    </row>
    <row r="47" spans="1:32" ht="24.75" customHeight="1">
      <c r="D47" s="755"/>
      <c r="E47" s="710"/>
      <c r="F47" s="710"/>
      <c r="G47" s="710"/>
      <c r="H47" s="710"/>
      <c r="I47" s="837"/>
      <c r="J47" s="759"/>
      <c r="K47" s="710"/>
      <c r="L47" s="762" t="s">
        <v>205</v>
      </c>
      <c r="M47" s="710"/>
      <c r="N47" s="710"/>
      <c r="O47" s="710"/>
      <c r="P47" s="710"/>
      <c r="Q47" s="710"/>
      <c r="R47" s="852"/>
      <c r="T47" s="843" t="s">
        <v>196</v>
      </c>
      <c r="U47" s="772"/>
      <c r="V47" s="875" t="e">
        <f>IF(AB28&lt;41,((+AB28-32)*22)+57,0)</f>
        <v>#N/A</v>
      </c>
      <c r="W47" s="826"/>
      <c r="X47" s="848"/>
      <c r="Y47" s="759"/>
      <c r="Z47" s="844"/>
      <c r="AA47" s="762" t="s">
        <v>407</v>
      </c>
      <c r="AB47" s="796"/>
      <c r="AC47" s="766"/>
      <c r="AD47" s="760"/>
      <c r="AE47" s="763"/>
      <c r="AF47" s="1953"/>
    </row>
    <row r="48" spans="1:32" ht="24.75" customHeight="1">
      <c r="D48" s="845"/>
      <c r="E48" s="736" t="s">
        <v>109</v>
      </c>
      <c r="F48" s="790"/>
      <c r="G48" s="734"/>
      <c r="H48" s="846" t="s">
        <v>110</v>
      </c>
      <c r="I48" s="710"/>
      <c r="J48" s="759"/>
      <c r="K48" s="710"/>
      <c r="L48" s="710"/>
      <c r="M48" s="710"/>
      <c r="N48" s="710"/>
      <c r="O48" s="710"/>
      <c r="P48" s="710"/>
      <c r="Q48" s="710"/>
      <c r="R48" s="847"/>
      <c r="W48" s="772"/>
      <c r="X48" s="848"/>
      <c r="Y48" s="759"/>
      <c r="Z48" s="756"/>
      <c r="AA48" s="762" t="s">
        <v>410</v>
      </c>
      <c r="AB48" s="796"/>
      <c r="AC48" s="766"/>
      <c r="AD48" s="760"/>
      <c r="AE48" s="763"/>
      <c r="AF48" s="1953"/>
    </row>
    <row r="49" spans="4:32" ht="24.75" customHeight="1">
      <c r="D49" s="849" t="s">
        <v>112</v>
      </c>
      <c r="E49" s="850"/>
      <c r="F49" s="851" t="s">
        <v>113</v>
      </c>
      <c r="G49" s="1954" t="str">
        <f>+DATI!M15</f>
        <v>RETE NERA</v>
      </c>
      <c r="H49" s="1955"/>
      <c r="I49" s="1956"/>
      <c r="J49" s="759"/>
      <c r="K49" s="710"/>
      <c r="L49" s="710"/>
      <c r="M49" s="710"/>
      <c r="N49" s="710"/>
      <c r="O49" s="710"/>
      <c r="P49" s="710"/>
      <c r="Q49" s="710"/>
      <c r="R49" s="1967" t="s">
        <v>466</v>
      </c>
      <c r="S49" s="1968"/>
      <c r="T49" s="1968"/>
      <c r="U49" s="1968"/>
      <c r="V49" s="1968"/>
      <c r="W49" s="1968"/>
      <c r="X49" s="1969"/>
      <c r="Y49" s="759"/>
      <c r="Z49" s="764"/>
      <c r="AA49" s="710"/>
      <c r="AB49" s="710"/>
      <c r="AC49" s="710"/>
      <c r="AD49" s="710"/>
      <c r="AE49" s="763"/>
      <c r="AF49" s="1953"/>
    </row>
    <row r="50" spans="4:32" ht="24.75" customHeight="1">
      <c r="D50" s="746"/>
      <c r="E50" s="747"/>
      <c r="F50" s="749"/>
      <c r="G50" s="1957"/>
      <c r="H50" s="1958"/>
      <c r="I50" s="1959"/>
      <c r="J50" s="759"/>
      <c r="K50" s="710"/>
      <c r="L50" s="710"/>
      <c r="M50" s="710"/>
      <c r="N50" s="710"/>
      <c r="O50" s="710"/>
      <c r="P50" s="710"/>
      <c r="Q50" s="710"/>
      <c r="R50" s="855"/>
      <c r="S50" s="1974" t="e">
        <f>+(AB28-22)*22</f>
        <v>#N/A</v>
      </c>
      <c r="T50" s="1974"/>
      <c r="U50" s="1974"/>
      <c r="V50" s="1974"/>
      <c r="W50" s="1974"/>
      <c r="X50" s="1975"/>
      <c r="Y50" s="753" t="s">
        <v>37</v>
      </c>
      <c r="Z50" s="753"/>
      <c r="AA50" s="734"/>
      <c r="AB50" s="734"/>
      <c r="AC50" s="734"/>
      <c r="AD50" s="734"/>
      <c r="AE50" s="754"/>
      <c r="AF50" s="1953"/>
    </row>
    <row r="51" spans="4:32" ht="24.75" customHeight="1">
      <c r="D51" s="755"/>
      <c r="E51" s="710"/>
      <c r="F51" s="758"/>
      <c r="G51" s="1960"/>
      <c r="H51" s="1961"/>
      <c r="I51" s="1962"/>
      <c r="J51" s="759"/>
      <c r="K51" s="710"/>
      <c r="L51" s="710"/>
      <c r="M51" s="767" t="s">
        <v>197</v>
      </c>
      <c r="N51" s="710"/>
      <c r="O51" s="710"/>
      <c r="P51" s="710"/>
      <c r="Q51" s="710"/>
      <c r="R51" s="759"/>
      <c r="S51" s="710"/>
      <c r="T51" s="710"/>
      <c r="V51" s="710"/>
      <c r="W51" s="710"/>
      <c r="X51" s="758"/>
      <c r="Y51" s="781" t="s">
        <v>256</v>
      </c>
      <c r="Z51" s="759"/>
      <c r="AA51" s="853" t="s">
        <v>98</v>
      </c>
      <c r="AB51" s="853" t="s">
        <v>99</v>
      </c>
      <c r="AC51" s="853" t="s">
        <v>100</v>
      </c>
      <c r="AD51" s="710"/>
      <c r="AE51" s="763"/>
      <c r="AF51" s="1953"/>
    </row>
    <row r="52" spans="4:32" ht="30" customHeight="1">
      <c r="D52" s="755"/>
      <c r="E52" s="710"/>
      <c r="F52" s="758"/>
      <c r="G52" s="791" t="s">
        <v>114</v>
      </c>
      <c r="H52" s="791" t="s">
        <v>115</v>
      </c>
      <c r="I52" s="791"/>
      <c r="J52" s="759"/>
      <c r="K52" s="710"/>
      <c r="L52" s="710"/>
      <c r="M52" s="710"/>
      <c r="N52" s="710"/>
      <c r="O52" s="710"/>
      <c r="P52" s="710"/>
      <c r="Q52" s="710"/>
      <c r="R52" s="1970"/>
      <c r="S52" s="1971"/>
      <c r="T52" s="1972" t="s">
        <v>209</v>
      </c>
      <c r="U52" s="1972"/>
      <c r="V52" s="1972"/>
      <c r="W52" s="1972"/>
      <c r="X52" s="1973"/>
      <c r="Y52" s="876" t="s">
        <v>258</v>
      </c>
      <c r="Z52" s="759"/>
      <c r="AA52" s="854"/>
      <c r="AB52" s="854"/>
      <c r="AC52" s="854"/>
      <c r="AD52" s="710"/>
      <c r="AE52" s="763"/>
      <c r="AF52" s="1953"/>
    </row>
    <row r="53" spans="4:32" ht="22.5" customHeight="1">
      <c r="D53" s="755"/>
      <c r="E53" s="710"/>
      <c r="F53" s="758"/>
      <c r="G53" s="753"/>
      <c r="H53" s="734"/>
      <c r="I53" s="790"/>
      <c r="J53" s="753"/>
      <c r="K53" s="734"/>
      <c r="L53" s="734"/>
      <c r="M53" s="734"/>
      <c r="N53" s="734"/>
      <c r="O53" s="734"/>
      <c r="P53" s="734"/>
      <c r="Q53" s="734"/>
      <c r="R53" s="355"/>
      <c r="S53" s="350"/>
      <c r="T53" s="350"/>
      <c r="U53" s="350"/>
      <c r="V53" s="350"/>
      <c r="W53" s="350"/>
      <c r="X53" s="878"/>
      <c r="Y53" s="876" t="s">
        <v>261</v>
      </c>
      <c r="Z53" s="759"/>
      <c r="AA53" s="710" t="s">
        <v>412</v>
      </c>
      <c r="AB53" s="771">
        <v>115</v>
      </c>
      <c r="AC53" s="780" t="s">
        <v>413</v>
      </c>
      <c r="AD53" s="856">
        <f>W4-42+207</f>
        <v>2365</v>
      </c>
      <c r="AE53" s="763"/>
      <c r="AF53" s="1953"/>
    </row>
    <row r="54" spans="4:32" ht="21.75" customHeight="1">
      <c r="D54" s="755"/>
      <c r="E54" s="710"/>
      <c r="F54" s="758"/>
      <c r="G54" s="759"/>
      <c r="H54" s="710"/>
      <c r="I54" s="758"/>
      <c r="J54" s="759"/>
      <c r="K54" s="843"/>
      <c r="L54" s="710"/>
      <c r="M54" s="710"/>
      <c r="N54" s="843"/>
      <c r="O54" s="710"/>
      <c r="P54" s="857"/>
      <c r="Q54" s="710"/>
      <c r="R54" s="879"/>
      <c r="S54" s="249"/>
      <c r="T54" s="249" t="s">
        <v>210</v>
      </c>
      <c r="U54" s="258">
        <f>ROUNDUP((W4-42)*2+200,-2)</f>
        <v>4600</v>
      </c>
      <c r="V54" s="326"/>
      <c r="W54" s="357" t="s">
        <v>211</v>
      </c>
      <c r="X54" s="337"/>
      <c r="Y54" s="877" t="s">
        <v>37</v>
      </c>
      <c r="Z54" s="759"/>
      <c r="AA54" s="710" t="s">
        <v>414</v>
      </c>
      <c r="AB54" s="710"/>
      <c r="AC54" s="710" t="s">
        <v>415</v>
      </c>
      <c r="AD54" s="710" t="s">
        <v>104</v>
      </c>
      <c r="AE54" s="763"/>
      <c r="AF54" s="1953"/>
    </row>
    <row r="55" spans="4:32" ht="24.75" customHeight="1" thickBot="1">
      <c r="D55" s="858"/>
      <c r="E55" s="859"/>
      <c r="F55" s="860"/>
      <c r="G55" s="787"/>
      <c r="H55" s="788"/>
      <c r="I55" s="837"/>
      <c r="J55" s="787"/>
      <c r="K55" s="788"/>
      <c r="L55" s="788"/>
      <c r="M55" s="788"/>
      <c r="N55" s="788"/>
      <c r="O55" s="788"/>
      <c r="P55" s="788"/>
      <c r="Q55" s="788"/>
      <c r="R55" s="360"/>
      <c r="S55" s="361"/>
      <c r="T55" s="361"/>
      <c r="U55" s="361"/>
      <c r="V55" s="361"/>
      <c r="W55" s="361"/>
      <c r="X55" s="498"/>
      <c r="Y55" s="859"/>
      <c r="Z55" s="861"/>
      <c r="AA55" s="859" t="s">
        <v>416</v>
      </c>
      <c r="AB55" s="859"/>
      <c r="AC55" s="859"/>
      <c r="AD55" s="859"/>
      <c r="AE55" s="862"/>
    </row>
    <row r="56" spans="4:32" ht="128.25" customHeight="1">
      <c r="N56" s="710"/>
      <c r="AD56" s="863"/>
      <c r="AE56" s="864">
        <f>A71</f>
        <v>0</v>
      </c>
    </row>
  </sheetData>
  <mergeCells count="15">
    <mergeCell ref="AF44:AF54"/>
    <mergeCell ref="G49:I51"/>
    <mergeCell ref="K29:P29"/>
    <mergeCell ref="J7:M10"/>
    <mergeCell ref="R49:X49"/>
    <mergeCell ref="R41:X41"/>
    <mergeCell ref="R52:S52"/>
    <mergeCell ref="T52:X52"/>
    <mergeCell ref="S50:X50"/>
    <mergeCell ref="T15:V18"/>
    <mergeCell ref="R6:X6"/>
    <mergeCell ref="Z13:AC17"/>
    <mergeCell ref="D1:AE1"/>
    <mergeCell ref="D5:I5"/>
    <mergeCell ref="R7:X7"/>
  </mergeCells>
  <conditionalFormatting sqref="G49:I51">
    <cfRule type="expression" dxfId="14" priority="2" stopIfTrue="1">
      <formula>IF($A$70=1,1,0)</formula>
    </cfRule>
  </conditionalFormatting>
  <conditionalFormatting sqref="K29:P29">
    <cfRule type="cellIs" dxfId="13" priority="1" stopIfTrue="1" operator="equal">
      <formula>"RETE GRIGIA"</formula>
    </cfRule>
  </conditionalFormatting>
  <printOptions horizontalCentered="1"/>
  <pageMargins left="0" right="0" top="0" bottom="0" header="0" footer="0"/>
  <pageSetup paperSize="9" scale="36" orientation="landscape" r:id="rId1"/>
  <headerFooter alignWithMargins="0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>
    <tabColor rgb="FFFF0000"/>
    <pageSetUpPr fitToPage="1"/>
  </sheetPr>
  <dimension ref="A1:AT67"/>
  <sheetViews>
    <sheetView zoomScale="40" zoomScaleNormal="40" workbookViewId="0">
      <selection activeCell="O63" sqref="O63:U63"/>
    </sheetView>
  </sheetViews>
  <sheetFormatPr defaultRowHeight="25.5" outlineLevelCol="1"/>
  <cols>
    <col min="1" max="1" width="65.85546875" style="226" customWidth="1" outlineLevel="1"/>
    <col min="2" max="2" width="65.5703125" style="289" customWidth="1" outlineLevel="1"/>
    <col min="3" max="3" width="5.140625" style="276" customWidth="1"/>
    <col min="4" max="4" width="7.7109375" style="250" customWidth="1"/>
    <col min="5" max="5" width="14.42578125" style="250" customWidth="1"/>
    <col min="6" max="6" width="6.5703125" style="250" customWidth="1"/>
    <col min="7" max="7" width="21.5703125" style="250" bestFit="1" customWidth="1"/>
    <col min="8" max="9" width="10.85546875" style="250" customWidth="1"/>
    <col min="10" max="10" width="9.42578125" style="250" customWidth="1"/>
    <col min="11" max="11" width="9.140625" style="250"/>
    <col min="12" max="12" width="10.7109375" style="250" customWidth="1"/>
    <col min="13" max="13" width="13.42578125" style="250" customWidth="1"/>
    <col min="14" max="14" width="15.28515625" style="250" customWidth="1"/>
    <col min="15" max="15" width="15.7109375" style="250" customWidth="1"/>
    <col min="16" max="16" width="13.85546875" style="250" customWidth="1"/>
    <col min="17" max="17" width="14" style="250" customWidth="1"/>
    <col min="18" max="18" width="8.5703125" style="250" customWidth="1"/>
    <col min="19" max="20" width="9.140625" style="250"/>
    <col min="21" max="21" width="24.42578125" style="250" customWidth="1"/>
    <col min="22" max="22" width="13.5703125" style="250" customWidth="1"/>
    <col min="23" max="23" width="13.140625" style="250" customWidth="1"/>
    <col min="24" max="24" width="13.85546875" style="250" customWidth="1"/>
    <col min="25" max="25" width="15.28515625" style="250" customWidth="1"/>
    <col min="26" max="26" width="12.7109375" style="250" customWidth="1"/>
    <col min="27" max="27" width="11.42578125" style="250" customWidth="1"/>
    <col min="28" max="28" width="12.5703125" style="250" customWidth="1"/>
    <col min="29" max="29" width="27.5703125" style="250" customWidth="1"/>
    <col min="30" max="30" width="27.28515625" style="250" customWidth="1"/>
    <col min="31" max="31" width="15.42578125" style="250" customWidth="1"/>
    <col min="32" max="32" width="18.85546875" style="250" customWidth="1"/>
    <col min="33" max="33" width="5.28515625" style="250" customWidth="1"/>
    <col min="34" max="34" width="3.140625" style="250" customWidth="1"/>
    <col min="35" max="38" width="9.140625" style="250"/>
    <col min="39" max="39" width="10.85546875" style="250" customWidth="1"/>
    <col min="40" max="16384" width="9.140625" style="250"/>
  </cols>
  <sheetData>
    <row r="1" spans="1:45" s="233" customFormat="1" ht="28.5" thickBot="1">
      <c r="A1" s="226"/>
      <c r="B1" s="289"/>
      <c r="C1" s="227"/>
      <c r="D1" s="228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30" t="s">
        <v>375</v>
      </c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31"/>
      <c r="AF1" s="232" t="s">
        <v>37</v>
      </c>
      <c r="AH1" s="234"/>
      <c r="AI1" s="234"/>
    </row>
    <row r="2" spans="1:45" s="237" customFormat="1" ht="27" customHeight="1">
      <c r="A2" s="226"/>
      <c r="B2" s="289"/>
      <c r="C2" s="227"/>
      <c r="D2" s="1919" t="s">
        <v>138</v>
      </c>
      <c r="E2" s="1905"/>
      <c r="F2" s="1905"/>
      <c r="G2" s="1905" t="s">
        <v>139</v>
      </c>
      <c r="H2" s="1905"/>
      <c r="I2" s="1905"/>
      <c r="J2" s="1905"/>
      <c r="K2" s="1905" t="s">
        <v>140</v>
      </c>
      <c r="L2" s="1905"/>
      <c r="M2" s="1905"/>
      <c r="N2" s="1905" t="s">
        <v>141</v>
      </c>
      <c r="O2" s="1905"/>
      <c r="P2" s="1905"/>
      <c r="Q2" s="1905" t="s">
        <v>142</v>
      </c>
      <c r="R2" s="1905"/>
      <c r="S2" s="1905"/>
      <c r="T2" s="1905" t="s">
        <v>143</v>
      </c>
      <c r="U2" s="1906"/>
      <c r="V2" s="236" t="s">
        <v>144</v>
      </c>
      <c r="W2" s="1920" t="s">
        <v>145</v>
      </c>
      <c r="X2" s="1905"/>
      <c r="Y2" s="235" t="s">
        <v>146</v>
      </c>
      <c r="Z2" s="1905" t="s">
        <v>147</v>
      </c>
      <c r="AA2" s="1905"/>
      <c r="AB2" s="1905"/>
      <c r="AC2" s="235" t="s">
        <v>148</v>
      </c>
      <c r="AD2" s="1906" t="s">
        <v>149</v>
      </c>
      <c r="AE2" s="1907"/>
      <c r="AF2" s="1908"/>
      <c r="AH2" s="238"/>
      <c r="AI2" s="238"/>
    </row>
    <row r="3" spans="1:45" s="242" customFormat="1" ht="37.15" customHeight="1" thickBot="1">
      <c r="A3" s="226"/>
      <c r="B3" s="289"/>
      <c r="C3" s="227"/>
      <c r="D3" s="2006" t="str">
        <f>+G17</f>
        <v>49-58</v>
      </c>
      <c r="E3" s="1910"/>
      <c r="F3" s="1910"/>
      <c r="G3" s="2007">
        <f>B1</f>
        <v>0</v>
      </c>
      <c r="H3" s="1910"/>
      <c r="I3" s="1910"/>
      <c r="J3" s="1910"/>
      <c r="K3" s="1911">
        <f>B2</f>
        <v>0</v>
      </c>
      <c r="L3" s="1911"/>
      <c r="M3" s="1911"/>
      <c r="N3" s="1911">
        <f>+DATI!C5</f>
        <v>42370</v>
      </c>
      <c r="O3" s="2008"/>
      <c r="P3" s="2008"/>
      <c r="Q3" s="1912" t="e">
        <f>+VLOOKUP(DATI!C3,DATI!AB:AI,3,0)</f>
        <v>#N/A</v>
      </c>
      <c r="R3" s="1913"/>
      <c r="S3" s="1914"/>
      <c r="T3" s="1912" t="e">
        <f>IF(E20&lt;Q3,Q3,E20)</f>
        <v>#N/A</v>
      </c>
      <c r="U3" s="1913"/>
      <c r="V3" s="240"/>
      <c r="W3" s="1913" t="e">
        <f>IF(H20&lt;B45,B45,H20)</f>
        <v>#N/A</v>
      </c>
      <c r="X3" s="1914"/>
      <c r="Y3" s="239" t="e">
        <f>+W3-20</f>
        <v>#N/A</v>
      </c>
      <c r="Z3" s="1912" t="e">
        <f>IF(N10&lt;501,2,IF(N10&lt;1066,3,IF(N10&lt;1451,4,IF(N10&lt;1901,5,IF(N10&lt;2351,6,7)))))</f>
        <v>#N/A</v>
      </c>
      <c r="AA3" s="1913"/>
      <c r="AB3" s="1914"/>
      <c r="AC3" s="241" t="str">
        <f>+G11</f>
        <v>1</v>
      </c>
      <c r="AD3" s="1916" t="str">
        <f>G13</f>
        <v>06.NERO</v>
      </c>
      <c r="AE3" s="1917"/>
      <c r="AF3" s="1918"/>
      <c r="AH3" s="243"/>
      <c r="AI3" s="243"/>
    </row>
    <row r="4" spans="1:45" s="242" customFormat="1" ht="40.15" customHeight="1" thickBot="1">
      <c r="A4" s="226"/>
      <c r="B4" s="289"/>
      <c r="C4" s="227"/>
      <c r="D4" s="244" t="s">
        <v>150</v>
      </c>
      <c r="E4" s="243"/>
      <c r="F4" s="243"/>
      <c r="G4" s="243"/>
      <c r="H4" s="243"/>
      <c r="I4" s="243"/>
      <c r="J4" s="243"/>
      <c r="K4" s="1921"/>
      <c r="L4" s="1921"/>
      <c r="M4" s="1922"/>
      <c r="N4" s="1923" t="s">
        <v>151</v>
      </c>
      <c r="O4" s="1924"/>
      <c r="P4" s="1924"/>
      <c r="Q4" s="1924"/>
      <c r="R4" s="1924"/>
      <c r="S4" s="1924"/>
      <c r="T4" s="243"/>
      <c r="U4" s="245" t="e">
        <f>IF((IF(T3/G15&lt;$Q$3,$Q$3,T3/G15))&lt;$Q$3,$Q$3,IF(T3/G15&lt;$Q$3,$Q$3,T3/G15))</f>
        <v>#N/A</v>
      </c>
      <c r="V4" s="246" t="s">
        <v>37</v>
      </c>
      <c r="W4" s="243"/>
      <c r="X4" s="247" t="s">
        <v>37</v>
      </c>
      <c r="Y4" s="243"/>
      <c r="Z4" s="243"/>
      <c r="AA4" s="248"/>
      <c r="AB4" s="2004" t="s">
        <v>152</v>
      </c>
      <c r="AC4" s="2004"/>
      <c r="AD4" s="1899">
        <f ca="1">NOW()</f>
        <v>45247.406918981484</v>
      </c>
      <c r="AE4" s="1899"/>
      <c r="AF4" s="2005"/>
      <c r="AG4" s="243"/>
      <c r="AH4" s="243"/>
      <c r="AI4" s="243"/>
    </row>
    <row r="5" spans="1:45" ht="39.75" customHeight="1">
      <c r="C5" s="227"/>
      <c r="D5" s="1882" t="s">
        <v>153</v>
      </c>
      <c r="E5" s="1848"/>
      <c r="F5" s="1881" t="s">
        <v>0</v>
      </c>
      <c r="G5" s="1881"/>
      <c r="H5" s="1881"/>
      <c r="I5" s="1881"/>
      <c r="J5" s="1890"/>
      <c r="K5" s="1882" t="s">
        <v>154</v>
      </c>
      <c r="L5" s="1848"/>
      <c r="M5" s="1881" t="s">
        <v>155</v>
      </c>
      <c r="N5" s="1881"/>
      <c r="O5" s="1881"/>
      <c r="P5" s="1881"/>
      <c r="Q5" s="1881"/>
      <c r="R5" s="1890"/>
      <c r="S5" s="1882" t="s">
        <v>156</v>
      </c>
      <c r="T5" s="1848"/>
      <c r="U5" s="1881" t="s">
        <v>157</v>
      </c>
      <c r="V5" s="1881"/>
      <c r="W5" s="1881"/>
      <c r="X5" s="1881"/>
      <c r="Y5" s="1881"/>
      <c r="Z5" s="1881"/>
      <c r="AA5" s="1881"/>
      <c r="AB5" s="1881"/>
      <c r="AC5" s="1881"/>
      <c r="AD5" s="1881"/>
      <c r="AE5" s="1881"/>
      <c r="AF5" s="1890"/>
      <c r="AG5" s="249"/>
      <c r="AH5" s="249"/>
      <c r="AI5" s="249"/>
    </row>
    <row r="6" spans="1:45" ht="30.75" customHeight="1">
      <c r="C6" s="227"/>
      <c r="D6" s="251"/>
      <c r="E6" s="234"/>
      <c r="F6" s="234"/>
      <c r="G6" s="234"/>
      <c r="H6" s="234"/>
      <c r="I6" s="234"/>
      <c r="J6" s="234"/>
      <c r="K6" s="252"/>
      <c r="L6" s="249"/>
      <c r="M6" s="253" t="s">
        <v>38</v>
      </c>
      <c r="N6" s="254" t="s">
        <v>158</v>
      </c>
      <c r="O6" s="255" t="e">
        <f>ROUNDUP(((IF(IF(T3/G15&lt;$B$43,$B$43,T3/G15)&lt;$B$43,$B$43,IF(T3/G15&lt;$B$43,$B$43,T3/G15)))-65)*0.036,0)</f>
        <v>#N/A</v>
      </c>
      <c r="P6" s="249"/>
      <c r="Q6" s="256">
        <f>+G15*G11</f>
        <v>1</v>
      </c>
      <c r="R6" s="257" t="s">
        <v>159</v>
      </c>
      <c r="S6" s="2002" t="s">
        <v>86</v>
      </c>
      <c r="T6" s="1872"/>
      <c r="U6" s="1872"/>
      <c r="V6" s="1872"/>
      <c r="W6" s="1872"/>
      <c r="X6" s="1872"/>
      <c r="Y6" s="1925"/>
      <c r="Z6" s="1872" t="s">
        <v>269</v>
      </c>
      <c r="AA6" s="1872"/>
      <c r="AB6" s="1872"/>
      <c r="AC6" s="1872"/>
      <c r="AD6" s="1872"/>
      <c r="AE6" s="1872"/>
      <c r="AF6" s="1873"/>
      <c r="AG6" s="249"/>
      <c r="AH6" s="249"/>
      <c r="AI6" s="249"/>
    </row>
    <row r="7" spans="1:45" ht="30.75" customHeight="1">
      <c r="C7" s="227"/>
      <c r="D7" s="251"/>
      <c r="E7" s="258" t="s">
        <v>42</v>
      </c>
      <c r="F7" s="234"/>
      <c r="G7" s="1891">
        <f>+DATI!C6</f>
        <v>0</v>
      </c>
      <c r="H7" s="1892"/>
      <c r="I7" s="1892"/>
      <c r="J7" s="1893"/>
      <c r="S7" s="2002" t="s">
        <v>271</v>
      </c>
      <c r="T7" s="1872"/>
      <c r="U7" s="1872"/>
      <c r="V7" s="1872"/>
      <c r="W7" s="1872"/>
      <c r="X7" s="1872"/>
      <c r="Y7" s="1925"/>
      <c r="Z7" s="1871" t="s">
        <v>270</v>
      </c>
      <c r="AA7" s="1872"/>
      <c r="AB7" s="1872"/>
      <c r="AC7" s="1872"/>
      <c r="AD7" s="1872"/>
      <c r="AE7" s="1872"/>
      <c r="AF7" s="1873"/>
      <c r="AG7" s="249"/>
      <c r="AH7" s="249"/>
      <c r="AI7" s="249"/>
    </row>
    <row r="8" spans="1:45" ht="30.75" customHeight="1">
      <c r="C8" s="227"/>
      <c r="D8" s="251"/>
      <c r="E8" s="234"/>
      <c r="F8" s="234" t="s">
        <v>37</v>
      </c>
      <c r="G8" s="234"/>
      <c r="H8" s="234"/>
      <c r="I8" s="234"/>
      <c r="J8" s="234"/>
      <c r="K8" s="252"/>
      <c r="L8" s="249"/>
      <c r="M8" s="249"/>
      <c r="N8" s="249"/>
      <c r="O8" s="249"/>
      <c r="P8" s="249"/>
      <c r="Q8" s="249"/>
      <c r="R8" s="263"/>
      <c r="S8" s="259"/>
      <c r="W8" s="260"/>
      <c r="X8" s="264"/>
      <c r="Y8" s="265"/>
      <c r="Z8" s="249"/>
      <c r="AA8" s="238"/>
      <c r="AB8" s="249"/>
      <c r="AC8" s="249"/>
      <c r="AD8" s="249"/>
      <c r="AE8" s="249"/>
      <c r="AF8" s="263"/>
      <c r="AG8" s="249"/>
      <c r="AH8" s="249"/>
      <c r="AI8" s="249"/>
    </row>
    <row r="9" spans="1:45" ht="30.75" customHeight="1">
      <c r="C9" s="227"/>
      <c r="D9" s="251"/>
      <c r="E9" s="697" t="s">
        <v>161</v>
      </c>
      <c r="F9" s="698"/>
      <c r="G9" s="699"/>
      <c r="H9" s="1892">
        <f>+DATI!C4</f>
        <v>0</v>
      </c>
      <c r="I9" s="1892"/>
      <c r="J9" s="266"/>
      <c r="K9" s="252"/>
      <c r="L9" s="1895" t="str">
        <f>+IF(DATI!L15=1,"","RETE GRIGIA")</f>
        <v/>
      </c>
      <c r="M9" s="1895"/>
      <c r="N9" s="1895"/>
      <c r="O9" s="1895"/>
      <c r="P9" s="1895"/>
      <c r="Q9" s="1895"/>
      <c r="R9" s="263"/>
      <c r="S9" s="259"/>
      <c r="T9" s="253"/>
      <c r="U9" s="267" t="s">
        <v>162</v>
      </c>
      <c r="V9" s="268" t="e">
        <f>W3-136+21</f>
        <v>#N/A</v>
      </c>
      <c r="W9" s="260"/>
      <c r="X9" s="260"/>
      <c r="Y9" s="261"/>
      <c r="Z9" s="249"/>
      <c r="AA9" s="262"/>
      <c r="AB9" s="256" t="s">
        <v>470</v>
      </c>
      <c r="AC9" s="256" t="e">
        <f>T3 - 5</f>
        <v>#N/A</v>
      </c>
      <c r="AD9" s="249"/>
      <c r="AE9" s="249"/>
      <c r="AF9" s="263"/>
      <c r="AG9" s="249"/>
      <c r="AH9" s="249"/>
      <c r="AI9" s="249"/>
    </row>
    <row r="10" spans="1:45" ht="30.75" customHeight="1">
      <c r="C10" s="227"/>
      <c r="D10" s="251"/>
      <c r="E10" s="234"/>
      <c r="F10" s="234"/>
      <c r="G10" s="234"/>
      <c r="H10" s="234"/>
      <c r="I10" s="234"/>
      <c r="J10" s="234"/>
      <c r="K10" s="252"/>
      <c r="L10" s="262" t="s">
        <v>164</v>
      </c>
      <c r="M10" s="249"/>
      <c r="N10" s="1894" t="e">
        <f>W3-64+21</f>
        <v>#N/A</v>
      </c>
      <c r="O10" s="1894"/>
      <c r="P10" s="1854" t="s">
        <v>165</v>
      </c>
      <c r="Q10" s="1854"/>
      <c r="R10" s="270" t="s">
        <v>37</v>
      </c>
      <c r="S10" s="259"/>
      <c r="T10" s="260"/>
      <c r="U10" s="260"/>
      <c r="V10" s="260"/>
      <c r="W10" s="260"/>
      <c r="X10" s="260"/>
      <c r="Y10" s="261"/>
      <c r="Z10" s="249"/>
      <c r="AA10" s="238"/>
      <c r="AB10" s="249"/>
      <c r="AC10" s="249"/>
      <c r="AD10" s="249"/>
      <c r="AE10" s="249"/>
      <c r="AF10" s="263"/>
      <c r="AG10" s="249"/>
      <c r="AH10" s="249"/>
      <c r="AI10" s="249"/>
    </row>
    <row r="11" spans="1:45" ht="30.75" customHeight="1">
      <c r="C11" s="227"/>
      <c r="D11" s="251"/>
      <c r="E11" s="258" t="s">
        <v>48</v>
      </c>
      <c r="F11" s="234" t="s">
        <v>167</v>
      </c>
      <c r="G11" s="701" t="str">
        <f>+DATI!C11</f>
        <v>1</v>
      </c>
      <c r="H11" s="271"/>
      <c r="I11" s="271"/>
      <c r="K11" s="252"/>
      <c r="L11" s="249"/>
      <c r="M11" s="249"/>
      <c r="N11" s="249"/>
      <c r="O11" s="249"/>
      <c r="P11" s="249"/>
      <c r="Q11" s="249"/>
      <c r="R11" s="263"/>
      <c r="S11" s="259"/>
      <c r="T11" s="260"/>
      <c r="U11" s="260"/>
      <c r="V11" s="260"/>
      <c r="W11" s="260"/>
      <c r="X11" s="260"/>
      <c r="Y11" s="261"/>
      <c r="Z11" s="249"/>
      <c r="AA11" s="249"/>
      <c r="AB11" s="249"/>
      <c r="AC11" s="249"/>
      <c r="AD11" s="249"/>
      <c r="AE11" s="249"/>
      <c r="AF11" s="263"/>
      <c r="AG11" s="249"/>
      <c r="AH11" s="249"/>
      <c r="AI11" s="249"/>
    </row>
    <row r="12" spans="1:45" ht="30.75" customHeight="1">
      <c r="C12" s="227"/>
      <c r="D12" s="251"/>
      <c r="E12" s="233"/>
      <c r="F12" s="233"/>
      <c r="G12" s="233"/>
      <c r="H12" s="233"/>
      <c r="I12" s="233"/>
      <c r="J12" s="233"/>
      <c r="K12" s="252"/>
      <c r="L12" s="262" t="s">
        <v>168</v>
      </c>
      <c r="M12" s="249"/>
      <c r="N12" s="272"/>
      <c r="O12" s="272"/>
      <c r="P12" s="272"/>
      <c r="Q12" s="272"/>
      <c r="R12" s="263"/>
      <c r="S12" s="259"/>
      <c r="T12" s="260"/>
      <c r="U12" s="260"/>
      <c r="V12" s="260"/>
      <c r="W12" s="260"/>
      <c r="X12" s="260"/>
      <c r="Y12" s="261"/>
      <c r="Z12" s="249"/>
      <c r="AA12" s="249"/>
      <c r="AB12" s="249"/>
      <c r="AC12" s="249"/>
      <c r="AD12" s="249"/>
      <c r="AE12" s="249"/>
      <c r="AF12" s="263"/>
      <c r="AG12" s="249"/>
      <c r="AH12" s="249"/>
      <c r="AI12" s="249"/>
    </row>
    <row r="13" spans="1:45" ht="30.75" customHeight="1">
      <c r="C13" s="227"/>
      <c r="D13" s="273"/>
      <c r="E13" s="258" t="s">
        <v>46</v>
      </c>
      <c r="F13" s="234"/>
      <c r="G13" s="1891" t="str">
        <f>+DATI!C10</f>
        <v>06.NERO</v>
      </c>
      <c r="H13" s="1892"/>
      <c r="I13" s="1892"/>
      <c r="J13" s="1893"/>
      <c r="K13" s="252"/>
      <c r="L13" s="249"/>
      <c r="M13" s="249"/>
      <c r="N13" s="249"/>
      <c r="O13" s="249"/>
      <c r="P13" s="249"/>
      <c r="Q13" s="249"/>
      <c r="R13" s="263"/>
      <c r="S13" s="259"/>
      <c r="T13" s="1867" t="s">
        <v>170</v>
      </c>
      <c r="U13" s="1867"/>
      <c r="V13" s="1867"/>
      <c r="W13" s="268" t="e">
        <f>W3-146.6-1.4+21</f>
        <v>#N/A</v>
      </c>
      <c r="X13" s="264" t="s">
        <v>171</v>
      </c>
      <c r="Y13" s="274">
        <f>+G15*G11</f>
        <v>1</v>
      </c>
      <c r="AF13" s="263"/>
      <c r="AG13" s="249"/>
      <c r="AH13" s="249"/>
      <c r="AI13" s="249"/>
    </row>
    <row r="14" spans="1:45" ht="30.75" customHeight="1">
      <c r="D14" s="251"/>
      <c r="E14" s="234"/>
      <c r="F14" s="277"/>
      <c r="G14" s="234"/>
      <c r="H14" s="277"/>
      <c r="I14" s="277"/>
      <c r="J14" s="277"/>
      <c r="K14" s="252"/>
      <c r="L14" s="249"/>
      <c r="M14" s="249"/>
      <c r="N14" s="249"/>
      <c r="O14" s="249"/>
      <c r="P14" s="249"/>
      <c r="Q14" s="249"/>
      <c r="R14" s="263"/>
      <c r="S14" s="259"/>
      <c r="T14" s="1867" t="s">
        <v>172</v>
      </c>
      <c r="U14" s="1867"/>
      <c r="V14" s="1867"/>
      <c r="W14" s="268" t="e">
        <f>W3-56+21</f>
        <v>#N/A</v>
      </c>
      <c r="X14" s="264" t="s">
        <v>171</v>
      </c>
      <c r="Y14" s="278">
        <f>+G15*G11</f>
        <v>1</v>
      </c>
      <c r="Z14" s="249"/>
      <c r="AA14" s="249"/>
      <c r="AB14" s="249"/>
      <c r="AC14" s="249"/>
      <c r="AD14" s="249"/>
      <c r="AE14" s="249"/>
      <c r="AF14" s="263"/>
      <c r="AG14" s="249"/>
      <c r="AH14" s="249"/>
      <c r="AI14" s="249"/>
    </row>
    <row r="15" spans="1:45" ht="30.75" customHeight="1">
      <c r="D15" s="251"/>
      <c r="E15" s="279" t="s">
        <v>173</v>
      </c>
      <c r="F15" s="234"/>
      <c r="G15" s="280">
        <f>+IF(DATI!C9="",1,IF(DATI!C9=0,1,DATI!C9))</f>
        <v>1</v>
      </c>
      <c r="H15" s="281" t="str">
        <f>IF(OR(B12=" ",B12&lt;&gt;"S"),"",B12)</f>
        <v/>
      </c>
      <c r="I15" s="282"/>
      <c r="J15" s="234"/>
      <c r="K15" s="283">
        <v>50</v>
      </c>
      <c r="L15" s="284"/>
      <c r="M15" s="285"/>
      <c r="N15" s="238"/>
      <c r="O15" s="238"/>
      <c r="P15" s="238"/>
      <c r="Q15" s="238"/>
      <c r="R15" s="263"/>
      <c r="S15" s="259"/>
      <c r="T15" s="260"/>
      <c r="U15" s="1942" t="e">
        <f>+"*"&amp;V9&amp;"*"</f>
        <v>#N/A</v>
      </c>
      <c r="V15" s="1942"/>
      <c r="W15" s="1942"/>
      <c r="X15" s="1942"/>
      <c r="Y15" s="274"/>
      <c r="Z15" s="249"/>
      <c r="AA15" s="1942" t="e">
        <f>+"*"&amp;AC9&amp;"*"</f>
        <v>#N/A</v>
      </c>
      <c r="AB15" s="1942"/>
      <c r="AC15" s="1942"/>
      <c r="AD15" s="1942"/>
      <c r="AE15" s="272"/>
      <c r="AF15" s="263"/>
      <c r="AG15" s="249"/>
      <c r="AH15" s="249"/>
      <c r="AI15" s="249"/>
      <c r="AN15" s="249"/>
      <c r="AO15" s="272"/>
      <c r="AP15" s="249"/>
      <c r="AQ15" s="272"/>
      <c r="AR15" s="272"/>
      <c r="AS15" s="249"/>
    </row>
    <row r="16" spans="1:45" ht="30.75" customHeight="1">
      <c r="D16" s="251"/>
      <c r="E16" s="233"/>
      <c r="F16" s="233"/>
      <c r="G16" s="233"/>
      <c r="H16" s="234"/>
      <c r="I16" s="234"/>
      <c r="J16" s="234"/>
      <c r="K16" s="286"/>
      <c r="L16" s="287" t="e">
        <f>IF(Z3=2,N10-50,M17-L28)</f>
        <v>#N/A</v>
      </c>
      <c r="M16" s="238"/>
      <c r="N16" s="238"/>
      <c r="O16" s="238"/>
      <c r="P16" s="238"/>
      <c r="Q16" s="238"/>
      <c r="R16" s="263"/>
      <c r="S16" s="259"/>
      <c r="T16" s="260"/>
      <c r="U16" s="1942"/>
      <c r="V16" s="1942"/>
      <c r="W16" s="1942"/>
      <c r="X16" s="1942"/>
      <c r="Y16" s="274"/>
      <c r="Z16" s="249"/>
      <c r="AA16" s="1942"/>
      <c r="AB16" s="1942"/>
      <c r="AC16" s="1942"/>
      <c r="AD16" s="1942"/>
      <c r="AE16" s="284"/>
      <c r="AF16" s="263"/>
      <c r="AG16" s="249"/>
      <c r="AH16" s="249"/>
      <c r="AI16" s="249"/>
      <c r="AN16" s="262"/>
      <c r="AO16" s="249"/>
      <c r="AP16" s="249"/>
      <c r="AQ16" s="281"/>
      <c r="AR16" s="284"/>
      <c r="AS16" s="249"/>
    </row>
    <row r="17" spans="4:46" ht="30.75" customHeight="1">
      <c r="D17" s="251"/>
      <c r="E17" s="279" t="s">
        <v>169</v>
      </c>
      <c r="G17" s="2003" t="str">
        <f>+DATI!M5</f>
        <v>49-58</v>
      </c>
      <c r="H17" s="2003"/>
      <c r="I17" s="2003"/>
      <c r="J17" s="234"/>
      <c r="K17" s="286"/>
      <c r="L17" s="238"/>
      <c r="M17" s="287" t="e">
        <f>IF(Z3&lt;3,"VUOTO",IF(Z3=3,N10-50,N18-L28))</f>
        <v>#N/A</v>
      </c>
      <c r="N17" s="238"/>
      <c r="O17" s="238"/>
      <c r="P17" s="238"/>
      <c r="Q17" s="238"/>
      <c r="R17" s="263"/>
      <c r="S17" s="259"/>
      <c r="T17" s="260"/>
      <c r="U17" s="1942"/>
      <c r="V17" s="1942"/>
      <c r="W17" s="1942"/>
      <c r="X17" s="1942"/>
      <c r="Y17" s="261"/>
      <c r="Z17" s="249"/>
      <c r="AA17" s="1942"/>
      <c r="AB17" s="1942"/>
      <c r="AC17" s="1942"/>
      <c r="AD17" s="1942"/>
      <c r="AE17" s="284"/>
      <c r="AF17" s="263"/>
      <c r="AG17" s="249"/>
      <c r="AH17" s="249"/>
      <c r="AI17" s="249"/>
      <c r="AN17" s="262"/>
      <c r="AO17" s="249"/>
      <c r="AP17" s="249"/>
      <c r="AQ17" s="281"/>
      <c r="AR17" s="284"/>
      <c r="AS17" s="249"/>
    </row>
    <row r="18" spans="4:46" ht="30.75" customHeight="1">
      <c r="D18" s="251"/>
      <c r="J18" s="288"/>
      <c r="K18" s="286"/>
      <c r="L18" s="238"/>
      <c r="M18" s="238"/>
      <c r="N18" s="287" t="e">
        <f>IF(Z3&lt;4,"VUOTO",IF(Z3=4,N10-50,O19-L28))</f>
        <v>#N/A</v>
      </c>
      <c r="O18" s="238"/>
      <c r="P18" s="238"/>
      <c r="Q18" s="238"/>
      <c r="R18" s="263"/>
      <c r="S18" s="259"/>
      <c r="T18" s="260"/>
      <c r="U18" s="1942"/>
      <c r="V18" s="1942"/>
      <c r="W18" s="1942"/>
      <c r="X18" s="1942"/>
      <c r="Y18" s="261"/>
      <c r="AA18" s="1942"/>
      <c r="AB18" s="1942"/>
      <c r="AC18" s="1942"/>
      <c r="AD18" s="1942"/>
      <c r="AF18" s="263"/>
      <c r="AG18" s="249"/>
      <c r="AH18" s="249"/>
      <c r="AI18" s="249"/>
      <c r="AN18" s="249"/>
      <c r="AO18" s="249"/>
      <c r="AP18" s="249"/>
      <c r="AQ18" s="249"/>
      <c r="AR18" s="249"/>
      <c r="AS18" s="249"/>
    </row>
    <row r="19" spans="4:46" ht="30.75" customHeight="1">
      <c r="D19" s="703"/>
      <c r="E19" s="1860" t="s">
        <v>4</v>
      </c>
      <c r="F19" s="1860"/>
      <c r="H19" s="279" t="s">
        <v>5</v>
      </c>
      <c r="I19" s="279"/>
      <c r="J19" s="249"/>
      <c r="K19" s="286"/>
      <c r="L19" s="238"/>
      <c r="M19" s="238"/>
      <c r="N19" s="238"/>
      <c r="O19" s="287" t="e">
        <f>IF(Z3&lt;5,"VUOTO",IF(Z3=5,N10-50,IF(Z3=6,P20-L28,IF(Z3=7,P20-L28))))</f>
        <v>#N/A</v>
      </c>
      <c r="P19" s="290"/>
      <c r="Q19" s="238"/>
      <c r="R19" s="263"/>
      <c r="S19" s="259"/>
      <c r="T19" s="260"/>
      <c r="U19" s="1942"/>
      <c r="V19" s="1942"/>
      <c r="W19" s="1942"/>
      <c r="X19" s="1942"/>
      <c r="Y19" s="261"/>
      <c r="Z19" s="249"/>
      <c r="AA19" s="1942"/>
      <c r="AB19" s="1942"/>
      <c r="AC19" s="1942"/>
      <c r="AD19" s="1942"/>
      <c r="AE19" s="249"/>
      <c r="AF19" s="263"/>
      <c r="AG19" s="249"/>
      <c r="AH19" s="249"/>
      <c r="AI19" s="249"/>
      <c r="AN19" s="249"/>
      <c r="AO19" s="249"/>
      <c r="AP19" s="285"/>
      <c r="AQ19" s="282"/>
      <c r="AR19" s="249"/>
      <c r="AS19" s="249"/>
      <c r="AT19" s="249"/>
    </row>
    <row r="20" spans="4:46" ht="30.75" customHeight="1">
      <c r="D20" s="252"/>
      <c r="E20" s="1876">
        <f>+DATI!C7</f>
        <v>1400</v>
      </c>
      <c r="F20" s="1877"/>
      <c r="G20" s="282" t="s">
        <v>44</v>
      </c>
      <c r="H20" s="1876">
        <f>+DATI!C8</f>
        <v>2200</v>
      </c>
      <c r="I20" s="1877"/>
      <c r="K20" s="286"/>
      <c r="L20" s="238"/>
      <c r="M20" s="238"/>
      <c r="N20" s="238"/>
      <c r="P20" s="281" t="e">
        <f>IF(Z3&lt;6,0,IF(Z3=6,N10-50,IF(Z3=7,P21-L28)))</f>
        <v>#N/A</v>
      </c>
      <c r="Q20" s="238"/>
      <c r="R20" s="263"/>
      <c r="S20" s="259"/>
      <c r="T20" s="260"/>
      <c r="U20" s="301"/>
      <c r="V20" s="253" t="s">
        <v>177</v>
      </c>
      <c r="W20" s="292">
        <v>4</v>
      </c>
      <c r="X20" s="292" t="s">
        <v>37</v>
      </c>
      <c r="Y20" s="261"/>
      <c r="Z20" s="249"/>
      <c r="AA20" s="249"/>
      <c r="AB20" s="249"/>
      <c r="AC20" s="249"/>
      <c r="AD20" s="249"/>
      <c r="AE20" s="249"/>
      <c r="AF20" s="263"/>
      <c r="AG20" s="249"/>
      <c r="AH20" s="249"/>
      <c r="AI20" s="249"/>
      <c r="AN20" s="249"/>
      <c r="AO20" s="249"/>
      <c r="AP20" s="249"/>
      <c r="AQ20" s="249"/>
      <c r="AR20" s="249"/>
      <c r="AS20" s="249"/>
      <c r="AT20" s="249"/>
    </row>
    <row r="21" spans="4:46" ht="30.75" customHeight="1">
      <c r="D21" s="252"/>
      <c r="K21" s="286"/>
      <c r="L21" s="238"/>
      <c r="M21" s="238"/>
      <c r="N21" s="238"/>
      <c r="O21" s="238"/>
      <c r="P21" s="1883" t="e">
        <f>IF(Z3=7,N10-50,0)</f>
        <v>#N/A</v>
      </c>
      <c r="Q21" s="1883"/>
      <c r="R21" s="291"/>
      <c r="S21" s="1871" t="s">
        <v>763</v>
      </c>
      <c r="T21" s="1872"/>
      <c r="U21" s="1872"/>
      <c r="V21" s="1872"/>
      <c r="W21" s="1872"/>
      <c r="X21" s="1872"/>
      <c r="Y21" s="1873"/>
      <c r="Z21" s="1871" t="s">
        <v>174</v>
      </c>
      <c r="AA21" s="1872"/>
      <c r="AB21" s="1872"/>
      <c r="AC21" s="1872"/>
      <c r="AD21" s="1872"/>
      <c r="AE21" s="1872"/>
      <c r="AF21" s="1873"/>
      <c r="AG21" s="249"/>
      <c r="AH21" s="249"/>
      <c r="AI21" s="249"/>
      <c r="AN21" s="249"/>
      <c r="AO21" s="249"/>
      <c r="AP21" s="249"/>
      <c r="AQ21" s="249"/>
      <c r="AR21" s="249"/>
      <c r="AS21" s="249"/>
    </row>
    <row r="22" spans="4:46" ht="30.75" customHeight="1">
      <c r="D22" s="1993"/>
      <c r="E22" s="1994"/>
      <c r="F22" s="1994"/>
      <c r="G22" s="1994"/>
      <c r="H22" s="1994"/>
      <c r="I22" s="1994"/>
      <c r="J22" s="1995"/>
      <c r="K22" s="252"/>
      <c r="L22" s="1996" t="e">
        <f>IF(DATI!E13="AUTOMATICA",CONCATENATE("*",DATI!E14,"-",REPT("0",4-LEN(N10)),N10,"*"),CONCATENATE("*",DATI!L14,REPT("0",3-LEN(O6)),O6,REPT("0",4-LEN(N10)),N10,DATI!L13,"*"))</f>
        <v>#VALUE!</v>
      </c>
      <c r="M22" s="1996"/>
      <c r="N22" s="1996"/>
      <c r="O22" s="1996"/>
      <c r="P22" s="1996"/>
      <c r="Q22" s="1996"/>
      <c r="R22" s="263"/>
      <c r="S22" s="249"/>
      <c r="T22" s="1874" t="s">
        <v>764</v>
      </c>
      <c r="U22" s="1874"/>
      <c r="V22" s="1874"/>
      <c r="W22" s="296" t="e">
        <f>IF(OR(G15=1,H15="S"),W3-63,"NO")</f>
        <v>#N/A</v>
      </c>
      <c r="X22" s="297"/>
      <c r="Y22" s="263"/>
      <c r="Z22" s="249"/>
      <c r="AA22" s="1997" t="s">
        <v>781</v>
      </c>
      <c r="AB22" s="1997"/>
      <c r="AC22" s="1997"/>
      <c r="AD22" s="296" t="e">
        <f>IF(OR(G15=1,H15="S"),W3-67,"NO")</f>
        <v>#N/A</v>
      </c>
      <c r="AE22" s="297"/>
      <c r="AF22" s="263"/>
      <c r="AG22" s="249"/>
      <c r="AH22" s="249"/>
      <c r="AI22" s="249"/>
      <c r="AN22" s="249"/>
      <c r="AO22" s="249"/>
      <c r="AP22" s="249"/>
      <c r="AQ22" s="249"/>
      <c r="AR22" s="249"/>
      <c r="AS22" s="249"/>
    </row>
    <row r="23" spans="4:46" ht="30.75" customHeight="1">
      <c r="D23" s="1998" t="e">
        <f>IF(AND(E20&lt;$Q$3,G15=1),"MINIMO L"&amp; $B$43 &amp;"- REIMPOSTA ! ","")</f>
        <v>#N/A</v>
      </c>
      <c r="E23" s="1999"/>
      <c r="F23" s="1999"/>
      <c r="G23" s="1999"/>
      <c r="H23" s="1999"/>
      <c r="I23" s="1999"/>
      <c r="J23" s="1868"/>
      <c r="K23" s="252"/>
      <c r="L23" s="1996"/>
      <c r="M23" s="1996"/>
      <c r="N23" s="1996"/>
      <c r="O23" s="1996"/>
      <c r="P23" s="1996"/>
      <c r="Q23" s="1996"/>
      <c r="R23" s="263"/>
      <c r="S23" s="249"/>
      <c r="T23" s="249"/>
      <c r="U23" s="249"/>
      <c r="V23" s="249"/>
      <c r="W23" s="249"/>
      <c r="X23" s="249"/>
      <c r="Y23" s="263"/>
      <c r="Z23" s="249"/>
      <c r="AA23" s="249"/>
      <c r="AB23" s="249"/>
      <c r="AC23" s="249"/>
      <c r="AD23" s="249"/>
      <c r="AE23" s="249"/>
      <c r="AF23" s="263"/>
      <c r="AG23" s="249"/>
      <c r="AH23" s="249"/>
      <c r="AI23" s="249"/>
      <c r="AN23" s="249"/>
      <c r="AO23" s="279"/>
      <c r="AP23" s="267"/>
      <c r="AQ23" s="297"/>
      <c r="AR23" s="264"/>
      <c r="AS23" s="269"/>
    </row>
    <row r="24" spans="4:46" ht="30.75" customHeight="1">
      <c r="D24" s="298" t="str">
        <f>IF(AND(E20&lt;B42,G15=2),CONCATENATE("ERRORE !!! L MIN 2 ANTE ",B42),"")</f>
        <v/>
      </c>
      <c r="E24" s="249"/>
      <c r="F24" s="249"/>
      <c r="G24" s="249"/>
      <c r="H24" s="249"/>
      <c r="I24" s="249"/>
      <c r="J24" s="249"/>
      <c r="K24" s="252"/>
      <c r="L24" s="1996"/>
      <c r="M24" s="1996"/>
      <c r="N24" s="1996"/>
      <c r="O24" s="1996"/>
      <c r="P24" s="1996"/>
      <c r="Q24" s="1996"/>
      <c r="R24" s="263"/>
      <c r="S24" s="249"/>
      <c r="T24" s="249"/>
      <c r="U24" s="249"/>
      <c r="V24" s="249"/>
      <c r="W24" s="249"/>
      <c r="X24" s="249"/>
      <c r="Y24" s="263"/>
      <c r="Z24" s="249"/>
      <c r="AA24" s="249"/>
      <c r="AB24" s="249"/>
      <c r="AC24" s="249"/>
      <c r="AD24" s="249"/>
      <c r="AE24" s="249"/>
      <c r="AF24" s="263"/>
      <c r="AG24" s="249"/>
      <c r="AH24" s="249"/>
      <c r="AI24" s="249"/>
      <c r="AN24" s="249"/>
      <c r="AO24" s="249"/>
      <c r="AP24" s="249"/>
      <c r="AQ24" s="249"/>
      <c r="AR24" s="249"/>
      <c r="AS24" s="249"/>
    </row>
    <row r="25" spans="4:46" ht="30.75" customHeight="1">
      <c r="D25" s="252"/>
      <c r="E25" s="249"/>
      <c r="F25" s="1865" t="e">
        <f>T3-0</f>
        <v>#N/A</v>
      </c>
      <c r="G25" s="1865"/>
      <c r="H25" s="1865"/>
      <c r="I25" s="249"/>
      <c r="J25" s="249"/>
      <c r="K25" s="252"/>
      <c r="L25" s="1996"/>
      <c r="M25" s="1996"/>
      <c r="N25" s="1996"/>
      <c r="O25" s="1996"/>
      <c r="P25" s="1996"/>
      <c r="Q25" s="1996"/>
      <c r="R25" s="263"/>
      <c r="S25" s="249"/>
      <c r="T25" s="249"/>
      <c r="U25" s="249"/>
      <c r="V25" s="249"/>
      <c r="W25" s="249"/>
      <c r="X25" s="249"/>
      <c r="Y25" s="263"/>
      <c r="Z25" s="249"/>
      <c r="AA25" s="249"/>
      <c r="AB25" s="249"/>
      <c r="AC25" s="249"/>
      <c r="AD25" s="249"/>
      <c r="AE25" s="249"/>
      <c r="AF25" s="263"/>
      <c r="AG25" s="249"/>
      <c r="AH25" s="249"/>
      <c r="AI25" s="249"/>
      <c r="AN25" s="249"/>
      <c r="AO25" s="249"/>
      <c r="AP25" s="249"/>
      <c r="AQ25" s="249"/>
      <c r="AR25" s="249"/>
      <c r="AS25" s="249"/>
    </row>
    <row r="26" spans="4:46" ht="30.75" customHeight="1">
      <c r="D26" s="252"/>
      <c r="E26" s="249"/>
      <c r="F26" s="299"/>
      <c r="G26" s="299"/>
      <c r="H26" s="299"/>
      <c r="I26" s="249"/>
      <c r="J26" s="249"/>
      <c r="K26" s="252"/>
      <c r="L26" s="1996"/>
      <c r="M26" s="1996"/>
      <c r="N26" s="1996"/>
      <c r="O26" s="1996"/>
      <c r="P26" s="1996"/>
      <c r="Q26" s="1996"/>
      <c r="R26" s="263"/>
      <c r="S26" s="249"/>
      <c r="T26" s="249"/>
      <c r="U26" s="1885" t="e">
        <f>+"*"&amp;W22&amp;"*"</f>
        <v>#N/A</v>
      </c>
      <c r="V26" s="1885"/>
      <c r="W26" s="1885"/>
      <c r="X26" s="1885"/>
      <c r="Y26" s="263"/>
      <c r="Z26" s="249"/>
      <c r="AA26" s="249"/>
      <c r="AB26" s="1885" t="e">
        <f>+"*"&amp;AD22&amp;"*"</f>
        <v>#N/A</v>
      </c>
      <c r="AC26" s="1885"/>
      <c r="AD26" s="1885"/>
      <c r="AE26" s="1885"/>
      <c r="AF26" s="263"/>
      <c r="AG26" s="249"/>
      <c r="AH26" s="249"/>
      <c r="AI26" s="249"/>
      <c r="AN26" s="249"/>
      <c r="AO26" s="249"/>
      <c r="AP26" s="249"/>
      <c r="AQ26" s="249"/>
      <c r="AR26" s="249"/>
      <c r="AS26" s="249"/>
      <c r="AT26" s="249"/>
    </row>
    <row r="27" spans="4:46" ht="30.75" customHeight="1">
      <c r="D27" s="259"/>
      <c r="E27" s="249"/>
      <c r="F27" s="284"/>
      <c r="G27" s="249"/>
      <c r="H27" s="249"/>
      <c r="I27" s="249"/>
      <c r="J27" s="249"/>
      <c r="K27" s="252"/>
      <c r="L27" s="1860" t="s">
        <v>61</v>
      </c>
      <c r="M27" s="1860"/>
      <c r="N27" s="1860"/>
      <c r="O27" s="1860"/>
      <c r="P27" s="1860"/>
      <c r="Q27" s="1860"/>
      <c r="R27" s="263"/>
      <c r="S27" s="249"/>
      <c r="T27" s="249"/>
      <c r="U27" s="1885"/>
      <c r="V27" s="1885"/>
      <c r="W27" s="1885"/>
      <c r="X27" s="1885"/>
      <c r="Y27" s="263"/>
      <c r="Z27" s="249"/>
      <c r="AA27" s="249"/>
      <c r="AB27" s="1885"/>
      <c r="AC27" s="1885"/>
      <c r="AD27" s="1885"/>
      <c r="AE27" s="1885"/>
      <c r="AF27" s="263"/>
      <c r="AG27" s="249"/>
      <c r="AH27" s="249"/>
      <c r="AI27" s="249"/>
      <c r="AN27" s="249"/>
      <c r="AO27" s="249"/>
      <c r="AP27" s="249"/>
      <c r="AQ27" s="249"/>
      <c r="AR27" s="249"/>
      <c r="AS27" s="249"/>
      <c r="AT27" s="249"/>
    </row>
    <row r="28" spans="4:46" ht="30.75" customHeight="1">
      <c r="D28" s="252"/>
      <c r="E28" s="249"/>
      <c r="F28" s="249"/>
      <c r="G28" s="249"/>
      <c r="H28" s="249"/>
      <c r="I28" s="249"/>
      <c r="J28" s="249"/>
      <c r="K28" s="252"/>
      <c r="L28" s="2000" t="e">
        <f>(N10-100)/(Z3-2+1)</f>
        <v>#N/A</v>
      </c>
      <c r="M28" s="2000"/>
      <c r="N28" s="2000"/>
      <c r="O28" s="2000"/>
      <c r="P28" s="2000"/>
      <c r="Q28" s="2000"/>
      <c r="R28" s="300"/>
      <c r="S28" s="249"/>
      <c r="T28" s="249"/>
      <c r="U28" s="1885"/>
      <c r="V28" s="1885"/>
      <c r="W28" s="1885"/>
      <c r="X28" s="1885"/>
      <c r="Y28" s="263"/>
      <c r="Z28" s="249"/>
      <c r="AA28" s="249"/>
      <c r="AB28" s="1885"/>
      <c r="AC28" s="1885"/>
      <c r="AD28" s="1885"/>
      <c r="AE28" s="1885"/>
      <c r="AF28" s="263"/>
      <c r="AG28" s="249"/>
      <c r="AH28" s="249"/>
      <c r="AI28" s="249"/>
      <c r="AN28" s="249"/>
      <c r="AO28" s="249"/>
      <c r="AP28" s="249"/>
      <c r="AQ28" s="249"/>
      <c r="AR28" s="249"/>
      <c r="AS28" s="249"/>
      <c r="AT28" s="249"/>
    </row>
    <row r="29" spans="4:46" ht="30.75" customHeight="1">
      <c r="D29" s="252"/>
      <c r="E29" s="249"/>
      <c r="F29" s="249"/>
      <c r="G29" s="249"/>
      <c r="H29" s="302"/>
      <c r="I29" s="302"/>
      <c r="J29" s="249"/>
      <c r="K29" s="1879" t="s">
        <v>178</v>
      </c>
      <c r="L29" s="1880"/>
      <c r="M29" s="1880"/>
      <c r="N29" s="1880"/>
      <c r="O29" s="1880"/>
      <c r="P29" s="1880"/>
      <c r="Q29" s="1880"/>
      <c r="R29" s="2001"/>
      <c r="S29" s="260"/>
      <c r="T29" s="249"/>
      <c r="U29" s="1885"/>
      <c r="V29" s="1885"/>
      <c r="W29" s="1885"/>
      <c r="X29" s="1885"/>
      <c r="Y29" s="263"/>
      <c r="Z29" s="260"/>
      <c r="AA29" s="249"/>
      <c r="AB29" s="1885"/>
      <c r="AC29" s="1885"/>
      <c r="AD29" s="1885"/>
      <c r="AE29" s="1885"/>
      <c r="AF29" s="263"/>
      <c r="AG29" s="249"/>
      <c r="AH29" s="249"/>
      <c r="AI29" s="249"/>
      <c r="AN29" s="249"/>
      <c r="AO29" s="249"/>
      <c r="AP29" s="249"/>
      <c r="AQ29" s="249"/>
      <c r="AR29" s="249"/>
      <c r="AS29" s="275"/>
      <c r="AT29" s="249"/>
    </row>
    <row r="30" spans="4:46" ht="30.75" customHeight="1" thickBot="1">
      <c r="D30" s="252"/>
      <c r="E30" s="249"/>
      <c r="F30" s="249"/>
      <c r="G30" s="249"/>
      <c r="H30" s="303"/>
      <c r="I30" s="303"/>
      <c r="J30" s="249"/>
      <c r="K30" s="304"/>
      <c r="L30" s="305"/>
      <c r="M30" s="305"/>
      <c r="N30" s="305"/>
      <c r="O30" s="306"/>
      <c r="P30" s="305"/>
      <c r="Q30" s="305"/>
      <c r="R30" s="307"/>
      <c r="S30" s="309"/>
      <c r="T30" s="305"/>
      <c r="U30" s="305"/>
      <c r="V30" s="499"/>
      <c r="W30" s="500"/>
      <c r="X30" s="345"/>
      <c r="Y30" s="307"/>
      <c r="Z30" s="309"/>
      <c r="AA30" s="305"/>
      <c r="AB30" s="305"/>
      <c r="AC30" s="499"/>
      <c r="AD30" s="500"/>
      <c r="AE30" s="345"/>
      <c r="AF30" s="307"/>
      <c r="AG30" s="249"/>
      <c r="AH30" s="249"/>
      <c r="AI30" s="249"/>
      <c r="AN30" s="260"/>
      <c r="AO30" s="249"/>
      <c r="AP30" s="249"/>
      <c r="AQ30" s="253"/>
      <c r="AR30" s="279"/>
      <c r="AS30" s="282"/>
      <c r="AT30" s="249"/>
    </row>
    <row r="31" spans="4:46" ht="39" customHeight="1">
      <c r="D31" s="252"/>
      <c r="E31" s="249"/>
      <c r="F31" s="249"/>
      <c r="G31" s="249"/>
      <c r="H31" s="249"/>
      <c r="I31" s="249"/>
      <c r="J31" s="249"/>
      <c r="K31" s="1882" t="s">
        <v>179</v>
      </c>
      <c r="L31" s="1848"/>
      <c r="M31" s="1881" t="s">
        <v>180</v>
      </c>
      <c r="N31" s="1881"/>
      <c r="O31" s="1881"/>
      <c r="P31" s="1881"/>
      <c r="Q31" s="1881"/>
      <c r="R31" s="1890"/>
      <c r="S31" s="1991" t="s">
        <v>181</v>
      </c>
      <c r="T31" s="1992"/>
      <c r="U31" s="1881" t="s">
        <v>182</v>
      </c>
      <c r="V31" s="1881"/>
      <c r="W31" s="1881"/>
      <c r="X31" s="1881"/>
      <c r="Y31" s="1890"/>
      <c r="Z31" s="1991" t="s">
        <v>183</v>
      </c>
      <c r="AA31" s="1992"/>
      <c r="AB31" s="1881" t="s">
        <v>184</v>
      </c>
      <c r="AC31" s="1881"/>
      <c r="AD31" s="1881"/>
      <c r="AE31" s="1881"/>
      <c r="AF31" s="1890"/>
      <c r="AG31" s="249"/>
      <c r="AH31" s="249"/>
      <c r="AI31" s="249"/>
      <c r="AN31" s="260"/>
      <c r="AO31" s="249"/>
      <c r="AP31" s="249"/>
      <c r="AQ31" s="253"/>
      <c r="AR31" s="279"/>
      <c r="AS31" s="282"/>
      <c r="AT31" s="249"/>
    </row>
    <row r="32" spans="4:46" ht="28.15" customHeight="1">
      <c r="D32" s="1830">
        <f>H20 -20</f>
        <v>2180</v>
      </c>
      <c r="E32" s="249"/>
      <c r="F32" s="249"/>
      <c r="G32" s="249"/>
      <c r="H32" s="249"/>
      <c r="I32" s="249"/>
      <c r="J32" s="249"/>
      <c r="K32" s="311"/>
      <c r="L32" s="302"/>
      <c r="M32" s="302"/>
      <c r="N32" s="264" t="s">
        <v>185</v>
      </c>
      <c r="O32" s="302"/>
      <c r="P32" s="302"/>
      <c r="Q32" s="302"/>
      <c r="R32" s="312"/>
      <c r="S32" s="259"/>
      <c r="T32" s="260"/>
      <c r="U32" s="260"/>
      <c r="V32" s="260"/>
      <c r="W32" s="260"/>
      <c r="X32" s="260"/>
      <c r="Y32" s="313"/>
      <c r="Z32" s="252"/>
      <c r="AA32" s="249"/>
      <c r="AB32" s="249"/>
      <c r="AC32" s="249"/>
      <c r="AD32" s="249"/>
      <c r="AE32" s="249"/>
      <c r="AF32" s="263"/>
      <c r="AG32" s="249"/>
      <c r="AH32" s="249"/>
      <c r="AI32" s="249"/>
    </row>
    <row r="33" spans="1:35" ht="30.75" customHeight="1">
      <c r="D33" s="1830"/>
      <c r="E33" s="249"/>
      <c r="F33" s="249"/>
      <c r="G33" s="249"/>
      <c r="H33" s="249"/>
      <c r="I33" s="249"/>
      <c r="J33" s="249"/>
      <c r="K33" s="311"/>
      <c r="L33" s="302"/>
      <c r="M33" s="302"/>
      <c r="N33" s="302"/>
      <c r="O33" s="302"/>
      <c r="P33" s="302"/>
      <c r="Q33" s="302"/>
      <c r="R33" s="312"/>
      <c r="T33" s="1838" t="s">
        <v>186</v>
      </c>
      <c r="U33" s="1838"/>
      <c r="V33" s="1836" t="e">
        <f>N10</f>
        <v>#N/A</v>
      </c>
      <c r="W33" s="1836"/>
      <c r="X33" s="1836"/>
      <c r="Y33" s="1837"/>
      <c r="Z33" s="252"/>
      <c r="AA33" s="249"/>
      <c r="AB33" s="249"/>
      <c r="AC33" s="249"/>
      <c r="AD33" s="249"/>
      <c r="AE33" s="249"/>
      <c r="AF33" s="263"/>
      <c r="AG33" s="249"/>
      <c r="AH33" s="249"/>
      <c r="AI33" s="249"/>
    </row>
    <row r="34" spans="1:35" ht="24.6" customHeight="1">
      <c r="D34" s="1830"/>
      <c r="E34" s="249"/>
      <c r="F34" s="249"/>
      <c r="G34" s="249"/>
      <c r="H34" s="249"/>
      <c r="I34" s="249"/>
      <c r="J34" s="249"/>
      <c r="K34" s="311"/>
      <c r="L34" s="302"/>
      <c r="M34" s="302"/>
      <c r="N34" s="302"/>
      <c r="O34" s="302"/>
      <c r="P34" s="302"/>
      <c r="Q34" s="302"/>
      <c r="R34" s="314" t="s">
        <v>171</v>
      </c>
      <c r="S34" s="259"/>
      <c r="T34" s="260"/>
      <c r="U34" s="260"/>
      <c r="V34" s="260"/>
      <c r="W34" s="260"/>
      <c r="X34" s="260"/>
      <c r="Y34" s="313"/>
      <c r="Z34" s="311"/>
      <c r="AA34" s="303" t="s">
        <v>187</v>
      </c>
      <c r="AB34" s="302"/>
      <c r="AC34" s="302"/>
      <c r="AD34" s="303"/>
      <c r="AE34" s="302"/>
      <c r="AF34" s="312"/>
      <c r="AG34" s="302"/>
      <c r="AH34" s="302"/>
      <c r="AI34" s="249"/>
    </row>
    <row r="35" spans="1:35" ht="21.75" customHeight="1">
      <c r="D35" s="1830"/>
      <c r="E35" s="249"/>
      <c r="F35" s="249"/>
      <c r="G35" s="249"/>
      <c r="H35" s="249"/>
      <c r="I35" s="249"/>
      <c r="J35" s="249"/>
      <c r="K35" s="311"/>
      <c r="L35" s="302"/>
      <c r="M35" s="302"/>
      <c r="N35" s="302"/>
      <c r="O35" s="315"/>
      <c r="P35" s="254" t="e">
        <f>ROUNDUP((IF(T3/G15&lt;B43,B43,T3/G15))+250,-2)</f>
        <v>#N/A</v>
      </c>
      <c r="Q35" s="254">
        <v>2</v>
      </c>
      <c r="R35" s="316">
        <f>+Q35*G15*G11</f>
        <v>2</v>
      </c>
      <c r="Z35" s="251"/>
      <c r="AA35" s="234"/>
      <c r="AB35" s="234"/>
      <c r="AC35" s="292"/>
      <c r="AD35" s="234"/>
      <c r="AE35" s="234"/>
      <c r="AF35" s="317"/>
      <c r="AG35" s="234"/>
      <c r="AH35" s="234"/>
      <c r="AI35" s="249"/>
    </row>
    <row r="36" spans="1:35" ht="27.6" customHeight="1">
      <c r="D36" s="1830"/>
      <c r="E36" s="249"/>
      <c r="F36" s="249"/>
      <c r="G36" s="249"/>
      <c r="H36" s="249"/>
      <c r="I36" s="249"/>
      <c r="J36" s="249"/>
      <c r="K36" s="311"/>
      <c r="L36" s="302"/>
      <c r="M36" s="302"/>
      <c r="N36" s="302"/>
      <c r="O36" s="302"/>
      <c r="P36" s="302"/>
      <c r="Q36" s="318"/>
      <c r="R36" s="312"/>
      <c r="S36" s="319"/>
      <c r="T36" s="320"/>
      <c r="U36" s="321"/>
      <c r="V36" s="322"/>
      <c r="W36" s="320"/>
      <c r="X36" s="322"/>
      <c r="Y36" s="323"/>
      <c r="Z36" s="251"/>
      <c r="AA36" s="292" t="s">
        <v>188</v>
      </c>
      <c r="AB36" s="234"/>
      <c r="AC36" s="282" t="e">
        <f>IF(AND(T3&gt;B43,W3&lt;B44),3+ROUNDUP((IF(T3/G15&lt;$B$43,$B$43,T3/G15)-95)/22,0),"x")</f>
        <v>#N/A</v>
      </c>
      <c r="AD36" s="279" t="s">
        <v>189</v>
      </c>
      <c r="AE36" s="234"/>
      <c r="AF36" s="317"/>
      <c r="AG36" s="234"/>
      <c r="AH36" s="234"/>
      <c r="AI36" s="249"/>
    </row>
    <row r="37" spans="1:35" ht="34.9" customHeight="1">
      <c r="D37" s="1830"/>
      <c r="E37" s="1831"/>
      <c r="F37" s="1831"/>
      <c r="G37" s="1831"/>
      <c r="H37" s="279"/>
      <c r="I37" s="324" t="s">
        <v>190</v>
      </c>
      <c r="K37" s="311"/>
      <c r="L37" s="302"/>
      <c r="M37" s="302"/>
      <c r="N37" s="302"/>
      <c r="O37" s="315"/>
      <c r="P37" s="325" t="e">
        <f>IF(Z3=2,"EMPTY",ROUNDUP((IF(T3/G15&lt;B43,B43,T3/G15))+L28*2+300,-2))</f>
        <v>#N/A</v>
      </c>
      <c r="Q37" s="254">
        <v>2</v>
      </c>
      <c r="R37" s="316">
        <f>+Q37*G15*G11</f>
        <v>2</v>
      </c>
      <c r="S37" s="259"/>
      <c r="T37" s="260"/>
      <c r="U37" s="260"/>
      <c r="V37" s="260"/>
      <c r="W37" s="326"/>
      <c r="X37" s="260"/>
      <c r="Y37" s="313"/>
      <c r="Z37" s="327"/>
      <c r="AA37" s="282" t="s">
        <v>191</v>
      </c>
      <c r="AB37" s="234"/>
      <c r="AC37" s="282" t="e">
        <f>ROUNDUP(AC36/2,0)</f>
        <v>#N/A</v>
      </c>
      <c r="AD37" s="279" t="s">
        <v>189</v>
      </c>
      <c r="AE37" s="234"/>
      <c r="AF37" s="317"/>
      <c r="AG37" s="234"/>
      <c r="AH37" s="234"/>
      <c r="AI37" s="249"/>
    </row>
    <row r="38" spans="1:35" ht="39.75" customHeight="1">
      <c r="D38" s="1830"/>
      <c r="E38" s="249"/>
      <c r="F38" s="249"/>
      <c r="G38" s="249"/>
      <c r="H38" s="249"/>
      <c r="I38" s="249"/>
      <c r="J38" s="249"/>
      <c r="K38" s="311"/>
      <c r="L38" s="302"/>
      <c r="M38" s="302"/>
      <c r="N38" s="302"/>
      <c r="O38" s="302"/>
      <c r="P38" s="302"/>
      <c r="Q38" s="318"/>
      <c r="R38" s="314"/>
      <c r="S38" s="1977" t="s">
        <v>192</v>
      </c>
      <c r="T38" s="1832"/>
      <c r="U38" s="1833" t="e">
        <f>+IF(U39="","","GRA")</f>
        <v>#N/A</v>
      </c>
      <c r="V38" s="1833"/>
      <c r="W38" s="1833"/>
      <c r="X38" s="1833"/>
      <c r="Y38" s="1834"/>
      <c r="Z38" s="251"/>
      <c r="AA38" s="282" t="s">
        <v>193</v>
      </c>
      <c r="AB38" s="234"/>
      <c r="AC38" s="282" t="e">
        <f>AC36-AC37</f>
        <v>#N/A</v>
      </c>
      <c r="AD38" s="279" t="s">
        <v>194</v>
      </c>
      <c r="AE38" s="234"/>
      <c r="AF38" s="317"/>
      <c r="AG38" s="234"/>
      <c r="AH38" s="234"/>
      <c r="AI38" s="249"/>
    </row>
    <row r="39" spans="1:35" ht="39.75" customHeight="1">
      <c r="D39" s="1830"/>
      <c r="E39" s="249"/>
      <c r="F39" s="249"/>
      <c r="G39" s="249"/>
      <c r="H39" s="249"/>
      <c r="I39" s="249"/>
      <c r="J39" s="249"/>
      <c r="K39" s="311"/>
      <c r="L39" s="302"/>
      <c r="M39" s="303" t="s">
        <v>195</v>
      </c>
      <c r="N39" s="302"/>
      <c r="O39" s="315"/>
      <c r="P39" s="325" t="e">
        <f>IF(OR(Z3=4,Z3=3,Z3=2),"",ROUNDUP((IF(T3/G15&lt;B43,B43,T3/G15))+L28*2*2+350,-2))</f>
        <v>#N/A</v>
      </c>
      <c r="Q39" s="254" t="e">
        <f>IF(Z3=5,"1",IF(Z3&gt;5,"2",""))</f>
        <v>#N/A</v>
      </c>
      <c r="R39" s="501" t="e">
        <f>+IF(Q39="","",Q39*G15*G11)</f>
        <v>#N/A</v>
      </c>
      <c r="S39" s="259"/>
      <c r="T39" s="326" t="s">
        <v>196</v>
      </c>
      <c r="U39" s="282" t="e">
        <f>IF(AC36&gt;=41,((+AC36-41)*22)+58,"")</f>
        <v>#N/A</v>
      </c>
      <c r="V39" s="260"/>
      <c r="W39" s="260"/>
      <c r="X39" s="260"/>
      <c r="Y39" s="313"/>
      <c r="Z39" s="329" t="s">
        <v>185</v>
      </c>
      <c r="AA39" s="234"/>
      <c r="AB39" s="258" t="e">
        <f>"PRIMO Rosso 1＋"&amp;IF(Z3=0,"Giallo 1",IF(Z3&lt;3,"Giallo 2",IF(Z3=3,"Giallo 3",IF(Z3=4,"Giallo 3",IF(Z3=5,"Giallo 4",)))))&amp;"＋ULTIMO Rosso 1"</f>
        <v>#N/A</v>
      </c>
      <c r="AC39" s="234"/>
      <c r="AD39" s="234"/>
      <c r="AE39" s="234"/>
      <c r="AF39" s="317"/>
      <c r="AG39" s="234"/>
      <c r="AH39" s="234"/>
      <c r="AI39" s="249"/>
    </row>
    <row r="40" spans="1:35" ht="24.6" customHeight="1">
      <c r="D40" s="1830"/>
      <c r="E40" s="249"/>
      <c r="F40" s="249"/>
      <c r="G40" s="249"/>
      <c r="H40" s="249"/>
      <c r="I40" s="249"/>
      <c r="J40" s="249"/>
      <c r="K40" s="311"/>
      <c r="L40" s="302"/>
      <c r="M40" s="302"/>
      <c r="N40" s="302"/>
      <c r="O40" s="302"/>
      <c r="P40" s="302"/>
      <c r="Q40" s="318"/>
      <c r="R40" s="312"/>
      <c r="S40" s="259"/>
      <c r="T40" s="260"/>
      <c r="U40" s="260"/>
      <c r="V40" s="260"/>
      <c r="W40" s="260"/>
      <c r="X40" s="260"/>
      <c r="Y40" s="313"/>
      <c r="Z40" s="329" t="s">
        <v>197</v>
      </c>
      <c r="AA40" s="234"/>
      <c r="AB40" s="258" t="e">
        <f>"PRIMO Bianco 1＋"&amp;IF(Z3&lt;2,"Giallo 1",IF(Z3=2,"Giallo 2",IF(Z3=3,"Giallo 2",IF(OR(Z3=4,Z3=5),"Giallo 3",))))&amp;"＋ULTIMO Bianco 1"</f>
        <v>#N/A</v>
      </c>
      <c r="AC40" s="234"/>
      <c r="AD40" s="234"/>
      <c r="AE40" s="234"/>
      <c r="AF40" s="317"/>
      <c r="AG40" s="234"/>
      <c r="AH40" s="234"/>
      <c r="AI40" s="249"/>
    </row>
    <row r="41" spans="1:35" ht="24.6" customHeight="1">
      <c r="D41" s="1830"/>
      <c r="E41" s="249"/>
      <c r="F41" s="249"/>
      <c r="G41" s="249"/>
      <c r="H41" s="249"/>
      <c r="I41" s="249"/>
      <c r="J41" s="249"/>
      <c r="K41" s="311"/>
      <c r="L41" s="302"/>
      <c r="M41" s="302"/>
      <c r="N41" s="302"/>
      <c r="O41" s="315"/>
      <c r="P41" s="325" t="e">
        <f>IF(Z3=7,ROUNDUP((IF(T3/G15&lt;$B$43,$B$43,T3/G15))+L28*3*2+400,-2),"")</f>
        <v>#N/A</v>
      </c>
      <c r="Q41" s="254" t="e">
        <f>IF(Z3=7,"1",0)</f>
        <v>#N/A</v>
      </c>
      <c r="R41" s="330" t="e">
        <f>+Q41*G15*G11</f>
        <v>#N/A</v>
      </c>
      <c r="S41" s="319"/>
      <c r="T41" s="322"/>
      <c r="U41" s="322"/>
      <c r="V41" s="322"/>
      <c r="W41" s="322"/>
      <c r="X41" s="331"/>
      <c r="Y41" s="323"/>
      <c r="Z41" s="251"/>
      <c r="AA41" s="234"/>
      <c r="AB41" s="234"/>
      <c r="AC41" s="234"/>
      <c r="AD41" s="234"/>
      <c r="AE41" s="234"/>
      <c r="AF41" s="317"/>
      <c r="AG41" s="1853" t="s">
        <v>475</v>
      </c>
      <c r="AH41" s="234"/>
      <c r="AI41" s="249"/>
    </row>
    <row r="42" spans="1:35" ht="21.95" customHeight="1">
      <c r="A42" s="502" t="s">
        <v>272</v>
      </c>
      <c r="B42" s="503">
        <v>2000</v>
      </c>
      <c r="D42" s="1830"/>
      <c r="E42" s="249"/>
      <c r="F42" s="249"/>
      <c r="G42" s="249"/>
      <c r="H42" s="249"/>
      <c r="I42" s="249"/>
      <c r="J42" s="249"/>
      <c r="K42" s="311"/>
      <c r="L42" s="302"/>
      <c r="M42" s="254">
        <v>4</v>
      </c>
      <c r="N42" s="302" t="s">
        <v>37</v>
      </c>
      <c r="O42" s="302"/>
      <c r="P42" s="302"/>
      <c r="Q42" s="302"/>
      <c r="R42" s="312"/>
      <c r="S42" s="259"/>
      <c r="T42" s="260"/>
      <c r="U42" s="260"/>
      <c r="V42" s="260"/>
      <c r="W42" s="326"/>
      <c r="X42" s="260"/>
      <c r="Y42" s="313"/>
      <c r="Z42" s="251"/>
      <c r="AA42" s="234"/>
      <c r="AB42" s="234"/>
      <c r="AC42" s="234"/>
      <c r="AD42" s="234"/>
      <c r="AE42" s="234"/>
      <c r="AF42" s="317"/>
      <c r="AG42" s="1853"/>
      <c r="AH42" s="234"/>
      <c r="AI42" s="249"/>
    </row>
    <row r="43" spans="1:35" ht="33.75" customHeight="1">
      <c r="A43" s="504" t="s">
        <v>273</v>
      </c>
      <c r="B43" s="505" t="e">
        <f>+VLOOKUP(DATI!C3,DATI!AB:AI,5,0)</f>
        <v>#N/A</v>
      </c>
      <c r="D43" s="1830"/>
      <c r="E43" s="249"/>
      <c r="F43" s="249"/>
      <c r="G43" s="249"/>
      <c r="H43" s="249"/>
      <c r="I43" s="249"/>
      <c r="J43" s="249"/>
      <c r="K43" s="311"/>
      <c r="L43" s="302"/>
      <c r="M43" s="302"/>
      <c r="N43" s="302"/>
      <c r="O43" s="302"/>
      <c r="P43" s="303"/>
      <c r="Q43" s="302"/>
      <c r="R43" s="312"/>
      <c r="S43" s="1977" t="s">
        <v>192</v>
      </c>
      <c r="T43" s="1832"/>
      <c r="U43" s="1854" t="e">
        <f>IF(U44="","","PIC")</f>
        <v>#N/A</v>
      </c>
      <c r="V43" s="1854"/>
      <c r="W43" s="1854"/>
      <c r="X43" s="1854"/>
      <c r="Y43" s="1855"/>
      <c r="Z43" s="251"/>
      <c r="AA43" s="234"/>
      <c r="AB43" s="234"/>
      <c r="AC43" s="234"/>
      <c r="AD43" s="234"/>
      <c r="AE43" s="234"/>
      <c r="AF43" s="317"/>
      <c r="AG43" s="1853"/>
      <c r="AH43" s="234"/>
      <c r="AI43" s="249"/>
    </row>
    <row r="44" spans="1:35" ht="33.75" customHeight="1">
      <c r="A44" s="504" t="s">
        <v>274</v>
      </c>
      <c r="B44" s="505" t="e">
        <f>+VLOOKUP(DATI!C3,DATI!AB:AI,8,0)</f>
        <v>#N/A</v>
      </c>
      <c r="D44" s="252"/>
      <c r="E44" s="249"/>
      <c r="F44" s="249"/>
      <c r="G44" s="249"/>
      <c r="H44" s="249"/>
      <c r="I44" s="249"/>
      <c r="J44" s="249"/>
      <c r="K44" s="311"/>
      <c r="L44" s="302"/>
      <c r="M44" s="302"/>
      <c r="N44" s="302"/>
      <c r="O44" s="302"/>
      <c r="P44" s="302"/>
      <c r="Q44" s="302"/>
      <c r="R44" s="312"/>
      <c r="S44" s="259"/>
      <c r="T44" s="326" t="s">
        <v>196</v>
      </c>
      <c r="U44" s="295" t="e">
        <f>IF(AC36&lt;41,((+AC36-32)*22)+57,"")</f>
        <v>#N/A</v>
      </c>
      <c r="V44" s="260"/>
      <c r="W44" s="260"/>
      <c r="X44" s="260"/>
      <c r="Y44" s="313"/>
      <c r="Z44" s="252"/>
      <c r="AA44" s="332" t="s">
        <v>92</v>
      </c>
      <c r="AB44" s="332"/>
      <c r="AC44" s="332"/>
      <c r="AD44" s="332"/>
      <c r="AE44" s="272"/>
      <c r="AF44" s="263"/>
      <c r="AG44" s="1853"/>
      <c r="AH44" s="249"/>
      <c r="AI44" s="249"/>
    </row>
    <row r="45" spans="1:35" ht="18.95" customHeight="1">
      <c r="A45" s="506" t="s">
        <v>275</v>
      </c>
      <c r="B45" s="507" t="e">
        <f>+VLOOKUP(DATI!C3,DATI!AB:AI,7,0)</f>
        <v>#N/A</v>
      </c>
      <c r="D45" s="252"/>
      <c r="E45" s="249"/>
      <c r="F45" s="249"/>
      <c r="G45" s="249"/>
      <c r="H45" s="249"/>
      <c r="I45" s="249"/>
      <c r="J45" s="249"/>
      <c r="K45" s="311"/>
      <c r="L45" s="302"/>
      <c r="M45" s="254" t="s">
        <v>200</v>
      </c>
      <c r="N45" s="302"/>
      <c r="O45" s="302"/>
      <c r="P45" s="303"/>
      <c r="Q45" s="302"/>
      <c r="R45" s="312"/>
      <c r="S45" s="1990" t="s">
        <v>201</v>
      </c>
      <c r="T45" s="1856"/>
      <c r="U45" s="1856"/>
      <c r="V45" s="1856"/>
      <c r="W45" s="1856"/>
      <c r="X45" s="1856"/>
      <c r="Y45" s="1857"/>
      <c r="Z45" s="252"/>
      <c r="AA45" s="332"/>
      <c r="AB45" s="262" t="s">
        <v>202</v>
      </c>
      <c r="AC45" s="332"/>
      <c r="AD45" s="332"/>
      <c r="AE45" s="272"/>
      <c r="AF45" s="263"/>
      <c r="AG45" s="1853"/>
      <c r="AH45" s="249"/>
      <c r="AI45" s="249"/>
    </row>
    <row r="46" spans="1:35" ht="18.600000000000001" customHeight="1">
      <c r="D46" s="252"/>
      <c r="E46" s="249"/>
      <c r="F46" s="249"/>
      <c r="G46" s="333"/>
      <c r="H46" s="249"/>
      <c r="I46" s="249"/>
      <c r="J46" s="249"/>
      <c r="K46" s="311"/>
      <c r="L46" s="302"/>
      <c r="M46" s="302"/>
      <c r="N46" s="302"/>
      <c r="O46" s="302"/>
      <c r="P46" s="302"/>
      <c r="Q46" s="302"/>
      <c r="R46" s="312"/>
      <c r="S46" s="1864"/>
      <c r="T46" s="1858"/>
      <c r="U46" s="1858"/>
      <c r="V46" s="1858"/>
      <c r="W46" s="1858"/>
      <c r="X46" s="1858"/>
      <c r="Y46" s="1859"/>
      <c r="Z46" s="252"/>
      <c r="AA46" s="332"/>
      <c r="AB46" s="262" t="s">
        <v>203</v>
      </c>
      <c r="AC46" s="332"/>
      <c r="AD46" s="334"/>
      <c r="AE46" s="272"/>
      <c r="AF46" s="263"/>
      <c r="AG46" s="1853"/>
      <c r="AH46" s="249"/>
      <c r="AI46" s="249"/>
    </row>
    <row r="47" spans="1:35" ht="26.45" customHeight="1" thickBot="1">
      <c r="D47" s="304"/>
      <c r="E47" s="305"/>
      <c r="F47" s="305"/>
      <c r="G47" s="305" t="s">
        <v>204</v>
      </c>
      <c r="H47" s="305"/>
      <c r="I47" s="305"/>
      <c r="J47" s="305"/>
      <c r="K47" s="311"/>
      <c r="L47" s="302"/>
      <c r="M47" s="303" t="s">
        <v>205</v>
      </c>
      <c r="N47" s="302"/>
      <c r="O47" s="302"/>
      <c r="P47" s="302"/>
      <c r="Q47" s="302"/>
      <c r="R47" s="312"/>
      <c r="S47" s="1864"/>
      <c r="T47" s="1858"/>
      <c r="U47" s="1858"/>
      <c r="V47" s="1858"/>
      <c r="W47" s="1858"/>
      <c r="X47" s="1858"/>
      <c r="Y47" s="1859"/>
      <c r="Z47" s="252"/>
      <c r="AA47" s="335"/>
      <c r="AB47" s="262" t="s">
        <v>95</v>
      </c>
      <c r="AC47" s="332"/>
      <c r="AD47" s="253"/>
      <c r="AE47" s="336"/>
      <c r="AF47" s="263"/>
      <c r="AG47" s="1853"/>
      <c r="AH47" s="249"/>
      <c r="AI47" s="249"/>
    </row>
    <row r="48" spans="1:35" ht="18.95" customHeight="1">
      <c r="D48" s="252"/>
      <c r="E48" s="272" t="s">
        <v>109</v>
      </c>
      <c r="F48" s="337"/>
      <c r="G48" s="249"/>
      <c r="H48" s="260" t="s">
        <v>110</v>
      </c>
      <c r="I48" s="260"/>
      <c r="J48" s="249"/>
      <c r="K48" s="311"/>
      <c r="L48" s="302"/>
      <c r="M48" s="302"/>
      <c r="N48" s="302"/>
      <c r="O48" s="302"/>
      <c r="P48" s="302"/>
      <c r="Q48" s="302"/>
      <c r="R48" s="312"/>
      <c r="S48" s="508"/>
      <c r="T48" s="260"/>
      <c r="U48" s="292"/>
      <c r="V48" s="1989" t="e">
        <f>+(AC36-22)*22</f>
        <v>#N/A</v>
      </c>
      <c r="W48" s="260"/>
      <c r="X48" s="260"/>
      <c r="Y48" s="313"/>
      <c r="Z48" s="252"/>
      <c r="AA48" s="260"/>
      <c r="AB48" s="262" t="s">
        <v>206</v>
      </c>
      <c r="AC48" s="249"/>
      <c r="AD48" s="253"/>
      <c r="AE48" s="336"/>
      <c r="AF48" s="263"/>
      <c r="AG48" s="1853"/>
      <c r="AH48" s="249"/>
      <c r="AI48" s="249"/>
    </row>
    <row r="49" spans="4:35" ht="18.95" customHeight="1" thickBot="1">
      <c r="D49" s="338" t="s">
        <v>207</v>
      </c>
      <c r="E49" s="339"/>
      <c r="F49" s="340" t="s">
        <v>113</v>
      </c>
      <c r="G49" s="1978" t="str">
        <f>+DATI!M15</f>
        <v>RETE NERA</v>
      </c>
      <c r="H49" s="1979"/>
      <c r="I49" s="1979"/>
      <c r="J49" s="1980"/>
      <c r="K49" s="311"/>
      <c r="L49" s="302"/>
      <c r="M49" s="302"/>
      <c r="N49" s="302"/>
      <c r="O49" s="302"/>
      <c r="P49" s="302"/>
      <c r="Q49" s="302"/>
      <c r="R49" s="312"/>
      <c r="S49" s="259"/>
      <c r="T49" s="260"/>
      <c r="U49" s="260"/>
      <c r="V49" s="1880"/>
      <c r="W49" s="260"/>
      <c r="X49" s="260"/>
      <c r="Y49" s="313"/>
      <c r="Z49" s="304"/>
      <c r="AA49" s="341"/>
      <c r="AB49" s="305"/>
      <c r="AC49" s="305"/>
      <c r="AD49" s="305"/>
      <c r="AE49" s="305"/>
      <c r="AF49" s="307"/>
      <c r="AG49" s="1853"/>
      <c r="AH49" s="249"/>
      <c r="AI49" s="249"/>
    </row>
    <row r="50" spans="4:35" ht="18.95" customHeight="1" thickBot="1">
      <c r="D50" s="342"/>
      <c r="E50" s="343"/>
      <c r="F50" s="344"/>
      <c r="G50" s="1981"/>
      <c r="H50" s="1982"/>
      <c r="I50" s="1982"/>
      <c r="J50" s="1983"/>
      <c r="K50" s="311"/>
      <c r="L50" s="302"/>
      <c r="M50" s="302"/>
      <c r="N50" s="302"/>
      <c r="O50" s="302"/>
      <c r="P50" s="302"/>
      <c r="Q50" s="302"/>
      <c r="R50" s="312"/>
      <c r="S50" s="308"/>
      <c r="T50" s="309"/>
      <c r="U50" s="509"/>
      <c r="V50" s="309"/>
      <c r="W50" s="499"/>
      <c r="X50" s="510"/>
      <c r="Y50" s="511"/>
      <c r="Z50" s="346" t="s">
        <v>37</v>
      </c>
      <c r="AA50" s="249"/>
      <c r="AB50" s="249"/>
      <c r="AC50" s="249"/>
      <c r="AD50" s="249"/>
      <c r="AE50" s="249"/>
      <c r="AF50" s="263"/>
      <c r="AG50" s="1853"/>
      <c r="AH50" s="249"/>
      <c r="AI50" s="249"/>
    </row>
    <row r="51" spans="4:35" ht="39" customHeight="1">
      <c r="D51" s="252"/>
      <c r="E51" s="249"/>
      <c r="F51" s="337"/>
      <c r="G51" s="1984"/>
      <c r="H51" s="1985"/>
      <c r="I51" s="1985"/>
      <c r="J51" s="1986"/>
      <c r="K51" s="311"/>
      <c r="L51" s="302"/>
      <c r="M51" s="302"/>
      <c r="N51" s="264"/>
      <c r="O51" s="302"/>
      <c r="P51" s="302"/>
      <c r="Q51" s="302"/>
      <c r="R51" s="312"/>
      <c r="S51" s="1987" t="s">
        <v>208</v>
      </c>
      <c r="T51" s="1988"/>
      <c r="U51" s="1849" t="s">
        <v>209</v>
      </c>
      <c r="V51" s="1849"/>
      <c r="W51" s="1849"/>
      <c r="X51" s="1849"/>
      <c r="Y51" s="1850"/>
      <c r="Z51" s="328"/>
      <c r="AA51" s="249"/>
      <c r="AB51" s="347" t="s">
        <v>98</v>
      </c>
      <c r="AC51" s="347" t="s">
        <v>99</v>
      </c>
      <c r="AD51" s="347" t="s">
        <v>100</v>
      </c>
      <c r="AE51" s="249"/>
      <c r="AF51" s="263"/>
      <c r="AG51" s="1853"/>
      <c r="AH51" s="249"/>
      <c r="AI51" s="249"/>
    </row>
    <row r="52" spans="4:35" ht="21.95" customHeight="1">
      <c r="D52" s="252"/>
      <c r="E52" s="249"/>
      <c r="F52" s="337"/>
      <c r="G52" s="348" t="s">
        <v>114</v>
      </c>
      <c r="H52" s="348" t="s">
        <v>115</v>
      </c>
      <c r="I52" s="348"/>
      <c r="J52" s="348"/>
      <c r="K52" s="311"/>
      <c r="L52" s="302"/>
      <c r="M52" s="302"/>
      <c r="N52" s="303" t="s">
        <v>197</v>
      </c>
      <c r="O52" s="302"/>
      <c r="P52" s="302"/>
      <c r="Q52" s="302"/>
      <c r="R52" s="312"/>
      <c r="S52" s="349"/>
      <c r="T52" s="350"/>
      <c r="U52" s="350"/>
      <c r="V52" s="350"/>
      <c r="W52" s="350"/>
      <c r="X52" s="350"/>
      <c r="Y52" s="351"/>
      <c r="Z52" s="352"/>
      <c r="AA52" s="249"/>
      <c r="AB52" s="353" t="s">
        <v>44</v>
      </c>
      <c r="AC52" s="354"/>
      <c r="AD52" s="354"/>
      <c r="AE52" s="249"/>
      <c r="AF52" s="263"/>
      <c r="AG52" s="1853"/>
      <c r="AH52" s="249"/>
      <c r="AI52" s="249"/>
    </row>
    <row r="53" spans="4:35" ht="26.45" customHeight="1">
      <c r="D53" s="252"/>
      <c r="E53" s="249"/>
      <c r="F53" s="337"/>
      <c r="G53" s="355"/>
      <c r="H53" s="350"/>
      <c r="I53" s="350"/>
      <c r="J53" s="350"/>
      <c r="K53" s="311"/>
      <c r="L53" s="302"/>
      <c r="M53" s="302"/>
      <c r="N53" s="302"/>
      <c r="O53" s="302"/>
      <c r="P53" s="302"/>
      <c r="Q53" s="302"/>
      <c r="R53" s="314"/>
      <c r="S53" s="356"/>
      <c r="T53" s="249"/>
      <c r="U53" s="249" t="s">
        <v>210</v>
      </c>
      <c r="V53" s="258" t="e">
        <f>ROUNDUP((W3-42)*2+200,-2)</f>
        <v>#N/A</v>
      </c>
      <c r="W53" s="326"/>
      <c r="X53" s="357" t="s">
        <v>211</v>
      </c>
      <c r="Y53" s="263"/>
      <c r="Z53" s="329"/>
      <c r="AA53" s="249"/>
      <c r="AB53" s="249">
        <v>0.05</v>
      </c>
      <c r="AC53" s="272">
        <v>0.115</v>
      </c>
      <c r="AD53" s="358" t="s">
        <v>102</v>
      </c>
      <c r="AE53" s="359" t="e">
        <f>(W3-42+207)/1000</f>
        <v>#N/A</v>
      </c>
      <c r="AF53" s="263"/>
      <c r="AG53" s="1853"/>
      <c r="AH53" s="249"/>
      <c r="AI53" s="249"/>
    </row>
    <row r="54" spans="4:35" ht="19.899999999999999" customHeight="1">
      <c r="D54" s="252"/>
      <c r="E54" s="249"/>
      <c r="F54" s="337"/>
      <c r="G54" s="360"/>
      <c r="H54" s="361"/>
      <c r="I54" s="361"/>
      <c r="J54" s="361"/>
      <c r="K54" s="362"/>
      <c r="L54" s="302"/>
      <c r="M54" s="302"/>
      <c r="N54" s="357"/>
      <c r="O54" s="264"/>
      <c r="P54" s="357"/>
      <c r="Q54" s="302"/>
      <c r="R54" s="316"/>
      <c r="S54" s="252"/>
      <c r="T54" s="249"/>
      <c r="U54" s="249"/>
      <c r="V54" s="249"/>
      <c r="W54" s="249"/>
      <c r="X54" s="249"/>
      <c r="Y54" s="263"/>
      <c r="Z54" s="252"/>
      <c r="AA54" s="249"/>
      <c r="AB54" s="249" t="s">
        <v>103</v>
      </c>
      <c r="AC54" s="249"/>
      <c r="AD54" s="254">
        <f>+H11</f>
        <v>0</v>
      </c>
      <c r="AE54" s="238" t="s">
        <v>104</v>
      </c>
      <c r="AF54" s="263"/>
      <c r="AG54" s="1853"/>
      <c r="AH54" s="249"/>
      <c r="AI54" s="249"/>
    </row>
    <row r="55" spans="4:35" ht="18.95" customHeight="1" thickBot="1">
      <c r="D55" s="304"/>
      <c r="E55" s="305"/>
      <c r="F55" s="363"/>
      <c r="G55" s="364"/>
      <c r="H55" s="305"/>
      <c r="I55" s="305"/>
      <c r="J55" s="305"/>
      <c r="K55" s="365"/>
      <c r="L55" s="366"/>
      <c r="M55" s="366"/>
      <c r="N55" s="366"/>
      <c r="O55" s="366"/>
      <c r="P55" s="366"/>
      <c r="Q55" s="366"/>
      <c r="R55" s="367"/>
      <c r="S55" s="304"/>
      <c r="T55" s="305"/>
      <c r="U55" s="309"/>
      <c r="V55" s="309"/>
      <c r="W55" s="309"/>
      <c r="X55" s="309"/>
      <c r="Y55" s="307"/>
      <c r="Z55" s="304"/>
      <c r="AA55" s="305"/>
      <c r="AB55" s="305" t="s">
        <v>105</v>
      </c>
      <c r="AC55" s="305"/>
      <c r="AD55" s="368" t="e">
        <f>(AB53*AC53*AE53)</f>
        <v>#N/A</v>
      </c>
      <c r="AE55" s="305" t="s">
        <v>212</v>
      </c>
      <c r="AF55" s="307"/>
      <c r="AG55" s="1853"/>
    </row>
    <row r="56" spans="4:35" ht="102" customHeight="1">
      <c r="O56" s="249"/>
      <c r="U56" s="369"/>
      <c r="V56" s="369"/>
      <c r="W56" s="369"/>
      <c r="X56" s="369"/>
    </row>
    <row r="57" spans="4:35">
      <c r="U57" s="369"/>
      <c r="V57" s="369"/>
      <c r="W57" s="369"/>
      <c r="X57" s="260"/>
      <c r="Y57" s="249"/>
      <c r="Z57" s="249"/>
      <c r="AA57" s="249"/>
      <c r="AB57" s="249"/>
      <c r="AC57" s="249"/>
      <c r="AD57" s="249"/>
    </row>
    <row r="58" spans="4:35">
      <c r="U58" s="369"/>
      <c r="V58" s="369"/>
      <c r="W58" s="369"/>
      <c r="X58" s="260"/>
      <c r="Y58" s="249"/>
      <c r="Z58" s="249"/>
      <c r="AA58" s="249"/>
      <c r="AB58" s="249"/>
      <c r="AC58" s="249"/>
      <c r="AD58" s="249"/>
    </row>
    <row r="59" spans="4:35" ht="27.75">
      <c r="U59" s="369"/>
      <c r="V59" s="369"/>
      <c r="W59" s="369"/>
      <c r="X59" s="292"/>
      <c r="Y59" s="260"/>
      <c r="Z59" s="279"/>
      <c r="AA59" s="249"/>
      <c r="AB59" s="249"/>
      <c r="AC59" s="249"/>
      <c r="AD59" s="249"/>
    </row>
    <row r="60" spans="4:35" ht="27.75">
      <c r="U60" s="369"/>
      <c r="V60" s="369"/>
      <c r="W60" s="369"/>
      <c r="X60" s="292"/>
      <c r="Y60" s="260"/>
      <c r="Z60" s="279"/>
      <c r="AA60" s="249"/>
      <c r="AB60" s="249"/>
      <c r="AC60" s="249"/>
      <c r="AD60" s="249"/>
    </row>
    <row r="61" spans="4:35">
      <c r="U61" s="369"/>
      <c r="V61" s="369"/>
      <c r="W61" s="369"/>
      <c r="X61" s="260"/>
      <c r="Y61" s="249"/>
      <c r="Z61" s="249"/>
      <c r="AA61" s="249"/>
      <c r="AB61" s="249"/>
      <c r="AC61" s="249"/>
      <c r="AD61" s="249"/>
    </row>
    <row r="62" spans="4:35" ht="27">
      <c r="U62" s="369"/>
      <c r="V62" s="369"/>
      <c r="W62" s="369"/>
      <c r="X62" s="260"/>
      <c r="Y62" s="249"/>
      <c r="Z62" s="234"/>
      <c r="AA62" s="249"/>
      <c r="AB62" s="275"/>
      <c r="AC62" s="254"/>
      <c r="AD62" s="254"/>
    </row>
    <row r="63" spans="4:35" ht="27.75">
      <c r="X63" s="249"/>
      <c r="Y63" s="326"/>
      <c r="Z63" s="279"/>
      <c r="AA63" s="249"/>
      <c r="AB63" s="238"/>
      <c r="AC63" s="249"/>
      <c r="AD63" s="249"/>
    </row>
    <row r="64" spans="4:35">
      <c r="X64" s="249"/>
      <c r="Y64" s="249"/>
      <c r="Z64" s="249"/>
      <c r="AA64" s="249"/>
      <c r="AB64" s="238"/>
      <c r="AC64" s="249"/>
      <c r="AD64" s="249"/>
    </row>
    <row r="65" spans="24:30" ht="26.25">
      <c r="X65" s="249"/>
      <c r="Y65" s="249"/>
      <c r="Z65" s="303"/>
      <c r="AA65" s="249"/>
      <c r="AB65" s="262"/>
      <c r="AC65" s="254"/>
      <c r="AD65" s="275"/>
    </row>
    <row r="66" spans="24:30" ht="33.75">
      <c r="X66" s="249"/>
      <c r="Y66" s="326"/>
      <c r="Z66" s="370"/>
      <c r="AA66" s="249"/>
      <c r="AB66" s="249"/>
      <c r="AC66" s="249"/>
      <c r="AD66" s="249"/>
    </row>
    <row r="67" spans="24:30">
      <c r="X67" s="249"/>
      <c r="Y67" s="249"/>
      <c r="Z67" s="249"/>
      <c r="AA67" s="249"/>
      <c r="AB67" s="249"/>
      <c r="AC67" s="249"/>
      <c r="AD67" s="249"/>
    </row>
  </sheetData>
  <sheetProtection formatCells="0" formatColumns="0"/>
  <mergeCells count="80">
    <mergeCell ref="W2:X2"/>
    <mergeCell ref="Z2:AB2"/>
    <mergeCell ref="AD2:AF2"/>
    <mergeCell ref="D3:F3"/>
    <mergeCell ref="G3:J3"/>
    <mergeCell ref="K3:M3"/>
    <mergeCell ref="N3:P3"/>
    <mergeCell ref="Q3:S3"/>
    <mergeCell ref="T3:U3"/>
    <mergeCell ref="W3:X3"/>
    <mergeCell ref="D2:F2"/>
    <mergeCell ref="G2:J2"/>
    <mergeCell ref="K2:M2"/>
    <mergeCell ref="N2:P2"/>
    <mergeCell ref="Q2:S2"/>
    <mergeCell ref="T2:U2"/>
    <mergeCell ref="U5:AF5"/>
    <mergeCell ref="Z3:AB3"/>
    <mergeCell ref="AD3:AF3"/>
    <mergeCell ref="K4:M4"/>
    <mergeCell ref="N4:S4"/>
    <mergeCell ref="AB4:AC4"/>
    <mergeCell ref="AD4:AF4"/>
    <mergeCell ref="D5:E5"/>
    <mergeCell ref="F5:J5"/>
    <mergeCell ref="K5:L5"/>
    <mergeCell ref="M5:R5"/>
    <mergeCell ref="S5:T5"/>
    <mergeCell ref="S6:Y6"/>
    <mergeCell ref="Z6:AF6"/>
    <mergeCell ref="G7:J7"/>
    <mergeCell ref="N10:O10"/>
    <mergeCell ref="P10:Q10"/>
    <mergeCell ref="Z7:AF7"/>
    <mergeCell ref="H9:I9"/>
    <mergeCell ref="L9:Q9"/>
    <mergeCell ref="T14:V14"/>
    <mergeCell ref="S7:Y7"/>
    <mergeCell ref="Z21:AF21"/>
    <mergeCell ref="E19:F19"/>
    <mergeCell ref="E20:F20"/>
    <mergeCell ref="H20:I20"/>
    <mergeCell ref="G17:I17"/>
    <mergeCell ref="P21:Q21"/>
    <mergeCell ref="U15:X19"/>
    <mergeCell ref="AA15:AD19"/>
    <mergeCell ref="G13:J13"/>
    <mergeCell ref="T13:V13"/>
    <mergeCell ref="S21:Y21"/>
    <mergeCell ref="D22:J22"/>
    <mergeCell ref="L22:Q26"/>
    <mergeCell ref="AA22:AC22"/>
    <mergeCell ref="F25:H25"/>
    <mergeCell ref="L27:Q27"/>
    <mergeCell ref="D23:J23"/>
    <mergeCell ref="AB26:AE29"/>
    <mergeCell ref="L28:Q28"/>
    <mergeCell ref="K29:R29"/>
    <mergeCell ref="T22:V22"/>
    <mergeCell ref="U26:X29"/>
    <mergeCell ref="K31:L31"/>
    <mergeCell ref="M31:R31"/>
    <mergeCell ref="S31:T31"/>
    <mergeCell ref="U31:Y31"/>
    <mergeCell ref="Z31:AA31"/>
    <mergeCell ref="D32:D43"/>
    <mergeCell ref="T33:U33"/>
    <mergeCell ref="V33:Y33"/>
    <mergeCell ref="E37:G37"/>
    <mergeCell ref="S38:T38"/>
    <mergeCell ref="G49:J51"/>
    <mergeCell ref="S51:T51"/>
    <mergeCell ref="U51:Y51"/>
    <mergeCell ref="V48:V49"/>
    <mergeCell ref="S45:Y47"/>
    <mergeCell ref="AG41:AG55"/>
    <mergeCell ref="S43:T43"/>
    <mergeCell ref="U43:Y43"/>
    <mergeCell ref="U38:Y38"/>
    <mergeCell ref="AB31:AF31"/>
  </mergeCells>
  <conditionalFormatting sqref="G49:J51">
    <cfRule type="expression" dxfId="12" priority="2" stopIfTrue="1">
      <formula>IF($A$69=1,1,0)</formula>
    </cfRule>
  </conditionalFormatting>
  <conditionalFormatting sqref="L9:Q9">
    <cfRule type="cellIs" dxfId="11" priority="1" stopIfTrue="1" operator="equal">
      <formula>"RETE GRIGIA"</formula>
    </cfRule>
  </conditionalFormatting>
  <printOptions horizontalCentered="1" verticalCentered="1"/>
  <pageMargins left="0" right="0" top="0" bottom="0" header="0" footer="0"/>
  <pageSetup paperSize="9" scale="3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>
    <tabColor rgb="FFFF0000"/>
    <pageSetUpPr fitToPage="1"/>
  </sheetPr>
  <dimension ref="A1:AT67"/>
  <sheetViews>
    <sheetView topLeftCell="G1" zoomScale="40" zoomScaleNormal="40" workbookViewId="0">
      <selection activeCell="L22" sqref="L22:Q26"/>
    </sheetView>
  </sheetViews>
  <sheetFormatPr defaultRowHeight="25.5" outlineLevelCol="1"/>
  <cols>
    <col min="1" max="1" width="65.85546875" style="1206" hidden="1" customWidth="1" outlineLevel="1"/>
    <col min="2" max="2" width="65.5703125" style="1278" hidden="1" customWidth="1" outlineLevel="1"/>
    <col min="3" max="3" width="5.140625" style="1260" hidden="1" customWidth="1" outlineLevel="1"/>
    <col min="4" max="4" width="7.7109375" style="1229" customWidth="1" collapsed="1"/>
    <col min="5" max="5" width="14.42578125" style="1229" customWidth="1"/>
    <col min="6" max="6" width="6.5703125" style="1229" customWidth="1"/>
    <col min="7" max="7" width="21.5703125" style="1229" bestFit="1" customWidth="1"/>
    <col min="8" max="9" width="10.85546875" style="1229" customWidth="1"/>
    <col min="10" max="10" width="9.42578125" style="1229" customWidth="1"/>
    <col min="11" max="11" width="9.140625" style="1229"/>
    <col min="12" max="12" width="10.7109375" style="1229" customWidth="1"/>
    <col min="13" max="13" width="13.42578125" style="1229" customWidth="1"/>
    <col min="14" max="14" width="15.28515625" style="1229" customWidth="1"/>
    <col min="15" max="15" width="15.7109375" style="1229" customWidth="1"/>
    <col min="16" max="16" width="21.85546875" style="1229" customWidth="1"/>
    <col min="17" max="17" width="26" style="1229" customWidth="1"/>
    <col min="18" max="18" width="13.28515625" style="1229" customWidth="1"/>
    <col min="19" max="20" width="9.140625" style="1229"/>
    <col min="21" max="21" width="24.42578125" style="1229" customWidth="1"/>
    <col min="22" max="22" width="13.5703125" style="1229" customWidth="1"/>
    <col min="23" max="23" width="13.140625" style="1229" customWidth="1"/>
    <col min="24" max="24" width="13.85546875" style="1229" customWidth="1"/>
    <col min="25" max="25" width="15.28515625" style="1229" customWidth="1"/>
    <col min="26" max="26" width="12.7109375" style="1229" customWidth="1"/>
    <col min="27" max="27" width="11.42578125" style="1229" customWidth="1"/>
    <col min="28" max="28" width="12.5703125" style="1229" customWidth="1"/>
    <col min="29" max="29" width="27.5703125" style="1229" customWidth="1"/>
    <col min="30" max="30" width="27.28515625" style="1229" customWidth="1"/>
    <col min="31" max="31" width="15.42578125" style="1229" customWidth="1"/>
    <col min="32" max="32" width="18.85546875" style="1229" customWidth="1"/>
    <col min="33" max="33" width="5.28515625" style="1229" customWidth="1"/>
    <col min="34" max="34" width="3.140625" style="1229" customWidth="1"/>
    <col min="35" max="38" width="9.140625" style="1229"/>
    <col min="39" max="39" width="10.85546875" style="1229" customWidth="1"/>
    <col min="40" max="16384" width="9.140625" style="1229"/>
  </cols>
  <sheetData>
    <row r="1" spans="1:45" s="1212" customFormat="1" ht="28.5" thickBot="1">
      <c r="A1" s="1206"/>
      <c r="B1" s="1278"/>
      <c r="C1" s="1260"/>
      <c r="D1" s="1207"/>
      <c r="E1" s="1208"/>
      <c r="F1" s="1208"/>
      <c r="G1" s="1208"/>
      <c r="H1" s="1208"/>
      <c r="I1" s="1208"/>
      <c r="J1" s="1208"/>
      <c r="K1" s="1208"/>
      <c r="L1" s="1208"/>
      <c r="M1" s="1208"/>
      <c r="N1" s="1208"/>
      <c r="O1" s="1208"/>
      <c r="P1" s="1209" t="s">
        <v>749</v>
      </c>
      <c r="Q1" s="1208"/>
      <c r="R1" s="1208"/>
      <c r="S1" s="1208"/>
      <c r="T1" s="1208"/>
      <c r="U1" s="1208"/>
      <c r="V1" s="1208"/>
      <c r="W1" s="1208"/>
      <c r="X1" s="1208"/>
      <c r="Y1" s="1208"/>
      <c r="Z1" s="1208"/>
      <c r="AA1" s="1208"/>
      <c r="AB1" s="1208"/>
      <c r="AC1" s="1208"/>
      <c r="AD1" s="1208"/>
      <c r="AE1" s="1210"/>
      <c r="AF1" s="1211" t="s">
        <v>37</v>
      </c>
      <c r="AH1" s="1213"/>
      <c r="AI1" s="1213"/>
    </row>
    <row r="2" spans="1:45" s="1216" customFormat="1" ht="27" customHeight="1">
      <c r="A2" s="1206"/>
      <c r="B2" s="1278"/>
      <c r="C2" s="1260"/>
      <c r="D2" s="2082" t="s">
        <v>138</v>
      </c>
      <c r="E2" s="2073"/>
      <c r="F2" s="2073"/>
      <c r="G2" s="2073" t="s">
        <v>139</v>
      </c>
      <c r="H2" s="2073"/>
      <c r="I2" s="2073"/>
      <c r="J2" s="2073"/>
      <c r="K2" s="2073" t="s">
        <v>140</v>
      </c>
      <c r="L2" s="2073"/>
      <c r="M2" s="2073"/>
      <c r="N2" s="2073" t="s">
        <v>141</v>
      </c>
      <c r="O2" s="2073"/>
      <c r="P2" s="2073"/>
      <c r="Q2" s="2073" t="s">
        <v>142</v>
      </c>
      <c r="R2" s="2073"/>
      <c r="S2" s="2073"/>
      <c r="T2" s="2073" t="s">
        <v>143</v>
      </c>
      <c r="U2" s="2074"/>
      <c r="V2" s="1215" t="s">
        <v>144</v>
      </c>
      <c r="W2" s="2072" t="s">
        <v>145</v>
      </c>
      <c r="X2" s="2073"/>
      <c r="Y2" s="1214" t="s">
        <v>146</v>
      </c>
      <c r="Z2" s="2073" t="s">
        <v>147</v>
      </c>
      <c r="AA2" s="2073"/>
      <c r="AB2" s="2073"/>
      <c r="AC2" s="1214" t="s">
        <v>148</v>
      </c>
      <c r="AD2" s="2074" t="s">
        <v>149</v>
      </c>
      <c r="AE2" s="2075"/>
      <c r="AF2" s="2076"/>
      <c r="AH2" s="1217"/>
      <c r="AI2" s="1217"/>
    </row>
    <row r="3" spans="1:45" s="1221" customFormat="1" ht="37.15" customHeight="1" thickBot="1">
      <c r="A3" s="1206"/>
      <c r="B3" s="1278"/>
      <c r="C3" s="1260"/>
      <c r="D3" s="2077" t="str">
        <f>+DATI!M5</f>
        <v>49-58</v>
      </c>
      <c r="E3" s="2078"/>
      <c r="F3" s="2078"/>
      <c r="G3" s="2079">
        <f>B1</f>
        <v>0</v>
      </c>
      <c r="H3" s="2078"/>
      <c r="I3" s="2078"/>
      <c r="J3" s="2078"/>
      <c r="K3" s="2080">
        <f>B2</f>
        <v>0</v>
      </c>
      <c r="L3" s="2080"/>
      <c r="M3" s="2080"/>
      <c r="N3" s="2080">
        <f>+DATI!C5</f>
        <v>42370</v>
      </c>
      <c r="O3" s="2081"/>
      <c r="P3" s="2081"/>
      <c r="Q3" s="2059">
        <f>+B43</f>
        <v>400</v>
      </c>
      <c r="R3" s="2060"/>
      <c r="S3" s="2061"/>
      <c r="T3" s="2059">
        <f>IF(E20&lt;B43,B43,E20)</f>
        <v>1400</v>
      </c>
      <c r="U3" s="2060"/>
      <c r="V3" s="1219"/>
      <c r="W3" s="2060">
        <f>IF(H20&lt;B45,B45,H20)</f>
        <v>2200</v>
      </c>
      <c r="X3" s="2061"/>
      <c r="Y3" s="1218">
        <f>+W3-20</f>
        <v>2180</v>
      </c>
      <c r="Z3" s="2059">
        <f>IF(N10&lt;501,2,IF(N10&lt;1066,3,IF(N10&lt;1451,4,IF(N10&lt;1901,5,IF(N10&lt;2351,6,7)))))</f>
        <v>6</v>
      </c>
      <c r="AA3" s="2060"/>
      <c r="AB3" s="2061"/>
      <c r="AC3" s="1220" t="str">
        <f>+G11</f>
        <v>1</v>
      </c>
      <c r="AD3" s="2062" t="str">
        <f>G13</f>
        <v>06.NERO</v>
      </c>
      <c r="AE3" s="2063"/>
      <c r="AF3" s="2064"/>
      <c r="AH3" s="1222"/>
      <c r="AI3" s="1222"/>
    </row>
    <row r="4" spans="1:45" s="1221" customFormat="1" ht="40.15" customHeight="1" thickBot="1">
      <c r="A4" s="1206"/>
      <c r="B4" s="1278"/>
      <c r="C4" s="1260"/>
      <c r="D4" s="1223" t="s">
        <v>150</v>
      </c>
      <c r="E4" s="1222"/>
      <c r="F4" s="1222"/>
      <c r="G4" s="1222"/>
      <c r="H4" s="1222"/>
      <c r="I4" s="1222"/>
      <c r="J4" s="1222"/>
      <c r="K4" s="2065"/>
      <c r="L4" s="2065"/>
      <c r="M4" s="2066"/>
      <c r="N4" s="2067" t="s">
        <v>151</v>
      </c>
      <c r="O4" s="2068"/>
      <c r="P4" s="2068"/>
      <c r="Q4" s="2068"/>
      <c r="R4" s="2068"/>
      <c r="S4" s="2068"/>
      <c r="T4" s="1222"/>
      <c r="U4" s="1224">
        <f>IF((IF(T3/G15&lt;$B$43,$B$43,T3/G15))&lt;$B$43,$B$43,IF(T3/G15&lt;$B$43,$B$43,T3/G15))</f>
        <v>1400</v>
      </c>
      <c r="V4" s="1225" t="s">
        <v>37</v>
      </c>
      <c r="W4" s="1222"/>
      <c r="X4" s="1226" t="s">
        <v>37</v>
      </c>
      <c r="Y4" s="1222"/>
      <c r="Z4" s="1222"/>
      <c r="AA4" s="1227"/>
      <c r="AB4" s="2069" t="s">
        <v>152</v>
      </c>
      <c r="AC4" s="2069"/>
      <c r="AD4" s="2070">
        <f ca="1">NOW()</f>
        <v>45247.406918981484</v>
      </c>
      <c r="AE4" s="2070"/>
      <c r="AF4" s="2071"/>
      <c r="AG4" s="1222"/>
      <c r="AH4" s="1222"/>
      <c r="AI4" s="1222"/>
    </row>
    <row r="5" spans="1:45" ht="39.75" customHeight="1">
      <c r="D5" s="2037" t="s">
        <v>153</v>
      </c>
      <c r="E5" s="2038"/>
      <c r="F5" s="2026" t="s">
        <v>0</v>
      </c>
      <c r="G5" s="2026"/>
      <c r="H5" s="2026"/>
      <c r="I5" s="2026"/>
      <c r="J5" s="2027"/>
      <c r="K5" s="2037" t="s">
        <v>154</v>
      </c>
      <c r="L5" s="2038"/>
      <c r="M5" s="2026" t="s">
        <v>155</v>
      </c>
      <c r="N5" s="2026"/>
      <c r="O5" s="2026"/>
      <c r="P5" s="2026"/>
      <c r="Q5" s="2026"/>
      <c r="R5" s="2027"/>
      <c r="S5" s="2037" t="s">
        <v>156</v>
      </c>
      <c r="T5" s="2038"/>
      <c r="U5" s="2026" t="s">
        <v>157</v>
      </c>
      <c r="V5" s="2026"/>
      <c r="W5" s="2026"/>
      <c r="X5" s="2026"/>
      <c r="Y5" s="2026"/>
      <c r="Z5" s="2026"/>
      <c r="AA5" s="2026"/>
      <c r="AB5" s="2026"/>
      <c r="AC5" s="2026"/>
      <c r="AD5" s="2026"/>
      <c r="AE5" s="2026"/>
      <c r="AF5" s="2027"/>
      <c r="AG5" s="1228"/>
      <c r="AH5" s="1228"/>
      <c r="AI5" s="1228"/>
    </row>
    <row r="6" spans="1:45" ht="30.75" customHeight="1">
      <c r="D6" s="1230"/>
      <c r="E6" s="1213"/>
      <c r="F6" s="1213"/>
      <c r="G6" s="1213"/>
      <c r="H6" s="1213"/>
      <c r="I6" s="1213"/>
      <c r="J6" s="1213"/>
      <c r="K6" s="1231"/>
      <c r="L6" s="1228"/>
      <c r="M6" s="1232" t="s">
        <v>38</v>
      </c>
      <c r="N6" s="1233" t="s">
        <v>158</v>
      </c>
      <c r="O6" s="1234">
        <f>ROUNDUP(((IF(IF(T3/G15&lt;$B$43,$B$43,T3/G15)&lt;$B$43,$B$43,IF(T3/G15&lt;$B$43,$B$43,T3/G15)))-65)*0.036,0)</f>
        <v>49</v>
      </c>
      <c r="P6" s="1228"/>
      <c r="Q6" s="1235">
        <f>+G15*G11</f>
        <v>1</v>
      </c>
      <c r="R6" s="1236" t="s">
        <v>159</v>
      </c>
      <c r="S6" s="2041" t="s">
        <v>86</v>
      </c>
      <c r="T6" s="2042"/>
      <c r="U6" s="2042"/>
      <c r="V6" s="2042"/>
      <c r="W6" s="2042"/>
      <c r="X6" s="2042"/>
      <c r="Y6" s="2043"/>
      <c r="Z6" s="2042" t="s">
        <v>269</v>
      </c>
      <c r="AA6" s="2042"/>
      <c r="AB6" s="2042"/>
      <c r="AC6" s="2042"/>
      <c r="AD6" s="2042"/>
      <c r="AE6" s="2042"/>
      <c r="AF6" s="2045"/>
      <c r="AG6" s="1228"/>
      <c r="AH6" s="1228"/>
      <c r="AI6" s="1228"/>
    </row>
    <row r="7" spans="1:45" ht="30.75" customHeight="1">
      <c r="D7" s="1230"/>
      <c r="E7" s="1237" t="s">
        <v>42</v>
      </c>
      <c r="F7" s="1213"/>
      <c r="G7" s="2055">
        <f>+DATI!C6</f>
        <v>0</v>
      </c>
      <c r="H7" s="2056"/>
      <c r="I7" s="2056"/>
      <c r="J7" s="2057"/>
      <c r="S7" s="1238"/>
      <c r="T7" s="1239"/>
      <c r="U7" s="1239"/>
      <c r="V7" s="1239"/>
      <c r="W7" s="1239"/>
      <c r="X7" s="1239"/>
      <c r="Y7" s="1240"/>
      <c r="Z7" s="1228"/>
      <c r="AA7" s="1241"/>
      <c r="AB7" s="1235"/>
      <c r="AC7" s="1235"/>
      <c r="AD7" s="1228"/>
      <c r="AE7" s="1228"/>
      <c r="AF7" s="1242"/>
      <c r="AG7" s="1228"/>
      <c r="AH7" s="1228"/>
      <c r="AI7" s="1228"/>
    </row>
    <row r="8" spans="1:45" ht="30.75" customHeight="1">
      <c r="D8" s="1230"/>
      <c r="E8" s="1213"/>
      <c r="F8" s="1213" t="s">
        <v>37</v>
      </c>
      <c r="G8" s="1213"/>
      <c r="H8" s="1213"/>
      <c r="I8" s="1213"/>
      <c r="J8" s="1356"/>
      <c r="L8" s="1228"/>
      <c r="M8" s="1228"/>
      <c r="N8" s="1228"/>
      <c r="O8" s="1228"/>
      <c r="P8" s="1228"/>
      <c r="Q8" s="1228"/>
      <c r="R8" s="1242"/>
      <c r="S8" s="1238"/>
      <c r="W8" s="1239"/>
      <c r="X8" s="1243"/>
      <c r="Y8" s="1244"/>
      <c r="Z8" s="1228"/>
      <c r="AA8" s="1217"/>
      <c r="AB8" s="1228"/>
      <c r="AC8" s="1228"/>
      <c r="AD8" s="1228"/>
      <c r="AE8" s="1228"/>
      <c r="AF8" s="1242"/>
      <c r="AG8" s="1228"/>
      <c r="AH8" s="1228"/>
      <c r="AI8" s="1228"/>
    </row>
    <row r="9" spans="1:45" ht="30.75" customHeight="1">
      <c r="D9" s="1230"/>
      <c r="E9" s="1245" t="s">
        <v>161</v>
      </c>
      <c r="F9" s="1246"/>
      <c r="G9" s="1247"/>
      <c r="H9" s="1248">
        <f>+DATI!C4</f>
        <v>0</v>
      </c>
      <c r="I9" s="1249"/>
      <c r="J9" s="1357"/>
      <c r="L9" s="1228"/>
      <c r="M9" s="1217"/>
      <c r="N9" s="1217"/>
      <c r="O9" s="1217"/>
      <c r="P9" s="1217"/>
      <c r="Q9" s="1217"/>
      <c r="R9" s="1242"/>
      <c r="S9" s="1238"/>
      <c r="T9" s="1232"/>
      <c r="U9" s="1250" t="s">
        <v>162</v>
      </c>
      <c r="V9" s="1251">
        <f>W3-136+21</f>
        <v>2085</v>
      </c>
      <c r="W9" s="1239"/>
      <c r="X9" s="1239"/>
      <c r="Y9" s="1240"/>
      <c r="Z9" s="1228"/>
      <c r="AA9" s="1241"/>
      <c r="AB9" s="1235" t="s">
        <v>750</v>
      </c>
      <c r="AC9" s="1235">
        <f>T3 - 4</f>
        <v>1396</v>
      </c>
      <c r="AD9" s="1228"/>
      <c r="AE9" s="1228"/>
      <c r="AF9" s="1242"/>
      <c r="AG9" s="1228"/>
      <c r="AH9" s="1228"/>
      <c r="AI9" s="1228"/>
    </row>
    <row r="10" spans="1:45" ht="30.75" customHeight="1">
      <c r="D10" s="1230"/>
      <c r="E10" s="1213"/>
      <c r="F10" s="1213"/>
      <c r="G10" s="1213"/>
      <c r="H10" s="1213"/>
      <c r="I10" s="1213"/>
      <c r="J10" s="1356"/>
      <c r="L10" s="1241" t="s">
        <v>164</v>
      </c>
      <c r="M10" s="1228"/>
      <c r="N10" s="2058">
        <f>W3-64+21</f>
        <v>2157</v>
      </c>
      <c r="O10" s="2058"/>
      <c r="P10" s="2023" t="s">
        <v>165</v>
      </c>
      <c r="Q10" s="2023"/>
      <c r="R10" s="1253" t="s">
        <v>37</v>
      </c>
      <c r="S10" s="1238"/>
      <c r="T10" s="1239"/>
      <c r="U10" s="1239"/>
      <c r="V10" s="1239"/>
      <c r="W10" s="1239"/>
      <c r="X10" s="1239"/>
      <c r="Y10" s="1240"/>
      <c r="Z10" s="1228"/>
      <c r="AA10" s="1217"/>
      <c r="AB10" s="1228"/>
      <c r="AC10" s="1228"/>
      <c r="AD10" s="1228"/>
      <c r="AE10" s="1228"/>
      <c r="AF10" s="1242"/>
      <c r="AG10" s="1228"/>
      <c r="AH10" s="1228"/>
      <c r="AI10" s="1228"/>
    </row>
    <row r="11" spans="1:45" ht="30.75" customHeight="1">
      <c r="D11" s="1230"/>
      <c r="E11" s="1237" t="s">
        <v>48</v>
      </c>
      <c r="F11" s="1213" t="s">
        <v>167</v>
      </c>
      <c r="G11" s="1254" t="str">
        <f>+DATI!C11</f>
        <v>1</v>
      </c>
      <c r="H11" s="1255">
        <f>+G15*G11</f>
        <v>1</v>
      </c>
      <c r="I11" s="1255" t="str">
        <f>IF(H11&gt;1,"COLLI","COLLO")</f>
        <v>COLLO</v>
      </c>
      <c r="J11" s="1358"/>
      <c r="L11" s="1228"/>
      <c r="M11" s="1228"/>
      <c r="N11" s="1228"/>
      <c r="O11" s="1228"/>
      <c r="P11" s="1228"/>
      <c r="Q11" s="1228"/>
      <c r="R11" s="1242"/>
      <c r="S11" s="1238"/>
      <c r="T11" s="1239"/>
      <c r="U11" s="1239"/>
      <c r="V11" s="1239"/>
      <c r="W11" s="1239"/>
      <c r="X11" s="1239"/>
      <c r="Y11" s="1240"/>
      <c r="Z11" s="1228"/>
      <c r="AA11" s="1228"/>
      <c r="AB11" s="1228"/>
      <c r="AC11" s="1228"/>
      <c r="AD11" s="1228"/>
      <c r="AE11" s="1228"/>
      <c r="AF11" s="1242"/>
      <c r="AG11" s="1228"/>
      <c r="AH11" s="1228"/>
      <c r="AI11" s="1228"/>
    </row>
    <row r="12" spans="1:45" ht="30.75" customHeight="1">
      <c r="D12" s="1230"/>
      <c r="E12" s="1212"/>
      <c r="F12" s="1212"/>
      <c r="G12" s="1212"/>
      <c r="H12" s="1212"/>
      <c r="I12" s="1212"/>
      <c r="J12" s="1212"/>
      <c r="K12" s="1231"/>
      <c r="L12" s="1241" t="s">
        <v>168</v>
      </c>
      <c r="M12" s="1228"/>
      <c r="N12" s="1256"/>
      <c r="O12" s="1256"/>
      <c r="P12" s="1256"/>
      <c r="Q12" s="1256"/>
      <c r="R12" s="1242"/>
      <c r="S12" s="1238"/>
      <c r="T12" s="1239"/>
      <c r="U12" s="1239"/>
      <c r="V12" s="1239"/>
      <c r="W12" s="1239"/>
      <c r="X12" s="1239"/>
      <c r="Y12" s="1240"/>
      <c r="Z12" s="1228"/>
      <c r="AA12" s="1228"/>
      <c r="AB12" s="1228"/>
      <c r="AC12" s="1228"/>
      <c r="AD12" s="1228"/>
      <c r="AE12" s="1228"/>
      <c r="AF12" s="1242"/>
      <c r="AG12" s="1228"/>
      <c r="AH12" s="1228"/>
      <c r="AI12" s="1228"/>
    </row>
    <row r="13" spans="1:45" ht="30.75" customHeight="1">
      <c r="D13" s="1257"/>
      <c r="E13" s="1237" t="s">
        <v>46</v>
      </c>
      <c r="F13" s="1213"/>
      <c r="G13" s="2055" t="str">
        <f>+DATI!C10</f>
        <v>06.NERO</v>
      </c>
      <c r="H13" s="2056"/>
      <c r="I13" s="2056"/>
      <c r="J13" s="2057"/>
      <c r="K13" s="1231"/>
      <c r="L13" s="1228"/>
      <c r="M13" s="1228"/>
      <c r="N13" s="1228"/>
      <c r="O13" s="1228"/>
      <c r="P13" s="1228"/>
      <c r="Q13" s="1228"/>
      <c r="R13" s="1242"/>
      <c r="S13" s="1238"/>
      <c r="T13" s="2040" t="s">
        <v>170</v>
      </c>
      <c r="U13" s="2040"/>
      <c r="V13" s="2040"/>
      <c r="W13" s="1251">
        <f>W3-146.6-1.4+21</f>
        <v>2073</v>
      </c>
      <c r="X13" s="1243" t="s">
        <v>171</v>
      </c>
      <c r="Y13" s="1259">
        <f>+G15*G11</f>
        <v>1</v>
      </c>
      <c r="Z13" s="2044" t="s">
        <v>270</v>
      </c>
      <c r="AA13" s="2042"/>
      <c r="AB13" s="2042"/>
      <c r="AC13" s="2042"/>
      <c r="AD13" s="2042"/>
      <c r="AE13" s="2042"/>
      <c r="AF13" s="2045"/>
      <c r="AG13" s="1228"/>
      <c r="AH13" s="1228"/>
      <c r="AI13" s="1228"/>
    </row>
    <row r="14" spans="1:45" ht="30.75" customHeight="1">
      <c r="D14" s="1230"/>
      <c r="E14" s="1213"/>
      <c r="F14" s="1261"/>
      <c r="G14" s="1213"/>
      <c r="H14" s="1261"/>
      <c r="I14" s="1261"/>
      <c r="J14" s="1261"/>
      <c r="K14" s="1231"/>
      <c r="L14" s="1228"/>
      <c r="M14" s="1228"/>
      <c r="N14" s="1228"/>
      <c r="O14" s="1228"/>
      <c r="P14" s="1228"/>
      <c r="Q14" s="1228"/>
      <c r="R14" s="1242"/>
      <c r="S14" s="1238"/>
      <c r="T14" s="2040" t="s">
        <v>172</v>
      </c>
      <c r="U14" s="2040"/>
      <c r="V14" s="2040"/>
      <c r="W14" s="1251">
        <f>W3-56+21</f>
        <v>2165</v>
      </c>
      <c r="X14" s="1243" t="s">
        <v>171</v>
      </c>
      <c r="Y14" s="1262">
        <f>+G15*G11</f>
        <v>1</v>
      </c>
      <c r="Z14" s="1228"/>
      <c r="AA14" s="1228"/>
      <c r="AB14" s="1228"/>
      <c r="AC14" s="1228"/>
      <c r="AD14" s="1228"/>
      <c r="AE14" s="1228"/>
      <c r="AF14" s="1242"/>
      <c r="AG14" s="1228"/>
      <c r="AH14" s="1228"/>
      <c r="AI14" s="1228"/>
    </row>
    <row r="15" spans="1:45" ht="30.75" customHeight="1">
      <c r="D15" s="1230"/>
      <c r="E15" s="1263" t="s">
        <v>173</v>
      </c>
      <c r="F15" s="1213"/>
      <c r="G15" s="1264">
        <f>IF(DATI!C9=" ",1,DATI!C9)</f>
        <v>1</v>
      </c>
      <c r="H15" s="1265" t="str">
        <f>IF(OR(B12=" ",B12&lt;&gt;"S"),"",B12)</f>
        <v/>
      </c>
      <c r="I15" s="1266"/>
      <c r="J15" s="1213"/>
      <c r="K15" s="1267">
        <v>50</v>
      </c>
      <c r="L15" s="1268"/>
      <c r="M15" s="1269"/>
      <c r="N15" s="1217"/>
      <c r="O15" s="1217"/>
      <c r="P15" s="1217"/>
      <c r="Q15" s="1217"/>
      <c r="R15" s="1242"/>
      <c r="S15" s="1238"/>
      <c r="T15" s="1239"/>
      <c r="U15" s="1270"/>
      <c r="V15" s="1239"/>
      <c r="W15" s="1251"/>
      <c r="X15" s="1243"/>
      <c r="Y15" s="1259"/>
      <c r="Z15" s="1228"/>
      <c r="AA15" s="1228"/>
      <c r="AB15" s="1250" t="s">
        <v>751</v>
      </c>
      <c r="AC15" s="1235">
        <f>T3-5</f>
        <v>1395</v>
      </c>
      <c r="AD15" s="1256"/>
      <c r="AE15" s="1256"/>
      <c r="AF15" s="1242"/>
      <c r="AG15" s="1228"/>
      <c r="AH15" s="1228"/>
      <c r="AI15" s="1228"/>
      <c r="AN15" s="1228"/>
      <c r="AO15" s="1256"/>
      <c r="AP15" s="1228"/>
      <c r="AQ15" s="1256"/>
      <c r="AR15" s="1256"/>
      <c r="AS15" s="1228"/>
    </row>
    <row r="16" spans="1:45" ht="30.75" customHeight="1">
      <c r="D16" s="1230"/>
      <c r="E16" s="1212"/>
      <c r="F16" s="1212"/>
      <c r="G16" s="1212"/>
      <c r="H16" s="1213"/>
      <c r="I16" s="1213"/>
      <c r="J16" s="1213"/>
      <c r="K16" s="1271"/>
      <c r="L16" s="1272">
        <f>IF(Z3=2,N10-50,M17-L28)</f>
        <v>461.39999999999986</v>
      </c>
      <c r="M16" s="1217"/>
      <c r="N16" s="1217"/>
      <c r="O16" s="1217"/>
      <c r="P16" s="1217"/>
      <c r="Q16" s="1217"/>
      <c r="R16" s="1242"/>
      <c r="S16" s="1238"/>
      <c r="T16" s="1239"/>
      <c r="U16" s="1273"/>
      <c r="V16" s="1273"/>
      <c r="W16" s="1251"/>
      <c r="X16" s="1243"/>
      <c r="Y16" s="1259"/>
      <c r="Z16" s="1228"/>
      <c r="AA16" s="1241"/>
      <c r="AB16" s="1228"/>
      <c r="AC16" s="1228"/>
      <c r="AD16" s="1265"/>
      <c r="AE16" s="1268"/>
      <c r="AF16" s="1242"/>
      <c r="AG16" s="1228"/>
      <c r="AH16" s="1228"/>
      <c r="AI16" s="1228"/>
      <c r="AN16" s="1241"/>
      <c r="AO16" s="1228"/>
      <c r="AP16" s="1228"/>
      <c r="AQ16" s="1265"/>
      <c r="AR16" s="1268"/>
      <c r="AS16" s="1228"/>
    </row>
    <row r="17" spans="4:46" ht="30.75" customHeight="1">
      <c r="D17" s="1230"/>
      <c r="E17" s="1263" t="s">
        <v>169</v>
      </c>
      <c r="G17" s="1229" t="str">
        <f>+D3</f>
        <v>49-58</v>
      </c>
      <c r="H17" s="1264" t="str">
        <f>IF(G15=1,MID(B10,7,5),IF(H15="S",MID(B10,11,5),MID(B10,9,5)))</f>
        <v/>
      </c>
      <c r="J17" s="1213"/>
      <c r="K17" s="1271"/>
      <c r="L17" s="1217"/>
      <c r="M17" s="1272">
        <f>IF(Z3&lt;3,"VUOTO",IF(Z3=3,N10-50,N18-L28))</f>
        <v>872.79999999999984</v>
      </c>
      <c r="N17" s="1217"/>
      <c r="O17" s="1217"/>
      <c r="P17" s="1217"/>
      <c r="Q17" s="1217"/>
      <c r="R17" s="1242"/>
      <c r="S17" s="1274"/>
      <c r="T17" s="1275"/>
      <c r="U17" s="1275"/>
      <c r="V17" s="1275"/>
      <c r="W17" s="1275"/>
      <c r="X17" s="1275"/>
      <c r="Y17" s="1276"/>
      <c r="Z17" s="1228"/>
      <c r="AA17" s="1241"/>
      <c r="AB17" s="1228"/>
      <c r="AC17" s="1228"/>
      <c r="AD17" s="1265"/>
      <c r="AE17" s="1268"/>
      <c r="AF17" s="1242"/>
      <c r="AG17" s="1228"/>
      <c r="AH17" s="1228"/>
      <c r="AI17" s="1228"/>
      <c r="AN17" s="1241"/>
      <c r="AO17" s="1228"/>
      <c r="AP17" s="1228"/>
      <c r="AQ17" s="1265"/>
      <c r="AR17" s="1268"/>
      <c r="AS17" s="1228"/>
    </row>
    <row r="18" spans="4:46" ht="30.75" customHeight="1">
      <c r="D18" s="1230"/>
      <c r="J18" s="1277"/>
      <c r="K18" s="1271"/>
      <c r="L18" s="1217"/>
      <c r="M18" s="1217"/>
      <c r="N18" s="1272">
        <f>IF(Z3&lt;4,"VUOTO",IF(Z3=4,N10-50,O19-L28))</f>
        <v>1284.1999999999998</v>
      </c>
      <c r="O18" s="1217"/>
      <c r="P18" s="1217"/>
      <c r="Q18" s="1217"/>
      <c r="R18" s="1242"/>
      <c r="S18" s="2041" t="s">
        <v>271</v>
      </c>
      <c r="T18" s="2042"/>
      <c r="U18" s="2042"/>
      <c r="V18" s="2042"/>
      <c r="W18" s="2042"/>
      <c r="X18" s="2042"/>
      <c r="Y18" s="2043"/>
      <c r="Z18" s="2044" t="s">
        <v>174</v>
      </c>
      <c r="AA18" s="2042"/>
      <c r="AB18" s="2042"/>
      <c r="AC18" s="2042"/>
      <c r="AD18" s="2042"/>
      <c r="AE18" s="2042"/>
      <c r="AF18" s="2045"/>
      <c r="AG18" s="1228"/>
      <c r="AH18" s="1228"/>
      <c r="AI18" s="1228"/>
      <c r="AN18" s="1228"/>
      <c r="AO18" s="1228"/>
      <c r="AP18" s="1228"/>
      <c r="AQ18" s="1228"/>
      <c r="AR18" s="1228"/>
      <c r="AS18" s="1228"/>
    </row>
    <row r="19" spans="4:46" ht="30.75" customHeight="1">
      <c r="D19" s="1279" t="str">
        <f>IF(AND(E20&lt;$B$43,G15=1),"MINIMO L $B$43 - REIMPOSTA ! ","")</f>
        <v/>
      </c>
      <c r="E19" s="2016" t="s">
        <v>4</v>
      </c>
      <c r="F19" s="2016"/>
      <c r="H19" s="1263" t="s">
        <v>5</v>
      </c>
      <c r="I19" s="1263"/>
      <c r="J19" s="1228"/>
      <c r="K19" s="1271"/>
      <c r="L19" s="1217"/>
      <c r="M19" s="1217"/>
      <c r="N19" s="1217"/>
      <c r="O19" s="1272">
        <f>IF(Z3&lt;5,"VUOTO",IF(Z3=5,N10-50,IF(Z3=6,P20-L28,IF(Z3=7,P20-L28))))</f>
        <v>1695.6</v>
      </c>
      <c r="P19" s="1280"/>
      <c r="Q19" s="1217"/>
      <c r="R19" s="1242"/>
      <c r="S19" s="1238"/>
      <c r="T19" s="1239"/>
      <c r="U19" s="1239"/>
      <c r="V19" s="1239"/>
      <c r="W19" s="1239"/>
      <c r="X19" s="1239"/>
      <c r="Y19" s="1240"/>
      <c r="Z19" s="1228"/>
      <c r="AA19" s="1228"/>
      <c r="AB19" s="1228"/>
      <c r="AC19" s="1228"/>
      <c r="AD19" s="1228"/>
      <c r="AE19" s="1228"/>
      <c r="AF19" s="1242"/>
      <c r="AG19" s="1228"/>
      <c r="AH19" s="1228"/>
      <c r="AI19" s="1228"/>
      <c r="AN19" s="1228"/>
      <c r="AO19" s="1228"/>
      <c r="AP19" s="1269"/>
      <c r="AQ19" s="1266"/>
      <c r="AR19" s="1228"/>
      <c r="AS19" s="1228"/>
      <c r="AT19" s="1228"/>
    </row>
    <row r="20" spans="4:46" ht="30.75" customHeight="1">
      <c r="D20" s="1231"/>
      <c r="E20" s="2046">
        <f>+DATI!C7</f>
        <v>1400</v>
      </c>
      <c r="F20" s="2047"/>
      <c r="G20" s="1266" t="s">
        <v>44</v>
      </c>
      <c r="H20" s="2046">
        <f>+DATI!C8</f>
        <v>2200</v>
      </c>
      <c r="I20" s="2047"/>
      <c r="K20" s="1271"/>
      <c r="L20" s="1217"/>
      <c r="M20" s="1217"/>
      <c r="N20" s="1217"/>
      <c r="P20" s="1265">
        <f>IF(Z3&lt;6,0,IF(Z3=6,N10-50,IF(Z3=7,P21-L28)))</f>
        <v>2107</v>
      </c>
      <c r="Q20" s="1217"/>
      <c r="R20" s="1242"/>
      <c r="S20" s="1238"/>
      <c r="T20" s="1239"/>
      <c r="U20" s="1239"/>
      <c r="V20" s="1239"/>
      <c r="W20" s="1239"/>
      <c r="X20" s="1239"/>
      <c r="Y20" s="1240"/>
      <c r="Z20" s="1228"/>
      <c r="AA20" s="1228"/>
      <c r="AB20" s="1228"/>
      <c r="AC20" s="1228"/>
      <c r="AD20" s="1228"/>
      <c r="AE20" s="1228"/>
      <c r="AF20" s="1242"/>
      <c r="AG20" s="1228"/>
      <c r="AH20" s="1228"/>
      <c r="AI20" s="1228"/>
      <c r="AN20" s="1228"/>
      <c r="AO20" s="1228"/>
      <c r="AP20" s="1228"/>
      <c r="AQ20" s="1228"/>
      <c r="AR20" s="1228"/>
      <c r="AS20" s="1228"/>
      <c r="AT20" s="1228"/>
    </row>
    <row r="21" spans="4:46" ht="30.75" customHeight="1">
      <c r="D21" s="1231"/>
      <c r="K21" s="1271"/>
      <c r="L21" s="1217"/>
      <c r="M21" s="1217"/>
      <c r="N21" s="1217"/>
      <c r="O21" s="1217"/>
      <c r="P21" s="2048">
        <f>IF(Z3=7,N10-50,0)</f>
        <v>0</v>
      </c>
      <c r="Q21" s="2048"/>
      <c r="R21" s="1281"/>
      <c r="S21" s="1238"/>
      <c r="T21" s="1273"/>
      <c r="W21" s="1243" t="s">
        <v>37</v>
      </c>
      <c r="X21" s="1250"/>
      <c r="Y21" s="1282"/>
      <c r="Z21" s="1228"/>
      <c r="AE21" s="1243" t="s">
        <v>37</v>
      </c>
      <c r="AF21" s="1283" t="s">
        <v>37</v>
      </c>
      <c r="AG21" s="1228"/>
      <c r="AH21" s="1228"/>
      <c r="AI21" s="1228"/>
      <c r="AN21" s="1228"/>
      <c r="AO21" s="1228"/>
      <c r="AP21" s="1228"/>
      <c r="AQ21" s="1228"/>
      <c r="AR21" s="1228"/>
      <c r="AS21" s="1228"/>
      <c r="AT21" s="1228"/>
    </row>
    <row r="22" spans="4:46" ht="30.75" customHeight="1">
      <c r="D22" s="2049" t="str">
        <f>IF(AND(E20&gt;B42,G15=1),CONCATENATE("MASSIMO L ",B42, " O 2 ANTE DA", B43),"")</f>
        <v/>
      </c>
      <c r="E22" s="2050"/>
      <c r="F22" s="2050"/>
      <c r="G22" s="2050"/>
      <c r="H22" s="2050"/>
      <c r="I22" s="2050"/>
      <c r="J22" s="2051"/>
      <c r="K22" s="1231"/>
      <c r="L22" s="2052" t="e">
        <f>IF(DATI!E13="AUTOMATICA",CONCATENATE("*",DATI!E14,"-",REPT("0",4-LEN(N10)),N10,"*"),CONCATENATE("*",DATI!L14,REPT("0",3-LEN(O6)),O6,REPT("0",4-LEN(N10)),N10,DATI!L13,"*"))</f>
        <v>#VALUE!</v>
      </c>
      <c r="M22" s="2052"/>
      <c r="N22" s="2052"/>
      <c r="O22" s="2052"/>
      <c r="P22" s="2052"/>
      <c r="Q22" s="2052"/>
      <c r="R22" s="1242"/>
      <c r="S22" s="1238"/>
      <c r="T22" s="1239"/>
      <c r="U22" s="1250" t="s">
        <v>175</v>
      </c>
      <c r="V22" s="1251">
        <f>W3-136+21</f>
        <v>2085</v>
      </c>
      <c r="W22" s="1239"/>
      <c r="X22" s="1239"/>
      <c r="Y22" s="1240"/>
      <c r="Z22" s="1228"/>
      <c r="AA22" s="2053" t="s">
        <v>176</v>
      </c>
      <c r="AB22" s="2053"/>
      <c r="AC22" s="2053"/>
      <c r="AD22" s="1285">
        <f>IF(OR(G15=1,H15="S"),W3-60,"NO")</f>
        <v>2140</v>
      </c>
      <c r="AE22" s="1286"/>
      <c r="AF22" s="1242"/>
      <c r="AG22" s="1228"/>
      <c r="AH22" s="1228"/>
      <c r="AI22" s="1228"/>
      <c r="AN22" s="1228"/>
      <c r="AO22" s="1228"/>
      <c r="AP22" s="1228"/>
      <c r="AQ22" s="1228"/>
      <c r="AR22" s="1228"/>
      <c r="AS22" s="1228"/>
      <c r="AT22" s="1228"/>
    </row>
    <row r="23" spans="4:46" ht="30.75" customHeight="1">
      <c r="D23" s="1231"/>
      <c r="E23" s="1287" t="str">
        <f>IF((H20&gt;B44),CONCATENATE("ERRORE !!! H MAX ",B44),"")</f>
        <v/>
      </c>
      <c r="F23" s="1228"/>
      <c r="G23" s="1228"/>
      <c r="H23" s="1228"/>
      <c r="I23" s="1228"/>
      <c r="J23" s="1228"/>
      <c r="K23" s="1231"/>
      <c r="L23" s="2052"/>
      <c r="M23" s="2052"/>
      <c r="N23" s="2052"/>
      <c r="O23" s="2052"/>
      <c r="P23" s="2052"/>
      <c r="Q23" s="2052"/>
      <c r="R23" s="1242"/>
      <c r="S23" s="1238"/>
      <c r="T23" s="1239"/>
      <c r="U23" s="1239"/>
      <c r="V23" s="1239"/>
      <c r="W23" s="1239"/>
      <c r="X23" s="1239"/>
      <c r="Y23" s="1240"/>
      <c r="Z23" s="1228"/>
      <c r="AA23" s="1228"/>
      <c r="AB23" s="1228"/>
      <c r="AC23" s="1228"/>
      <c r="AD23" s="1228"/>
      <c r="AE23" s="1228"/>
      <c r="AF23" s="1242"/>
      <c r="AG23" s="1228"/>
      <c r="AH23" s="1228"/>
      <c r="AI23" s="1228"/>
      <c r="AN23" s="1228"/>
      <c r="AO23" s="1263"/>
      <c r="AP23" s="1250"/>
      <c r="AQ23" s="1286"/>
      <c r="AR23" s="1243"/>
      <c r="AS23" s="1252"/>
      <c r="AT23" s="1217"/>
    </row>
    <row r="24" spans="4:46" ht="30.75" customHeight="1">
      <c r="D24" s="1288" t="str">
        <f>IF(AND(E20&lt;B42,G15=2),CONCATENATE("ERRORE !!! L MIN 2 ANTE ",B42),"")</f>
        <v/>
      </c>
      <c r="E24" s="1228"/>
      <c r="F24" s="1228"/>
      <c r="G24" s="1228"/>
      <c r="H24" s="1228"/>
      <c r="I24" s="1228"/>
      <c r="J24" s="1228"/>
      <c r="K24" s="1231"/>
      <c r="L24" s="2052"/>
      <c r="M24" s="2052"/>
      <c r="N24" s="2052"/>
      <c r="O24" s="2052"/>
      <c r="P24" s="2052"/>
      <c r="Q24" s="2052"/>
      <c r="R24" s="1242"/>
      <c r="S24" s="1238"/>
      <c r="T24" s="1239"/>
      <c r="U24" s="1239"/>
      <c r="V24" s="1239"/>
      <c r="W24" s="1239"/>
      <c r="X24" s="1239"/>
      <c r="Y24" s="1240"/>
      <c r="Z24" s="1228"/>
      <c r="AA24" s="1228"/>
      <c r="AB24" s="1228"/>
      <c r="AC24" s="1228"/>
      <c r="AD24" s="1228"/>
      <c r="AE24" s="1228"/>
      <c r="AF24" s="1242"/>
      <c r="AG24" s="1228"/>
      <c r="AH24" s="1228"/>
      <c r="AI24" s="1228"/>
      <c r="AN24" s="1228"/>
      <c r="AO24" s="1228"/>
      <c r="AP24" s="1228"/>
      <c r="AQ24" s="1228"/>
      <c r="AR24" s="1228"/>
      <c r="AS24" s="1228"/>
      <c r="AT24" s="1228"/>
    </row>
    <row r="25" spans="4:46" ht="30.75" customHeight="1">
      <c r="D25" s="1231"/>
      <c r="E25" s="1228"/>
      <c r="F25" s="2054">
        <f>T3-0</f>
        <v>1400</v>
      </c>
      <c r="G25" s="2054"/>
      <c r="H25" s="2054"/>
      <c r="I25" s="1228"/>
      <c r="J25" s="1228"/>
      <c r="K25" s="1231"/>
      <c r="L25" s="2052"/>
      <c r="M25" s="2052"/>
      <c r="N25" s="2052"/>
      <c r="O25" s="2052"/>
      <c r="P25" s="2052"/>
      <c r="Q25" s="2052"/>
      <c r="R25" s="1242"/>
      <c r="S25" s="1238"/>
      <c r="T25" s="1239"/>
      <c r="U25" s="1239"/>
      <c r="V25" s="1239"/>
      <c r="W25" s="1239"/>
      <c r="X25" s="1239"/>
      <c r="Y25" s="1240"/>
      <c r="Z25" s="1228"/>
      <c r="AA25" s="1228"/>
      <c r="AB25" s="1228"/>
      <c r="AC25" s="1228"/>
      <c r="AD25" s="1228"/>
      <c r="AE25" s="1228"/>
      <c r="AF25" s="1242"/>
      <c r="AG25" s="1228"/>
      <c r="AH25" s="1228"/>
      <c r="AI25" s="1228"/>
      <c r="AN25" s="1228"/>
      <c r="AO25" s="1228"/>
      <c r="AP25" s="1228"/>
      <c r="AQ25" s="1228"/>
      <c r="AR25" s="1228"/>
      <c r="AS25" s="1228"/>
      <c r="AT25" s="1228"/>
    </row>
    <row r="26" spans="4:46" ht="30.75" customHeight="1">
      <c r="D26" s="1231"/>
      <c r="E26" s="1228"/>
      <c r="F26" s="1289"/>
      <c r="G26" s="1289"/>
      <c r="H26" s="1289"/>
      <c r="I26" s="1228"/>
      <c r="J26" s="1228"/>
      <c r="K26" s="1231"/>
      <c r="L26" s="2052"/>
      <c r="M26" s="2052"/>
      <c r="N26" s="2052"/>
      <c r="O26" s="2052"/>
      <c r="P26" s="2052"/>
      <c r="Q26" s="2052"/>
      <c r="R26" s="1242"/>
      <c r="S26" s="1238"/>
      <c r="T26" s="1239"/>
      <c r="U26" s="1239"/>
      <c r="V26" s="1239"/>
      <c r="W26" s="1239"/>
      <c r="X26" s="1239"/>
      <c r="Y26" s="1240"/>
      <c r="Z26" s="1228"/>
      <c r="AA26" s="1228"/>
      <c r="AB26" s="1228"/>
      <c r="AC26" s="1228"/>
      <c r="AD26" s="1228"/>
      <c r="AE26" s="1228"/>
      <c r="AF26" s="1242"/>
      <c r="AG26" s="1228"/>
      <c r="AH26" s="1228"/>
      <c r="AI26" s="1228"/>
      <c r="AN26" s="1228"/>
      <c r="AO26" s="1228"/>
      <c r="AP26" s="1228"/>
      <c r="AQ26" s="1228"/>
      <c r="AR26" s="1228"/>
      <c r="AS26" s="1228"/>
      <c r="AT26" s="1228"/>
    </row>
    <row r="27" spans="4:46" ht="30.75" customHeight="1">
      <c r="D27" s="1238"/>
      <c r="E27" s="1228"/>
      <c r="F27" s="1268"/>
      <c r="G27" s="1228"/>
      <c r="H27" s="1228"/>
      <c r="I27" s="1228"/>
      <c r="J27" s="1228"/>
      <c r="K27" s="1231"/>
      <c r="L27" s="2016" t="s">
        <v>61</v>
      </c>
      <c r="M27" s="2016"/>
      <c r="N27" s="2016"/>
      <c r="O27" s="2016"/>
      <c r="P27" s="2016"/>
      <c r="Q27" s="2016"/>
      <c r="R27" s="1242"/>
      <c r="S27" s="1238"/>
      <c r="T27" s="1239"/>
      <c r="U27" s="1239"/>
      <c r="V27" s="1239"/>
      <c r="W27" s="1239"/>
      <c r="X27" s="1232" t="s">
        <v>37</v>
      </c>
      <c r="Y27" s="1240"/>
      <c r="Z27" s="1228"/>
      <c r="AA27" s="1228"/>
      <c r="AB27" s="1228"/>
      <c r="AC27" s="1228"/>
      <c r="AD27" s="1228"/>
      <c r="AE27" s="1228"/>
      <c r="AF27" s="1242"/>
      <c r="AG27" s="1228"/>
      <c r="AH27" s="1228"/>
      <c r="AI27" s="1228"/>
      <c r="AN27" s="1228"/>
      <c r="AO27" s="1228"/>
      <c r="AP27" s="1228"/>
      <c r="AQ27" s="1228"/>
      <c r="AR27" s="1228"/>
      <c r="AS27" s="1228"/>
      <c r="AT27" s="1228"/>
    </row>
    <row r="28" spans="4:46" ht="30.75" customHeight="1">
      <c r="D28" s="1231"/>
      <c r="E28" s="1228"/>
      <c r="F28" s="1228"/>
      <c r="G28" s="1228"/>
      <c r="H28" s="1228"/>
      <c r="I28" s="1228"/>
      <c r="J28" s="1228"/>
      <c r="K28" s="1231"/>
      <c r="L28" s="2033">
        <f>(N10-100)/(Z3-2+1)</f>
        <v>411.4</v>
      </c>
      <c r="M28" s="2033"/>
      <c r="N28" s="2033"/>
      <c r="O28" s="2033"/>
      <c r="P28" s="2033"/>
      <c r="Q28" s="2033"/>
      <c r="R28" s="1290"/>
      <c r="S28" s="1238"/>
      <c r="T28" s="1239"/>
      <c r="U28" s="1291"/>
      <c r="V28" s="1232" t="s">
        <v>177</v>
      </c>
      <c r="W28" s="1273">
        <v>4</v>
      </c>
      <c r="X28" s="1273" t="s">
        <v>37</v>
      </c>
      <c r="Y28" s="1240"/>
      <c r="Z28" s="1228"/>
      <c r="AA28" s="1228"/>
      <c r="AB28" s="1228"/>
      <c r="AC28" s="1228"/>
      <c r="AD28" s="1228"/>
      <c r="AE28" s="1292"/>
      <c r="AF28" s="1242"/>
      <c r="AG28" s="1228"/>
      <c r="AH28" s="1228"/>
      <c r="AI28" s="1228"/>
      <c r="AN28" s="1228"/>
      <c r="AO28" s="1228"/>
      <c r="AP28" s="1228"/>
      <c r="AQ28" s="1228"/>
      <c r="AR28" s="1228"/>
      <c r="AS28" s="1228"/>
      <c r="AT28" s="1228"/>
    </row>
    <row r="29" spans="4:46" ht="30.75" customHeight="1">
      <c r="D29" s="1231"/>
      <c r="E29" s="1228"/>
      <c r="F29" s="1228"/>
      <c r="G29" s="1228"/>
      <c r="H29" s="1293"/>
      <c r="I29" s="1293"/>
      <c r="J29" s="1228"/>
      <c r="K29" s="2034" t="s">
        <v>178</v>
      </c>
      <c r="L29" s="2035"/>
      <c r="M29" s="2035"/>
      <c r="N29" s="2035"/>
      <c r="O29" s="2035"/>
      <c r="P29" s="2035"/>
      <c r="Q29" s="2035"/>
      <c r="R29" s="2036"/>
      <c r="S29" s="1238"/>
      <c r="T29" s="1239"/>
      <c r="U29" s="1239"/>
      <c r="V29" s="1232"/>
      <c r="W29" s="1273"/>
      <c r="X29" s="1273" t="s">
        <v>37</v>
      </c>
      <c r="Y29" s="1240"/>
      <c r="Z29" s="1239"/>
      <c r="AA29" s="1228"/>
      <c r="AB29" s="1228"/>
      <c r="AC29" s="1232"/>
      <c r="AD29" s="1263"/>
      <c r="AE29" s="1266"/>
      <c r="AF29" s="1242"/>
      <c r="AG29" s="1228"/>
      <c r="AH29" s="1228"/>
      <c r="AI29" s="1228"/>
      <c r="AN29" s="1228"/>
      <c r="AO29" s="1228"/>
      <c r="AP29" s="1228"/>
      <c r="AQ29" s="1228"/>
      <c r="AR29" s="1228"/>
      <c r="AS29" s="1292"/>
      <c r="AT29" s="1228"/>
    </row>
    <row r="30" spans="4:46" ht="30.75" customHeight="1" thickBot="1">
      <c r="D30" s="1231"/>
      <c r="E30" s="1228"/>
      <c r="F30" s="1228"/>
      <c r="G30" s="1228"/>
      <c r="H30" s="1294"/>
      <c r="I30" s="1294"/>
      <c r="J30" s="1228"/>
      <c r="K30" s="1231"/>
      <c r="L30" s="1228"/>
      <c r="M30" s="1228"/>
      <c r="N30" s="1228"/>
      <c r="O30" s="1268"/>
      <c r="P30" s="1228"/>
      <c r="Q30" s="1228"/>
      <c r="R30" s="1242"/>
      <c r="S30" s="1238"/>
      <c r="T30" s="1239"/>
      <c r="U30" s="1239"/>
      <c r="V30" s="1239"/>
      <c r="W30" s="1239"/>
      <c r="X30" s="1239"/>
      <c r="Y30" s="1240"/>
      <c r="Z30" s="1295"/>
      <c r="AA30" s="1296"/>
      <c r="AB30" s="1296"/>
      <c r="AC30" s="1297"/>
      <c r="AD30" s="1298"/>
      <c r="AE30" s="1299"/>
      <c r="AF30" s="1300"/>
      <c r="AG30" s="1228"/>
      <c r="AH30" s="1228"/>
      <c r="AI30" s="1228"/>
      <c r="AN30" s="1239"/>
      <c r="AO30" s="1228"/>
      <c r="AP30" s="1228"/>
      <c r="AQ30" s="1232"/>
      <c r="AR30" s="1263"/>
      <c r="AS30" s="1266"/>
      <c r="AT30" s="1228"/>
    </row>
    <row r="31" spans="4:46" ht="39" customHeight="1">
      <c r="D31" s="1231"/>
      <c r="E31" s="1228"/>
      <c r="F31" s="1228"/>
      <c r="G31" s="1228"/>
      <c r="H31" s="1228"/>
      <c r="I31" s="1228"/>
      <c r="J31" s="1228"/>
      <c r="K31" s="2037" t="s">
        <v>179</v>
      </c>
      <c r="L31" s="2038"/>
      <c r="M31" s="2039" t="s">
        <v>180</v>
      </c>
      <c r="N31" s="2026"/>
      <c r="O31" s="2026"/>
      <c r="P31" s="2026"/>
      <c r="Q31" s="2026"/>
      <c r="R31" s="2026"/>
      <c r="S31" s="2025"/>
      <c r="T31" s="2025"/>
      <c r="U31" s="2026"/>
      <c r="V31" s="2026"/>
      <c r="W31" s="2026"/>
      <c r="X31" s="2026"/>
      <c r="Y31" s="2027"/>
      <c r="Z31" s="2025" t="s">
        <v>183</v>
      </c>
      <c r="AA31" s="2025"/>
      <c r="AB31" s="2026" t="s">
        <v>184</v>
      </c>
      <c r="AC31" s="2026"/>
      <c r="AD31" s="2026"/>
      <c r="AE31" s="2026"/>
      <c r="AF31" s="2027"/>
      <c r="AG31" s="1228"/>
      <c r="AH31" s="1228"/>
      <c r="AI31" s="1228"/>
      <c r="AN31" s="1239"/>
      <c r="AO31" s="1228"/>
      <c r="AP31" s="1228"/>
      <c r="AQ31" s="1232"/>
      <c r="AR31" s="1263"/>
      <c r="AS31" s="1266"/>
      <c r="AT31" s="1228"/>
    </row>
    <row r="32" spans="4:46" ht="28.15" customHeight="1">
      <c r="D32" s="2028">
        <f>H20 -20</f>
        <v>2180</v>
      </c>
      <c r="E32" s="1228"/>
      <c r="F32" s="1228"/>
      <c r="G32" s="1228"/>
      <c r="H32" s="1228"/>
      <c r="I32" s="1228"/>
      <c r="J32" s="1228"/>
      <c r="K32" s="1301"/>
      <c r="L32" s="1293"/>
      <c r="M32" s="1293"/>
      <c r="N32" s="1243"/>
      <c r="O32" s="1293"/>
      <c r="P32" s="1293"/>
      <c r="Q32" s="1293"/>
      <c r="R32" s="1293"/>
      <c r="S32" s="1239"/>
      <c r="T32" s="1239"/>
      <c r="U32" s="1239"/>
      <c r="V32" s="1239"/>
      <c r="W32" s="1239"/>
      <c r="X32" s="1239"/>
      <c r="Y32" s="1302"/>
      <c r="Z32" s="1228"/>
      <c r="AA32" s="1228"/>
      <c r="AB32" s="1228"/>
      <c r="AC32" s="1228"/>
      <c r="AD32" s="1228"/>
      <c r="AE32" s="1228"/>
      <c r="AF32" s="1242"/>
      <c r="AG32" s="1228"/>
      <c r="AH32" s="1228"/>
      <c r="AI32" s="1228"/>
    </row>
    <row r="33" spans="1:35" ht="24.6" customHeight="1">
      <c r="D33" s="2028"/>
      <c r="E33" s="1228"/>
      <c r="F33" s="1228"/>
      <c r="G33" s="1228"/>
      <c r="H33" s="1228"/>
      <c r="I33" s="1228"/>
      <c r="J33" s="1228"/>
      <c r="K33" s="1301"/>
      <c r="L33" s="1293"/>
      <c r="M33" s="2021" t="s">
        <v>752</v>
      </c>
      <c r="N33" s="2021"/>
      <c r="O33" s="2021"/>
      <c r="P33" s="1304">
        <f>ROUNDUP((T3+N10)+100,-2)</f>
        <v>3700</v>
      </c>
      <c r="Q33" s="1233">
        <v>2</v>
      </c>
      <c r="R33" s="1294" t="s">
        <v>171</v>
      </c>
      <c r="S33" s="1228"/>
      <c r="T33" s="2029"/>
      <c r="U33" s="2029"/>
      <c r="V33" s="2030"/>
      <c r="W33" s="2030"/>
      <c r="X33" s="2030"/>
      <c r="Y33" s="2031"/>
      <c r="Z33" s="1228"/>
      <c r="AA33" s="1228"/>
      <c r="AB33" s="1228"/>
      <c r="AC33" s="1228"/>
      <c r="AD33" s="1228"/>
      <c r="AE33" s="1228"/>
      <c r="AF33" s="1242"/>
      <c r="AG33" s="1228"/>
      <c r="AH33" s="1228"/>
      <c r="AI33" s="1228"/>
    </row>
    <row r="34" spans="1:35" ht="24.6" customHeight="1">
      <c r="D34" s="2028"/>
      <c r="E34" s="1228"/>
      <c r="F34" s="1228"/>
      <c r="G34" s="1228"/>
      <c r="H34" s="1228"/>
      <c r="I34" s="1228"/>
      <c r="J34" s="1228"/>
      <c r="K34" s="1301"/>
      <c r="L34" s="1293"/>
      <c r="M34" s="2021"/>
      <c r="N34" s="2021"/>
      <c r="O34" s="2021"/>
      <c r="P34" s="1293"/>
      <c r="Q34" s="1305"/>
      <c r="S34" s="1239"/>
      <c r="T34" s="1239"/>
      <c r="U34" s="1239"/>
      <c r="V34" s="1239"/>
      <c r="W34" s="1239"/>
      <c r="X34" s="1239"/>
      <c r="Y34" s="1302"/>
      <c r="Z34" s="1293"/>
      <c r="AA34" s="1294" t="s">
        <v>187</v>
      </c>
      <c r="AB34" s="1293"/>
      <c r="AC34" s="1293"/>
      <c r="AD34" s="1294"/>
      <c r="AE34" s="1293"/>
      <c r="AF34" s="1306"/>
      <c r="AG34" s="1293"/>
      <c r="AH34" s="1293"/>
      <c r="AI34" s="1228"/>
    </row>
    <row r="35" spans="1:35" ht="21.75" customHeight="1">
      <c r="D35" s="2028"/>
      <c r="E35" s="1228"/>
      <c r="F35" s="1228"/>
      <c r="G35" s="1228"/>
      <c r="H35" s="1228"/>
      <c r="I35" s="1228"/>
      <c r="J35" s="1228"/>
      <c r="K35" s="1301"/>
      <c r="L35" s="1293"/>
      <c r="M35" s="2021" t="s">
        <v>753</v>
      </c>
      <c r="N35" s="2021"/>
      <c r="O35" s="2021"/>
      <c r="P35" s="1304">
        <f>IF(Z3=2,"EMPTY",ROUNDUP(U4+L28+50+50+150+100,-2))</f>
        <v>2200</v>
      </c>
      <c r="Q35" s="1233">
        <v>2</v>
      </c>
      <c r="R35" s="1294" t="s">
        <v>171</v>
      </c>
      <c r="S35" s="1228"/>
      <c r="T35" s="1228"/>
      <c r="U35" s="1228"/>
      <c r="V35" s="1228"/>
      <c r="W35" s="1228"/>
      <c r="X35" s="1228"/>
      <c r="Y35" s="1242"/>
      <c r="Z35" s="1213"/>
      <c r="AA35" s="1213"/>
      <c r="AB35" s="1213"/>
      <c r="AC35" s="1273"/>
      <c r="AD35" s="1213"/>
      <c r="AE35" s="1213"/>
      <c r="AF35" s="1307"/>
      <c r="AG35" s="1213"/>
      <c r="AH35" s="1213"/>
      <c r="AI35" s="1228"/>
    </row>
    <row r="36" spans="1:35" ht="27.6" customHeight="1">
      <c r="D36" s="2028"/>
      <c r="E36" s="1228"/>
      <c r="F36" s="1228"/>
      <c r="G36" s="1228"/>
      <c r="H36" s="1228"/>
      <c r="I36" s="1228"/>
      <c r="J36" s="1228"/>
      <c r="K36" s="1301"/>
      <c r="L36" s="1293"/>
      <c r="M36" s="1303"/>
      <c r="N36" s="1303"/>
      <c r="O36" s="1303"/>
      <c r="P36" s="1293"/>
      <c r="Q36" s="1305"/>
      <c r="R36" s="1308"/>
      <c r="S36" s="1239"/>
      <c r="T36" s="1309"/>
      <c r="U36" s="1273"/>
      <c r="V36" s="1239"/>
      <c r="W36" s="1309"/>
      <c r="X36" s="1239"/>
      <c r="Y36" s="1302"/>
      <c r="Z36" s="1213"/>
      <c r="AA36" s="1273" t="s">
        <v>188</v>
      </c>
      <c r="AB36" s="1213"/>
      <c r="AC36" s="1266">
        <f>IF(AND(T3&gt;B43,W3&lt;B44),3+ROUNDUP((IF(T3/G15&lt;$B$43,$B$43,T3/G15)-95)/22,0),"x")</f>
        <v>63</v>
      </c>
      <c r="AD36" s="1263" t="s">
        <v>189</v>
      </c>
      <c r="AE36" s="1213"/>
      <c r="AF36" s="1307"/>
      <c r="AG36" s="1213"/>
      <c r="AH36" s="1213"/>
      <c r="AI36" s="1228"/>
    </row>
    <row r="37" spans="1:35" ht="24.6" customHeight="1">
      <c r="D37" s="2028"/>
      <c r="E37" s="2032"/>
      <c r="F37" s="2032"/>
      <c r="G37" s="2032"/>
      <c r="H37" s="1263"/>
      <c r="I37" s="1310" t="s">
        <v>190</v>
      </c>
      <c r="K37" s="1301"/>
      <c r="L37" s="1293"/>
      <c r="M37" s="2021" t="s">
        <v>754</v>
      </c>
      <c r="N37" s="2021"/>
      <c r="O37" s="2021"/>
      <c r="P37" s="1304">
        <f>IF(OR(Z3=4,Z3=3,Z3=2),"",ROUNDUP(U4+2*L28+50+50+150+100,-2))</f>
        <v>2600</v>
      </c>
      <c r="Q37" s="1233" t="str">
        <f>IF(Z3=5,"1",IF(Z3&gt;5,"2",""))</f>
        <v>2</v>
      </c>
      <c r="R37" s="1294" t="s">
        <v>171</v>
      </c>
      <c r="S37" s="1239"/>
      <c r="T37" s="1239"/>
      <c r="U37" s="1239"/>
      <c r="V37" s="1239"/>
      <c r="W37" s="1309"/>
      <c r="X37" s="1239"/>
      <c r="Y37" s="1302"/>
      <c r="Z37" s="1311"/>
      <c r="AA37" s="1266"/>
      <c r="AB37" s="1213"/>
      <c r="AC37" s="1266"/>
      <c r="AD37" s="1263"/>
      <c r="AE37" s="1213"/>
      <c r="AF37" s="1307"/>
      <c r="AG37" s="1213"/>
      <c r="AH37" s="1213"/>
      <c r="AI37" s="1228"/>
    </row>
    <row r="38" spans="1:35" ht="24.6" customHeight="1">
      <c r="D38" s="2028"/>
      <c r="E38" s="1228"/>
      <c r="F38" s="1228"/>
      <c r="G38" s="1228"/>
      <c r="H38" s="1228"/>
      <c r="I38" s="1228"/>
      <c r="J38" s="1228"/>
      <c r="K38" s="1301"/>
      <c r="L38" s="1293"/>
      <c r="M38" s="1303"/>
      <c r="N38" s="1303"/>
      <c r="O38" s="1303"/>
      <c r="R38" s="1308"/>
      <c r="S38" s="2018"/>
      <c r="T38" s="2018"/>
      <c r="U38" s="2019"/>
      <c r="V38" s="2019"/>
      <c r="W38" s="2019"/>
      <c r="X38" s="2019"/>
      <c r="Y38" s="2020"/>
      <c r="Z38" s="1213"/>
      <c r="AA38" s="1266"/>
      <c r="AB38" s="1213"/>
      <c r="AC38" s="1266"/>
      <c r="AD38" s="1263"/>
      <c r="AE38" s="1213"/>
      <c r="AF38" s="1307"/>
      <c r="AG38" s="1213"/>
      <c r="AH38" s="1213"/>
      <c r="AI38" s="1228"/>
    </row>
    <row r="39" spans="1:35" ht="24.6" customHeight="1">
      <c r="D39" s="2028"/>
      <c r="E39" s="1228"/>
      <c r="F39" s="1228"/>
      <c r="G39" s="1228"/>
      <c r="H39" s="1228"/>
      <c r="I39" s="1228"/>
      <c r="J39" s="1228"/>
      <c r="K39" s="1301"/>
      <c r="L39" s="1293"/>
      <c r="M39" s="2021" t="s">
        <v>755</v>
      </c>
      <c r="N39" s="2021"/>
      <c r="O39" s="2021"/>
      <c r="P39" s="1304" t="str">
        <f>IF(Z3=7,ROUNDUP(U4+3*L28+50+50+150+100,-2),"")</f>
        <v/>
      </c>
      <c r="Q39" s="1233">
        <f>IF(Z3=7,"1",0)</f>
        <v>0</v>
      </c>
      <c r="R39" s="1294" t="s">
        <v>171</v>
      </c>
      <c r="S39" s="1239"/>
      <c r="T39" s="1239"/>
      <c r="U39" s="1239"/>
      <c r="V39" s="1239"/>
      <c r="W39" s="1239"/>
      <c r="X39" s="1239"/>
      <c r="Y39" s="1302"/>
      <c r="Z39" s="1237"/>
      <c r="AA39" s="1213"/>
      <c r="AB39" s="1237"/>
      <c r="AC39" s="1213"/>
      <c r="AD39" s="1213"/>
      <c r="AE39" s="1213"/>
      <c r="AF39" s="1307"/>
      <c r="AG39" s="1213"/>
      <c r="AH39" s="1213"/>
      <c r="AI39" s="1228"/>
    </row>
    <row r="40" spans="1:35" ht="24.6" customHeight="1">
      <c r="D40" s="2028"/>
      <c r="E40" s="1228"/>
      <c r="F40" s="1228"/>
      <c r="G40" s="1228"/>
      <c r="H40" s="1228"/>
      <c r="I40" s="1228"/>
      <c r="J40" s="1228"/>
      <c r="K40" s="1301"/>
      <c r="L40" s="1293"/>
      <c r="M40" s="1293"/>
      <c r="N40" s="1293"/>
      <c r="O40" s="1293"/>
      <c r="P40" s="1293"/>
      <c r="Q40" s="1305"/>
      <c r="R40" s="1312"/>
      <c r="S40" s="1239"/>
      <c r="T40" s="1239"/>
      <c r="U40" s="1239"/>
      <c r="V40" s="1239"/>
      <c r="W40" s="1239"/>
      <c r="X40" s="1239"/>
      <c r="Y40" s="1302"/>
      <c r="Z40" s="1237"/>
      <c r="AA40" s="1213"/>
      <c r="AB40" s="1237"/>
      <c r="AC40" s="1213"/>
      <c r="AD40" s="1213"/>
      <c r="AE40" s="1213"/>
      <c r="AF40" s="1307"/>
      <c r="AG40" s="1213"/>
      <c r="AH40" s="1213"/>
      <c r="AI40" s="1228"/>
    </row>
    <row r="41" spans="1:35" ht="24.6" customHeight="1">
      <c r="D41" s="2028"/>
      <c r="E41" s="1228"/>
      <c r="F41" s="1228"/>
      <c r="G41" s="1228"/>
      <c r="H41" s="1228"/>
      <c r="I41" s="1228"/>
      <c r="J41" s="1228"/>
      <c r="K41" s="1301"/>
      <c r="L41" s="1293"/>
      <c r="M41" s="1293"/>
      <c r="N41" s="1293"/>
      <c r="O41" s="1313"/>
      <c r="V41" s="1239"/>
      <c r="W41" s="1239"/>
      <c r="X41" s="1232"/>
      <c r="Y41" s="1302"/>
      <c r="Z41" s="1213"/>
      <c r="AA41" s="1213"/>
      <c r="AB41" s="1213"/>
      <c r="AC41" s="1213"/>
      <c r="AD41" s="1213"/>
      <c r="AE41" s="1213"/>
      <c r="AF41" s="1307"/>
      <c r="AG41" s="2022"/>
      <c r="AH41" s="1213"/>
      <c r="AI41" s="1228"/>
    </row>
    <row r="42" spans="1:35" ht="21.95" customHeight="1">
      <c r="A42" s="1314" t="s">
        <v>272</v>
      </c>
      <c r="B42" s="1315">
        <v>1600</v>
      </c>
      <c r="D42" s="2028"/>
      <c r="E42" s="1228"/>
      <c r="F42" s="1228"/>
      <c r="G42" s="1228"/>
      <c r="H42" s="1228"/>
      <c r="I42" s="1228"/>
      <c r="J42" s="1228"/>
      <c r="K42" s="1301"/>
      <c r="L42" s="1293"/>
      <c r="M42" s="1233"/>
      <c r="N42" s="1293" t="s">
        <v>37</v>
      </c>
      <c r="O42" s="1293"/>
      <c r="P42" s="1293"/>
      <c r="Q42" s="1293"/>
      <c r="R42" s="1293"/>
      <c r="S42" s="1239"/>
      <c r="T42" s="1239"/>
      <c r="U42" s="1239"/>
      <c r="V42" s="1239"/>
      <c r="W42" s="1309"/>
      <c r="X42" s="1239"/>
      <c r="Y42" s="1302"/>
      <c r="Z42" s="1213"/>
      <c r="AA42" s="1213"/>
      <c r="AB42" s="1213"/>
      <c r="AC42" s="1213"/>
      <c r="AD42" s="1213"/>
      <c r="AE42" s="1213"/>
      <c r="AF42" s="1307"/>
      <c r="AG42" s="2022"/>
      <c r="AH42" s="1213"/>
      <c r="AI42" s="1228"/>
    </row>
    <row r="43" spans="1:35" ht="33.75" customHeight="1">
      <c r="A43" s="1316" t="s">
        <v>273</v>
      </c>
      <c r="B43" s="1317">
        <v>400</v>
      </c>
      <c r="D43" s="2028"/>
      <c r="E43" s="1228"/>
      <c r="F43" s="1228"/>
      <c r="G43" s="1228"/>
      <c r="H43" s="1228"/>
      <c r="I43" s="1228"/>
      <c r="J43" s="1228"/>
      <c r="K43" s="1301"/>
      <c r="L43" s="1293"/>
      <c r="M43" s="1293"/>
      <c r="N43" s="1293"/>
      <c r="O43" s="1293"/>
      <c r="P43" s="1294"/>
      <c r="Q43" s="1293"/>
      <c r="R43" s="1293"/>
      <c r="S43" s="2018"/>
      <c r="T43" s="2018"/>
      <c r="U43" s="2023"/>
      <c r="V43" s="2023"/>
      <c r="W43" s="2023"/>
      <c r="X43" s="2023"/>
      <c r="Y43" s="2024"/>
      <c r="Z43" s="1213"/>
      <c r="AA43" s="1213"/>
      <c r="AB43" s="1213"/>
      <c r="AC43" s="1213"/>
      <c r="AD43" s="1213"/>
      <c r="AE43" s="1213"/>
      <c r="AF43" s="1307"/>
      <c r="AG43" s="2022"/>
      <c r="AH43" s="1213"/>
      <c r="AI43" s="1228"/>
    </row>
    <row r="44" spans="1:35" ht="33.75" customHeight="1">
      <c r="A44" s="1316" t="s">
        <v>274</v>
      </c>
      <c r="B44" s="1317">
        <v>2731</v>
      </c>
      <c r="D44" s="1231"/>
      <c r="E44" s="1228"/>
      <c r="F44" s="1228"/>
      <c r="G44" s="1228"/>
      <c r="H44" s="1228"/>
      <c r="I44" s="1228"/>
      <c r="J44" s="1228"/>
      <c r="K44" s="1301"/>
      <c r="L44" s="1293"/>
      <c r="M44" s="1293"/>
      <c r="N44" s="1293"/>
      <c r="O44" s="1293"/>
      <c r="P44" s="1293"/>
      <c r="Q44" s="1293"/>
      <c r="R44" s="1293"/>
      <c r="S44" s="1239"/>
      <c r="T44" s="1309"/>
      <c r="U44" s="1284"/>
      <c r="V44" s="1239"/>
      <c r="W44" s="1239"/>
      <c r="X44" s="1239"/>
      <c r="Y44" s="1302"/>
      <c r="Z44" s="1228"/>
      <c r="AA44" s="1318" t="s">
        <v>92</v>
      </c>
      <c r="AB44" s="1318"/>
      <c r="AC44" s="1318"/>
      <c r="AD44" s="1318"/>
      <c r="AE44" s="1256"/>
      <c r="AF44" s="1242"/>
      <c r="AG44" s="2022"/>
      <c r="AH44" s="1228"/>
      <c r="AI44" s="1228"/>
    </row>
    <row r="45" spans="1:35" ht="18.95" customHeight="1">
      <c r="A45" s="1319" t="s">
        <v>275</v>
      </c>
      <c r="B45" s="1320">
        <v>700</v>
      </c>
      <c r="D45" s="1231"/>
      <c r="E45" s="1228"/>
      <c r="F45" s="1228"/>
      <c r="G45" s="1228"/>
      <c r="H45" s="1228"/>
      <c r="I45" s="1228"/>
      <c r="J45" s="1228"/>
      <c r="K45" s="1301"/>
      <c r="L45" s="1293"/>
      <c r="M45" s="1233"/>
      <c r="N45" s="1293"/>
      <c r="O45" s="1293"/>
      <c r="P45" s="1294"/>
      <c r="Q45" s="1293"/>
      <c r="R45" s="1293"/>
      <c r="S45" s="1239"/>
      <c r="T45" s="1239"/>
      <c r="U45" s="1239"/>
      <c r="V45" s="1239"/>
      <c r="W45" s="1239"/>
      <c r="X45" s="1239"/>
      <c r="Y45" s="1302"/>
      <c r="Z45" s="1228"/>
      <c r="AA45" s="1318"/>
      <c r="AB45" s="1241" t="s">
        <v>202</v>
      </c>
      <c r="AC45" s="1318"/>
      <c r="AD45" s="1318"/>
      <c r="AE45" s="1256"/>
      <c r="AF45" s="1242"/>
      <c r="AG45" s="2022"/>
      <c r="AH45" s="1228"/>
      <c r="AI45" s="1228"/>
    </row>
    <row r="46" spans="1:35" ht="18.600000000000001" customHeight="1">
      <c r="D46" s="1231"/>
      <c r="E46" s="1228"/>
      <c r="F46" s="1228"/>
      <c r="G46" s="1321"/>
      <c r="H46" s="1228"/>
      <c r="I46" s="1228"/>
      <c r="J46" s="1228"/>
      <c r="K46" s="1301"/>
      <c r="L46" s="1293"/>
      <c r="M46" s="1293"/>
      <c r="N46" s="1293"/>
      <c r="O46" s="1293"/>
      <c r="P46" s="1293"/>
      <c r="Q46" s="1293"/>
      <c r="R46" s="1293"/>
      <c r="S46" s="1239"/>
      <c r="T46" s="1239"/>
      <c r="U46" s="1239"/>
      <c r="V46" s="1239"/>
      <c r="W46" s="1239"/>
      <c r="X46" s="1232"/>
      <c r="Y46" s="1302"/>
      <c r="Z46" s="1228"/>
      <c r="AA46" s="1318"/>
      <c r="AB46" s="1241" t="s">
        <v>203</v>
      </c>
      <c r="AC46" s="1318"/>
      <c r="AD46" s="1322"/>
      <c r="AE46" s="1256"/>
      <c r="AF46" s="1242"/>
      <c r="AG46" s="2022"/>
      <c r="AH46" s="1228"/>
      <c r="AI46" s="1228"/>
    </row>
    <row r="47" spans="1:35" ht="26.45" customHeight="1" thickBot="1">
      <c r="D47" s="1323"/>
      <c r="E47" s="1296"/>
      <c r="F47" s="1296"/>
      <c r="G47" s="1296" t="s">
        <v>204</v>
      </c>
      <c r="H47" s="1296"/>
      <c r="I47" s="1296"/>
      <c r="J47" s="1296"/>
      <c r="K47" s="1301"/>
      <c r="L47" s="1293"/>
      <c r="M47" s="1294"/>
      <c r="N47" s="1293"/>
      <c r="O47" s="1293"/>
      <c r="P47" s="1293"/>
      <c r="Q47" s="1293"/>
      <c r="R47" s="1293"/>
      <c r="S47" s="1239"/>
      <c r="T47" s="1228"/>
      <c r="U47" s="1284"/>
      <c r="V47" s="1239"/>
      <c r="W47" s="1233"/>
      <c r="X47" s="1239"/>
      <c r="Y47" s="1302"/>
      <c r="Z47" s="1228"/>
      <c r="AA47" s="1324"/>
      <c r="AB47" s="1241" t="s">
        <v>95</v>
      </c>
      <c r="AC47" s="1318"/>
      <c r="AD47" s="1232"/>
      <c r="AE47" s="1325"/>
      <c r="AF47" s="1242"/>
      <c r="AG47" s="2022"/>
      <c r="AH47" s="1228"/>
      <c r="AI47" s="1228"/>
    </row>
    <row r="48" spans="1:35" ht="18.95" customHeight="1">
      <c r="D48" s="1231"/>
      <c r="E48" s="1256" t="s">
        <v>109</v>
      </c>
      <c r="F48" s="1326"/>
      <c r="G48" s="1228"/>
      <c r="H48" s="1239" t="s">
        <v>110</v>
      </c>
      <c r="I48" s="1239"/>
      <c r="J48" s="1228"/>
      <c r="K48" s="1301"/>
      <c r="L48" s="1293"/>
      <c r="M48" s="1293"/>
      <c r="N48" s="1293"/>
      <c r="O48" s="1293"/>
      <c r="P48" s="1293"/>
      <c r="Q48" s="1293"/>
      <c r="R48" s="1293"/>
      <c r="S48" s="1273"/>
      <c r="T48" s="1239"/>
      <c r="U48" s="1273"/>
      <c r="V48" s="1239"/>
      <c r="W48" s="1239"/>
      <c r="X48" s="1239"/>
      <c r="Y48" s="1302"/>
      <c r="Z48" s="1228"/>
      <c r="AA48" s="1239"/>
      <c r="AB48" s="1241" t="s">
        <v>206</v>
      </c>
      <c r="AC48" s="1228"/>
      <c r="AD48" s="1232"/>
      <c r="AE48" s="1325"/>
      <c r="AF48" s="1242"/>
      <c r="AG48" s="2022"/>
      <c r="AH48" s="1228"/>
      <c r="AI48" s="1228"/>
    </row>
    <row r="49" spans="4:35" ht="18.95" customHeight="1" thickBot="1">
      <c r="D49" s="1327" t="s">
        <v>207</v>
      </c>
      <c r="E49" s="1328"/>
      <c r="F49" s="1329" t="s">
        <v>113</v>
      </c>
      <c r="G49" s="2009" t="str">
        <f>CONCATENATE(B30,B29)</f>
        <v/>
      </c>
      <c r="H49" s="2010"/>
      <c r="I49" s="2010"/>
      <c r="J49" s="2010"/>
      <c r="K49" s="1301"/>
      <c r="L49" s="1293"/>
      <c r="M49" s="1293"/>
      <c r="N49" s="1293"/>
      <c r="O49" s="1293"/>
      <c r="P49" s="1293"/>
      <c r="Q49" s="1293"/>
      <c r="R49" s="1293"/>
      <c r="S49" s="1239"/>
      <c r="T49" s="1239"/>
      <c r="U49" s="1239"/>
      <c r="V49" s="1239"/>
      <c r="W49" s="1239"/>
      <c r="X49" s="1239"/>
      <c r="Y49" s="1302"/>
      <c r="Z49" s="1296"/>
      <c r="AA49" s="1330"/>
      <c r="AB49" s="1296"/>
      <c r="AC49" s="1296"/>
      <c r="AD49" s="1296"/>
      <c r="AE49" s="1296"/>
      <c r="AF49" s="1300"/>
      <c r="AG49" s="2022"/>
      <c r="AH49" s="1228"/>
      <c r="AI49" s="1228"/>
    </row>
    <row r="50" spans="4:35" ht="18.95" customHeight="1">
      <c r="D50" s="1331"/>
      <c r="E50" s="1332"/>
      <c r="F50" s="1333"/>
      <c r="G50" s="2011"/>
      <c r="H50" s="2012"/>
      <c r="I50" s="2012"/>
      <c r="J50" s="2012"/>
      <c r="K50" s="1301"/>
      <c r="L50" s="1293"/>
      <c r="M50" s="1293"/>
      <c r="N50" s="1293"/>
      <c r="O50" s="1293"/>
      <c r="P50" s="1293"/>
      <c r="Q50" s="1293"/>
      <c r="R50" s="1293"/>
      <c r="S50" s="1239"/>
      <c r="T50" s="1239"/>
      <c r="U50" s="1334"/>
      <c r="V50" s="1239"/>
      <c r="W50" s="1232"/>
      <c r="X50" s="1243"/>
      <c r="Y50" s="1335"/>
      <c r="Z50" s="1336" t="s">
        <v>37</v>
      </c>
      <c r="AA50" s="1228"/>
      <c r="AB50" s="1228"/>
      <c r="AC50" s="1228"/>
      <c r="AD50" s="1228"/>
      <c r="AE50" s="1228"/>
      <c r="AF50" s="1242"/>
      <c r="AG50" s="2022"/>
      <c r="AH50" s="1228"/>
      <c r="AI50" s="1228"/>
    </row>
    <row r="51" spans="4:35" ht="39" customHeight="1">
      <c r="D51" s="1231"/>
      <c r="E51" s="1228"/>
      <c r="F51" s="1326"/>
      <c r="G51" s="2013"/>
      <c r="H51" s="2014"/>
      <c r="I51" s="2014"/>
      <c r="J51" s="2014"/>
      <c r="K51" s="1301"/>
      <c r="L51" s="1293"/>
      <c r="M51" s="1293"/>
      <c r="N51" s="1243"/>
      <c r="O51" s="1293"/>
      <c r="P51" s="1293"/>
      <c r="Q51" s="1293"/>
      <c r="R51" s="1293"/>
      <c r="S51" s="2015"/>
      <c r="T51" s="2015"/>
      <c r="U51" s="2016"/>
      <c r="V51" s="2016"/>
      <c r="W51" s="2016"/>
      <c r="X51" s="2016"/>
      <c r="Y51" s="2017"/>
      <c r="Z51" s="1268"/>
      <c r="AA51" s="1228"/>
      <c r="AB51" s="1337" t="s">
        <v>98</v>
      </c>
      <c r="AC51" s="1337" t="s">
        <v>99</v>
      </c>
      <c r="AD51" s="1337" t="s">
        <v>100</v>
      </c>
      <c r="AE51" s="1228"/>
      <c r="AF51" s="1242"/>
      <c r="AG51" s="2022"/>
      <c r="AH51" s="1228"/>
      <c r="AI51" s="1228"/>
    </row>
    <row r="52" spans="4:35" ht="21.95" customHeight="1">
      <c r="D52" s="1231"/>
      <c r="E52" s="1228"/>
      <c r="F52" s="1326"/>
      <c r="G52" s="1338" t="s">
        <v>114</v>
      </c>
      <c r="H52" s="1338" t="s">
        <v>115</v>
      </c>
      <c r="I52" s="1338"/>
      <c r="J52" s="1338"/>
      <c r="K52" s="1301"/>
      <c r="L52" s="1293"/>
      <c r="M52" s="1293"/>
      <c r="N52" s="1294"/>
      <c r="O52" s="1293"/>
      <c r="P52" s="1293"/>
      <c r="Q52" s="1293"/>
      <c r="R52" s="1293"/>
      <c r="S52" s="1228"/>
      <c r="T52" s="1228"/>
      <c r="U52" s="1228"/>
      <c r="V52" s="1228"/>
      <c r="W52" s="1228"/>
      <c r="X52" s="1228"/>
      <c r="Y52" s="1242"/>
      <c r="Z52" s="1241"/>
      <c r="AA52" s="1228"/>
      <c r="AB52" s="1339" t="s">
        <v>44</v>
      </c>
      <c r="AC52" s="1340"/>
      <c r="AD52" s="1340"/>
      <c r="AE52" s="1228"/>
      <c r="AF52" s="1242"/>
      <c r="AG52" s="2022"/>
      <c r="AH52" s="1228"/>
      <c r="AI52" s="1228"/>
    </row>
    <row r="53" spans="4:35" ht="26.45" customHeight="1">
      <c r="D53" s="1231"/>
      <c r="E53" s="1228"/>
      <c r="F53" s="1326"/>
      <c r="G53" s="1341"/>
      <c r="H53" s="1342"/>
      <c r="I53" s="1342"/>
      <c r="J53" s="1342"/>
      <c r="K53" s="1301"/>
      <c r="L53" s="1293"/>
      <c r="M53" s="1293"/>
      <c r="N53" s="1293"/>
      <c r="O53" s="1293"/>
      <c r="P53" s="1293"/>
      <c r="Q53" s="1293"/>
      <c r="R53" s="1294"/>
      <c r="S53" s="1258"/>
      <c r="T53" s="1228"/>
      <c r="U53" s="1228"/>
      <c r="V53" s="1237"/>
      <c r="W53" s="1309"/>
      <c r="X53" s="1343"/>
      <c r="Y53" s="1242"/>
      <c r="Z53" s="1237"/>
      <c r="AA53" s="1228"/>
      <c r="AB53" s="1228">
        <v>0.05</v>
      </c>
      <c r="AC53" s="1256">
        <v>0.115</v>
      </c>
      <c r="AD53" s="1344" t="s">
        <v>102</v>
      </c>
      <c r="AE53" s="1345">
        <f>(W3-42+207)/1000</f>
        <v>2.3650000000000002</v>
      </c>
      <c r="AF53" s="1242"/>
      <c r="AG53" s="2022"/>
      <c r="AH53" s="1228"/>
      <c r="AI53" s="1228"/>
    </row>
    <row r="54" spans="4:35" ht="19.899999999999999" customHeight="1">
      <c r="D54" s="1231"/>
      <c r="E54" s="1228"/>
      <c r="F54" s="1326"/>
      <c r="G54" s="1346"/>
      <c r="H54" s="1275"/>
      <c r="I54" s="1275"/>
      <c r="J54" s="1275"/>
      <c r="K54" s="1359"/>
      <c r="L54" s="1293"/>
      <c r="M54" s="1293"/>
      <c r="N54" s="1343"/>
      <c r="O54" s="1243"/>
      <c r="P54" s="1343"/>
      <c r="Q54" s="1293"/>
      <c r="R54" s="1343"/>
      <c r="S54" s="1228"/>
      <c r="T54" s="1228"/>
      <c r="U54" s="1228"/>
      <c r="V54" s="1228"/>
      <c r="W54" s="1228"/>
      <c r="X54" s="1228"/>
      <c r="Y54" s="1242"/>
      <c r="Z54" s="1228"/>
      <c r="AA54" s="1228"/>
      <c r="AB54" s="1228" t="s">
        <v>103</v>
      </c>
      <c r="AC54" s="1228"/>
      <c r="AD54" s="1233">
        <f>+H11</f>
        <v>1</v>
      </c>
      <c r="AE54" s="1217" t="s">
        <v>104</v>
      </c>
      <c r="AF54" s="1242"/>
      <c r="AG54" s="2022"/>
      <c r="AH54" s="1228"/>
      <c r="AI54" s="1228"/>
    </row>
    <row r="55" spans="4:35" ht="18.95" customHeight="1" thickBot="1">
      <c r="D55" s="1323"/>
      <c r="E55" s="1296"/>
      <c r="F55" s="1348"/>
      <c r="G55" s="1349"/>
      <c r="H55" s="1296"/>
      <c r="I55" s="1296"/>
      <c r="J55" s="1296"/>
      <c r="K55" s="1360"/>
      <c r="L55" s="1347"/>
      <c r="M55" s="1347"/>
      <c r="N55" s="1347"/>
      <c r="O55" s="1347"/>
      <c r="P55" s="1347"/>
      <c r="Q55" s="1347"/>
      <c r="R55" s="1347"/>
      <c r="S55" s="1296"/>
      <c r="T55" s="1296"/>
      <c r="U55" s="1295"/>
      <c r="V55" s="1295"/>
      <c r="W55" s="1295"/>
      <c r="X55" s="1295"/>
      <c r="Y55" s="1348"/>
      <c r="Z55" s="1296"/>
      <c r="AA55" s="1296"/>
      <c r="AB55" s="1296" t="s">
        <v>105</v>
      </c>
      <c r="AC55" s="1296"/>
      <c r="AD55" s="1350">
        <f>(AB53*AC53*AE53)</f>
        <v>1.3598750000000003E-2</v>
      </c>
      <c r="AE55" s="1296" t="s">
        <v>212</v>
      </c>
      <c r="AF55" s="1300"/>
      <c r="AG55" s="2022"/>
    </row>
    <row r="56" spans="4:35" ht="102" customHeight="1">
      <c r="O56" s="1228"/>
      <c r="U56" s="1351"/>
      <c r="V56" s="1351"/>
      <c r="W56" s="1351"/>
      <c r="X56" s="1351"/>
      <c r="AE56" s="1352"/>
      <c r="AF56" s="1353"/>
    </row>
    <row r="57" spans="4:35">
      <c r="U57" s="1351"/>
      <c r="V57" s="1351"/>
      <c r="W57" s="1351"/>
      <c r="X57" s="1239"/>
      <c r="Y57" s="1228"/>
      <c r="Z57" s="1228"/>
      <c r="AA57" s="1228"/>
      <c r="AB57" s="1228"/>
      <c r="AC57" s="1228"/>
      <c r="AD57" s="1228"/>
    </row>
    <row r="58" spans="4:35">
      <c r="U58" s="1351"/>
      <c r="V58" s="1351"/>
      <c r="W58" s="1351"/>
      <c r="X58" s="1239"/>
      <c r="Y58" s="1228"/>
      <c r="Z58" s="1228"/>
      <c r="AA58" s="1228"/>
      <c r="AB58" s="1228"/>
      <c r="AC58" s="1228"/>
      <c r="AD58" s="1228"/>
    </row>
    <row r="59" spans="4:35" ht="27.75">
      <c r="U59" s="1351"/>
      <c r="V59" s="1351"/>
      <c r="W59" s="1351"/>
      <c r="X59" s="1273"/>
      <c r="Y59" s="1239"/>
      <c r="Z59" s="1263"/>
      <c r="AA59" s="1228"/>
      <c r="AB59" s="1228"/>
      <c r="AC59" s="1228"/>
      <c r="AD59" s="1228"/>
    </row>
    <row r="60" spans="4:35" ht="27.75">
      <c r="U60" s="1351"/>
      <c r="V60" s="1351"/>
      <c r="W60" s="1351"/>
      <c r="X60" s="1273"/>
      <c r="Y60" s="1239"/>
      <c r="Z60" s="1263"/>
      <c r="AA60" s="1228"/>
      <c r="AB60" s="1228"/>
      <c r="AC60" s="1228"/>
      <c r="AD60" s="1228"/>
    </row>
    <row r="61" spans="4:35">
      <c r="U61" s="1351"/>
      <c r="V61" s="1351"/>
      <c r="W61" s="1351"/>
      <c r="X61" s="1239"/>
      <c r="Y61" s="1228"/>
      <c r="Z61" s="1228"/>
      <c r="AA61" s="1228"/>
      <c r="AB61" s="1228"/>
      <c r="AC61" s="1228"/>
      <c r="AD61" s="1228"/>
    </row>
    <row r="62" spans="4:35" ht="27">
      <c r="U62" s="1351"/>
      <c r="V62" s="1351"/>
      <c r="W62" s="1351"/>
      <c r="X62" s="1239"/>
      <c r="Y62" s="1228"/>
      <c r="Z62" s="1213"/>
      <c r="AA62" s="1228"/>
      <c r="AB62" s="1292"/>
      <c r="AC62" s="1233"/>
      <c r="AD62" s="1233"/>
    </row>
    <row r="63" spans="4:35" ht="27.75">
      <c r="X63" s="1228"/>
      <c r="Y63" s="1309"/>
      <c r="Z63" s="1263"/>
      <c r="AA63" s="1228"/>
      <c r="AB63" s="1217"/>
      <c r="AC63" s="1228"/>
      <c r="AD63" s="1228"/>
    </row>
    <row r="64" spans="4:35">
      <c r="X64" s="1228"/>
      <c r="Y64" s="1228"/>
      <c r="Z64" s="1228"/>
      <c r="AA64" s="1228"/>
      <c r="AB64" s="1217"/>
      <c r="AC64" s="1228"/>
      <c r="AD64" s="1228"/>
    </row>
    <row r="65" spans="24:30" ht="26.25">
      <c r="X65" s="1228"/>
      <c r="Y65" s="1228"/>
      <c r="Z65" s="1294"/>
      <c r="AA65" s="1228"/>
      <c r="AB65" s="1241"/>
      <c r="AC65" s="1233"/>
      <c r="AD65" s="1292"/>
    </row>
    <row r="66" spans="24:30" ht="33.75">
      <c r="X66" s="1228"/>
      <c r="Y66" s="1309"/>
      <c r="Z66" s="1354"/>
      <c r="AA66" s="1228"/>
      <c r="AB66" s="1228"/>
      <c r="AC66" s="1228"/>
      <c r="AD66" s="1228"/>
    </row>
    <row r="67" spans="24:30">
      <c r="X67" s="1228"/>
      <c r="Y67" s="1228"/>
      <c r="Z67" s="1228"/>
      <c r="AA67" s="1228"/>
      <c r="AB67" s="1228"/>
      <c r="AC67" s="1228"/>
      <c r="AD67" s="1228"/>
    </row>
  </sheetData>
  <sheetProtection formatCells="0" formatColumns="0"/>
  <mergeCells count="73">
    <mergeCell ref="W2:X2"/>
    <mergeCell ref="Z2:AB2"/>
    <mergeCell ref="AD2:AF2"/>
    <mergeCell ref="D3:F3"/>
    <mergeCell ref="G3:J3"/>
    <mergeCell ref="K3:M3"/>
    <mergeCell ref="N3:P3"/>
    <mergeCell ref="Q3:S3"/>
    <mergeCell ref="T3:U3"/>
    <mergeCell ref="W3:X3"/>
    <mergeCell ref="D2:F2"/>
    <mergeCell ref="G2:J2"/>
    <mergeCell ref="K2:M2"/>
    <mergeCell ref="N2:P2"/>
    <mergeCell ref="Q2:S2"/>
    <mergeCell ref="T2:U2"/>
    <mergeCell ref="Z3:AB3"/>
    <mergeCell ref="AD3:AF3"/>
    <mergeCell ref="K4:M4"/>
    <mergeCell ref="N4:S4"/>
    <mergeCell ref="AB4:AC4"/>
    <mergeCell ref="AD4:AF4"/>
    <mergeCell ref="G13:J13"/>
    <mergeCell ref="T13:V13"/>
    <mergeCell ref="Z13:AF13"/>
    <mergeCell ref="D5:E5"/>
    <mergeCell ref="F5:J5"/>
    <mergeCell ref="K5:L5"/>
    <mergeCell ref="M5:R5"/>
    <mergeCell ref="S5:T5"/>
    <mergeCell ref="U5:AF5"/>
    <mergeCell ref="S6:Y6"/>
    <mergeCell ref="Z6:AF6"/>
    <mergeCell ref="G7:J7"/>
    <mergeCell ref="N10:O10"/>
    <mergeCell ref="P10:Q10"/>
    <mergeCell ref="L27:Q27"/>
    <mergeCell ref="T14:V14"/>
    <mergeCell ref="S18:Y18"/>
    <mergeCell ref="Z18:AF18"/>
    <mergeCell ref="E19:F19"/>
    <mergeCell ref="E20:F20"/>
    <mergeCell ref="H20:I20"/>
    <mergeCell ref="P21:Q21"/>
    <mergeCell ref="D22:J22"/>
    <mergeCell ref="L22:Q26"/>
    <mergeCell ref="AA22:AC22"/>
    <mergeCell ref="F25:H25"/>
    <mergeCell ref="L28:Q28"/>
    <mergeCell ref="K29:R29"/>
    <mergeCell ref="K31:L31"/>
    <mergeCell ref="M31:R31"/>
    <mergeCell ref="S31:T31"/>
    <mergeCell ref="D32:D43"/>
    <mergeCell ref="M33:O33"/>
    <mergeCell ref="T33:U33"/>
    <mergeCell ref="V33:Y33"/>
    <mergeCell ref="M34:O34"/>
    <mergeCell ref="M35:O35"/>
    <mergeCell ref="E37:G37"/>
    <mergeCell ref="M37:O37"/>
    <mergeCell ref="AG41:AG55"/>
    <mergeCell ref="S43:T43"/>
    <mergeCell ref="U43:Y43"/>
    <mergeCell ref="Z31:AA31"/>
    <mergeCell ref="AB31:AF31"/>
    <mergeCell ref="U31:Y31"/>
    <mergeCell ref="G49:J51"/>
    <mergeCell ref="S51:T51"/>
    <mergeCell ref="U51:Y51"/>
    <mergeCell ref="S38:T38"/>
    <mergeCell ref="U38:Y38"/>
    <mergeCell ref="M39:O39"/>
  </mergeCells>
  <conditionalFormatting sqref="G49:J51">
    <cfRule type="expression" dxfId="10" priority="1" stopIfTrue="1">
      <formula>IF($A$69=1,1,0)</formula>
    </cfRule>
  </conditionalFormatting>
  <printOptions horizontalCentered="1" verticalCentered="1"/>
  <pageMargins left="0" right="0" top="0" bottom="0" header="0" footer="0"/>
  <pageSetup paperSize="9" scale="33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>
    <tabColor indexed="43"/>
  </sheetPr>
  <dimension ref="A1:AN56"/>
  <sheetViews>
    <sheetView workbookViewId="0"/>
  </sheetViews>
  <sheetFormatPr defaultRowHeight="18.75"/>
  <cols>
    <col min="1" max="1" width="4.42578125" style="515" customWidth="1"/>
    <col min="2" max="2" width="11.85546875" style="515" customWidth="1"/>
    <col min="3" max="3" width="12.7109375" style="515" customWidth="1"/>
    <col min="4" max="4" width="14.85546875" style="515" customWidth="1"/>
    <col min="5" max="5" width="17.42578125" style="515" customWidth="1"/>
    <col min="6" max="6" width="13.7109375" style="515" customWidth="1"/>
    <col min="7" max="7" width="16.5703125" style="515" customWidth="1"/>
    <col min="8" max="8" width="6" style="515" customWidth="1"/>
    <col min="9" max="11" width="14.85546875" style="515" customWidth="1"/>
    <col min="12" max="12" width="19.42578125" style="515" customWidth="1"/>
    <col min="13" max="13" width="14.85546875" style="515" customWidth="1"/>
    <col min="14" max="14" width="15.5703125" style="515" customWidth="1"/>
    <col min="15" max="15" width="14.42578125" style="515" customWidth="1"/>
    <col min="16" max="16" width="14.85546875" style="515" customWidth="1"/>
    <col min="17" max="17" width="12" style="515" customWidth="1"/>
    <col min="18" max="18" width="14.85546875" style="515" customWidth="1"/>
    <col min="19" max="19" width="12" style="515" customWidth="1"/>
    <col min="20" max="20" width="14.85546875" style="515" customWidth="1"/>
    <col min="21" max="21" width="13" style="515" customWidth="1"/>
    <col min="22" max="22" width="22.85546875" style="515" bestFit="1" customWidth="1"/>
    <col min="23" max="23" width="14.85546875" style="515" customWidth="1"/>
    <col min="24" max="24" width="5.85546875" style="515" customWidth="1"/>
    <col min="25" max="25" width="7.7109375" style="515" customWidth="1"/>
    <col min="26" max="26" width="14.85546875" style="515" customWidth="1"/>
    <col min="27" max="27" width="15.42578125" style="515" customWidth="1"/>
    <col min="28" max="28" width="12.140625" style="515" customWidth="1"/>
    <col min="29" max="29" width="18.5703125" style="515" customWidth="1"/>
    <col min="30" max="30" width="15.5703125" style="515" customWidth="1"/>
    <col min="31" max="31" width="6.42578125" style="515" customWidth="1"/>
    <col min="32" max="32" width="9.140625" style="515"/>
    <col min="33" max="33" width="42.5703125" style="515" bestFit="1" customWidth="1"/>
    <col min="34" max="16384" width="9.140625" style="515"/>
  </cols>
  <sheetData>
    <row r="1" spans="2:40" ht="30" customHeight="1"/>
    <row r="2" spans="2:40" ht="31.5" customHeight="1">
      <c r="B2" s="2126" t="s">
        <v>295</v>
      </c>
      <c r="C2" s="2127"/>
      <c r="D2" s="2127"/>
      <c r="E2" s="2127"/>
      <c r="F2" s="2127"/>
      <c r="G2" s="2127"/>
      <c r="H2" s="2127"/>
      <c r="I2" s="2127"/>
      <c r="J2" s="2127"/>
      <c r="K2" s="2127"/>
      <c r="L2" s="2127"/>
      <c r="M2" s="2127"/>
      <c r="N2" s="2127"/>
      <c r="O2" s="2127"/>
      <c r="P2" s="2127"/>
      <c r="Q2" s="2127"/>
      <c r="R2" s="2127"/>
      <c r="S2" s="2127"/>
      <c r="T2" s="2127"/>
      <c r="U2" s="2127"/>
      <c r="V2" s="2127"/>
      <c r="W2" s="2127"/>
      <c r="X2" s="2127"/>
      <c r="Y2" s="2127"/>
      <c r="Z2" s="2127"/>
      <c r="AA2" s="2127"/>
      <c r="AB2" s="2127"/>
      <c r="AC2" s="2127"/>
      <c r="AD2" s="2127"/>
      <c r="AE2" s="2128"/>
    </row>
    <row r="3" spans="2:40" s="519" customFormat="1" ht="42" customHeight="1" thickBot="1">
      <c r="B3" s="515"/>
      <c r="C3" s="515"/>
      <c r="D3" s="515"/>
      <c r="E3" s="515"/>
      <c r="F3" s="515"/>
      <c r="G3" s="515"/>
      <c r="H3" s="515"/>
      <c r="I3" s="515"/>
      <c r="J3" s="515"/>
      <c r="K3" s="515"/>
      <c r="L3" s="516"/>
      <c r="M3" s="516"/>
      <c r="N3" s="516"/>
      <c r="O3" s="516"/>
      <c r="P3" s="516"/>
      <c r="Q3" s="516"/>
      <c r="R3" s="516"/>
      <c r="S3" s="516"/>
      <c r="T3" s="516"/>
      <c r="U3" s="516"/>
      <c r="V3" s="515"/>
      <c r="W3" s="515"/>
      <c r="X3" s="515"/>
      <c r="Y3" s="515"/>
      <c r="Z3" s="515"/>
      <c r="AA3" s="515"/>
      <c r="AB3" s="515"/>
      <c r="AC3" s="517"/>
      <c r="AD3" s="518"/>
      <c r="AE3" s="515"/>
      <c r="AG3" s="515"/>
      <c r="AH3" s="515"/>
      <c r="AI3" s="515"/>
      <c r="AJ3" s="515"/>
      <c r="AK3" s="515"/>
      <c r="AL3" s="515"/>
      <c r="AM3" s="515"/>
      <c r="AN3" s="515"/>
    </row>
    <row r="4" spans="2:40" ht="45" customHeight="1">
      <c r="B4" s="2129" t="s">
        <v>296</v>
      </c>
      <c r="C4" s="2130"/>
      <c r="D4" s="2131"/>
      <c r="E4" s="2130" t="s">
        <v>214</v>
      </c>
      <c r="F4" s="2130"/>
      <c r="G4" s="2131"/>
      <c r="H4" s="2130" t="s">
        <v>137</v>
      </c>
      <c r="I4" s="2130"/>
      <c r="J4" s="2131"/>
      <c r="K4" s="2132" t="s">
        <v>2</v>
      </c>
      <c r="L4" s="2132"/>
      <c r="M4" s="2133"/>
      <c r="N4" s="2134" t="s">
        <v>43</v>
      </c>
      <c r="O4" s="2135"/>
      <c r="P4" s="2135"/>
      <c r="Q4" s="2136"/>
      <c r="R4" s="2140" t="s">
        <v>297</v>
      </c>
      <c r="S4" s="2140"/>
      <c r="T4" s="2141" t="s">
        <v>144</v>
      </c>
      <c r="U4" s="2141"/>
      <c r="V4" s="2140" t="s">
        <v>298</v>
      </c>
      <c r="W4" s="2143"/>
      <c r="X4" s="2144" t="s">
        <v>299</v>
      </c>
      <c r="Y4" s="2130"/>
      <c r="Z4" s="2131"/>
      <c r="AA4" s="2144" t="s">
        <v>7</v>
      </c>
      <c r="AB4" s="2131"/>
      <c r="AC4" s="520" t="s">
        <v>300</v>
      </c>
      <c r="AD4" s="2130" t="s">
        <v>301</v>
      </c>
      <c r="AE4" s="2145"/>
    </row>
    <row r="5" spans="2:40" ht="39.75" customHeight="1" thickBot="1">
      <c r="B5" s="2111"/>
      <c r="C5" s="2112"/>
      <c r="D5" s="2113"/>
      <c r="E5" s="2114">
        <f>+DATI!C4</f>
        <v>0</v>
      </c>
      <c r="F5" s="2115"/>
      <c r="G5" s="2116"/>
      <c r="H5" s="2114"/>
      <c r="I5" s="2112"/>
      <c r="J5" s="2113"/>
      <c r="K5" s="2094">
        <f>+DATI!C5</f>
        <v>42370</v>
      </c>
      <c r="L5" s="2095"/>
      <c r="M5" s="2096"/>
      <c r="N5" s="2137"/>
      <c r="O5" s="2138"/>
      <c r="P5" s="2138"/>
      <c r="Q5" s="2139"/>
      <c r="R5" s="2109">
        <f>E18</f>
        <v>1400</v>
      </c>
      <c r="S5" s="2109"/>
      <c r="T5" s="2142"/>
      <c r="U5" s="2142"/>
      <c r="V5" s="2109">
        <f>G18</f>
        <v>2200</v>
      </c>
      <c r="W5" s="2110"/>
      <c r="X5" s="2122">
        <f>IF(V5="","",IF(V5&lt;0,"ERRORE ALTEZZA MINIMA",IF(V5&lt;510,2,IF(V5&lt;1472,4,IF(V5&lt;2372,6,IF(V5&lt;2642,8,""))))))</f>
        <v>6</v>
      </c>
      <c r="Y5" s="2112"/>
      <c r="Z5" s="2113"/>
      <c r="AA5" s="2122" t="str">
        <f>+E11</f>
        <v>06.NERO</v>
      </c>
      <c r="AB5" s="2113"/>
      <c r="AC5" s="521" t="str">
        <f>E13</f>
        <v>1</v>
      </c>
      <c r="AD5" s="2123" t="s">
        <v>171</v>
      </c>
      <c r="AE5" s="2124"/>
    </row>
    <row r="6" spans="2:40" ht="30" customHeight="1" thickBot="1">
      <c r="B6" s="516"/>
      <c r="C6" s="522"/>
      <c r="D6" s="516"/>
      <c r="E6" s="516"/>
      <c r="F6" s="522"/>
      <c r="G6" s="516"/>
      <c r="H6" s="516"/>
      <c r="I6" s="522"/>
      <c r="J6" s="516"/>
      <c r="K6" s="516"/>
      <c r="L6" s="522"/>
      <c r="M6" s="516"/>
      <c r="N6" s="516"/>
      <c r="O6" s="522"/>
      <c r="P6" s="522"/>
      <c r="Q6" s="516"/>
      <c r="R6" s="516"/>
      <c r="S6" s="522" t="str">
        <f>IF(R5&gt;2700,"ATTENZIONE LARGHEZZA MAX 2700","")</f>
        <v/>
      </c>
      <c r="T6" s="523"/>
      <c r="U6" s="516"/>
      <c r="V6" s="522" t="s">
        <v>37</v>
      </c>
      <c r="W6" s="516"/>
      <c r="X6" s="516"/>
      <c r="Y6" s="522" t="str">
        <f>IF(V5&lt;300,"ATTENZIONE ALTEZZA MIN 300",IF(V5&gt;2580,"ATTENZIONE ALTEZZA MAX 2600",""))</f>
        <v/>
      </c>
      <c r="Z6" s="516"/>
      <c r="AA6" s="522"/>
      <c r="AB6" s="516"/>
      <c r="AC6" s="522"/>
      <c r="AD6" s="516"/>
    </row>
    <row r="7" spans="2:40" ht="25.5" customHeight="1">
      <c r="B7" s="524" t="s">
        <v>40</v>
      </c>
      <c r="C7" s="2106" t="s">
        <v>41</v>
      </c>
      <c r="D7" s="2106"/>
      <c r="E7" s="2106"/>
      <c r="F7" s="2106"/>
      <c r="G7" s="2106"/>
      <c r="H7" s="2107"/>
      <c r="I7" s="525" t="s">
        <v>52</v>
      </c>
      <c r="J7" s="2117" t="s">
        <v>302</v>
      </c>
      <c r="K7" s="2117"/>
      <c r="L7" s="2117"/>
      <c r="M7" s="2117"/>
      <c r="N7" s="2117"/>
      <c r="O7" s="2117"/>
      <c r="P7" s="2117"/>
      <c r="Q7" s="2117"/>
      <c r="R7" s="525" t="s">
        <v>58</v>
      </c>
      <c r="S7" s="2117" t="s">
        <v>303</v>
      </c>
      <c r="T7" s="2117"/>
      <c r="U7" s="2117"/>
      <c r="V7" s="2117"/>
      <c r="W7" s="2117"/>
      <c r="X7" s="2117"/>
      <c r="Y7" s="2118" t="s">
        <v>58</v>
      </c>
      <c r="Z7" s="2119"/>
      <c r="AA7" s="2117" t="s">
        <v>304</v>
      </c>
      <c r="AB7" s="2117"/>
      <c r="AC7" s="2117"/>
      <c r="AD7" s="2117"/>
      <c r="AE7" s="2125"/>
    </row>
    <row r="8" spans="2:40" ht="25.5" customHeight="1">
      <c r="B8" s="526"/>
      <c r="C8" s="527"/>
      <c r="D8" s="527"/>
      <c r="E8" s="527"/>
      <c r="F8" s="527"/>
      <c r="G8" s="527"/>
      <c r="H8" s="528"/>
      <c r="I8" s="527"/>
      <c r="J8" s="527"/>
      <c r="K8" s="527"/>
      <c r="L8" s="2120" t="e">
        <f>IF(DATI!E13="AUTOMATICA",CONCATENATE("*",DATI!E14,"-",REPT("0",4-LEN(L14)),L14,"*"),CONCATENATE("*",DATI!L14,(REPT("0",3-LEN(J9))),J9,(REPT("0",4-LEN(L14))),L14,DATI!L13,"*"))</f>
        <v>#VALUE!</v>
      </c>
      <c r="M8" s="2120"/>
      <c r="N8" s="2120"/>
      <c r="O8" s="2120"/>
      <c r="P8" s="2120"/>
      <c r="Q8" s="527"/>
      <c r="R8" s="529"/>
      <c r="S8" s="527"/>
      <c r="T8" s="527"/>
      <c r="U8" s="527"/>
      <c r="V8" s="527"/>
      <c r="W8" s="527"/>
      <c r="X8" s="528"/>
      <c r="Y8" s="527"/>
      <c r="Z8" s="527"/>
      <c r="AA8" s="527"/>
      <c r="AB8" s="527"/>
      <c r="AC8" s="527"/>
      <c r="AD8" s="516"/>
      <c r="AE8" s="530"/>
    </row>
    <row r="9" spans="2:40" ht="25.5" customHeight="1">
      <c r="B9" s="531"/>
      <c r="C9" s="2100" t="s">
        <v>3</v>
      </c>
      <c r="D9" s="2101"/>
      <c r="E9" s="532">
        <f>+DATI!C6</f>
        <v>0</v>
      </c>
      <c r="F9" s="533"/>
      <c r="G9" s="534"/>
      <c r="H9" s="535"/>
      <c r="I9" s="516"/>
      <c r="J9" s="536">
        <f>ROUNDUP((R5-48)*0.036,0)</f>
        <v>49</v>
      </c>
      <c r="K9" s="537" t="s">
        <v>305</v>
      </c>
      <c r="L9" s="2121"/>
      <c r="M9" s="2121"/>
      <c r="N9" s="2121"/>
      <c r="O9" s="2121"/>
      <c r="P9" s="2121"/>
      <c r="Q9" s="516"/>
      <c r="R9" s="538"/>
      <c r="S9" s="2086" t="s">
        <v>306</v>
      </c>
      <c r="T9" s="2087"/>
      <c r="U9" s="2087"/>
      <c r="V9" s="2087"/>
      <c r="W9" s="2088"/>
      <c r="X9" s="535"/>
      <c r="Y9" s="516"/>
      <c r="Z9" s="516"/>
      <c r="AA9" s="516"/>
      <c r="AB9" s="516"/>
      <c r="AC9" s="516"/>
      <c r="AD9" s="516"/>
      <c r="AE9" s="530"/>
    </row>
    <row r="10" spans="2:40" ht="25.5" customHeight="1">
      <c r="B10" s="531"/>
      <c r="C10" s="516"/>
      <c r="D10" s="516"/>
      <c r="E10" s="516"/>
      <c r="F10" s="516"/>
      <c r="G10" s="516"/>
      <c r="H10" s="535"/>
      <c r="I10" s="516"/>
      <c r="J10" s="516"/>
      <c r="K10" s="516"/>
      <c r="L10" s="2121"/>
      <c r="M10" s="2121"/>
      <c r="N10" s="2121"/>
      <c r="O10" s="2121"/>
      <c r="P10" s="2121"/>
      <c r="Q10" s="537"/>
      <c r="R10" s="538"/>
      <c r="S10" s="516"/>
      <c r="T10" s="516"/>
      <c r="U10" s="516"/>
      <c r="V10" s="516"/>
      <c r="W10" s="539"/>
      <c r="X10" s="535"/>
      <c r="Y10" s="516"/>
      <c r="Z10" s="540"/>
      <c r="AA10" s="541" t="s">
        <v>307</v>
      </c>
      <c r="AB10" s="542"/>
      <c r="AC10" s="543" t="s">
        <v>308</v>
      </c>
      <c r="AD10" s="544" t="s">
        <v>309</v>
      </c>
      <c r="AE10" s="530"/>
    </row>
    <row r="11" spans="2:40" ht="25.5" customHeight="1">
      <c r="B11" s="531"/>
      <c r="C11" s="2100" t="s">
        <v>7</v>
      </c>
      <c r="D11" s="2101"/>
      <c r="E11" s="545" t="str">
        <f>+DATI!C10</f>
        <v>06.NERO</v>
      </c>
      <c r="F11" s="546"/>
      <c r="G11" s="534"/>
      <c r="H11" s="535"/>
      <c r="I11" s="516"/>
      <c r="J11" s="516"/>
      <c r="K11" s="516"/>
      <c r="L11" s="2121"/>
      <c r="M11" s="2121"/>
      <c r="N11" s="2121"/>
      <c r="O11" s="2121"/>
      <c r="P11" s="2121"/>
      <c r="Q11" s="516"/>
      <c r="R11" s="538"/>
      <c r="S11" s="516"/>
      <c r="T11" s="547" t="s">
        <v>310</v>
      </c>
      <c r="U11" s="548">
        <f>V5-123+10</f>
        <v>2087</v>
      </c>
      <c r="V11" s="539"/>
      <c r="W11" s="539" t="s">
        <v>238</v>
      </c>
      <c r="X11" s="535"/>
      <c r="Y11" s="516"/>
      <c r="Z11" s="540" t="s">
        <v>311</v>
      </c>
      <c r="AA11" s="540"/>
      <c r="AB11" s="542"/>
      <c r="AC11" s="549"/>
      <c r="AD11" s="550" t="s">
        <v>246</v>
      </c>
      <c r="AE11" s="530"/>
    </row>
    <row r="12" spans="2:40" ht="25.5" customHeight="1">
      <c r="B12" s="531"/>
      <c r="C12" s="516"/>
      <c r="D12" s="516"/>
      <c r="E12" s="516"/>
      <c r="F12" s="516"/>
      <c r="G12" s="516"/>
      <c r="H12" s="535"/>
      <c r="I12" s="516"/>
      <c r="J12" s="516"/>
      <c r="K12" s="516"/>
      <c r="L12" s="2121"/>
      <c r="M12" s="2121"/>
      <c r="N12" s="2121"/>
      <c r="O12" s="2121"/>
      <c r="P12" s="2121"/>
      <c r="Q12" s="516"/>
      <c r="R12" s="538"/>
      <c r="S12" s="516"/>
      <c r="T12" s="516"/>
      <c r="U12" s="516"/>
      <c r="V12" s="516"/>
      <c r="W12" s="516"/>
      <c r="X12" s="535"/>
      <c r="Y12" s="516"/>
      <c r="Z12" s="540" t="s">
        <v>312</v>
      </c>
      <c r="AA12" s="540"/>
      <c r="AB12" s="542"/>
      <c r="AC12" s="551">
        <f>R5-70</f>
        <v>1330</v>
      </c>
      <c r="AD12" s="550" t="s">
        <v>246</v>
      </c>
      <c r="AE12" s="530"/>
    </row>
    <row r="13" spans="2:40" ht="25.5" customHeight="1">
      <c r="B13" s="531"/>
      <c r="C13" s="2100" t="s">
        <v>313</v>
      </c>
      <c r="D13" s="2101"/>
      <c r="E13" s="552" t="str">
        <f>+DATI!C11</f>
        <v>1</v>
      </c>
      <c r="F13" s="533"/>
      <c r="G13" s="534"/>
      <c r="H13" s="535"/>
      <c r="I13" s="516"/>
      <c r="J13" s="516"/>
      <c r="K13" s="516"/>
      <c r="L13" s="2121"/>
      <c r="M13" s="2121"/>
      <c r="N13" s="2121"/>
      <c r="O13" s="2121"/>
      <c r="P13" s="2121"/>
      <c r="Q13" s="516"/>
      <c r="R13" s="538"/>
      <c r="S13" s="516"/>
      <c r="T13" s="516"/>
      <c r="U13" s="516"/>
      <c r="V13" s="516"/>
      <c r="W13" s="516"/>
      <c r="X13" s="535"/>
      <c r="Y13" s="516"/>
      <c r="Z13" s="540" t="s">
        <v>203</v>
      </c>
      <c r="AA13" s="540"/>
      <c r="AB13" s="542"/>
      <c r="AC13" s="551">
        <f>AC12</f>
        <v>1330</v>
      </c>
      <c r="AD13" s="550" t="s">
        <v>246</v>
      </c>
      <c r="AE13" s="530"/>
    </row>
    <row r="14" spans="2:40" ht="25.5" customHeight="1">
      <c r="B14" s="531"/>
      <c r="C14" s="516"/>
      <c r="D14" s="516"/>
      <c r="E14" s="516"/>
      <c r="F14" s="516"/>
      <c r="G14" s="516"/>
      <c r="H14" s="535"/>
      <c r="I14" s="516"/>
      <c r="J14" s="516"/>
      <c r="K14" s="553" t="s">
        <v>314</v>
      </c>
      <c r="L14" s="548">
        <f>V5-51+10</f>
        <v>2159</v>
      </c>
      <c r="M14" s="516"/>
      <c r="N14" s="516"/>
      <c r="O14" s="554" t="s">
        <v>238</v>
      </c>
      <c r="P14" s="554"/>
      <c r="Q14" s="516"/>
      <c r="R14" s="538"/>
      <c r="S14" s="555"/>
      <c r="T14" s="533"/>
      <c r="U14" s="533"/>
      <c r="V14" s="533"/>
      <c r="W14" s="534"/>
      <c r="X14" s="535"/>
      <c r="Y14" s="516"/>
      <c r="Z14" s="540" t="s">
        <v>315</v>
      </c>
      <c r="AA14" s="540"/>
      <c r="AB14" s="540"/>
      <c r="AC14" s="551">
        <f>R5-28</f>
        <v>1372</v>
      </c>
      <c r="AD14" s="550">
        <v>1</v>
      </c>
      <c r="AE14" s="530"/>
    </row>
    <row r="15" spans="2:40" ht="25.5" customHeight="1">
      <c r="B15" s="531"/>
      <c r="C15" s="2100" t="s">
        <v>169</v>
      </c>
      <c r="D15" s="2101"/>
      <c r="E15" s="556" t="str">
        <f>+DATI!R5</f>
        <v>13-25</v>
      </c>
      <c r="F15" s="533"/>
      <c r="G15" s="534"/>
      <c r="H15" s="535"/>
      <c r="I15" s="538"/>
      <c r="J15" s="516"/>
      <c r="K15" s="516"/>
      <c r="L15" s="516"/>
      <c r="M15" s="516"/>
      <c r="N15" s="516"/>
      <c r="O15" s="516"/>
      <c r="P15" s="516"/>
      <c r="Q15" s="516"/>
      <c r="R15" s="538"/>
      <c r="S15" s="516"/>
      <c r="T15" s="516"/>
      <c r="U15" s="516"/>
      <c r="V15" s="516"/>
      <c r="W15" s="516"/>
      <c r="X15" s="535"/>
      <c r="Y15" s="516"/>
      <c r="Z15" s="540" t="s">
        <v>316</v>
      </c>
      <c r="AA15" s="540"/>
      <c r="AB15" s="540"/>
      <c r="AC15" s="557"/>
      <c r="AD15" s="550" t="str">
        <f>IF(R5&gt;899,"３","２")</f>
        <v>３</v>
      </c>
      <c r="AE15" s="530"/>
    </row>
    <row r="16" spans="2:40" ht="25.5" customHeight="1">
      <c r="B16" s="531"/>
      <c r="C16" s="516"/>
      <c r="D16" s="516"/>
      <c r="E16" s="516"/>
      <c r="F16" s="516"/>
      <c r="G16" s="516"/>
      <c r="H16" s="535"/>
      <c r="I16" s="558"/>
      <c r="J16" s="537"/>
      <c r="K16" s="553"/>
      <c r="L16" s="553"/>
      <c r="M16" s="553"/>
      <c r="N16" s="553"/>
      <c r="O16" s="553"/>
      <c r="P16" s="553"/>
      <c r="Q16" s="559"/>
      <c r="R16" s="560"/>
      <c r="S16" s="561"/>
      <c r="T16" s="561"/>
      <c r="U16" s="561"/>
      <c r="V16" s="561"/>
      <c r="W16" s="561"/>
      <c r="X16" s="562"/>
      <c r="Y16" s="516"/>
      <c r="Z16" s="516"/>
      <c r="AA16" s="516"/>
      <c r="AB16" s="516"/>
      <c r="AC16" s="516"/>
      <c r="AD16" s="516"/>
      <c r="AE16" s="530"/>
    </row>
    <row r="17" spans="1:31" ht="25.5" customHeight="1">
      <c r="B17" s="531"/>
      <c r="C17" s="2102" t="s">
        <v>43</v>
      </c>
      <c r="D17" s="2103"/>
      <c r="E17" s="563" t="s">
        <v>4</v>
      </c>
      <c r="F17" s="565"/>
      <c r="G17" s="564" t="s">
        <v>5</v>
      </c>
      <c r="H17" s="535"/>
      <c r="I17" s="538"/>
      <c r="J17" s="516"/>
      <c r="K17" s="516"/>
      <c r="L17" s="516"/>
      <c r="M17" s="516"/>
      <c r="N17" s="516"/>
      <c r="O17" s="516"/>
      <c r="P17" s="516"/>
      <c r="Q17" s="516"/>
      <c r="R17" s="538"/>
      <c r="S17" s="516"/>
      <c r="T17" s="516"/>
      <c r="U17" s="516"/>
      <c r="V17" s="516"/>
      <c r="W17" s="516"/>
      <c r="X17" s="535"/>
      <c r="Y17" s="516"/>
      <c r="Z17" s="516"/>
      <c r="AA17" s="516"/>
      <c r="AB17" s="516"/>
      <c r="AC17" s="522"/>
      <c r="AD17" s="516"/>
      <c r="AE17" s="530"/>
    </row>
    <row r="18" spans="1:31" ht="25.5" customHeight="1">
      <c r="B18" s="531"/>
      <c r="C18" s="2104"/>
      <c r="D18" s="2105"/>
      <c r="E18" s="566">
        <f>+DATI!C7</f>
        <v>1400</v>
      </c>
      <c r="F18" s="567" t="s">
        <v>44</v>
      </c>
      <c r="G18" s="568">
        <f>+DATI!C8</f>
        <v>2200</v>
      </c>
      <c r="H18" s="535"/>
      <c r="I18" s="569">
        <v>40</v>
      </c>
      <c r="J18" s="516"/>
      <c r="K18" s="516"/>
      <c r="L18" s="516"/>
      <c r="M18" s="516"/>
      <c r="N18" s="516"/>
      <c r="O18" s="516"/>
      <c r="P18" s="516"/>
      <c r="Q18" s="516"/>
      <c r="R18" s="538"/>
      <c r="S18" s="2086" t="s">
        <v>319</v>
      </c>
      <c r="T18" s="2087"/>
      <c r="U18" s="2087"/>
      <c r="V18" s="2087"/>
      <c r="W18" s="2088"/>
      <c r="X18" s="535"/>
      <c r="Y18" s="516"/>
      <c r="Z18" s="516"/>
      <c r="AA18" s="516"/>
      <c r="AB18" s="570" t="s">
        <v>320</v>
      </c>
      <c r="AC18" s="516"/>
      <c r="AD18" s="522"/>
      <c r="AE18" s="530"/>
    </row>
    <row r="19" spans="1:31" ht="25.5" customHeight="1">
      <c r="B19" s="531"/>
      <c r="C19" s="516"/>
      <c r="D19" s="516"/>
      <c r="E19" s="516"/>
      <c r="F19" s="516"/>
      <c r="G19" s="516"/>
      <c r="H19" s="535"/>
      <c r="I19" s="516"/>
      <c r="J19" s="571">
        <f>IF(X5=2,L14-40,IF(X5&gt;2,K20-P29))</f>
        <v>455.80000000000013</v>
      </c>
      <c r="K19" s="572"/>
      <c r="L19" s="572"/>
      <c r="M19" s="572"/>
      <c r="N19" s="572"/>
      <c r="O19" s="572"/>
      <c r="P19" s="572"/>
      <c r="Q19" s="572"/>
      <c r="R19" s="538"/>
      <c r="S19" s="516"/>
      <c r="T19" s="516"/>
      <c r="U19" s="516"/>
      <c r="V19" s="516"/>
      <c r="W19" s="516"/>
      <c r="X19" s="535"/>
      <c r="Y19" s="516"/>
      <c r="Z19" s="516"/>
      <c r="AA19" s="516"/>
      <c r="AB19" s="516"/>
      <c r="AC19" s="516"/>
      <c r="AD19" s="522"/>
      <c r="AE19" s="573"/>
    </row>
    <row r="20" spans="1:31" ht="25.5" customHeight="1" thickBot="1">
      <c r="B20" s="531"/>
      <c r="C20" s="516"/>
      <c r="D20" s="516"/>
      <c r="E20" s="516"/>
      <c r="F20" s="516"/>
      <c r="G20" s="516"/>
      <c r="H20" s="516"/>
      <c r="I20" s="574"/>
      <c r="J20" s="572"/>
      <c r="K20" s="575">
        <f>IF(X5&lt;4," ",IF(X5&gt;=4,L21-P29))</f>
        <v>871.60000000000014</v>
      </c>
      <c r="L20" s="572"/>
      <c r="M20" s="572"/>
      <c r="N20" s="572"/>
      <c r="O20" s="572"/>
      <c r="P20" s="572"/>
      <c r="Q20" s="572"/>
      <c r="R20" s="538"/>
      <c r="S20" s="516"/>
      <c r="T20" s="547" t="s">
        <v>323</v>
      </c>
      <c r="U20" s="576">
        <f>V5-73+10</f>
        <v>2137</v>
      </c>
      <c r="V20" s="516"/>
      <c r="W20" s="539" t="s">
        <v>324</v>
      </c>
      <c r="X20" s="535"/>
      <c r="Y20" s="516"/>
      <c r="Z20" s="516"/>
      <c r="AA20" s="516"/>
      <c r="AB20" s="516"/>
      <c r="AC20" s="516"/>
      <c r="AD20" s="522"/>
      <c r="AE20" s="530"/>
    </row>
    <row r="21" spans="1:31" ht="25.5" customHeight="1">
      <c r="B21" s="577" t="s">
        <v>50</v>
      </c>
      <c r="C21" s="2106" t="s">
        <v>326</v>
      </c>
      <c r="D21" s="2106"/>
      <c r="E21" s="2106"/>
      <c r="F21" s="2106"/>
      <c r="G21" s="2106"/>
      <c r="H21" s="2107"/>
      <c r="I21" s="574" t="s">
        <v>37</v>
      </c>
      <c r="J21" s="516"/>
      <c r="K21" s="516"/>
      <c r="L21" s="575">
        <f>IF(X5&lt;4,"",IF(X5=4,L14-40,IF(X5&gt;4,M22-P29)))</f>
        <v>1287.4000000000001</v>
      </c>
      <c r="M21" s="572"/>
      <c r="N21" s="572"/>
      <c r="O21" s="572"/>
      <c r="P21" s="572"/>
      <c r="Q21" s="572"/>
      <c r="R21" s="538"/>
      <c r="S21" s="516"/>
      <c r="T21" s="516"/>
      <c r="U21" s="516"/>
      <c r="V21" s="516"/>
      <c r="W21" s="516"/>
      <c r="X21" s="535"/>
      <c r="Y21" s="516"/>
      <c r="Z21" s="516"/>
      <c r="AA21" s="516"/>
      <c r="AB21" s="522"/>
      <c r="AC21" s="522"/>
      <c r="AD21" s="522"/>
      <c r="AE21" s="530"/>
    </row>
    <row r="22" spans="1:31" ht="25.5" customHeight="1">
      <c r="A22" s="578"/>
      <c r="B22" s="531"/>
      <c r="C22" s="516"/>
      <c r="D22" s="516"/>
      <c r="E22" s="516"/>
      <c r="F22" s="516"/>
      <c r="G22" s="516"/>
      <c r="H22" s="516"/>
      <c r="I22" s="574"/>
      <c r="J22" s="572" t="s">
        <v>37</v>
      </c>
      <c r="K22" s="516"/>
      <c r="L22" s="516"/>
      <c r="M22" s="579">
        <f>IF(X5&gt;=5,N24-P29,IF(X5&lt;6," "))</f>
        <v>1703.2</v>
      </c>
      <c r="N22" s="572"/>
      <c r="O22" s="572"/>
      <c r="P22" s="572"/>
      <c r="Q22" s="572"/>
      <c r="R22" s="538"/>
      <c r="S22" s="516"/>
      <c r="T22" s="516"/>
      <c r="U22" s="516"/>
      <c r="V22" s="516"/>
      <c r="W22" s="516"/>
      <c r="X22" s="535"/>
      <c r="Y22" s="516"/>
      <c r="Z22" s="516"/>
      <c r="AA22" s="516"/>
      <c r="AB22" s="580" t="s">
        <v>328</v>
      </c>
      <c r="AC22" s="516"/>
      <c r="AD22" s="516"/>
      <c r="AE22" s="530"/>
    </row>
    <row r="23" spans="1:31" ht="25.5" customHeight="1">
      <c r="A23" s="516"/>
      <c r="B23" s="531"/>
      <c r="C23" s="516"/>
      <c r="D23" s="547" t="s">
        <v>330</v>
      </c>
      <c r="E23" s="581">
        <f>R5-0</f>
        <v>1400</v>
      </c>
      <c r="F23" s="516"/>
      <c r="G23" s="516"/>
      <c r="H23" s="516"/>
      <c r="I23" s="574"/>
      <c r="J23" s="572"/>
      <c r="K23" s="572" t="s">
        <v>37</v>
      </c>
      <c r="L23" s="516"/>
      <c r="M23" s="516"/>
      <c r="N23" s="572"/>
      <c r="O23" s="572"/>
      <c r="P23" s="572"/>
      <c r="Q23" s="572"/>
      <c r="R23" s="538"/>
      <c r="S23" s="555"/>
      <c r="T23" s="533"/>
      <c r="U23" s="533"/>
      <c r="V23" s="533"/>
      <c r="W23" s="534"/>
      <c r="X23" s="535"/>
      <c r="Y23" s="516"/>
      <c r="Z23" s="516"/>
      <c r="AA23" s="516"/>
      <c r="AB23" s="516"/>
      <c r="AC23" s="516"/>
      <c r="AD23" s="516"/>
      <c r="AE23" s="530"/>
    </row>
    <row r="24" spans="1:31" ht="25.5" customHeight="1">
      <c r="B24" s="531"/>
      <c r="C24" s="516"/>
      <c r="D24" s="516"/>
      <c r="E24" s="516"/>
      <c r="F24" s="516"/>
      <c r="G24" s="516"/>
      <c r="H24" s="516"/>
      <c r="I24" s="574"/>
      <c r="J24" s="572"/>
      <c r="K24" s="572"/>
      <c r="L24" s="572" t="s">
        <v>37</v>
      </c>
      <c r="M24" s="516"/>
      <c r="N24" s="579">
        <f>IF(X5=6,L14-40,IF(X5&lt;6," ",IF(X5&gt;6,O25-P29,)))</f>
        <v>2119</v>
      </c>
      <c r="O24" s="572"/>
      <c r="P24" s="572"/>
      <c r="Q24" s="572"/>
      <c r="R24" s="538"/>
      <c r="S24" s="516"/>
      <c r="T24" s="516"/>
      <c r="U24" s="516"/>
      <c r="V24" s="516"/>
      <c r="W24" s="516"/>
      <c r="X24" s="535"/>
      <c r="Y24" s="516"/>
      <c r="Z24" s="516"/>
      <c r="AA24" s="516"/>
      <c r="AB24" s="516"/>
      <c r="AC24" s="516"/>
      <c r="AD24" s="582"/>
      <c r="AE24" s="530"/>
    </row>
    <row r="25" spans="1:31" ht="25.5" customHeight="1">
      <c r="B25" s="531"/>
      <c r="C25" s="516"/>
      <c r="D25" s="553" t="s">
        <v>86</v>
      </c>
      <c r="E25" s="516"/>
      <c r="F25" s="516"/>
      <c r="G25" s="516"/>
      <c r="H25" s="516"/>
      <c r="I25" s="574"/>
      <c r="J25" s="572"/>
      <c r="K25" s="572"/>
      <c r="L25" s="572"/>
      <c r="M25" s="572" t="s">
        <v>37</v>
      </c>
      <c r="N25" s="516"/>
      <c r="O25" s="579" t="str">
        <f>IF(X5=8,O27-P29,"")</f>
        <v/>
      </c>
      <c r="P25" s="572"/>
      <c r="Q25" s="572"/>
      <c r="R25" s="538"/>
      <c r="S25" s="516"/>
      <c r="T25" s="516"/>
      <c r="U25" s="537" t="s">
        <v>333</v>
      </c>
      <c r="V25" s="516"/>
      <c r="W25" s="516"/>
      <c r="X25" s="535"/>
      <c r="Y25" s="516"/>
      <c r="Z25" s="516"/>
      <c r="AA25" s="516"/>
      <c r="AB25" s="516"/>
      <c r="AC25" s="516"/>
      <c r="AD25" s="516"/>
      <c r="AE25" s="530"/>
    </row>
    <row r="26" spans="1:31" ht="25.5" customHeight="1" thickBot="1">
      <c r="B26" s="531"/>
      <c r="C26" s="516"/>
      <c r="D26" s="516"/>
      <c r="E26" s="516"/>
      <c r="F26" s="516"/>
      <c r="G26" s="516"/>
      <c r="H26" s="516"/>
      <c r="I26" s="574"/>
      <c r="J26" s="572"/>
      <c r="K26" s="572"/>
      <c r="L26" s="572"/>
      <c r="M26" s="572"/>
      <c r="N26" s="572" t="s">
        <v>37</v>
      </c>
      <c r="O26" s="516"/>
      <c r="P26" s="579"/>
      <c r="Q26" s="572"/>
      <c r="R26" s="538"/>
      <c r="S26" s="547"/>
      <c r="T26" s="547"/>
      <c r="U26" s="547"/>
      <c r="V26" s="516"/>
      <c r="W26" s="516"/>
      <c r="X26" s="535"/>
      <c r="Y26" s="516"/>
      <c r="Z26" s="516"/>
      <c r="AA26" s="516"/>
      <c r="AB26" s="516"/>
      <c r="AC26" s="516"/>
      <c r="AD26" s="516"/>
      <c r="AE26" s="530"/>
    </row>
    <row r="27" spans="1:31" ht="25.5" customHeight="1" thickBot="1">
      <c r="B27" s="531"/>
      <c r="C27" s="583"/>
      <c r="D27" s="584"/>
      <c r="E27" s="585"/>
      <c r="F27" s="516"/>
      <c r="G27" s="516"/>
      <c r="H27" s="516"/>
      <c r="I27" s="574"/>
      <c r="J27" s="572"/>
      <c r="K27" s="572"/>
      <c r="L27" s="572"/>
      <c r="M27" s="572"/>
      <c r="N27" s="572"/>
      <c r="O27" s="2108" t="str">
        <f>IF(X5=8,L14-40,IF(X5&lt;8," "))</f>
        <v xml:space="preserve"> </v>
      </c>
      <c r="P27" s="2108"/>
      <c r="Q27" s="516"/>
      <c r="R27" s="586" t="str">
        <f>IF(X5=5,"PZ","")</f>
        <v/>
      </c>
      <c r="S27" s="516"/>
      <c r="T27" s="537"/>
      <c r="U27" s="516"/>
      <c r="V27" s="516"/>
      <c r="W27" s="522" t="s">
        <v>37</v>
      </c>
      <c r="X27" s="535"/>
      <c r="Y27" s="587"/>
      <c r="Z27" s="588"/>
      <c r="AA27" s="589"/>
      <c r="AB27" s="589"/>
      <c r="AC27" s="589"/>
      <c r="AD27" s="589"/>
      <c r="AE27" s="590"/>
    </row>
    <row r="28" spans="1:31" ht="25.5" customHeight="1">
      <c r="B28" s="531"/>
      <c r="C28" s="516"/>
      <c r="D28" s="516"/>
      <c r="E28" s="516"/>
      <c r="F28" s="516"/>
      <c r="G28" s="516"/>
      <c r="H28" s="516"/>
      <c r="I28" s="538"/>
      <c r="J28" s="516"/>
      <c r="K28" s="516"/>
      <c r="L28" s="516"/>
      <c r="M28" s="516"/>
      <c r="N28" s="516"/>
      <c r="O28" s="516"/>
      <c r="P28" s="516"/>
      <c r="Q28" s="516"/>
      <c r="R28" s="538"/>
      <c r="S28" s="516"/>
      <c r="T28" s="516"/>
      <c r="U28" s="516"/>
      <c r="V28" s="553" t="s">
        <v>334</v>
      </c>
      <c r="W28" s="591">
        <f>IF(X5=0,2,IF(AND(X5&gt;0,X5&lt;4),3,IF(X5&gt;3,4,"")))</f>
        <v>4</v>
      </c>
      <c r="X28" s="592" t="s">
        <v>37</v>
      </c>
      <c r="Y28" s="2083" t="s">
        <v>335</v>
      </c>
      <c r="Z28" s="2084"/>
      <c r="AA28" s="516"/>
      <c r="AB28" s="516"/>
      <c r="AC28" s="516"/>
      <c r="AD28" s="516"/>
      <c r="AE28" s="530"/>
    </row>
    <row r="29" spans="1:31" ht="25.5" customHeight="1">
      <c r="B29" s="531"/>
      <c r="C29" s="537" t="s">
        <v>336</v>
      </c>
      <c r="D29" s="516"/>
      <c r="E29" s="516"/>
      <c r="F29" s="516"/>
      <c r="G29" s="559" t="s">
        <v>337</v>
      </c>
      <c r="H29" s="516"/>
      <c r="I29" s="538"/>
      <c r="J29" s="516" t="s">
        <v>338</v>
      </c>
      <c r="K29" s="516"/>
      <c r="L29" s="516"/>
      <c r="M29" s="516"/>
      <c r="N29" s="516"/>
      <c r="O29" s="593" t="s">
        <v>339</v>
      </c>
      <c r="P29" s="594">
        <f>(+L14-80)/(X5-1)</f>
        <v>415.8</v>
      </c>
      <c r="Q29" s="516"/>
      <c r="R29" s="538"/>
      <c r="S29" s="516"/>
      <c r="T29" s="516"/>
      <c r="U29" s="516"/>
      <c r="V29" s="516"/>
      <c r="W29" s="547"/>
      <c r="X29" s="595"/>
      <c r="Y29" s="2083" t="s">
        <v>90</v>
      </c>
      <c r="Z29" s="2084"/>
      <c r="AA29" s="596" t="s">
        <v>340</v>
      </c>
      <c r="AB29" s="522"/>
      <c r="AC29" s="539" t="s">
        <v>341</v>
      </c>
      <c r="AD29" s="597">
        <f>IF(V5&gt;(R5+31),V5+219,R5+251)</f>
        <v>2419</v>
      </c>
      <c r="AE29" s="530"/>
    </row>
    <row r="30" spans="1:31" ht="25.5" customHeight="1">
      <c r="B30" s="531"/>
      <c r="C30" s="516"/>
      <c r="D30" s="516"/>
      <c r="E30" s="516"/>
      <c r="F30" s="516"/>
      <c r="G30" s="516"/>
      <c r="H30" s="516"/>
      <c r="I30" s="598" t="s">
        <v>342</v>
      </c>
      <c r="J30" s="516"/>
      <c r="K30" s="516"/>
      <c r="L30" s="516"/>
      <c r="M30" s="516"/>
      <c r="N30" s="516"/>
      <c r="O30" s="516"/>
      <c r="P30" s="516"/>
      <c r="Q30" s="516"/>
      <c r="R30" s="538"/>
      <c r="S30" s="516"/>
      <c r="T30" s="516"/>
      <c r="U30" s="537" t="s">
        <v>252</v>
      </c>
      <c r="V30" s="516"/>
      <c r="W30" s="516"/>
      <c r="X30" s="535"/>
      <c r="Y30" s="599"/>
      <c r="Z30" s="600"/>
      <c r="AA30" s="516"/>
      <c r="AB30" s="516"/>
      <c r="AC30" s="516"/>
      <c r="AD30" s="516"/>
      <c r="AE30" s="530"/>
    </row>
    <row r="31" spans="1:31" ht="25.5" customHeight="1">
      <c r="B31" s="531"/>
      <c r="C31" s="587"/>
      <c r="D31" s="516"/>
      <c r="E31" s="601"/>
      <c r="F31" s="516"/>
      <c r="G31" s="516"/>
      <c r="H31" s="516"/>
      <c r="I31" s="2097" t="str">
        <f>+IF(DATI!$C$12=1,"","RETE GRIGIA")</f>
        <v>RETE GRIGIA</v>
      </c>
      <c r="J31" s="2098"/>
      <c r="K31" s="2098"/>
      <c r="L31" s="2098"/>
      <c r="M31" s="2098"/>
      <c r="N31" s="2098"/>
      <c r="O31" s="2098"/>
      <c r="P31" s="2098"/>
      <c r="Q31" s="2099"/>
      <c r="R31" s="538"/>
      <c r="S31" s="516"/>
      <c r="T31" s="516"/>
      <c r="U31" s="553" t="s">
        <v>343</v>
      </c>
      <c r="V31" s="548">
        <f>(L14-80)/(X5-1)</f>
        <v>415.8</v>
      </c>
      <c r="W31" s="516"/>
      <c r="X31" s="535"/>
      <c r="Y31" s="603"/>
      <c r="Z31" s="604"/>
      <c r="AA31" s="604"/>
      <c r="AB31" s="604"/>
      <c r="AC31" s="604"/>
      <c r="AD31" s="604"/>
      <c r="AE31" s="605"/>
    </row>
    <row r="32" spans="1:31" ht="25.5" customHeight="1">
      <c r="B32" s="531"/>
      <c r="C32" s="538"/>
      <c r="D32" s="516"/>
      <c r="E32" s="606"/>
      <c r="F32" s="516"/>
      <c r="G32" s="516"/>
      <c r="H32" s="516"/>
      <c r="I32" s="670" t="s">
        <v>63</v>
      </c>
      <c r="J32" s="2085" t="s">
        <v>241</v>
      </c>
      <c r="K32" s="2085"/>
      <c r="L32" s="2085"/>
      <c r="M32" s="2085"/>
      <c r="N32" s="2085"/>
      <c r="O32" s="2085"/>
      <c r="P32" s="2085"/>
      <c r="Q32" s="2085"/>
      <c r="R32" s="560"/>
      <c r="S32" s="561"/>
      <c r="T32" s="561"/>
      <c r="U32" s="561"/>
      <c r="V32" s="561"/>
      <c r="W32" s="561"/>
      <c r="X32" s="562"/>
      <c r="Y32" s="607"/>
      <c r="Z32" s="608"/>
      <c r="AA32" s="608"/>
      <c r="AB32" s="608"/>
      <c r="AC32" s="608"/>
      <c r="AD32" s="608"/>
      <c r="AE32" s="609"/>
    </row>
    <row r="33" spans="2:31" ht="25.5" customHeight="1">
      <c r="B33" s="531"/>
      <c r="C33" s="538"/>
      <c r="D33" s="516"/>
      <c r="E33" s="606"/>
      <c r="F33" s="516"/>
      <c r="G33" s="516"/>
      <c r="H33" s="516"/>
      <c r="I33" s="587"/>
      <c r="J33" s="589"/>
      <c r="K33" s="589"/>
      <c r="L33" s="610"/>
      <c r="M33" s="589"/>
      <c r="N33" s="589"/>
      <c r="O33" s="589"/>
      <c r="P33" s="589"/>
      <c r="Q33" s="588"/>
      <c r="R33" s="538"/>
      <c r="S33" s="516"/>
      <c r="T33" s="516"/>
      <c r="U33" s="516"/>
      <c r="V33" s="516"/>
      <c r="W33" s="516"/>
      <c r="X33" s="535"/>
      <c r="Y33" s="607"/>
      <c r="Z33" s="608"/>
      <c r="AA33" s="608"/>
      <c r="AB33" s="608"/>
      <c r="AC33" s="608"/>
      <c r="AD33" s="608"/>
      <c r="AE33" s="609"/>
    </row>
    <row r="34" spans="2:31" ht="25.5" customHeight="1">
      <c r="B34" s="531"/>
      <c r="C34" s="538"/>
      <c r="D34" s="516"/>
      <c r="E34" s="606"/>
      <c r="F34" s="516"/>
      <c r="G34" s="516"/>
      <c r="H34" s="516"/>
      <c r="I34" s="538"/>
      <c r="J34" s="516"/>
      <c r="K34" s="516"/>
      <c r="L34" s="516" t="s">
        <v>81</v>
      </c>
      <c r="M34" s="516" t="s">
        <v>197</v>
      </c>
      <c r="N34" s="516"/>
      <c r="O34" s="516"/>
      <c r="P34" s="516"/>
      <c r="Q34" s="516"/>
      <c r="R34" s="538"/>
      <c r="S34" s="516"/>
      <c r="T34" s="516"/>
      <c r="U34" s="516"/>
      <c r="V34" s="516"/>
      <c r="W34" s="516"/>
      <c r="X34" s="535"/>
      <c r="Y34" s="607"/>
      <c r="Z34" s="608"/>
      <c r="AA34" s="608"/>
      <c r="AB34" s="608"/>
      <c r="AC34" s="608"/>
      <c r="AD34" s="608"/>
      <c r="AE34" s="609"/>
    </row>
    <row r="35" spans="2:31" ht="25.5" customHeight="1">
      <c r="B35" s="531"/>
      <c r="C35" s="538"/>
      <c r="D35" s="611"/>
      <c r="E35" s="606"/>
      <c r="F35" s="516"/>
      <c r="G35" s="516"/>
      <c r="H35" s="516"/>
      <c r="I35" s="538"/>
      <c r="J35" s="516"/>
      <c r="K35" s="516"/>
      <c r="L35" s="516"/>
      <c r="M35" s="516"/>
      <c r="N35" s="554">
        <f>IF(X5&gt;=" "," ",ROUNDUP(R5+(L14-40)+170,-2))</f>
        <v>3700</v>
      </c>
      <c r="O35" s="516"/>
      <c r="P35" s="612" t="s">
        <v>344</v>
      </c>
      <c r="Q35" s="516"/>
      <c r="R35" s="538"/>
      <c r="S35" s="2086" t="s">
        <v>345</v>
      </c>
      <c r="T35" s="2087"/>
      <c r="U35" s="2087"/>
      <c r="V35" s="2087"/>
      <c r="W35" s="2088"/>
      <c r="X35" s="535"/>
      <c r="Y35" s="607"/>
      <c r="Z35" s="608"/>
      <c r="AA35" s="608"/>
      <c r="AB35" s="608"/>
      <c r="AC35" s="608"/>
      <c r="AD35" s="608"/>
      <c r="AE35" s="609"/>
    </row>
    <row r="36" spans="2:31" ht="25.5" customHeight="1">
      <c r="B36" s="531"/>
      <c r="C36" s="538"/>
      <c r="D36" s="516"/>
      <c r="E36" s="606"/>
      <c r="F36" s="559" t="s">
        <v>346</v>
      </c>
      <c r="G36" s="516"/>
      <c r="H36" s="516"/>
      <c r="I36" s="538"/>
      <c r="J36" s="516"/>
      <c r="K36" s="516"/>
      <c r="L36" s="516"/>
      <c r="M36" s="613"/>
      <c r="N36" s="516"/>
      <c r="O36" s="516"/>
      <c r="P36" s="516"/>
      <c r="Q36" s="516"/>
      <c r="R36" s="538"/>
      <c r="S36" s="516"/>
      <c r="T36" s="516"/>
      <c r="U36" s="516"/>
      <c r="V36" s="516"/>
      <c r="W36" s="516"/>
      <c r="X36" s="535"/>
      <c r="Y36" s="607"/>
      <c r="Z36" s="608"/>
      <c r="AA36" s="608"/>
      <c r="AB36" s="608"/>
      <c r="AC36" s="608"/>
      <c r="AD36" s="608"/>
      <c r="AE36" s="609"/>
    </row>
    <row r="37" spans="2:31" ht="25.5" customHeight="1">
      <c r="B37" s="531"/>
      <c r="C37" s="538"/>
      <c r="D37" s="516"/>
      <c r="E37" s="606"/>
      <c r="F37" s="516"/>
      <c r="G37" s="516"/>
      <c r="H37" s="516"/>
      <c r="I37" s="538"/>
      <c r="J37" s="516"/>
      <c r="K37" s="516"/>
      <c r="L37" s="516" t="s">
        <v>347</v>
      </c>
      <c r="M37" s="539" t="s">
        <v>37</v>
      </c>
      <c r="N37" s="614"/>
      <c r="O37" s="614"/>
      <c r="P37" s="615"/>
      <c r="Q37" s="516"/>
      <c r="R37" s="538"/>
      <c r="S37" s="516"/>
      <c r="T37" s="547" t="s">
        <v>348</v>
      </c>
      <c r="U37" s="616">
        <f>R5-70+10</f>
        <v>1340</v>
      </c>
      <c r="V37" s="537"/>
      <c r="W37" s="539" t="s">
        <v>238</v>
      </c>
      <c r="X37" s="535"/>
      <c r="Y37" s="607"/>
      <c r="Z37" s="608"/>
      <c r="AA37" s="608"/>
      <c r="AB37" s="608"/>
      <c r="AC37" s="608"/>
      <c r="AD37" s="608"/>
      <c r="AE37" s="609"/>
    </row>
    <row r="38" spans="2:31" ht="25.5" customHeight="1">
      <c r="B38" s="531"/>
      <c r="C38" s="538"/>
      <c r="D38" s="516"/>
      <c r="E38" s="606"/>
      <c r="F38" s="516"/>
      <c r="G38" s="516"/>
      <c r="H38" s="516"/>
      <c r="I38" s="538"/>
      <c r="J38" s="516"/>
      <c r="K38" s="516"/>
      <c r="L38" s="516"/>
      <c r="M38" s="570"/>
      <c r="N38" s="554">
        <f>IF(X5&lt;4," ",ROUNDUP(R5+(P29+40)+230,-2))</f>
        <v>2100</v>
      </c>
      <c r="O38" s="614" t="s">
        <v>37</v>
      </c>
      <c r="P38" s="570" t="str">
        <f>IF(X5&gt;2,"2 PZ","""")</f>
        <v>2 PZ</v>
      </c>
      <c r="Q38" s="516"/>
      <c r="R38" s="538"/>
      <c r="S38" s="516"/>
      <c r="T38" s="516"/>
      <c r="U38" s="516"/>
      <c r="V38" s="516"/>
      <c r="W38" s="516"/>
      <c r="X38" s="535"/>
      <c r="Y38" s="607"/>
      <c r="Z38" s="608"/>
      <c r="AA38" s="608"/>
      <c r="AB38" s="608"/>
      <c r="AC38" s="608"/>
      <c r="AD38" s="608"/>
      <c r="AE38" s="609"/>
    </row>
    <row r="39" spans="2:31" ht="25.5" customHeight="1">
      <c r="B39" s="531"/>
      <c r="C39" s="538"/>
      <c r="D39" s="516"/>
      <c r="E39" s="606"/>
      <c r="F39" s="516"/>
      <c r="G39" s="516"/>
      <c r="H39" s="516"/>
      <c r="I39" s="538"/>
      <c r="J39" s="516"/>
      <c r="K39" s="516"/>
      <c r="L39" s="516" t="s">
        <v>347</v>
      </c>
      <c r="M39" s="570" t="s">
        <v>37</v>
      </c>
      <c r="N39" s="617"/>
      <c r="O39" s="618"/>
      <c r="P39" s="516"/>
      <c r="Q39" s="516"/>
      <c r="R39" s="538"/>
      <c r="S39" s="516"/>
      <c r="T39" s="516"/>
      <c r="U39" s="516"/>
      <c r="V39" s="516"/>
      <c r="W39" s="516"/>
      <c r="X39" s="535"/>
      <c r="Y39" s="607"/>
      <c r="Z39" s="608"/>
      <c r="AA39" s="608"/>
      <c r="AB39" s="608"/>
      <c r="AC39" s="608"/>
      <c r="AD39" s="608"/>
      <c r="AE39" s="609"/>
    </row>
    <row r="40" spans="2:31" ht="25.5" customHeight="1">
      <c r="B40" s="531"/>
      <c r="C40" s="538"/>
      <c r="D40" s="516"/>
      <c r="E40" s="606"/>
      <c r="F40" s="516"/>
      <c r="G40" s="516"/>
      <c r="H40" s="516"/>
      <c r="I40" s="538"/>
      <c r="J40" s="516"/>
      <c r="K40" s="516"/>
      <c r="L40" s="516"/>
      <c r="M40" s="539"/>
      <c r="N40" s="554">
        <f>IF(X5&lt;6,"NO ",ROUNDUP(R5+(P29*2+40)+230,-2))</f>
        <v>2600</v>
      </c>
      <c r="O40" s="619"/>
      <c r="P40" s="570" t="str">
        <f>IF(X5&gt;4,"2 PZ","""")</f>
        <v>2 PZ</v>
      </c>
      <c r="Q40" s="516"/>
      <c r="R40" s="538"/>
      <c r="S40" s="555"/>
      <c r="T40" s="533"/>
      <c r="U40" s="533"/>
      <c r="V40" s="533"/>
      <c r="W40" s="534"/>
      <c r="X40" s="535"/>
      <c r="Y40" s="607"/>
      <c r="Z40" s="608"/>
      <c r="AA40" s="608"/>
      <c r="AB40" s="608"/>
      <c r="AC40" s="608"/>
      <c r="AD40" s="608"/>
      <c r="AE40" s="609"/>
    </row>
    <row r="41" spans="2:31" ht="25.5" customHeight="1">
      <c r="B41" s="531"/>
      <c r="C41" s="538"/>
      <c r="D41" s="516"/>
      <c r="E41" s="606"/>
      <c r="F41" s="516"/>
      <c r="G41" s="516"/>
      <c r="H41" s="516"/>
      <c r="I41" s="538"/>
      <c r="J41" s="516"/>
      <c r="K41" s="516"/>
      <c r="L41" s="516"/>
      <c r="M41" s="539"/>
      <c r="N41" s="618"/>
      <c r="O41" s="618"/>
      <c r="P41" s="516"/>
      <c r="Q41" s="516"/>
      <c r="R41" s="538"/>
      <c r="S41" s="516"/>
      <c r="T41" s="516"/>
      <c r="U41" s="522" t="s">
        <v>37</v>
      </c>
      <c r="V41" s="516"/>
      <c r="W41" s="516"/>
      <c r="X41" s="535"/>
      <c r="Y41" s="607"/>
      <c r="Z41" s="608"/>
      <c r="AA41" s="608"/>
      <c r="AB41" s="608"/>
      <c r="AC41" s="608"/>
      <c r="AD41" s="608"/>
      <c r="AE41" s="609"/>
    </row>
    <row r="42" spans="2:31" ht="25.5" customHeight="1">
      <c r="B42" s="531"/>
      <c r="C42" s="599"/>
      <c r="D42" s="516"/>
      <c r="E42" s="620"/>
      <c r="F42" s="516"/>
      <c r="G42" s="516"/>
      <c r="H42" s="516"/>
      <c r="I42" s="538"/>
      <c r="J42" s="516"/>
      <c r="K42" s="516"/>
      <c r="L42" s="516" t="s">
        <v>349</v>
      </c>
      <c r="M42" s="621" t="s">
        <v>185</v>
      </c>
      <c r="N42" s="554" t="str">
        <f>IF(X5&lt;8,"",ROUNDUP(R5+(P29*3+40)+230,-2))</f>
        <v/>
      </c>
      <c r="O42" s="614"/>
      <c r="P42" s="570" t="str">
        <f>IF(X5&gt;6,"2 PZ","""")</f>
        <v>"</v>
      </c>
      <c r="Q42" s="516"/>
      <c r="R42" s="538"/>
      <c r="S42" s="516"/>
      <c r="T42" s="516"/>
      <c r="U42" s="516"/>
      <c r="V42" s="516"/>
      <c r="W42" s="516"/>
      <c r="X42" s="535"/>
      <c r="Y42" s="607"/>
      <c r="Z42" s="608"/>
      <c r="AA42" s="608"/>
      <c r="AB42" s="608"/>
      <c r="AC42" s="608"/>
      <c r="AD42" s="608"/>
      <c r="AE42" s="609"/>
    </row>
    <row r="43" spans="2:31" ht="25.5" customHeight="1">
      <c r="B43" s="531"/>
      <c r="C43" s="516"/>
      <c r="D43" s="516"/>
      <c r="E43" s="516"/>
      <c r="F43" s="516"/>
      <c r="G43" s="516"/>
      <c r="H43" s="535"/>
      <c r="I43" s="538"/>
      <c r="J43" s="516"/>
      <c r="K43" s="516"/>
      <c r="L43" s="516" t="s">
        <v>37</v>
      </c>
      <c r="M43" s="516" t="s">
        <v>37</v>
      </c>
      <c r="N43" s="575"/>
      <c r="O43" s="619"/>
      <c r="P43" s="619"/>
      <c r="Q43" s="622"/>
      <c r="R43" s="538"/>
      <c r="S43" s="621"/>
      <c r="T43" s="516"/>
      <c r="U43" s="516"/>
      <c r="V43" s="623" t="s">
        <v>350</v>
      </c>
      <c r="W43" s="516"/>
      <c r="X43" s="535"/>
      <c r="Y43" s="607"/>
      <c r="Z43" s="608"/>
      <c r="AA43" s="608"/>
      <c r="AB43" s="608"/>
      <c r="AC43" s="608"/>
      <c r="AD43" s="608"/>
      <c r="AE43" s="609"/>
    </row>
    <row r="44" spans="2:31" ht="25.5" customHeight="1">
      <c r="B44" s="531"/>
      <c r="C44" s="516"/>
      <c r="D44" s="516"/>
      <c r="E44" s="516"/>
      <c r="F44" s="537"/>
      <c r="G44" s="516"/>
      <c r="H44" s="535"/>
      <c r="I44" s="516"/>
      <c r="J44" s="516"/>
      <c r="K44" s="516"/>
      <c r="L44" s="516"/>
      <c r="M44" s="516"/>
      <c r="N44" s="539"/>
      <c r="O44" s="516"/>
      <c r="P44" s="516"/>
      <c r="Q44" s="516"/>
      <c r="R44" s="538"/>
      <c r="S44" s="516"/>
      <c r="T44" s="516"/>
      <c r="U44" s="516"/>
      <c r="V44" s="624" t="s">
        <v>37</v>
      </c>
      <c r="W44" s="516"/>
      <c r="X44" s="535"/>
      <c r="Y44" s="607"/>
      <c r="Z44" s="608"/>
      <c r="AA44" s="608"/>
      <c r="AB44" s="608"/>
      <c r="AC44" s="608"/>
      <c r="AD44" s="608"/>
      <c r="AE44" s="609"/>
    </row>
    <row r="45" spans="2:31" ht="25.5" customHeight="1">
      <c r="B45" s="531"/>
      <c r="C45" s="625" t="s">
        <v>37</v>
      </c>
      <c r="D45" s="516" t="s">
        <v>37</v>
      </c>
      <c r="E45" s="516"/>
      <c r="F45" s="516"/>
      <c r="G45" s="516"/>
      <c r="H45" s="535"/>
      <c r="I45" s="516"/>
      <c r="J45" s="516"/>
      <c r="K45" s="516"/>
      <c r="L45" s="516"/>
      <c r="M45" s="516"/>
      <c r="N45" s="516"/>
      <c r="O45" s="617"/>
      <c r="P45" s="617"/>
      <c r="Q45" s="614"/>
      <c r="R45" s="538"/>
      <c r="S45" s="516"/>
      <c r="T45" s="516"/>
      <c r="U45" s="516"/>
      <c r="V45" s="547"/>
      <c r="W45" s="626"/>
      <c r="X45" s="535"/>
      <c r="Y45" s="607"/>
      <c r="Z45" s="608"/>
      <c r="AA45" s="608"/>
      <c r="AB45" s="608"/>
      <c r="AC45" s="608"/>
      <c r="AD45" s="608"/>
      <c r="AE45" s="609"/>
    </row>
    <row r="46" spans="2:31" ht="25.5" customHeight="1">
      <c r="B46" s="531"/>
      <c r="C46" s="516"/>
      <c r="D46" s="516"/>
      <c r="E46" s="516"/>
      <c r="F46" s="516"/>
      <c r="G46" s="516"/>
      <c r="H46" s="535"/>
      <c r="I46" s="516"/>
      <c r="J46" s="516"/>
      <c r="K46" s="516"/>
      <c r="L46" s="516" t="s">
        <v>349</v>
      </c>
      <c r="M46" s="516" t="s">
        <v>197</v>
      </c>
      <c r="N46" s="539"/>
      <c r="O46" s="516"/>
      <c r="P46" s="516"/>
      <c r="Q46" s="516"/>
      <c r="R46" s="538"/>
      <c r="S46" s="516"/>
      <c r="T46" s="547" t="s">
        <v>351</v>
      </c>
      <c r="U46" s="616">
        <f>U37</f>
        <v>1340</v>
      </c>
      <c r="V46" s="537"/>
      <c r="W46" s="539" t="s">
        <v>238</v>
      </c>
      <c r="X46" s="535"/>
      <c r="Y46" s="607"/>
      <c r="Z46" s="608"/>
      <c r="AA46" s="608"/>
      <c r="AB46" s="608"/>
      <c r="AC46" s="608"/>
      <c r="AD46" s="608"/>
      <c r="AE46" s="609"/>
    </row>
    <row r="47" spans="2:31" ht="25.5" customHeight="1">
      <c r="B47" s="531"/>
      <c r="C47" s="516"/>
      <c r="D47" s="516"/>
      <c r="E47" s="516"/>
      <c r="F47" s="522"/>
      <c r="G47" s="553" t="s">
        <v>352</v>
      </c>
      <c r="H47" s="535"/>
      <c r="I47" s="516"/>
      <c r="J47" s="516"/>
      <c r="K47" s="516"/>
      <c r="L47" s="516"/>
      <c r="M47" s="516"/>
      <c r="N47" s="570"/>
      <c r="O47" s="516"/>
      <c r="P47" s="516"/>
      <c r="Q47" s="516"/>
      <c r="R47" s="538"/>
      <c r="S47" s="516"/>
      <c r="T47" s="516"/>
      <c r="U47" s="516"/>
      <c r="V47" s="516"/>
      <c r="W47" s="516"/>
      <c r="X47" s="535"/>
      <c r="Y47" s="607"/>
      <c r="Z47" s="608"/>
      <c r="AA47" s="608"/>
      <c r="AB47" s="608"/>
      <c r="AC47" s="608"/>
      <c r="AD47" s="608"/>
      <c r="AE47" s="609"/>
    </row>
    <row r="48" spans="2:31" ht="25.5" customHeight="1">
      <c r="B48" s="531"/>
      <c r="C48" s="516"/>
      <c r="D48" s="516"/>
      <c r="E48" s="516"/>
      <c r="F48" s="516"/>
      <c r="G48" s="516"/>
      <c r="H48" s="535"/>
      <c r="I48" s="516"/>
      <c r="J48" s="516"/>
      <c r="K48" s="516"/>
      <c r="L48" s="516" t="s">
        <v>197</v>
      </c>
      <c r="M48" s="516"/>
      <c r="N48" s="516"/>
      <c r="O48" s="516"/>
      <c r="P48" s="516"/>
      <c r="Q48" s="516"/>
      <c r="R48" s="538"/>
      <c r="S48" s="516"/>
      <c r="T48" s="516"/>
      <c r="U48" s="516"/>
      <c r="V48" s="516"/>
      <c r="W48" s="516"/>
      <c r="X48" s="535"/>
      <c r="Y48" s="607"/>
      <c r="Z48" s="608"/>
      <c r="AA48" s="608"/>
      <c r="AB48" s="608"/>
      <c r="AC48" s="608"/>
      <c r="AD48" s="608"/>
      <c r="AE48" s="609"/>
    </row>
    <row r="49" spans="2:31" ht="25.5" customHeight="1">
      <c r="B49" s="627"/>
      <c r="C49" s="628" t="s">
        <v>353</v>
      </c>
      <c r="D49" s="534"/>
      <c r="E49" s="533"/>
      <c r="F49" s="629" t="s">
        <v>9</v>
      </c>
      <c r="G49" s="533" t="s">
        <v>37</v>
      </c>
      <c r="H49" s="534"/>
      <c r="I49" s="516"/>
      <c r="J49" s="516"/>
      <c r="K49" s="516"/>
      <c r="L49" s="516"/>
      <c r="M49" s="516"/>
      <c r="N49" s="570"/>
      <c r="O49" s="617"/>
      <c r="P49" s="617"/>
      <c r="Q49" s="516"/>
      <c r="R49" s="538"/>
      <c r="S49" s="555"/>
      <c r="T49" s="533"/>
      <c r="U49" s="533"/>
      <c r="V49" s="533"/>
      <c r="W49" s="534"/>
      <c r="X49" s="535"/>
      <c r="Y49" s="607"/>
      <c r="Z49" s="608"/>
      <c r="AA49" s="608"/>
      <c r="AB49" s="608"/>
      <c r="AC49" s="608"/>
      <c r="AD49" s="608"/>
      <c r="AE49" s="609"/>
    </row>
    <row r="50" spans="2:31" ht="25.5" customHeight="1">
      <c r="B50" s="630" t="s">
        <v>112</v>
      </c>
      <c r="C50" s="2089" t="s">
        <v>354</v>
      </c>
      <c r="D50" s="2090"/>
      <c r="E50" s="2091" t="str">
        <f>+DATI!M15</f>
        <v>RETE NERA</v>
      </c>
      <c r="F50" s="2092"/>
      <c r="G50" s="2092"/>
      <c r="H50" s="2093"/>
      <c r="I50" s="516"/>
      <c r="J50" s="516"/>
      <c r="K50" s="516"/>
      <c r="L50" s="516" t="s">
        <v>197</v>
      </c>
      <c r="M50" s="516"/>
      <c r="N50" s="570"/>
      <c r="O50" s="516"/>
      <c r="P50" s="516"/>
      <c r="Q50" s="516"/>
      <c r="R50" s="538"/>
      <c r="S50" s="516"/>
      <c r="T50" s="516"/>
      <c r="U50" s="522" t="s">
        <v>37</v>
      </c>
      <c r="V50" s="516"/>
      <c r="W50" s="516"/>
      <c r="X50" s="535"/>
      <c r="Y50" s="607"/>
      <c r="Z50" s="608"/>
      <c r="AA50" s="608"/>
      <c r="AB50" s="608"/>
      <c r="AC50" s="608"/>
      <c r="AD50" s="608"/>
      <c r="AE50" s="609"/>
    </row>
    <row r="51" spans="2:31" ht="25.5" customHeight="1">
      <c r="B51" s="631"/>
      <c r="C51" s="527"/>
      <c r="D51" s="528"/>
      <c r="E51" s="2091"/>
      <c r="F51" s="2092"/>
      <c r="G51" s="2092"/>
      <c r="H51" s="2093"/>
      <c r="I51" s="516"/>
      <c r="J51" s="516"/>
      <c r="K51" s="516"/>
      <c r="L51" s="516"/>
      <c r="M51" s="516" t="s">
        <v>37</v>
      </c>
      <c r="N51" s="539"/>
      <c r="O51" s="516"/>
      <c r="P51" s="516"/>
      <c r="Q51" s="516"/>
      <c r="R51" s="538"/>
      <c r="S51" s="516"/>
      <c r="T51" s="516"/>
      <c r="U51" s="516"/>
      <c r="V51" s="516"/>
      <c r="W51" s="516"/>
      <c r="X51" s="535"/>
      <c r="Y51" s="607"/>
      <c r="Z51" s="608"/>
      <c r="AA51" s="608"/>
      <c r="AB51" s="608"/>
      <c r="AC51" s="608"/>
      <c r="AD51" s="608"/>
      <c r="AE51" s="609"/>
    </row>
    <row r="52" spans="2:31" ht="25.5" customHeight="1">
      <c r="B52" s="632"/>
      <c r="C52" s="516"/>
      <c r="D52" s="535"/>
      <c r="E52" s="2091"/>
      <c r="F52" s="2092"/>
      <c r="G52" s="2092"/>
      <c r="H52" s="2093"/>
      <c r="I52" s="516"/>
      <c r="J52" s="516"/>
      <c r="K52" s="516"/>
      <c r="L52" s="516"/>
      <c r="M52" s="516"/>
      <c r="N52" s="570"/>
      <c r="O52" s="617"/>
      <c r="P52" s="617"/>
      <c r="Q52" s="516"/>
      <c r="R52" s="538"/>
      <c r="S52" s="516"/>
      <c r="T52" s="516"/>
      <c r="U52" s="516"/>
      <c r="V52" s="516"/>
      <c r="W52" s="516"/>
      <c r="X52" s="535"/>
      <c r="Y52" s="607"/>
      <c r="Z52" s="608"/>
      <c r="AA52" s="608"/>
      <c r="AB52" s="608"/>
      <c r="AC52" s="608"/>
      <c r="AD52" s="608"/>
      <c r="AE52" s="609"/>
    </row>
    <row r="53" spans="2:31" ht="25.5" customHeight="1">
      <c r="B53" s="632"/>
      <c r="C53" s="516"/>
      <c r="D53" s="535"/>
      <c r="E53" s="633" t="s">
        <v>355</v>
      </c>
      <c r="F53" s="533"/>
      <c r="G53" s="533" t="s">
        <v>260</v>
      </c>
      <c r="H53" s="534"/>
      <c r="I53" s="516"/>
      <c r="J53" s="516"/>
      <c r="K53" s="516"/>
      <c r="L53" s="516" t="s">
        <v>185</v>
      </c>
      <c r="M53" s="516"/>
      <c r="N53" s="516"/>
      <c r="O53" s="516"/>
      <c r="P53" s="516"/>
      <c r="Q53" s="516"/>
      <c r="R53" s="538"/>
      <c r="S53" s="516"/>
      <c r="T53" s="516"/>
      <c r="U53" s="516"/>
      <c r="V53" s="516"/>
      <c r="W53" s="516"/>
      <c r="X53" s="535"/>
      <c r="Y53" s="607"/>
      <c r="Z53" s="608"/>
      <c r="AA53" s="608"/>
      <c r="AB53" s="608"/>
      <c r="AC53" s="608"/>
      <c r="AD53" s="608"/>
      <c r="AE53" s="609"/>
    </row>
    <row r="54" spans="2:31" ht="25.5" customHeight="1">
      <c r="B54" s="632"/>
      <c r="C54" s="516"/>
      <c r="D54" s="535"/>
      <c r="E54" s="516"/>
      <c r="F54" s="516"/>
      <c r="G54" s="516"/>
      <c r="H54" s="535"/>
      <c r="I54" s="516"/>
      <c r="J54" s="516"/>
      <c r="K54" s="516"/>
      <c r="L54" s="516"/>
      <c r="M54" s="516"/>
      <c r="N54" s="516"/>
      <c r="O54" s="516"/>
      <c r="P54" s="516"/>
      <c r="Q54" s="516"/>
      <c r="R54" s="538"/>
      <c r="S54" s="516"/>
      <c r="T54" s="516"/>
      <c r="U54" s="516"/>
      <c r="V54" s="516"/>
      <c r="W54" s="516"/>
      <c r="X54" s="535"/>
      <c r="Y54" s="607"/>
      <c r="Z54" s="608"/>
      <c r="AA54" s="608"/>
      <c r="AB54" s="608"/>
      <c r="AC54" s="608"/>
      <c r="AD54" s="608"/>
      <c r="AE54" s="609"/>
    </row>
    <row r="55" spans="2:31" ht="25.5" customHeight="1" thickBot="1">
      <c r="B55" s="634"/>
      <c r="C55" s="635"/>
      <c r="D55" s="636"/>
      <c r="E55" s="635"/>
      <c r="F55" s="635"/>
      <c r="G55" s="635"/>
      <c r="H55" s="635"/>
      <c r="I55" s="635"/>
      <c r="J55" s="635"/>
      <c r="K55" s="635"/>
      <c r="L55" s="635"/>
      <c r="M55" s="635"/>
      <c r="N55" s="635"/>
      <c r="O55" s="635"/>
      <c r="P55" s="635"/>
      <c r="Q55" s="635"/>
      <c r="R55" s="637"/>
      <c r="S55" s="635"/>
      <c r="T55" s="635"/>
      <c r="U55" s="635"/>
      <c r="V55" s="635"/>
      <c r="W55" s="635"/>
      <c r="X55" s="636"/>
      <c r="Y55" s="638"/>
      <c r="Z55" s="639"/>
      <c r="AA55" s="639"/>
      <c r="AB55" s="639"/>
      <c r="AC55" s="639"/>
      <c r="AD55" s="639"/>
      <c r="AE55" s="640"/>
    </row>
    <row r="56" spans="2:31" ht="112.5">
      <c r="L56" s="516"/>
      <c r="AD56" s="641"/>
      <c r="AE56" s="642">
        <f>+AG13</f>
        <v>0</v>
      </c>
    </row>
  </sheetData>
  <mergeCells count="43">
    <mergeCell ref="X5:Z5"/>
    <mergeCell ref="AA5:AB5"/>
    <mergeCell ref="AD5:AE5"/>
    <mergeCell ref="AA7:AE7"/>
    <mergeCell ref="B2:AE2"/>
    <mergeCell ref="B4:D4"/>
    <mergeCell ref="E4:G4"/>
    <mergeCell ref="H4:J4"/>
    <mergeCell ref="K4:M4"/>
    <mergeCell ref="N4:Q5"/>
    <mergeCell ref="R4:S4"/>
    <mergeCell ref="T4:U5"/>
    <mergeCell ref="V4:W4"/>
    <mergeCell ref="X4:Z4"/>
    <mergeCell ref="AA4:AB4"/>
    <mergeCell ref="AD4:AE4"/>
    <mergeCell ref="Y28:Z28"/>
    <mergeCell ref="C7:H7"/>
    <mergeCell ref="J7:Q7"/>
    <mergeCell ref="S7:X7"/>
    <mergeCell ref="Y7:Z7"/>
    <mergeCell ref="L8:P13"/>
    <mergeCell ref="C9:D9"/>
    <mergeCell ref="S9:W9"/>
    <mergeCell ref="C11:D11"/>
    <mergeCell ref="C13:D13"/>
    <mergeCell ref="K5:M5"/>
    <mergeCell ref="I31:Q31"/>
    <mergeCell ref="C15:D15"/>
    <mergeCell ref="C17:D18"/>
    <mergeCell ref="S18:W18"/>
    <mergeCell ref="C21:H21"/>
    <mergeCell ref="O27:P27"/>
    <mergeCell ref="V5:W5"/>
    <mergeCell ref="B5:D5"/>
    <mergeCell ref="E5:G5"/>
    <mergeCell ref="H5:J5"/>
    <mergeCell ref="R5:S5"/>
    <mergeCell ref="Y29:Z29"/>
    <mergeCell ref="J32:Q32"/>
    <mergeCell ref="S35:W35"/>
    <mergeCell ref="C50:D50"/>
    <mergeCell ref="E50:H52"/>
  </mergeCells>
  <conditionalFormatting sqref="E50">
    <cfRule type="expression" dxfId="9" priority="1" stopIfTrue="1">
      <formula>IF($AG$11=1,1,0)</formula>
    </cfRule>
  </conditionalFormatting>
  <pageMargins left="0" right="0" top="0" bottom="0" header="0" footer="0"/>
  <pageSetup paperSize="9" scale="3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>
    <tabColor indexed="43"/>
  </sheetPr>
  <dimension ref="A1:AM56"/>
  <sheetViews>
    <sheetView workbookViewId="0"/>
  </sheetViews>
  <sheetFormatPr defaultRowHeight="18.75"/>
  <cols>
    <col min="1" max="1" width="4.42578125" style="515" customWidth="1"/>
    <col min="2" max="2" width="14" style="515" customWidth="1"/>
    <col min="3" max="3" width="12.7109375" style="515" customWidth="1"/>
    <col min="4" max="4" width="14.85546875" style="515" customWidth="1"/>
    <col min="5" max="5" width="17.42578125" style="515" customWidth="1"/>
    <col min="6" max="6" width="13.7109375" style="515" customWidth="1"/>
    <col min="7" max="7" width="16.5703125" style="515" customWidth="1"/>
    <col min="8" max="8" width="6" style="515" customWidth="1"/>
    <col min="9" max="11" width="14.85546875" style="515" customWidth="1"/>
    <col min="12" max="12" width="19.42578125" style="515" customWidth="1"/>
    <col min="13" max="13" width="14.85546875" style="515" customWidth="1"/>
    <col min="14" max="14" width="15.5703125" style="515" customWidth="1"/>
    <col min="15" max="15" width="14.42578125" style="515" customWidth="1"/>
    <col min="16" max="16" width="14.85546875" style="515" customWidth="1"/>
    <col min="17" max="17" width="12" style="515" customWidth="1"/>
    <col min="18" max="18" width="14.85546875" style="515" customWidth="1"/>
    <col min="19" max="19" width="12" style="515" customWidth="1"/>
    <col min="20" max="20" width="14.85546875" style="515" customWidth="1"/>
    <col min="21" max="21" width="15.140625" style="515" customWidth="1"/>
    <col min="22" max="22" width="22.85546875" style="515" bestFit="1" customWidth="1"/>
    <col min="23" max="23" width="14.85546875" style="515" customWidth="1"/>
    <col min="24" max="24" width="5.5703125" style="515" customWidth="1"/>
    <col min="25" max="25" width="7.7109375" style="515" customWidth="1"/>
    <col min="26" max="26" width="14.85546875" style="515" customWidth="1"/>
    <col min="27" max="27" width="15.42578125" style="515" customWidth="1"/>
    <col min="28" max="28" width="12.140625" style="515" customWidth="1"/>
    <col min="29" max="29" width="18.5703125" style="515" customWidth="1"/>
    <col min="30" max="30" width="15.5703125" style="515" customWidth="1"/>
    <col min="31" max="31" width="5" style="515" customWidth="1"/>
    <col min="32" max="32" width="9.140625" style="515"/>
    <col min="33" max="33" width="42.7109375" style="515" bestFit="1" customWidth="1"/>
    <col min="34" max="37" width="9.140625" style="515"/>
    <col min="38" max="38" width="22.7109375" style="515" bestFit="1" customWidth="1"/>
    <col min="39" max="16384" width="9.140625" style="515"/>
  </cols>
  <sheetData>
    <row r="1" spans="2:39" ht="30" customHeight="1"/>
    <row r="2" spans="2:39" ht="31.5" customHeight="1">
      <c r="B2" s="2126" t="s">
        <v>356</v>
      </c>
      <c r="C2" s="2127"/>
      <c r="D2" s="2127"/>
      <c r="E2" s="2127"/>
      <c r="F2" s="2127"/>
      <c r="G2" s="2127"/>
      <c r="H2" s="2127"/>
      <c r="I2" s="2127"/>
      <c r="J2" s="2127"/>
      <c r="K2" s="2127"/>
      <c r="L2" s="2127"/>
      <c r="M2" s="2127"/>
      <c r="N2" s="2127"/>
      <c r="O2" s="2127"/>
      <c r="P2" s="2127"/>
      <c r="Q2" s="2127"/>
      <c r="R2" s="2127"/>
      <c r="S2" s="2127"/>
      <c r="T2" s="2127"/>
      <c r="U2" s="2127"/>
      <c r="V2" s="2127"/>
      <c r="W2" s="2127"/>
      <c r="X2" s="2127"/>
      <c r="Y2" s="2127"/>
      <c r="Z2" s="2127"/>
      <c r="AA2" s="2127"/>
      <c r="AB2" s="2127"/>
      <c r="AC2" s="2127"/>
      <c r="AD2" s="2127"/>
      <c r="AE2" s="2128"/>
    </row>
    <row r="3" spans="2:39" s="519" customFormat="1" ht="42" customHeight="1" thickBot="1">
      <c r="B3" s="515"/>
      <c r="C3" s="515"/>
      <c r="D3" s="515"/>
      <c r="E3" s="515"/>
      <c r="F3" s="515"/>
      <c r="G3" s="515"/>
      <c r="H3" s="515"/>
      <c r="I3" s="515"/>
      <c r="J3" s="515"/>
      <c r="K3" s="515"/>
      <c r="L3" s="516"/>
      <c r="M3" s="516"/>
      <c r="N3" s="516"/>
      <c r="O3" s="516"/>
      <c r="P3" s="516"/>
      <c r="Q3" s="516"/>
      <c r="R3" s="516"/>
      <c r="S3" s="516"/>
      <c r="T3" s="516"/>
      <c r="U3" s="516"/>
      <c r="V3" s="515"/>
      <c r="W3" s="515"/>
      <c r="X3" s="515"/>
      <c r="Y3" s="515"/>
      <c r="Z3" s="515"/>
      <c r="AA3" s="515"/>
      <c r="AB3" s="515"/>
      <c r="AC3" s="517"/>
      <c r="AD3" s="518"/>
      <c r="AE3" s="515"/>
      <c r="AG3" s="515"/>
      <c r="AH3" s="515"/>
      <c r="AI3" s="515"/>
      <c r="AJ3" s="515"/>
      <c r="AK3" s="515"/>
      <c r="AL3" s="515"/>
      <c r="AM3" s="515"/>
    </row>
    <row r="4" spans="2:39" ht="45" customHeight="1">
      <c r="B4" s="2129" t="s">
        <v>296</v>
      </c>
      <c r="C4" s="2130"/>
      <c r="D4" s="2131"/>
      <c r="E4" s="2130" t="s">
        <v>214</v>
      </c>
      <c r="F4" s="2130"/>
      <c r="G4" s="2131"/>
      <c r="H4" s="2130" t="s">
        <v>137</v>
      </c>
      <c r="I4" s="2130"/>
      <c r="J4" s="2131"/>
      <c r="K4" s="2132" t="s">
        <v>2</v>
      </c>
      <c r="L4" s="2132"/>
      <c r="M4" s="2133"/>
      <c r="N4" s="2134" t="s">
        <v>43</v>
      </c>
      <c r="O4" s="2135"/>
      <c r="P4" s="2135"/>
      <c r="Q4" s="2136"/>
      <c r="R4" s="2140" t="s">
        <v>297</v>
      </c>
      <c r="S4" s="2140"/>
      <c r="T4" s="2141" t="s">
        <v>144</v>
      </c>
      <c r="U4" s="2141"/>
      <c r="V4" s="2140" t="s">
        <v>298</v>
      </c>
      <c r="W4" s="2143"/>
      <c r="X4" s="2144" t="s">
        <v>299</v>
      </c>
      <c r="Y4" s="2130"/>
      <c r="Z4" s="2131"/>
      <c r="AA4" s="2144" t="s">
        <v>7</v>
      </c>
      <c r="AB4" s="2131"/>
      <c r="AC4" s="520" t="s">
        <v>300</v>
      </c>
      <c r="AD4" s="2130" t="s">
        <v>301</v>
      </c>
      <c r="AE4" s="2145"/>
    </row>
    <row r="5" spans="2:39" ht="39.75" customHeight="1" thickBot="1">
      <c r="B5" s="2111"/>
      <c r="C5" s="2112"/>
      <c r="D5" s="2113"/>
      <c r="E5" s="2114">
        <f>+DATI!C4</f>
        <v>0</v>
      </c>
      <c r="F5" s="2115"/>
      <c r="G5" s="2116"/>
      <c r="H5" s="2114"/>
      <c r="I5" s="2112"/>
      <c r="J5" s="2113"/>
      <c r="K5" s="2094">
        <f>+DATI!C5</f>
        <v>42370</v>
      </c>
      <c r="L5" s="2095"/>
      <c r="M5" s="2096"/>
      <c r="N5" s="2137"/>
      <c r="O5" s="2138"/>
      <c r="P5" s="2138"/>
      <c r="Q5" s="2139"/>
      <c r="R5" s="2109">
        <f>E18</f>
        <v>1400</v>
      </c>
      <c r="S5" s="2109"/>
      <c r="T5" s="2142"/>
      <c r="U5" s="2142"/>
      <c r="V5" s="2109">
        <f>G18</f>
        <v>2200</v>
      </c>
      <c r="W5" s="2110"/>
      <c r="X5" s="2122">
        <f>IF(V5="","",IF(V5&lt;0,"ERRORE ALTEZZA MINIMA",IF(V5&lt;510,2,IF(V5&lt;1472,4,IF(V5&lt;2372,6,IF(V5&lt;2642,8,""))))))</f>
        <v>6</v>
      </c>
      <c r="Y5" s="2112"/>
      <c r="Z5" s="2113"/>
      <c r="AA5" s="2122" t="str">
        <f>+E11</f>
        <v>06.NERO</v>
      </c>
      <c r="AB5" s="2113"/>
      <c r="AC5" s="521" t="str">
        <f>E13</f>
        <v>1</v>
      </c>
      <c r="AD5" s="2123" t="s">
        <v>171</v>
      </c>
      <c r="AE5" s="2124"/>
    </row>
    <row r="6" spans="2:39" ht="30" customHeight="1" thickBot="1">
      <c r="B6" s="516"/>
      <c r="C6" s="522"/>
      <c r="D6" s="516"/>
      <c r="E6" s="516"/>
      <c r="F6" s="522"/>
      <c r="G6" s="516"/>
      <c r="H6" s="516"/>
      <c r="I6" s="522"/>
      <c r="J6" s="516"/>
      <c r="K6" s="516"/>
      <c r="L6" s="522"/>
      <c r="M6" s="516"/>
      <c r="N6" s="516"/>
      <c r="O6" s="522"/>
      <c r="P6" s="522"/>
      <c r="Q6" s="516"/>
      <c r="R6" s="516"/>
      <c r="S6" s="522" t="str">
        <f>IF(R5&gt;2700,"ATTENZIONE LARGHEZZA MAX 2700","")</f>
        <v/>
      </c>
      <c r="T6" s="523"/>
      <c r="U6" s="516"/>
      <c r="V6" s="522" t="s">
        <v>37</v>
      </c>
      <c r="W6" s="516"/>
      <c r="X6" s="516"/>
      <c r="Y6" s="522" t="str">
        <f>IF(V5&lt;300,"ATTENZIONE ALTEZZA MIN 300",IF(V5&gt;2580,"ATTENZIONE ALTEZZA MAX 2600",""))</f>
        <v/>
      </c>
      <c r="Z6" s="516"/>
      <c r="AA6" s="522"/>
      <c r="AB6" s="516"/>
      <c r="AC6" s="522"/>
      <c r="AD6" s="516"/>
    </row>
    <row r="7" spans="2:39" ht="25.5" customHeight="1">
      <c r="B7" s="524" t="s">
        <v>40</v>
      </c>
      <c r="C7" s="2106" t="s">
        <v>41</v>
      </c>
      <c r="D7" s="2106"/>
      <c r="E7" s="2106"/>
      <c r="F7" s="2106"/>
      <c r="G7" s="2106"/>
      <c r="H7" s="2107"/>
      <c r="I7" s="525" t="s">
        <v>52</v>
      </c>
      <c r="J7" s="2117" t="s">
        <v>302</v>
      </c>
      <c r="K7" s="2117"/>
      <c r="L7" s="2117"/>
      <c r="M7" s="2117"/>
      <c r="N7" s="2117"/>
      <c r="O7" s="2117"/>
      <c r="P7" s="2117"/>
      <c r="Q7" s="2117"/>
      <c r="R7" s="525" t="s">
        <v>58</v>
      </c>
      <c r="S7" s="2117" t="s">
        <v>303</v>
      </c>
      <c r="T7" s="2117"/>
      <c r="U7" s="2117"/>
      <c r="V7" s="2117"/>
      <c r="W7" s="2117"/>
      <c r="X7" s="2117"/>
      <c r="Y7" s="2118" t="s">
        <v>58</v>
      </c>
      <c r="Z7" s="2119"/>
      <c r="AA7" s="2117" t="s">
        <v>304</v>
      </c>
      <c r="AB7" s="2117"/>
      <c r="AC7" s="2117"/>
      <c r="AD7" s="2117"/>
      <c r="AE7" s="2125"/>
    </row>
    <row r="8" spans="2:39" ht="25.5" customHeight="1">
      <c r="B8" s="526"/>
      <c r="C8" s="527"/>
      <c r="D8" s="527"/>
      <c r="E8" s="527"/>
      <c r="F8" s="527"/>
      <c r="G8" s="527"/>
      <c r="H8" s="528"/>
      <c r="I8" s="527"/>
      <c r="J8" s="527"/>
      <c r="K8" s="527"/>
      <c r="L8" s="2120" t="e">
        <f>IF(DATI!E13="AUTOMATICA",CONCATENATE("*",DATI!E14,"-",REPT("0",4-LEN(L14)),L14,"*"),CONCATENATE("*",DATI!L14,(REPT("0",3-LEN(J9))),J9,(REPT("0",4-LEN(L14))),L14,DATI!L13,"*"))</f>
        <v>#VALUE!</v>
      </c>
      <c r="M8" s="2120"/>
      <c r="N8" s="2120"/>
      <c r="O8" s="2120"/>
      <c r="P8" s="2120"/>
      <c r="Q8" s="527"/>
      <c r="R8" s="529"/>
      <c r="S8" s="527"/>
      <c r="T8" s="527"/>
      <c r="U8" s="527"/>
      <c r="V8" s="527"/>
      <c r="W8" s="527"/>
      <c r="X8" s="528"/>
      <c r="Y8" s="527"/>
      <c r="Z8" s="527"/>
      <c r="AA8" s="527"/>
      <c r="AB8" s="527"/>
      <c r="AC8" s="527"/>
      <c r="AD8" s="516"/>
      <c r="AE8" s="530"/>
    </row>
    <row r="9" spans="2:39" ht="25.5" customHeight="1">
      <c r="B9" s="531"/>
      <c r="C9" s="2100" t="s">
        <v>3</v>
      </c>
      <c r="D9" s="2101"/>
      <c r="E9" s="532">
        <f>+DATI!C6</f>
        <v>0</v>
      </c>
      <c r="F9" s="533"/>
      <c r="G9" s="534"/>
      <c r="H9" s="535"/>
      <c r="I9" s="516"/>
      <c r="J9" s="536">
        <f>ROUNDUP((R5-48)*0.036/2,0)</f>
        <v>25</v>
      </c>
      <c r="K9" s="537" t="s">
        <v>305</v>
      </c>
      <c r="L9" s="2121"/>
      <c r="M9" s="2121"/>
      <c r="N9" s="2121"/>
      <c r="O9" s="2121"/>
      <c r="P9" s="2121"/>
      <c r="Q9" s="516"/>
      <c r="R9" s="538"/>
      <c r="S9" s="2086" t="s">
        <v>306</v>
      </c>
      <c r="T9" s="2087"/>
      <c r="U9" s="2087"/>
      <c r="V9" s="2087"/>
      <c r="W9" s="2088"/>
      <c r="X9" s="535"/>
      <c r="Y9" s="516"/>
      <c r="Z9" s="516"/>
      <c r="AA9" s="516"/>
      <c r="AB9" s="516"/>
      <c r="AC9" s="516"/>
      <c r="AD9" s="516"/>
      <c r="AE9" s="530"/>
    </row>
    <row r="10" spans="2:39" ht="25.5" customHeight="1">
      <c r="B10" s="531"/>
      <c r="C10" s="516"/>
      <c r="D10" s="516"/>
      <c r="E10" s="516"/>
      <c r="F10" s="516"/>
      <c r="G10" s="516"/>
      <c r="H10" s="535"/>
      <c r="I10" s="516"/>
      <c r="J10" s="516"/>
      <c r="K10" s="516"/>
      <c r="L10" s="2121"/>
      <c r="M10" s="2121"/>
      <c r="N10" s="2121"/>
      <c r="O10" s="2121"/>
      <c r="P10" s="2121"/>
      <c r="Q10" s="537"/>
      <c r="R10" s="538"/>
      <c r="S10" s="516"/>
      <c r="T10" s="516"/>
      <c r="U10" s="516"/>
      <c r="V10" s="516"/>
      <c r="W10" s="539"/>
      <c r="X10" s="535"/>
      <c r="Y10" s="516"/>
      <c r="Z10" s="540"/>
      <c r="AA10" s="541" t="s">
        <v>307</v>
      </c>
      <c r="AB10" s="542"/>
      <c r="AC10" s="543" t="s">
        <v>308</v>
      </c>
      <c r="AD10" s="544" t="s">
        <v>309</v>
      </c>
      <c r="AE10" s="530"/>
    </row>
    <row r="11" spans="2:39" ht="25.5" customHeight="1">
      <c r="B11" s="531"/>
      <c r="C11" s="2100" t="s">
        <v>7</v>
      </c>
      <c r="D11" s="2101"/>
      <c r="E11" s="545" t="str">
        <f>+DATI!C10</f>
        <v>06.NERO</v>
      </c>
      <c r="F11" s="546"/>
      <c r="G11" s="534"/>
      <c r="H11" s="535"/>
      <c r="I11" s="516"/>
      <c r="J11" s="516"/>
      <c r="K11" s="516"/>
      <c r="L11" s="2121"/>
      <c r="M11" s="2121"/>
      <c r="N11" s="2121"/>
      <c r="O11" s="2121"/>
      <c r="P11" s="2121"/>
      <c r="Q11" s="516"/>
      <c r="R11" s="538"/>
      <c r="S11" s="516"/>
      <c r="T11" s="547" t="s">
        <v>310</v>
      </c>
      <c r="U11" s="548">
        <f>V5-123+10</f>
        <v>2087</v>
      </c>
      <c r="V11" s="539"/>
      <c r="W11" s="539" t="s">
        <v>324</v>
      </c>
      <c r="X11" s="535"/>
      <c r="Y11" s="516"/>
      <c r="Z11" s="540" t="s">
        <v>311</v>
      </c>
      <c r="AA11" s="540"/>
      <c r="AB11" s="542"/>
      <c r="AC11" s="549"/>
      <c r="AD11" s="550" t="s">
        <v>246</v>
      </c>
      <c r="AE11" s="530"/>
    </row>
    <row r="12" spans="2:39" ht="25.5" customHeight="1">
      <c r="B12" s="531"/>
      <c r="C12" s="516"/>
      <c r="D12" s="516"/>
      <c r="E12" s="516"/>
      <c r="F12" s="516"/>
      <c r="G12" s="516"/>
      <c r="H12" s="535"/>
      <c r="I12" s="516"/>
      <c r="J12" s="516"/>
      <c r="K12" s="516"/>
      <c r="L12" s="2121"/>
      <c r="M12" s="2121"/>
      <c r="N12" s="2121"/>
      <c r="O12" s="2121"/>
      <c r="P12" s="2121"/>
      <c r="Q12" s="516"/>
      <c r="R12" s="538"/>
      <c r="S12" s="516"/>
      <c r="T12" s="516"/>
      <c r="U12" s="516"/>
      <c r="V12" s="516"/>
      <c r="W12" s="516"/>
      <c r="X12" s="535"/>
      <c r="Y12" s="516"/>
      <c r="Z12" s="540" t="s">
        <v>312</v>
      </c>
      <c r="AA12" s="540"/>
      <c r="AB12" s="542"/>
      <c r="AC12" s="551">
        <f>R5-70</f>
        <v>1330</v>
      </c>
      <c r="AD12" s="550" t="s">
        <v>246</v>
      </c>
      <c r="AE12" s="530"/>
    </row>
    <row r="13" spans="2:39" ht="25.5" customHeight="1">
      <c r="B13" s="531"/>
      <c r="C13" s="2100" t="s">
        <v>313</v>
      </c>
      <c r="D13" s="2101"/>
      <c r="E13" s="552" t="str">
        <f>+DATI!C11</f>
        <v>1</v>
      </c>
      <c r="F13" s="533"/>
      <c r="G13" s="534"/>
      <c r="H13" s="535"/>
      <c r="I13" s="516"/>
      <c r="J13" s="516"/>
      <c r="K13" s="516"/>
      <c r="L13" s="2121"/>
      <c r="M13" s="2121"/>
      <c r="N13" s="2121"/>
      <c r="O13" s="2121"/>
      <c r="P13" s="2121"/>
      <c r="Q13" s="516"/>
      <c r="R13" s="538"/>
      <c r="S13" s="516"/>
      <c r="T13" s="516"/>
      <c r="U13" s="516"/>
      <c r="V13" s="516"/>
      <c r="W13" s="516"/>
      <c r="X13" s="535"/>
      <c r="Y13" s="516"/>
      <c r="Z13" s="540" t="s">
        <v>203</v>
      </c>
      <c r="AA13" s="540"/>
      <c r="AB13" s="542"/>
      <c r="AC13" s="551">
        <f>AC12</f>
        <v>1330</v>
      </c>
      <c r="AD13" s="550" t="s">
        <v>246</v>
      </c>
      <c r="AE13" s="530"/>
    </row>
    <row r="14" spans="2:39" ht="25.5" customHeight="1">
      <c r="B14" s="531"/>
      <c r="C14" s="516"/>
      <c r="D14" s="516"/>
      <c r="E14" s="516"/>
      <c r="F14" s="516"/>
      <c r="G14" s="516"/>
      <c r="H14" s="535"/>
      <c r="I14" s="516"/>
      <c r="J14" s="516"/>
      <c r="K14" s="553" t="s">
        <v>314</v>
      </c>
      <c r="L14" s="548">
        <f>V5-51+10</f>
        <v>2159</v>
      </c>
      <c r="M14" s="516"/>
      <c r="N14" s="516"/>
      <c r="O14" s="554" t="s">
        <v>324</v>
      </c>
      <c r="P14" s="554"/>
      <c r="Q14" s="516"/>
      <c r="R14" s="538"/>
      <c r="S14" s="555"/>
      <c r="T14" s="533"/>
      <c r="U14" s="533"/>
      <c r="V14" s="533"/>
      <c r="W14" s="534"/>
      <c r="X14" s="535"/>
      <c r="Y14" s="516"/>
      <c r="Z14" s="540" t="s">
        <v>315</v>
      </c>
      <c r="AA14" s="540"/>
      <c r="AB14" s="540"/>
      <c r="AC14" s="551">
        <f>R5-28</f>
        <v>1372</v>
      </c>
      <c r="AD14" s="550">
        <v>1</v>
      </c>
      <c r="AE14" s="530"/>
    </row>
    <row r="15" spans="2:39" ht="25.5" customHeight="1">
      <c r="B15" s="531"/>
      <c r="C15" s="2100" t="s">
        <v>169</v>
      </c>
      <c r="D15" s="2101"/>
      <c r="E15" s="556" t="str">
        <f>+DATI!R5</f>
        <v>13-25</v>
      </c>
      <c r="F15" s="533"/>
      <c r="G15" s="534"/>
      <c r="H15" s="535"/>
      <c r="I15" s="538"/>
      <c r="J15" s="516"/>
      <c r="K15" s="516"/>
      <c r="L15" s="516"/>
      <c r="M15" s="516"/>
      <c r="N15" s="516"/>
      <c r="O15" s="516"/>
      <c r="P15" s="516"/>
      <c r="Q15" s="516"/>
      <c r="R15" s="538"/>
      <c r="S15" s="516"/>
      <c r="T15" s="516"/>
      <c r="U15" s="516"/>
      <c r="V15" s="516"/>
      <c r="W15" s="516"/>
      <c r="X15" s="535"/>
      <c r="Y15" s="516"/>
      <c r="Z15" s="540" t="s">
        <v>316</v>
      </c>
      <c r="AA15" s="540"/>
      <c r="AB15" s="540"/>
      <c r="AC15" s="557"/>
      <c r="AD15" s="550" t="str">
        <f>IF(R5&gt;899,"３","２")</f>
        <v>３</v>
      </c>
      <c r="AE15" s="530"/>
    </row>
    <row r="16" spans="2:39" ht="25.5" customHeight="1">
      <c r="B16" s="531"/>
      <c r="C16" s="516"/>
      <c r="D16" s="516"/>
      <c r="E16" s="516"/>
      <c r="F16" s="516"/>
      <c r="G16" s="516"/>
      <c r="H16" s="535"/>
      <c r="I16" s="558"/>
      <c r="J16" s="537"/>
      <c r="K16" s="553"/>
      <c r="L16" s="553"/>
      <c r="M16" s="553"/>
      <c r="N16" s="553"/>
      <c r="O16" s="553"/>
      <c r="P16" s="553"/>
      <c r="Q16" s="559"/>
      <c r="R16" s="560"/>
      <c r="S16" s="561"/>
      <c r="T16" s="561"/>
      <c r="U16" s="561"/>
      <c r="V16" s="561"/>
      <c r="W16" s="561"/>
      <c r="X16" s="562"/>
      <c r="Y16" s="516"/>
      <c r="Z16" s="516"/>
      <c r="AA16" s="516"/>
      <c r="AB16" s="516"/>
      <c r="AC16" s="516"/>
      <c r="AD16" s="516"/>
      <c r="AE16" s="530"/>
    </row>
    <row r="17" spans="1:31" ht="25.5" customHeight="1">
      <c r="B17" s="531"/>
      <c r="C17" s="2102" t="s">
        <v>43</v>
      </c>
      <c r="D17" s="2103"/>
      <c r="E17" s="563" t="s">
        <v>4</v>
      </c>
      <c r="F17" s="565"/>
      <c r="G17" s="564" t="s">
        <v>5</v>
      </c>
      <c r="H17" s="535"/>
      <c r="I17" s="538"/>
      <c r="J17" s="516"/>
      <c r="K17" s="516"/>
      <c r="L17" s="516"/>
      <c r="M17" s="516"/>
      <c r="N17" s="516"/>
      <c r="O17" s="516"/>
      <c r="P17" s="516"/>
      <c r="Q17" s="516"/>
      <c r="R17" s="538"/>
      <c r="S17" s="516"/>
      <c r="T17" s="516"/>
      <c r="U17" s="516"/>
      <c r="V17" s="516"/>
      <c r="W17" s="516"/>
      <c r="X17" s="535"/>
      <c r="Y17" s="516"/>
      <c r="Z17" s="516"/>
      <c r="AA17" s="516"/>
      <c r="AB17" s="516"/>
      <c r="AC17" s="522"/>
      <c r="AD17" s="516"/>
      <c r="AE17" s="530"/>
    </row>
    <row r="18" spans="1:31" ht="25.5" customHeight="1">
      <c r="B18" s="531"/>
      <c r="C18" s="2104"/>
      <c r="D18" s="2105"/>
      <c r="E18" s="566">
        <f>+DATI!C7</f>
        <v>1400</v>
      </c>
      <c r="F18" s="567" t="s">
        <v>44</v>
      </c>
      <c r="G18" s="568">
        <f>+DATI!C8</f>
        <v>2200</v>
      </c>
      <c r="H18" s="535"/>
      <c r="I18" s="569">
        <v>40</v>
      </c>
      <c r="J18" s="516"/>
      <c r="K18" s="516"/>
      <c r="L18" s="516"/>
      <c r="M18" s="516"/>
      <c r="N18" s="516"/>
      <c r="O18" s="516"/>
      <c r="P18" s="516"/>
      <c r="Q18" s="516"/>
      <c r="R18" s="538"/>
      <c r="S18" s="2086" t="s">
        <v>319</v>
      </c>
      <c r="T18" s="2087"/>
      <c r="U18" s="2087"/>
      <c r="V18" s="2087"/>
      <c r="W18" s="2088"/>
      <c r="X18" s="535"/>
      <c r="Y18" s="516"/>
      <c r="Z18" s="516"/>
      <c r="AA18" s="516"/>
      <c r="AB18" s="570" t="s">
        <v>320</v>
      </c>
      <c r="AC18" s="516"/>
      <c r="AD18" s="522"/>
      <c r="AE18" s="530"/>
    </row>
    <row r="19" spans="1:31" ht="25.5" customHeight="1">
      <c r="B19" s="531"/>
      <c r="C19" s="516"/>
      <c r="D19" s="516"/>
      <c r="E19" s="516"/>
      <c r="F19" s="516"/>
      <c r="G19" s="516"/>
      <c r="H19" s="535"/>
      <c r="I19" s="516"/>
      <c r="J19" s="571">
        <f>IF(X5=2,L14-40,IF(X5&gt;2,K20-P29))</f>
        <v>455.80000000000013</v>
      </c>
      <c r="K19" s="572"/>
      <c r="L19" s="572"/>
      <c r="M19" s="572"/>
      <c r="N19" s="572"/>
      <c r="O19" s="572"/>
      <c r="P19" s="572"/>
      <c r="Q19" s="572"/>
      <c r="R19" s="538"/>
      <c r="S19" s="516"/>
      <c r="T19" s="516"/>
      <c r="U19" s="516"/>
      <c r="V19" s="516"/>
      <c r="W19" s="516"/>
      <c r="X19" s="535"/>
      <c r="Y19" s="516"/>
      <c r="Z19" s="516"/>
      <c r="AA19" s="516"/>
      <c r="AB19" s="516"/>
      <c r="AC19" s="516"/>
      <c r="AD19" s="522"/>
      <c r="AE19" s="573"/>
    </row>
    <row r="20" spans="1:31" ht="25.5" customHeight="1" thickBot="1">
      <c r="B20" s="531"/>
      <c r="C20" s="516"/>
      <c r="D20" s="516"/>
      <c r="E20" s="516"/>
      <c r="F20" s="516"/>
      <c r="G20" s="516"/>
      <c r="H20" s="516"/>
      <c r="I20" s="574"/>
      <c r="J20" s="572"/>
      <c r="K20" s="575">
        <f>IF(X5&lt;4," ",IF(X5&gt;=4,L21-P29))</f>
        <v>871.60000000000014</v>
      </c>
      <c r="L20" s="572"/>
      <c r="M20" s="572"/>
      <c r="N20" s="572"/>
      <c r="O20" s="572"/>
      <c r="P20" s="572"/>
      <c r="Q20" s="572"/>
      <c r="R20" s="538"/>
      <c r="S20" s="516"/>
      <c r="T20" s="547" t="s">
        <v>323</v>
      </c>
      <c r="U20" s="576">
        <f>V5-73+10</f>
        <v>2137</v>
      </c>
      <c r="V20" s="516"/>
      <c r="W20" s="539" t="s">
        <v>324</v>
      </c>
      <c r="X20" s="535"/>
      <c r="Y20" s="516"/>
      <c r="Z20" s="516"/>
      <c r="AA20" s="516"/>
      <c r="AB20" s="516"/>
      <c r="AC20" s="516"/>
      <c r="AD20" s="522"/>
      <c r="AE20" s="530"/>
    </row>
    <row r="21" spans="1:31" ht="25.5" customHeight="1">
      <c r="B21" s="577" t="s">
        <v>50</v>
      </c>
      <c r="C21" s="2106" t="s">
        <v>326</v>
      </c>
      <c r="D21" s="2106"/>
      <c r="E21" s="2106"/>
      <c r="F21" s="2106"/>
      <c r="G21" s="2106"/>
      <c r="H21" s="2107"/>
      <c r="I21" s="574" t="s">
        <v>37</v>
      </c>
      <c r="J21" s="516"/>
      <c r="K21" s="516"/>
      <c r="L21" s="575">
        <f>IF(X5&lt;4,"",IF(X5=4,L14-40,IF(X5&gt;4,M22-P29)))</f>
        <v>1287.4000000000001</v>
      </c>
      <c r="M21" s="572"/>
      <c r="N21" s="572"/>
      <c r="O21" s="572"/>
      <c r="P21" s="572"/>
      <c r="Q21" s="572"/>
      <c r="R21" s="538"/>
      <c r="S21" s="516"/>
      <c r="T21" s="516"/>
      <c r="U21" s="516"/>
      <c r="V21" s="516"/>
      <c r="W21" s="516"/>
      <c r="X21" s="535"/>
      <c r="Y21" s="516"/>
      <c r="Z21" s="516"/>
      <c r="AA21" s="516"/>
      <c r="AB21" s="522"/>
      <c r="AC21" s="522"/>
      <c r="AD21" s="522"/>
      <c r="AE21" s="530"/>
    </row>
    <row r="22" spans="1:31" ht="25.5" customHeight="1">
      <c r="A22" s="578"/>
      <c r="B22" s="531"/>
      <c r="C22" s="516"/>
      <c r="D22" s="516"/>
      <c r="E22" s="516"/>
      <c r="F22" s="516"/>
      <c r="G22" s="516"/>
      <c r="H22" s="516"/>
      <c r="I22" s="574"/>
      <c r="J22" s="572" t="s">
        <v>37</v>
      </c>
      <c r="K22" s="516"/>
      <c r="L22" s="516"/>
      <c r="M22" s="579">
        <f>IF(X5&gt;=5,N24-P29,IF(X5&lt;6," "))</f>
        <v>1703.2</v>
      </c>
      <c r="N22" s="572"/>
      <c r="O22" s="572"/>
      <c r="P22" s="572"/>
      <c r="Q22" s="572"/>
      <c r="R22" s="538"/>
      <c r="S22" s="516"/>
      <c r="T22" s="516"/>
      <c r="U22" s="516"/>
      <c r="V22" s="516"/>
      <c r="W22" s="516"/>
      <c r="X22" s="535"/>
      <c r="Y22" s="516"/>
      <c r="Z22" s="516"/>
      <c r="AA22" s="516"/>
      <c r="AB22" s="580" t="s">
        <v>328</v>
      </c>
      <c r="AC22" s="516"/>
      <c r="AD22" s="516"/>
      <c r="AE22" s="530"/>
    </row>
    <row r="23" spans="1:31" ht="25.5" customHeight="1">
      <c r="A23" s="516"/>
      <c r="B23" s="531"/>
      <c r="C23" s="516"/>
      <c r="D23" s="547" t="s">
        <v>330</v>
      </c>
      <c r="E23" s="581">
        <f>R5-0</f>
        <v>1400</v>
      </c>
      <c r="F23" s="516"/>
      <c r="G23" s="516"/>
      <c r="H23" s="516"/>
      <c r="I23" s="574"/>
      <c r="J23" s="572"/>
      <c r="K23" s="572" t="s">
        <v>37</v>
      </c>
      <c r="L23" s="516"/>
      <c r="M23" s="516"/>
      <c r="N23" s="572"/>
      <c r="O23" s="572"/>
      <c r="P23" s="572"/>
      <c r="Q23" s="572"/>
      <c r="R23" s="538"/>
      <c r="S23" s="555"/>
      <c r="T23" s="533"/>
      <c r="U23" s="533"/>
      <c r="V23" s="533"/>
      <c r="W23" s="534"/>
      <c r="X23" s="535"/>
      <c r="Y23" s="516"/>
      <c r="Z23" s="516"/>
      <c r="AA23" s="516"/>
      <c r="AB23" s="516"/>
      <c r="AC23" s="516"/>
      <c r="AD23" s="516"/>
      <c r="AE23" s="530"/>
    </row>
    <row r="24" spans="1:31" ht="25.5" customHeight="1">
      <c r="B24" s="531"/>
      <c r="C24" s="516"/>
      <c r="D24" s="516"/>
      <c r="E24" s="516"/>
      <c r="F24" s="516"/>
      <c r="G24" s="516"/>
      <c r="H24" s="516"/>
      <c r="I24" s="574"/>
      <c r="J24" s="572"/>
      <c r="K24" s="572"/>
      <c r="L24" s="572" t="s">
        <v>37</v>
      </c>
      <c r="M24" s="516"/>
      <c r="N24" s="579">
        <f>IF(X5=6,L14-40,IF(X5&lt;6," ",IF(X5&gt;6,O25-P29,)))</f>
        <v>2119</v>
      </c>
      <c r="O24" s="572"/>
      <c r="P24" s="572"/>
      <c r="Q24" s="572"/>
      <c r="R24" s="538"/>
      <c r="S24" s="516"/>
      <c r="T24" s="516"/>
      <c r="U24" s="516"/>
      <c r="V24" s="516"/>
      <c r="W24" s="516"/>
      <c r="X24" s="535"/>
      <c r="Y24" s="516"/>
      <c r="Z24" s="516"/>
      <c r="AA24" s="516"/>
      <c r="AB24" s="516"/>
      <c r="AC24" s="516"/>
      <c r="AD24" s="582"/>
      <c r="AE24" s="530"/>
    </row>
    <row r="25" spans="1:31" ht="25.5" customHeight="1">
      <c r="B25" s="531"/>
      <c r="C25" s="516"/>
      <c r="D25" s="553" t="s">
        <v>86</v>
      </c>
      <c r="E25" s="516"/>
      <c r="F25" s="516"/>
      <c r="G25" s="516"/>
      <c r="H25" s="516"/>
      <c r="I25" s="574"/>
      <c r="J25" s="572"/>
      <c r="K25" s="572"/>
      <c r="L25" s="572"/>
      <c r="M25" s="572" t="s">
        <v>37</v>
      </c>
      <c r="N25" s="516"/>
      <c r="O25" s="579" t="str">
        <f>IF(X5=8,O27-P29,"")</f>
        <v/>
      </c>
      <c r="P25" s="572"/>
      <c r="Q25" s="572"/>
      <c r="R25" s="538"/>
      <c r="S25" s="516"/>
      <c r="T25" s="516"/>
      <c r="U25" s="537" t="s">
        <v>333</v>
      </c>
      <c r="V25" s="516"/>
      <c r="W25" s="516"/>
      <c r="X25" s="535"/>
      <c r="Y25" s="516"/>
      <c r="Z25" s="516"/>
      <c r="AA25" s="516"/>
      <c r="AB25" s="516"/>
      <c r="AC25" s="516"/>
      <c r="AD25" s="516"/>
      <c r="AE25" s="530"/>
    </row>
    <row r="26" spans="1:31" ht="25.5" customHeight="1" thickBot="1">
      <c r="B26" s="531"/>
      <c r="C26" s="516"/>
      <c r="D26" s="516"/>
      <c r="E26" s="516"/>
      <c r="F26" s="516"/>
      <c r="G26" s="516"/>
      <c r="H26" s="516"/>
      <c r="I26" s="574"/>
      <c r="J26" s="572"/>
      <c r="K26" s="572"/>
      <c r="L26" s="572"/>
      <c r="M26" s="572"/>
      <c r="N26" s="572" t="s">
        <v>37</v>
      </c>
      <c r="O26" s="516"/>
      <c r="P26" s="579"/>
      <c r="Q26" s="572"/>
      <c r="R26" s="538"/>
      <c r="S26" s="547"/>
      <c r="T26" s="547"/>
      <c r="U26" s="547"/>
      <c r="V26" s="516"/>
      <c r="W26" s="516"/>
      <c r="X26" s="535"/>
      <c r="Y26" s="516"/>
      <c r="Z26" s="516"/>
      <c r="AA26" s="516"/>
      <c r="AB26" s="516"/>
      <c r="AC26" s="516"/>
      <c r="AD26" s="516"/>
      <c r="AE26" s="530"/>
    </row>
    <row r="27" spans="1:31" ht="25.5" customHeight="1" thickBot="1">
      <c r="B27" s="531"/>
      <c r="C27" s="583"/>
      <c r="D27" s="584"/>
      <c r="E27" s="585"/>
      <c r="F27" s="516"/>
      <c r="G27" s="516"/>
      <c r="H27" s="516"/>
      <c r="I27" s="574"/>
      <c r="J27" s="572"/>
      <c r="K27" s="572"/>
      <c r="L27" s="572"/>
      <c r="M27" s="572"/>
      <c r="N27" s="572"/>
      <c r="O27" s="2152" t="str">
        <f>IF(X5=8,L14-40,IF(X5&lt;8," "))</f>
        <v xml:space="preserve"> </v>
      </c>
      <c r="P27" s="2152"/>
      <c r="Q27" s="516"/>
      <c r="R27" s="586" t="str">
        <f>IF(X5=5,"PZ","")</f>
        <v/>
      </c>
      <c r="S27" s="516"/>
      <c r="T27" s="537"/>
      <c r="U27" s="516"/>
      <c r="V27" s="516"/>
      <c r="W27" s="522" t="s">
        <v>37</v>
      </c>
      <c r="X27" s="535"/>
      <c r="Y27" s="587"/>
      <c r="Z27" s="588"/>
      <c r="AA27" s="589"/>
      <c r="AB27" s="589"/>
      <c r="AC27" s="589"/>
      <c r="AD27" s="589"/>
      <c r="AE27" s="590"/>
    </row>
    <row r="28" spans="1:31" ht="25.5" customHeight="1">
      <c r="B28" s="531"/>
      <c r="C28" s="516"/>
      <c r="D28" s="516"/>
      <c r="E28" s="516"/>
      <c r="F28" s="516"/>
      <c r="G28" s="516"/>
      <c r="H28" s="516"/>
      <c r="I28" s="538"/>
      <c r="J28" s="516"/>
      <c r="K28" s="516"/>
      <c r="L28" s="516"/>
      <c r="M28" s="516"/>
      <c r="N28" s="516"/>
      <c r="O28" s="516"/>
      <c r="P28" s="516"/>
      <c r="Q28" s="516"/>
      <c r="R28" s="538"/>
      <c r="S28" s="516"/>
      <c r="T28" s="516"/>
      <c r="U28" s="516"/>
      <c r="V28" s="553" t="s">
        <v>334</v>
      </c>
      <c r="W28" s="591">
        <f>IF(X5=0,2,IF(AND(X5&gt;0,X5&lt;4),3,IF(X5&gt;3,4,"")))</f>
        <v>4</v>
      </c>
      <c r="X28" s="592" t="s">
        <v>37</v>
      </c>
      <c r="Y28" s="2083" t="s">
        <v>335</v>
      </c>
      <c r="Z28" s="2084"/>
      <c r="AA28" s="516"/>
      <c r="AB28" s="516"/>
      <c r="AC28" s="516"/>
      <c r="AD28" s="516"/>
      <c r="AE28" s="530"/>
    </row>
    <row r="29" spans="1:31" ht="25.5" customHeight="1">
      <c r="B29" s="531"/>
      <c r="C29" s="537" t="s">
        <v>336</v>
      </c>
      <c r="D29" s="516"/>
      <c r="E29" s="516"/>
      <c r="F29" s="516"/>
      <c r="G29" s="559" t="s">
        <v>337</v>
      </c>
      <c r="H29" s="516"/>
      <c r="I29" s="538"/>
      <c r="J29" s="516" t="s">
        <v>338</v>
      </c>
      <c r="K29" s="516"/>
      <c r="L29" s="516"/>
      <c r="M29" s="516"/>
      <c r="N29" s="516"/>
      <c r="O29" s="593" t="s">
        <v>339</v>
      </c>
      <c r="P29" s="594">
        <f>(+L14-80)/(X5-1)</f>
        <v>415.8</v>
      </c>
      <c r="Q29" s="516"/>
      <c r="R29" s="538"/>
      <c r="S29" s="516"/>
      <c r="T29" s="516"/>
      <c r="U29" s="516"/>
      <c r="V29" s="516"/>
      <c r="W29" s="547"/>
      <c r="X29" s="595"/>
      <c r="Y29" s="2083" t="s">
        <v>90</v>
      </c>
      <c r="Z29" s="2084"/>
      <c r="AA29" s="596" t="s">
        <v>340</v>
      </c>
      <c r="AB29" s="522"/>
      <c r="AC29" s="539" t="s">
        <v>341</v>
      </c>
      <c r="AD29" s="597">
        <f>IF(V5&gt;(R5+31),V5+219,R5+251)</f>
        <v>2419</v>
      </c>
      <c r="AE29" s="530"/>
    </row>
    <row r="30" spans="1:31" ht="25.5" customHeight="1">
      <c r="B30" s="531"/>
      <c r="C30" s="516"/>
      <c r="D30" s="516"/>
      <c r="E30" s="516"/>
      <c r="F30" s="516"/>
      <c r="G30" s="516"/>
      <c r="H30" s="516"/>
      <c r="I30" s="598" t="s">
        <v>342</v>
      </c>
      <c r="J30" s="516"/>
      <c r="K30" s="516"/>
      <c r="L30" s="516"/>
      <c r="M30" s="516"/>
      <c r="N30" s="516"/>
      <c r="O30" s="516"/>
      <c r="P30" s="516"/>
      <c r="Q30" s="516"/>
      <c r="R30" s="538"/>
      <c r="S30" s="516"/>
      <c r="T30" s="516"/>
      <c r="U30" s="537" t="s">
        <v>252</v>
      </c>
      <c r="V30" s="516"/>
      <c r="W30" s="516"/>
      <c r="X30" s="535"/>
      <c r="Y30" s="599"/>
      <c r="Z30" s="600"/>
      <c r="AA30" s="516"/>
      <c r="AB30" s="516"/>
      <c r="AC30" s="516"/>
      <c r="AD30" s="516"/>
      <c r="AE30" s="530"/>
    </row>
    <row r="31" spans="1:31" ht="25.5" customHeight="1">
      <c r="B31" s="531"/>
      <c r="C31" s="587"/>
      <c r="D31" s="516"/>
      <c r="E31" s="601"/>
      <c r="F31" s="516"/>
      <c r="G31" s="516"/>
      <c r="H31" s="516"/>
      <c r="I31" s="599"/>
      <c r="J31" s="602"/>
      <c r="K31" s="602"/>
      <c r="L31" s="602"/>
      <c r="M31" s="602"/>
      <c r="N31" s="602"/>
      <c r="O31" s="602"/>
      <c r="P31" s="602"/>
      <c r="Q31" s="602"/>
      <c r="R31" s="538"/>
      <c r="S31" s="516"/>
      <c r="T31" s="516"/>
      <c r="U31" s="553" t="s">
        <v>343</v>
      </c>
      <c r="V31" s="548">
        <f>(L14-80)/(X5-1)</f>
        <v>415.8</v>
      </c>
      <c r="W31" s="516"/>
      <c r="X31" s="535"/>
      <c r="Y31" s="603"/>
      <c r="Z31" s="604"/>
      <c r="AA31" s="604"/>
      <c r="AB31" s="604"/>
      <c r="AC31" s="604"/>
      <c r="AD31" s="604"/>
      <c r="AE31" s="605"/>
    </row>
    <row r="32" spans="1:31" ht="25.5" customHeight="1">
      <c r="B32" s="531"/>
      <c r="C32" s="538"/>
      <c r="D32" s="516"/>
      <c r="E32" s="606"/>
      <c r="F32" s="516"/>
      <c r="G32" s="516"/>
      <c r="H32" s="516"/>
      <c r="I32" s="2149" t="str">
        <f>+IF(DATI!$C$12=1,"","RETE GRIGIA")</f>
        <v>RETE GRIGIA</v>
      </c>
      <c r="J32" s="2150"/>
      <c r="K32" s="2150"/>
      <c r="L32" s="2150"/>
      <c r="M32" s="2150"/>
      <c r="N32" s="2150"/>
      <c r="O32" s="2150"/>
      <c r="P32" s="2150"/>
      <c r="Q32" s="2151"/>
      <c r="R32" s="560"/>
      <c r="S32" s="561"/>
      <c r="T32" s="561"/>
      <c r="U32" s="561"/>
      <c r="V32" s="561"/>
      <c r="W32" s="561"/>
      <c r="X32" s="562"/>
      <c r="Y32" s="607"/>
      <c r="Z32" s="608"/>
      <c r="AA32" s="608"/>
      <c r="AB32" s="608"/>
      <c r="AC32" s="608"/>
      <c r="AD32" s="608"/>
      <c r="AE32" s="609"/>
    </row>
    <row r="33" spans="2:31" ht="25.5" customHeight="1">
      <c r="B33" s="531"/>
      <c r="C33" s="538"/>
      <c r="D33" s="516"/>
      <c r="E33" s="606"/>
      <c r="F33" s="516"/>
      <c r="G33" s="516"/>
      <c r="H33" s="516"/>
      <c r="I33" s="670" t="s">
        <v>63</v>
      </c>
      <c r="J33" s="2085" t="s">
        <v>241</v>
      </c>
      <c r="K33" s="2085"/>
      <c r="L33" s="2085"/>
      <c r="M33" s="2085"/>
      <c r="N33" s="2085"/>
      <c r="O33" s="2085"/>
      <c r="P33" s="2085"/>
      <c r="Q33" s="2085"/>
      <c r="R33" s="538"/>
      <c r="S33" s="516"/>
      <c r="T33" s="516"/>
      <c r="U33" s="516"/>
      <c r="V33" s="516"/>
      <c r="W33" s="516"/>
      <c r="X33" s="535"/>
      <c r="Y33" s="607"/>
      <c r="Z33" s="608"/>
      <c r="AA33" s="608"/>
      <c r="AB33" s="608"/>
      <c r="AC33" s="608"/>
      <c r="AD33" s="608"/>
      <c r="AE33" s="609"/>
    </row>
    <row r="34" spans="2:31" ht="25.5" customHeight="1">
      <c r="B34" s="531"/>
      <c r="C34" s="538"/>
      <c r="D34" s="516"/>
      <c r="E34" s="606"/>
      <c r="F34" s="516"/>
      <c r="G34" s="516"/>
      <c r="H34" s="516"/>
      <c r="I34" s="643"/>
      <c r="J34" s="644"/>
      <c r="K34" s="644"/>
      <c r="L34" s="644"/>
      <c r="M34" s="644"/>
      <c r="N34" s="644"/>
      <c r="O34" s="644"/>
      <c r="P34" s="644"/>
      <c r="Q34" s="516"/>
      <c r="R34" s="538"/>
      <c r="S34" s="516"/>
      <c r="T34" s="516"/>
      <c r="U34" s="516"/>
      <c r="V34" s="516"/>
      <c r="W34" s="516"/>
      <c r="X34" s="535"/>
      <c r="Y34" s="607"/>
      <c r="Z34" s="608"/>
      <c r="AA34" s="608"/>
      <c r="AB34" s="608"/>
      <c r="AC34" s="608"/>
      <c r="AD34" s="608"/>
      <c r="AE34" s="609"/>
    </row>
    <row r="35" spans="2:31" ht="25.5" customHeight="1">
      <c r="B35" s="531"/>
      <c r="C35" s="538"/>
      <c r="D35" s="611"/>
      <c r="E35" s="606"/>
      <c r="F35" s="516"/>
      <c r="G35" s="516"/>
      <c r="H35" s="516"/>
      <c r="I35" s="643"/>
      <c r="J35" s="644"/>
      <c r="K35" s="644"/>
      <c r="L35" s="644"/>
      <c r="M35" s="645"/>
      <c r="N35" s="644"/>
      <c r="O35" s="644"/>
      <c r="P35" s="644"/>
      <c r="Q35" s="516"/>
      <c r="R35" s="538"/>
      <c r="S35" s="2086" t="s">
        <v>345</v>
      </c>
      <c r="T35" s="2087"/>
      <c r="U35" s="2087"/>
      <c r="V35" s="2087"/>
      <c r="W35" s="2088"/>
      <c r="X35" s="535"/>
      <c r="Y35" s="607"/>
      <c r="Z35" s="608"/>
      <c r="AA35" s="608"/>
      <c r="AB35" s="608"/>
      <c r="AC35" s="608"/>
      <c r="AD35" s="608"/>
      <c r="AE35" s="609"/>
    </row>
    <row r="36" spans="2:31" ht="25.5" customHeight="1">
      <c r="B36" s="531"/>
      <c r="C36" s="538"/>
      <c r="D36" s="516"/>
      <c r="E36" s="606"/>
      <c r="F36" s="559" t="s">
        <v>346</v>
      </c>
      <c r="G36" s="516"/>
      <c r="H36" s="516"/>
      <c r="I36" s="643"/>
      <c r="J36" s="644"/>
      <c r="K36" s="644"/>
      <c r="L36" s="644"/>
      <c r="M36" s="646" t="s">
        <v>37</v>
      </c>
      <c r="N36" s="647">
        <f>IF(X5="","",ROUNDUP(R5+(L14+(L14-80)/(X5-1))+140,-2))</f>
        <v>4200</v>
      </c>
      <c r="O36" s="647">
        <v>4</v>
      </c>
      <c r="P36" s="648" t="s">
        <v>171</v>
      </c>
      <c r="Q36" s="516"/>
      <c r="R36" s="538"/>
      <c r="S36" s="516"/>
      <c r="T36" s="516"/>
      <c r="U36" s="516"/>
      <c r="V36" s="516"/>
      <c r="W36" s="516"/>
      <c r="X36" s="535"/>
      <c r="Y36" s="607"/>
      <c r="Z36" s="608"/>
      <c r="AA36" s="608"/>
      <c r="AB36" s="608"/>
      <c r="AC36" s="608"/>
      <c r="AD36" s="608"/>
      <c r="AE36" s="609"/>
    </row>
    <row r="37" spans="2:31" ht="25.5" customHeight="1">
      <c r="B37" s="531"/>
      <c r="C37" s="538"/>
      <c r="D37" s="516"/>
      <c r="E37" s="606"/>
      <c r="F37" s="516"/>
      <c r="G37" s="516"/>
      <c r="H37" s="516"/>
      <c r="I37" s="643"/>
      <c r="J37" s="644"/>
      <c r="K37" s="644"/>
      <c r="L37" s="644"/>
      <c r="M37" s="649"/>
      <c r="N37" s="650"/>
      <c r="O37" s="650"/>
      <c r="P37" s="644"/>
      <c r="Q37" s="516"/>
      <c r="R37" s="538"/>
      <c r="S37" s="516"/>
      <c r="T37" s="547" t="s">
        <v>348</v>
      </c>
      <c r="U37" s="616">
        <f>R5-70+10</f>
        <v>1340</v>
      </c>
      <c r="V37" s="537"/>
      <c r="W37" s="539" t="s">
        <v>238</v>
      </c>
      <c r="X37" s="535"/>
      <c r="Y37" s="607"/>
      <c r="Z37" s="608"/>
      <c r="AA37" s="608"/>
      <c r="AB37" s="608"/>
      <c r="AC37" s="608"/>
      <c r="AD37" s="608"/>
      <c r="AE37" s="609"/>
    </row>
    <row r="38" spans="2:31" ht="25.5" customHeight="1">
      <c r="B38" s="531"/>
      <c r="C38" s="538"/>
      <c r="D38" s="516"/>
      <c r="E38" s="606"/>
      <c r="F38" s="516"/>
      <c r="G38" s="516"/>
      <c r="H38" s="516"/>
      <c r="I38" s="643"/>
      <c r="J38" s="644"/>
      <c r="K38" s="644"/>
      <c r="L38" s="644"/>
      <c r="M38" s="649"/>
      <c r="N38" s="655">
        <f>IF(X5&gt;4,ROUNDUP(R5+4*(L14-80)/(X5-1)+260,-2),"")</f>
        <v>3400</v>
      </c>
      <c r="O38" s="647" t="str">
        <f>IF(X5&lt;=4,"",IF(X5&gt;4,"2",""))</f>
        <v>2</v>
      </c>
      <c r="P38" s="648" t="str">
        <f>IF(X5&gt;4,"PZ","")</f>
        <v>PZ</v>
      </c>
      <c r="Q38" s="516"/>
      <c r="R38" s="538"/>
      <c r="S38" s="516"/>
      <c r="T38" s="516"/>
      <c r="U38" s="516"/>
      <c r="V38" s="516"/>
      <c r="W38" s="516"/>
      <c r="X38" s="535"/>
      <c r="Y38" s="607"/>
      <c r="Z38" s="608"/>
      <c r="AA38" s="608"/>
      <c r="AB38" s="608"/>
      <c r="AC38" s="608"/>
      <c r="AD38" s="608"/>
      <c r="AE38" s="609"/>
    </row>
    <row r="39" spans="2:31" ht="25.5" customHeight="1">
      <c r="B39" s="531"/>
      <c r="C39" s="538"/>
      <c r="D39" s="516"/>
      <c r="E39" s="606"/>
      <c r="F39" s="516"/>
      <c r="G39" s="516"/>
      <c r="H39" s="516"/>
      <c r="I39" s="643"/>
      <c r="J39" s="644"/>
      <c r="K39" s="644"/>
      <c r="L39" s="644"/>
      <c r="M39" s="646"/>
      <c r="N39" s="652" t="s">
        <v>37</v>
      </c>
      <c r="O39" s="653"/>
      <c r="P39" s="654" t="s">
        <v>37</v>
      </c>
      <c r="Q39" s="516"/>
      <c r="R39" s="538"/>
      <c r="S39" s="516"/>
      <c r="T39" s="516"/>
      <c r="U39" s="516"/>
      <c r="V39" s="516"/>
      <c r="W39" s="516"/>
      <c r="X39" s="535"/>
      <c r="Y39" s="607"/>
      <c r="Z39" s="608"/>
      <c r="AA39" s="608"/>
      <c r="AB39" s="608"/>
      <c r="AC39" s="608"/>
      <c r="AD39" s="608"/>
      <c r="AE39" s="609"/>
    </row>
    <row r="40" spans="2:31" ht="25.5" customHeight="1">
      <c r="B40" s="531"/>
      <c r="C40" s="538"/>
      <c r="D40" s="516"/>
      <c r="E40" s="606"/>
      <c r="F40" s="516"/>
      <c r="G40" s="516"/>
      <c r="H40" s="516"/>
      <c r="I40" s="643"/>
      <c r="J40" s="644"/>
      <c r="K40" s="644"/>
      <c r="L40" s="644"/>
      <c r="M40" s="646" t="s">
        <v>37</v>
      </c>
      <c r="N40" s="650"/>
      <c r="O40" s="650"/>
      <c r="P40" s="644"/>
      <c r="Q40" s="516"/>
      <c r="R40" s="538"/>
      <c r="S40" s="555"/>
      <c r="T40" s="533"/>
      <c r="U40" s="533"/>
      <c r="V40" s="533"/>
      <c r="W40" s="534"/>
      <c r="X40" s="535"/>
      <c r="Y40" s="607"/>
      <c r="Z40" s="608"/>
      <c r="AA40" s="608"/>
      <c r="AB40" s="608"/>
      <c r="AC40" s="608"/>
      <c r="AD40" s="608"/>
      <c r="AE40" s="609"/>
    </row>
    <row r="41" spans="2:31" ht="25.5" customHeight="1">
      <c r="B41" s="531"/>
      <c r="C41" s="538"/>
      <c r="D41" s="516"/>
      <c r="E41" s="606"/>
      <c r="F41" s="516"/>
      <c r="G41" s="516"/>
      <c r="H41" s="516"/>
      <c r="I41" s="643"/>
      <c r="J41" s="644"/>
      <c r="K41" s="644"/>
      <c r="L41" s="644"/>
      <c r="M41" s="646"/>
      <c r="Q41" s="516"/>
      <c r="R41" s="538"/>
      <c r="S41" s="516"/>
      <c r="T41" s="516"/>
      <c r="U41" s="522" t="s">
        <v>37</v>
      </c>
      <c r="V41" s="516"/>
      <c r="W41" s="516"/>
      <c r="X41" s="535"/>
      <c r="Y41" s="607"/>
      <c r="Z41" s="608"/>
      <c r="AA41" s="608"/>
      <c r="AB41" s="608"/>
      <c r="AC41" s="608"/>
      <c r="AD41" s="608"/>
      <c r="AE41" s="609"/>
    </row>
    <row r="42" spans="2:31" ht="25.5" customHeight="1">
      <c r="B42" s="531"/>
      <c r="C42" s="599"/>
      <c r="D42" s="516"/>
      <c r="E42" s="620"/>
      <c r="F42" s="516"/>
      <c r="G42" s="516"/>
      <c r="H42" s="516"/>
      <c r="I42" s="643"/>
      <c r="J42" s="644"/>
      <c r="K42" s="644"/>
      <c r="L42" s="644"/>
      <c r="M42" s="644"/>
      <c r="N42" s="655"/>
      <c r="O42" s="653"/>
      <c r="P42" s="656"/>
      <c r="Q42" s="516"/>
      <c r="R42" s="538"/>
      <c r="S42" s="516"/>
      <c r="T42" s="516"/>
      <c r="U42" s="516"/>
      <c r="V42" s="516"/>
      <c r="W42" s="516"/>
      <c r="X42" s="535"/>
      <c r="Y42" s="607"/>
      <c r="Z42" s="608"/>
      <c r="AA42" s="608"/>
      <c r="AB42" s="608"/>
      <c r="AC42" s="608"/>
      <c r="AD42" s="608"/>
      <c r="AE42" s="609"/>
    </row>
    <row r="43" spans="2:31" ht="25.5" customHeight="1">
      <c r="B43" s="531"/>
      <c r="C43" s="516"/>
      <c r="D43" s="516"/>
      <c r="E43" s="516"/>
      <c r="F43" s="516"/>
      <c r="G43" s="516"/>
      <c r="H43" s="535"/>
      <c r="I43" s="643"/>
      <c r="J43" s="644"/>
      <c r="K43" s="644"/>
      <c r="L43" s="644"/>
      <c r="M43" s="646" t="s">
        <v>37</v>
      </c>
      <c r="N43" s="644"/>
      <c r="O43" s="644"/>
      <c r="P43" s="644"/>
      <c r="Q43" s="516"/>
      <c r="R43" s="538"/>
      <c r="S43" s="621"/>
      <c r="T43" s="516"/>
      <c r="U43" s="516"/>
      <c r="V43" s="623" t="s">
        <v>350</v>
      </c>
      <c r="W43" s="516"/>
      <c r="X43" s="535"/>
      <c r="Y43" s="607"/>
      <c r="Z43" s="608"/>
      <c r="AA43" s="608"/>
      <c r="AB43" s="608"/>
      <c r="AC43" s="608"/>
      <c r="AD43" s="608"/>
      <c r="AE43" s="609"/>
    </row>
    <row r="44" spans="2:31" ht="25.5" customHeight="1">
      <c r="B44" s="531"/>
      <c r="C44" s="516"/>
      <c r="D44" s="516"/>
      <c r="E44" s="516"/>
      <c r="F44" s="537"/>
      <c r="G44" s="516"/>
      <c r="H44" s="535"/>
      <c r="I44" s="643"/>
      <c r="J44" s="644"/>
      <c r="K44" s="644"/>
      <c r="L44" s="644"/>
      <c r="M44" s="644"/>
      <c r="N44" s="651" t="str">
        <f>IF(X5&gt;=7,ROUNDUP(R5+6*(L14-80)/(X5-1)+260,-2),"")</f>
        <v/>
      </c>
      <c r="O44" s="647" t="str">
        <f>IF(X5&gt;=7,"2","")</f>
        <v/>
      </c>
      <c r="P44" s="651" t="str">
        <f>IF(X5&gt;=7,"PZ","")</f>
        <v/>
      </c>
      <c r="Q44" s="516"/>
      <c r="R44" s="538"/>
      <c r="S44" s="516"/>
      <c r="T44" s="516"/>
      <c r="U44" s="516"/>
      <c r="V44" s="624" t="s">
        <v>37</v>
      </c>
      <c r="W44" s="516"/>
      <c r="X44" s="535"/>
      <c r="Y44" s="607"/>
      <c r="Z44" s="608"/>
      <c r="AA44" s="608"/>
      <c r="AB44" s="608"/>
      <c r="AC44" s="608"/>
      <c r="AD44" s="608"/>
      <c r="AE44" s="609"/>
    </row>
    <row r="45" spans="2:31" ht="25.5" customHeight="1">
      <c r="B45" s="531"/>
      <c r="C45" s="625" t="s">
        <v>37</v>
      </c>
      <c r="D45" s="516" t="s">
        <v>37</v>
      </c>
      <c r="E45" s="516"/>
      <c r="F45" s="516"/>
      <c r="G45" s="516"/>
      <c r="H45" s="535"/>
      <c r="I45" s="643"/>
      <c r="J45" s="644"/>
      <c r="K45" s="644"/>
      <c r="L45" s="644"/>
      <c r="M45" s="646" t="s">
        <v>37</v>
      </c>
      <c r="N45" s="644"/>
      <c r="O45" s="644"/>
      <c r="P45" s="644"/>
      <c r="Q45" s="516"/>
      <c r="R45" s="538"/>
      <c r="S45" s="516"/>
      <c r="T45" s="516"/>
      <c r="U45" s="516"/>
      <c r="V45" s="547"/>
      <c r="W45" s="626"/>
      <c r="X45" s="535"/>
      <c r="Y45" s="607"/>
      <c r="Z45" s="608"/>
      <c r="AA45" s="608"/>
      <c r="AB45" s="608"/>
      <c r="AC45" s="608"/>
      <c r="AD45" s="608"/>
      <c r="AE45" s="609"/>
    </row>
    <row r="46" spans="2:31" ht="25.5" customHeight="1">
      <c r="B46" s="531"/>
      <c r="C46" s="516"/>
      <c r="D46" s="516"/>
      <c r="E46" s="516"/>
      <c r="F46" s="516"/>
      <c r="G46" s="516"/>
      <c r="H46" s="535"/>
      <c r="I46" s="643"/>
      <c r="J46" s="644"/>
      <c r="K46" s="644"/>
      <c r="L46" s="644"/>
      <c r="M46" s="649"/>
      <c r="N46" s="644"/>
      <c r="O46" s="644"/>
      <c r="P46" s="644"/>
      <c r="Q46" s="516"/>
      <c r="R46" s="538"/>
      <c r="S46" s="516"/>
      <c r="T46" s="547" t="s">
        <v>351</v>
      </c>
      <c r="U46" s="616">
        <f>U37</f>
        <v>1340</v>
      </c>
      <c r="V46" s="537"/>
      <c r="W46" s="539" t="s">
        <v>238</v>
      </c>
      <c r="X46" s="535"/>
      <c r="Y46" s="607"/>
      <c r="Z46" s="608"/>
      <c r="AA46" s="608"/>
      <c r="AB46" s="608"/>
      <c r="AC46" s="608"/>
      <c r="AD46" s="608"/>
      <c r="AE46" s="609"/>
    </row>
    <row r="47" spans="2:31" ht="25.5" customHeight="1">
      <c r="B47" s="531"/>
      <c r="C47" s="516"/>
      <c r="D47" s="516"/>
      <c r="E47" s="516"/>
      <c r="F47" s="522"/>
      <c r="G47" s="553" t="s">
        <v>352</v>
      </c>
      <c r="H47" s="535"/>
      <c r="I47" s="643"/>
      <c r="J47" s="644"/>
      <c r="K47" s="644"/>
      <c r="L47" s="644"/>
      <c r="M47" s="644"/>
      <c r="N47" s="644"/>
      <c r="O47" s="644"/>
      <c r="P47" s="644"/>
      <c r="Q47" s="516"/>
      <c r="R47" s="538"/>
      <c r="S47" s="516"/>
      <c r="T47" s="516"/>
      <c r="U47" s="516"/>
      <c r="V47" s="516"/>
      <c r="W47" s="516"/>
      <c r="X47" s="535"/>
      <c r="Y47" s="607"/>
      <c r="Z47" s="608"/>
      <c r="AA47" s="608"/>
      <c r="AB47" s="608"/>
      <c r="AC47" s="608"/>
      <c r="AD47" s="608"/>
      <c r="AE47" s="609"/>
    </row>
    <row r="48" spans="2:31" ht="25.5" customHeight="1">
      <c r="B48" s="531"/>
      <c r="C48" s="516"/>
      <c r="D48" s="516"/>
      <c r="E48" s="516"/>
      <c r="F48" s="516"/>
      <c r="G48" s="516"/>
      <c r="H48" s="535"/>
      <c r="I48" s="643"/>
      <c r="J48" s="644"/>
      <c r="K48" s="644"/>
      <c r="L48" s="644"/>
      <c r="M48" s="649"/>
      <c r="N48" s="651" t="s">
        <v>37</v>
      </c>
      <c r="O48" s="644"/>
      <c r="P48" s="644"/>
      <c r="Q48" s="516"/>
      <c r="R48" s="538"/>
      <c r="S48" s="516"/>
      <c r="T48" s="516"/>
      <c r="U48" s="516"/>
      <c r="V48" s="516"/>
      <c r="W48" s="516"/>
      <c r="X48" s="535"/>
      <c r="Y48" s="607"/>
      <c r="Z48" s="608"/>
      <c r="AA48" s="608"/>
      <c r="AB48" s="608"/>
      <c r="AC48" s="608"/>
      <c r="AD48" s="608"/>
      <c r="AE48" s="609"/>
    </row>
    <row r="49" spans="2:31" ht="25.5" customHeight="1">
      <c r="B49" s="627"/>
      <c r="C49" s="628" t="s">
        <v>353</v>
      </c>
      <c r="D49" s="534"/>
      <c r="E49" s="533"/>
      <c r="F49" s="629" t="s">
        <v>9</v>
      </c>
      <c r="G49" s="533" t="s">
        <v>37</v>
      </c>
      <c r="H49" s="534"/>
      <c r="I49" s="643"/>
      <c r="J49" s="644"/>
      <c r="K49" s="644"/>
      <c r="L49" s="644"/>
      <c r="M49" s="649"/>
      <c r="N49" s="644"/>
      <c r="O49" s="644"/>
      <c r="P49" s="644"/>
      <c r="Q49" s="516"/>
      <c r="R49" s="538"/>
      <c r="S49" s="555"/>
      <c r="T49" s="533"/>
      <c r="U49" s="533"/>
      <c r="V49" s="533"/>
      <c r="W49" s="534"/>
      <c r="X49" s="535"/>
      <c r="Y49" s="607"/>
      <c r="Z49" s="608"/>
      <c r="AA49" s="608"/>
      <c r="AB49" s="608"/>
      <c r="AC49" s="608"/>
      <c r="AD49" s="608"/>
      <c r="AE49" s="609"/>
    </row>
    <row r="50" spans="2:31" ht="25.5" customHeight="1">
      <c r="B50" s="630" t="s">
        <v>112</v>
      </c>
      <c r="C50" s="2089" t="s">
        <v>354</v>
      </c>
      <c r="D50" s="2090"/>
      <c r="E50" s="2091" t="str">
        <f>+DATI!M15</f>
        <v>RETE NERA</v>
      </c>
      <c r="F50" s="2092"/>
      <c r="G50" s="2092"/>
      <c r="H50" s="2093"/>
      <c r="I50" s="643"/>
      <c r="J50" s="644"/>
      <c r="K50" s="644"/>
      <c r="L50" s="644"/>
      <c r="M50" s="646"/>
      <c r="N50" s="644"/>
      <c r="O50" s="644"/>
      <c r="P50" s="644"/>
      <c r="Q50" s="516"/>
      <c r="R50" s="538"/>
      <c r="S50" s="516"/>
      <c r="T50" s="516"/>
      <c r="U50" s="522" t="s">
        <v>37</v>
      </c>
      <c r="V50" s="516"/>
      <c r="W50" s="516"/>
      <c r="X50" s="535"/>
      <c r="Y50" s="607"/>
      <c r="Z50" s="608"/>
      <c r="AA50" s="608"/>
      <c r="AB50" s="608"/>
      <c r="AC50" s="608"/>
      <c r="AD50" s="608"/>
      <c r="AE50" s="609"/>
    </row>
    <row r="51" spans="2:31" ht="25.5" customHeight="1">
      <c r="B51" s="631"/>
      <c r="C51" s="527"/>
      <c r="D51" s="528"/>
      <c r="E51" s="2091"/>
      <c r="F51" s="2092"/>
      <c r="G51" s="2092"/>
      <c r="H51" s="2093"/>
      <c r="I51" s="643"/>
      <c r="J51" s="644"/>
      <c r="K51" s="644"/>
      <c r="L51" s="644"/>
      <c r="M51" s="649"/>
      <c r="N51" s="651" t="s">
        <v>37</v>
      </c>
      <c r="O51" s="644"/>
      <c r="P51" s="644"/>
      <c r="Q51" s="516"/>
      <c r="R51" s="538"/>
      <c r="S51" s="516"/>
      <c r="T51" s="516"/>
      <c r="U51" s="516"/>
      <c r="V51" s="516"/>
      <c r="W51" s="516"/>
      <c r="X51" s="535"/>
      <c r="Y51" s="607"/>
      <c r="Z51" s="608"/>
      <c r="AA51" s="608"/>
      <c r="AB51" s="608"/>
      <c r="AC51" s="608"/>
      <c r="AD51" s="608"/>
      <c r="AE51" s="609"/>
    </row>
    <row r="52" spans="2:31" ht="25.5" customHeight="1">
      <c r="B52" s="632"/>
      <c r="C52" s="516"/>
      <c r="D52" s="535"/>
      <c r="E52" s="2091"/>
      <c r="F52" s="2092"/>
      <c r="G52" s="2092"/>
      <c r="H52" s="2093"/>
      <c r="I52" s="643"/>
      <c r="J52" s="644"/>
      <c r="K52" s="644"/>
      <c r="L52" s="644"/>
      <c r="M52" s="644"/>
      <c r="N52" s="644"/>
      <c r="O52" s="644"/>
      <c r="P52" s="644"/>
      <c r="Q52" s="516"/>
      <c r="R52" s="538"/>
      <c r="S52" s="516"/>
      <c r="T52" s="516"/>
      <c r="U52" s="516"/>
      <c r="V52" s="516"/>
      <c r="W52" s="516"/>
      <c r="X52" s="535"/>
      <c r="Y52" s="607"/>
      <c r="Z52" s="608"/>
      <c r="AA52" s="608"/>
      <c r="AB52" s="608"/>
      <c r="AC52" s="608"/>
      <c r="AD52" s="608"/>
      <c r="AE52" s="609"/>
    </row>
    <row r="53" spans="2:31" ht="25.5" customHeight="1">
      <c r="B53" s="632"/>
      <c r="C53" s="516"/>
      <c r="D53" s="535"/>
      <c r="E53" s="633" t="s">
        <v>355</v>
      </c>
      <c r="F53" s="533"/>
      <c r="G53" s="533" t="s">
        <v>260</v>
      </c>
      <c r="H53" s="534"/>
      <c r="I53" s="644"/>
      <c r="J53" s="644"/>
      <c r="K53" s="644"/>
      <c r="L53" s="644"/>
      <c r="M53" s="644"/>
      <c r="N53" s="644"/>
      <c r="O53" s="644"/>
      <c r="P53" s="644"/>
      <c r="Q53" s="516"/>
      <c r="R53" s="538"/>
      <c r="S53" s="516"/>
      <c r="T53" s="516"/>
      <c r="U53" s="516"/>
      <c r="V53" s="516"/>
      <c r="W53" s="516"/>
      <c r="X53" s="535"/>
      <c r="Y53" s="607"/>
      <c r="Z53" s="608"/>
      <c r="AA53" s="608"/>
      <c r="AB53" s="608"/>
      <c r="AC53" s="608"/>
      <c r="AD53" s="608"/>
      <c r="AE53" s="609"/>
    </row>
    <row r="54" spans="2:31" ht="25.5" customHeight="1">
      <c r="B54" s="632"/>
      <c r="C54" s="516"/>
      <c r="D54" s="535"/>
      <c r="E54" s="516"/>
      <c r="F54" s="516"/>
      <c r="G54" s="516"/>
      <c r="H54" s="535"/>
      <c r="I54" s="2146" t="s">
        <v>357</v>
      </c>
      <c r="J54" s="2147"/>
      <c r="K54" s="2147"/>
      <c r="L54" s="2147"/>
      <c r="M54" s="2147"/>
      <c r="N54" s="2147"/>
      <c r="O54" s="2147"/>
      <c r="P54" s="2147"/>
      <c r="Q54" s="2148"/>
      <c r="R54" s="538"/>
      <c r="S54" s="516"/>
      <c r="T54" s="516"/>
      <c r="U54" s="516"/>
      <c r="V54" s="516"/>
      <c r="W54" s="516"/>
      <c r="X54" s="535"/>
      <c r="Y54" s="607"/>
      <c r="Z54" s="608"/>
      <c r="AA54" s="608"/>
      <c r="AB54" s="608"/>
      <c r="AC54" s="608"/>
      <c r="AD54" s="608"/>
      <c r="AE54" s="609"/>
    </row>
    <row r="55" spans="2:31" ht="25.5" customHeight="1" thickBot="1">
      <c r="B55" s="634"/>
      <c r="C55" s="635"/>
      <c r="D55" s="636"/>
      <c r="E55" s="635"/>
      <c r="F55" s="635"/>
      <c r="G55" s="635"/>
      <c r="H55" s="635"/>
      <c r="I55" s="637"/>
      <c r="J55" s="635"/>
      <c r="K55" s="635"/>
      <c r="L55" s="635"/>
      <c r="M55" s="635"/>
      <c r="N55" s="635"/>
      <c r="O55" s="635"/>
      <c r="P55" s="635"/>
      <c r="Q55" s="636"/>
      <c r="R55" s="635"/>
      <c r="S55" s="635"/>
      <c r="T55" s="635"/>
      <c r="U55" s="635"/>
      <c r="V55" s="635"/>
      <c r="W55" s="635"/>
      <c r="X55" s="636"/>
      <c r="Y55" s="638"/>
      <c r="Z55" s="639"/>
      <c r="AA55" s="639"/>
      <c r="AB55" s="639"/>
      <c r="AC55" s="639"/>
      <c r="AD55" s="639"/>
      <c r="AE55" s="640"/>
    </row>
    <row r="56" spans="2:31" ht="99" customHeight="1"/>
  </sheetData>
  <mergeCells count="44">
    <mergeCell ref="B2:AE2"/>
    <mergeCell ref="B4:D4"/>
    <mergeCell ref="E4:G4"/>
    <mergeCell ref="H4:J4"/>
    <mergeCell ref="K4:M4"/>
    <mergeCell ref="N4:Q5"/>
    <mergeCell ref="R4:S4"/>
    <mergeCell ref="T4:U5"/>
    <mergeCell ref="V4:W4"/>
    <mergeCell ref="X4:Z4"/>
    <mergeCell ref="AA4:AB4"/>
    <mergeCell ref="AD4:AE4"/>
    <mergeCell ref="B5:D5"/>
    <mergeCell ref="E5:G5"/>
    <mergeCell ref="H5:J5"/>
    <mergeCell ref="R5:S5"/>
    <mergeCell ref="V5:W5"/>
    <mergeCell ref="X5:Z5"/>
    <mergeCell ref="AA5:AB5"/>
    <mergeCell ref="AD5:AE5"/>
    <mergeCell ref="AA7:AE7"/>
    <mergeCell ref="I54:Q54"/>
    <mergeCell ref="I32:Q32"/>
    <mergeCell ref="C15:D15"/>
    <mergeCell ref="C17:D18"/>
    <mergeCell ref="S18:W18"/>
    <mergeCell ref="C21:H21"/>
    <mergeCell ref="O27:P27"/>
    <mergeCell ref="K5:M5"/>
    <mergeCell ref="Y29:Z29"/>
    <mergeCell ref="J33:Q33"/>
    <mergeCell ref="S35:W35"/>
    <mergeCell ref="C50:D50"/>
    <mergeCell ref="E50:H52"/>
    <mergeCell ref="Y28:Z28"/>
    <mergeCell ref="C7:H7"/>
    <mergeCell ref="J7:Q7"/>
    <mergeCell ref="S7:X7"/>
    <mergeCell ref="Y7:Z7"/>
    <mergeCell ref="L8:P13"/>
    <mergeCell ref="C9:D9"/>
    <mergeCell ref="S9:W9"/>
    <mergeCell ref="C11:D11"/>
    <mergeCell ref="C13:D13"/>
  </mergeCells>
  <conditionalFormatting sqref="E50">
    <cfRule type="expression" dxfId="8" priority="1" stopIfTrue="1">
      <formula>IF($AG$11=1,1,0)</formula>
    </cfRule>
  </conditionalFormatting>
  <pageMargins left="0" right="0" top="0" bottom="0" header="0" footer="0"/>
  <pageSetup paperSize="9" scale="3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>
    <tabColor indexed="43"/>
  </sheetPr>
  <dimension ref="A1:AM56"/>
  <sheetViews>
    <sheetView workbookViewId="0">
      <selection activeCell="C21" sqref="C21:H21"/>
    </sheetView>
  </sheetViews>
  <sheetFormatPr defaultRowHeight="18.75"/>
  <cols>
    <col min="1" max="1" width="4.42578125" style="515" customWidth="1"/>
    <col min="2" max="2" width="14" style="515" customWidth="1"/>
    <col min="3" max="3" width="12.7109375" style="515" customWidth="1"/>
    <col min="4" max="4" width="14.85546875" style="515" customWidth="1"/>
    <col min="5" max="5" width="17.42578125" style="515" customWidth="1"/>
    <col min="6" max="6" width="13.7109375" style="515" customWidth="1"/>
    <col min="7" max="7" width="16.5703125" style="515" customWidth="1"/>
    <col min="8" max="8" width="6" style="515" customWidth="1"/>
    <col min="9" max="11" width="14.85546875" style="515" customWidth="1"/>
    <col min="12" max="12" width="19.42578125" style="515" customWidth="1"/>
    <col min="13" max="13" width="14.85546875" style="515" customWidth="1"/>
    <col min="14" max="14" width="15.5703125" style="515" customWidth="1"/>
    <col min="15" max="15" width="14.42578125" style="515" customWidth="1"/>
    <col min="16" max="16" width="14.85546875" style="515" customWidth="1"/>
    <col min="17" max="17" width="12" style="515" customWidth="1"/>
    <col min="18" max="18" width="14.85546875" style="515" customWidth="1"/>
    <col min="19" max="19" width="12" style="515" customWidth="1"/>
    <col min="20" max="20" width="14.85546875" style="515" customWidth="1"/>
    <col min="21" max="21" width="15.140625" style="515" customWidth="1"/>
    <col min="22" max="22" width="22.85546875" style="515" bestFit="1" customWidth="1"/>
    <col min="23" max="23" width="14.85546875" style="515" customWidth="1"/>
    <col min="24" max="24" width="5.5703125" style="515" customWidth="1"/>
    <col min="25" max="25" width="7.7109375" style="515" customWidth="1"/>
    <col min="26" max="26" width="14.85546875" style="515" customWidth="1"/>
    <col min="27" max="27" width="15.42578125" style="515" customWidth="1"/>
    <col min="28" max="28" width="12.140625" style="515" customWidth="1"/>
    <col min="29" max="29" width="18.5703125" style="515" customWidth="1"/>
    <col min="30" max="30" width="15.5703125" style="515" customWidth="1"/>
    <col min="31" max="31" width="5" style="515" customWidth="1"/>
    <col min="32" max="32" width="9.140625" style="515"/>
    <col min="33" max="33" width="42.7109375" style="515" bestFit="1" customWidth="1"/>
    <col min="34" max="37" width="9.140625" style="515"/>
    <col min="38" max="38" width="22.7109375" style="515" bestFit="1" customWidth="1"/>
    <col min="39" max="16384" width="9.140625" style="515"/>
  </cols>
  <sheetData>
    <row r="1" spans="2:39" ht="30" customHeight="1"/>
    <row r="2" spans="2:39" ht="31.5" customHeight="1">
      <c r="B2" s="2126" t="s">
        <v>417</v>
      </c>
      <c r="C2" s="2127"/>
      <c r="D2" s="2127"/>
      <c r="E2" s="2127"/>
      <c r="F2" s="2127"/>
      <c r="G2" s="2127"/>
      <c r="H2" s="2127"/>
      <c r="I2" s="2127"/>
      <c r="J2" s="2127"/>
      <c r="K2" s="2127"/>
      <c r="L2" s="2127"/>
      <c r="M2" s="2127"/>
      <c r="N2" s="2127"/>
      <c r="O2" s="2127"/>
      <c r="P2" s="2127"/>
      <c r="Q2" s="2127"/>
      <c r="R2" s="2127"/>
      <c r="S2" s="2127"/>
      <c r="T2" s="2127"/>
      <c r="U2" s="2127"/>
      <c r="V2" s="2127"/>
      <c r="W2" s="2127"/>
      <c r="X2" s="2127"/>
      <c r="Y2" s="2127"/>
      <c r="Z2" s="2127"/>
      <c r="AA2" s="2127"/>
      <c r="AB2" s="2127"/>
      <c r="AC2" s="2127"/>
      <c r="AD2" s="2127"/>
      <c r="AE2" s="2128"/>
    </row>
    <row r="3" spans="2:39" s="519" customFormat="1" ht="42" customHeight="1" thickBot="1">
      <c r="B3" s="515"/>
      <c r="C3" s="515"/>
      <c r="D3" s="515"/>
      <c r="E3" s="515"/>
      <c r="F3" s="515"/>
      <c r="G3" s="515"/>
      <c r="H3" s="515"/>
      <c r="I3" s="515"/>
      <c r="J3" s="515"/>
      <c r="K3" s="515"/>
      <c r="L3" s="516"/>
      <c r="M3" s="516"/>
      <c r="N3" s="516"/>
      <c r="O3" s="516"/>
      <c r="P3" s="516"/>
      <c r="Q3" s="516"/>
      <c r="R3" s="516"/>
      <c r="S3" s="516"/>
      <c r="T3" s="516"/>
      <c r="U3" s="516"/>
      <c r="V3" s="515"/>
      <c r="W3" s="515"/>
      <c r="X3" s="515"/>
      <c r="Y3" s="515"/>
      <c r="Z3" s="515"/>
      <c r="AA3" s="515"/>
      <c r="AB3" s="515"/>
      <c r="AC3" s="517"/>
      <c r="AD3" s="518"/>
      <c r="AE3" s="515"/>
      <c r="AG3" s="515"/>
      <c r="AH3" s="515"/>
      <c r="AI3" s="515"/>
      <c r="AJ3" s="515"/>
      <c r="AK3" s="515"/>
      <c r="AL3" s="515"/>
      <c r="AM3" s="515"/>
    </row>
    <row r="4" spans="2:39" ht="45" customHeight="1">
      <c r="B4" s="2129" t="s">
        <v>296</v>
      </c>
      <c r="C4" s="2130"/>
      <c r="D4" s="2131"/>
      <c r="E4" s="2130" t="s">
        <v>214</v>
      </c>
      <c r="F4" s="2130"/>
      <c r="G4" s="2131"/>
      <c r="H4" s="2130" t="s">
        <v>137</v>
      </c>
      <c r="I4" s="2130"/>
      <c r="J4" s="2131"/>
      <c r="K4" s="2132" t="s">
        <v>2</v>
      </c>
      <c r="L4" s="2132"/>
      <c r="M4" s="2133"/>
      <c r="N4" s="2134" t="s">
        <v>43</v>
      </c>
      <c r="O4" s="2135"/>
      <c r="P4" s="2135"/>
      <c r="Q4" s="2136"/>
      <c r="R4" s="2140" t="s">
        <v>297</v>
      </c>
      <c r="S4" s="2140"/>
      <c r="T4" s="2141" t="s">
        <v>144</v>
      </c>
      <c r="U4" s="2141"/>
      <c r="V4" s="2140" t="s">
        <v>298</v>
      </c>
      <c r="W4" s="2143"/>
      <c r="X4" s="2144" t="s">
        <v>299</v>
      </c>
      <c r="Y4" s="2130"/>
      <c r="Z4" s="2131"/>
      <c r="AA4" s="2144" t="s">
        <v>7</v>
      </c>
      <c r="AB4" s="2131"/>
      <c r="AC4" s="520" t="s">
        <v>300</v>
      </c>
      <c r="AD4" s="2130" t="s">
        <v>301</v>
      </c>
      <c r="AE4" s="2145"/>
    </row>
    <row r="5" spans="2:39" ht="39.75" customHeight="1" thickBot="1">
      <c r="B5" s="2111"/>
      <c r="C5" s="2112"/>
      <c r="D5" s="2113"/>
      <c r="E5" s="2114">
        <f>+DATI!C4</f>
        <v>0</v>
      </c>
      <c r="F5" s="2115"/>
      <c r="G5" s="2116"/>
      <c r="H5" s="2114"/>
      <c r="I5" s="2112"/>
      <c r="J5" s="2113"/>
      <c r="K5" s="2094">
        <f>+DATI!C5</f>
        <v>42370</v>
      </c>
      <c r="L5" s="2095"/>
      <c r="M5" s="2096"/>
      <c r="N5" s="2137"/>
      <c r="O5" s="2138"/>
      <c r="P5" s="2138"/>
      <c r="Q5" s="2139"/>
      <c r="R5" s="2109">
        <f>E18</f>
        <v>1400</v>
      </c>
      <c r="S5" s="2109"/>
      <c r="T5" s="2142"/>
      <c r="U5" s="2142"/>
      <c r="V5" s="2109">
        <f>G18</f>
        <v>2200</v>
      </c>
      <c r="W5" s="2110"/>
      <c r="X5" s="2122">
        <f>IF(V5="","",IF(V5&lt;0,"ERRORE ALTEZZA MINIMA",IF(V5&lt;510,2,IF(V5&lt;1472,4,IF(V5&lt;2372,6,IF(V5&lt;2642,8,""))))))</f>
        <v>6</v>
      </c>
      <c r="Y5" s="2112"/>
      <c r="Z5" s="2113"/>
      <c r="AA5" s="2122" t="str">
        <f>+E11</f>
        <v>06.NERO</v>
      </c>
      <c r="AB5" s="2113"/>
      <c r="AC5" s="521" t="str">
        <f>E13</f>
        <v>1</v>
      </c>
      <c r="AD5" s="2123" t="s">
        <v>171</v>
      </c>
      <c r="AE5" s="2124"/>
    </row>
    <row r="6" spans="2:39" ht="30" customHeight="1" thickBot="1">
      <c r="B6" s="516"/>
      <c r="C6" s="522"/>
      <c r="D6" s="516"/>
      <c r="E6" s="516"/>
      <c r="F6" s="522"/>
      <c r="G6" s="516"/>
      <c r="H6" s="516"/>
      <c r="I6" s="522"/>
      <c r="J6" s="516"/>
      <c r="K6" s="516"/>
      <c r="L6" s="522"/>
      <c r="M6" s="516"/>
      <c r="N6" s="516"/>
      <c r="O6" s="522"/>
      <c r="P6" s="522"/>
      <c r="Q6" s="516"/>
      <c r="R6" s="516"/>
      <c r="S6" s="522" t="str">
        <f>IF(R5&gt;2700,"ATTENZIONE LARGHEZZA MAX 2700","")</f>
        <v/>
      </c>
      <c r="T6" s="523"/>
      <c r="U6" s="516"/>
      <c r="V6" s="522" t="s">
        <v>37</v>
      </c>
      <c r="W6" s="516"/>
      <c r="X6" s="516"/>
      <c r="Y6" s="522" t="str">
        <f>IF(V5&lt;300,"ATTENZIONE ALTEZZA MIN 300",IF(V5&gt;2580,"ATTENZIONE ALTEZZA MAX 2600",""))</f>
        <v/>
      </c>
      <c r="Z6" s="516"/>
      <c r="AA6" s="522"/>
      <c r="AB6" s="516"/>
      <c r="AC6" s="522"/>
      <c r="AD6" s="516"/>
    </row>
    <row r="7" spans="2:39" ht="25.5" customHeight="1">
      <c r="B7" s="524" t="s">
        <v>40</v>
      </c>
      <c r="C7" s="2106" t="s">
        <v>41</v>
      </c>
      <c r="D7" s="2106"/>
      <c r="E7" s="2106"/>
      <c r="F7" s="2106"/>
      <c r="G7" s="2106"/>
      <c r="H7" s="2107"/>
      <c r="I7" s="525" t="s">
        <v>52</v>
      </c>
      <c r="J7" s="2117" t="s">
        <v>302</v>
      </c>
      <c r="K7" s="2117"/>
      <c r="L7" s="2117"/>
      <c r="M7" s="2117"/>
      <c r="N7" s="2117"/>
      <c r="O7" s="2117"/>
      <c r="P7" s="2117"/>
      <c r="Q7" s="2117"/>
      <c r="R7" s="525" t="s">
        <v>58</v>
      </c>
      <c r="S7" s="2117" t="s">
        <v>303</v>
      </c>
      <c r="T7" s="2117"/>
      <c r="U7" s="2117"/>
      <c r="V7" s="2117"/>
      <c r="W7" s="2117"/>
      <c r="X7" s="2117"/>
      <c r="Y7" s="2118" t="s">
        <v>58</v>
      </c>
      <c r="Z7" s="2119"/>
      <c r="AA7" s="2117" t="s">
        <v>304</v>
      </c>
      <c r="AB7" s="2117"/>
      <c r="AC7" s="2117"/>
      <c r="AD7" s="2117"/>
      <c r="AE7" s="2125"/>
    </row>
    <row r="8" spans="2:39" ht="25.5" customHeight="1">
      <c r="B8" s="526"/>
      <c r="C8" s="527"/>
      <c r="D8" s="527"/>
      <c r="E8" s="527"/>
      <c r="F8" s="527"/>
      <c r="G8" s="527"/>
      <c r="H8" s="528"/>
      <c r="I8" s="527"/>
      <c r="J8" s="527"/>
      <c r="K8" s="527"/>
      <c r="L8" s="2120" t="e">
        <f>IF(DATI!E13="AUTOMATICA",CONCATENATE("*",DATI!E14,"-",REPT("0",4-LEN(L14)),L14,"*"),CONCATENATE("*",DATI!L14,(REPT("0",3-LEN(J9))),J9,(REPT("0",4-LEN(L14))),L14,DATI!L13,"*"))</f>
        <v>#VALUE!</v>
      </c>
      <c r="M8" s="2120"/>
      <c r="N8" s="2120"/>
      <c r="O8" s="2120"/>
      <c r="P8" s="2120"/>
      <c r="Q8" s="527"/>
      <c r="R8" s="529"/>
      <c r="S8" s="527"/>
      <c r="T8" s="527"/>
      <c r="U8" s="527"/>
      <c r="V8" s="527"/>
      <c r="W8" s="527"/>
      <c r="X8" s="528"/>
      <c r="Y8" s="527"/>
      <c r="Z8" s="527"/>
      <c r="AA8" s="527"/>
      <c r="AB8" s="527"/>
      <c r="AC8" s="527"/>
      <c r="AD8" s="516"/>
      <c r="AE8" s="530"/>
    </row>
    <row r="9" spans="2:39" ht="25.5" customHeight="1">
      <c r="B9" s="531"/>
      <c r="C9" s="2100" t="s">
        <v>3</v>
      </c>
      <c r="D9" s="2101"/>
      <c r="E9" s="532">
        <f>+DATI!C6</f>
        <v>0</v>
      </c>
      <c r="F9" s="533"/>
      <c r="G9" s="534"/>
      <c r="H9" s="535"/>
      <c r="I9" s="516"/>
      <c r="J9" s="536">
        <f>ROUNDUP((R5-48)*0.036,0)</f>
        <v>49</v>
      </c>
      <c r="K9" s="537" t="s">
        <v>305</v>
      </c>
      <c r="L9" s="2121"/>
      <c r="M9" s="2121"/>
      <c r="N9" s="2121"/>
      <c r="O9" s="2121"/>
      <c r="P9" s="2121"/>
      <c r="Q9" s="516"/>
      <c r="R9" s="538"/>
      <c r="S9" s="2086" t="s">
        <v>306</v>
      </c>
      <c r="T9" s="2087"/>
      <c r="U9" s="2087"/>
      <c r="V9" s="2087"/>
      <c r="W9" s="2088"/>
      <c r="X9" s="535"/>
      <c r="Y9" s="516"/>
      <c r="Z9" s="516"/>
      <c r="AA9" s="516"/>
      <c r="AB9" s="516"/>
      <c r="AC9" s="516"/>
      <c r="AD9" s="516"/>
      <c r="AE9" s="530"/>
    </row>
    <row r="10" spans="2:39" ht="25.5" customHeight="1">
      <c r="B10" s="531"/>
      <c r="C10" s="516"/>
      <c r="D10" s="516"/>
      <c r="E10" s="516"/>
      <c r="F10" s="516"/>
      <c r="G10" s="516"/>
      <c r="H10" s="535"/>
      <c r="I10" s="516"/>
      <c r="J10" s="516"/>
      <c r="K10" s="516"/>
      <c r="L10" s="2121"/>
      <c r="M10" s="2121"/>
      <c r="N10" s="2121"/>
      <c r="O10" s="2121"/>
      <c r="P10" s="2121"/>
      <c r="Q10" s="537"/>
      <c r="R10" s="538"/>
      <c r="S10" s="516"/>
      <c r="T10" s="516"/>
      <c r="U10" s="516"/>
      <c r="V10" s="516"/>
      <c r="W10" s="539"/>
      <c r="X10" s="535"/>
      <c r="Y10" s="516"/>
      <c r="Z10" s="540"/>
      <c r="AA10" s="541" t="s">
        <v>307</v>
      </c>
      <c r="AB10" s="542"/>
      <c r="AC10" s="543" t="s">
        <v>308</v>
      </c>
      <c r="AD10" s="544" t="s">
        <v>309</v>
      </c>
      <c r="AE10" s="530"/>
    </row>
    <row r="11" spans="2:39" ht="25.5" customHeight="1">
      <c r="B11" s="531"/>
      <c r="C11" s="2100" t="s">
        <v>7</v>
      </c>
      <c r="D11" s="2101"/>
      <c r="E11" s="545" t="str">
        <f>+DATI!C10</f>
        <v>06.NERO</v>
      </c>
      <c r="F11" s="546"/>
      <c r="G11" s="534"/>
      <c r="H11" s="535"/>
      <c r="I11" s="516"/>
      <c r="J11" s="516"/>
      <c r="K11" s="516"/>
      <c r="L11" s="2121"/>
      <c r="M11" s="2121"/>
      <c r="N11" s="2121"/>
      <c r="O11" s="2121"/>
      <c r="P11" s="2121"/>
      <c r="Q11" s="516"/>
      <c r="R11" s="538"/>
      <c r="S11" s="516"/>
      <c r="T11" s="547" t="s">
        <v>310</v>
      </c>
      <c r="U11" s="548">
        <f>V5-123+10</f>
        <v>2087</v>
      </c>
      <c r="V11" s="539"/>
      <c r="W11" s="539" t="s">
        <v>324</v>
      </c>
      <c r="X11" s="535"/>
      <c r="Y11" s="516"/>
      <c r="Z11" s="540" t="s">
        <v>311</v>
      </c>
      <c r="AA11" s="540"/>
      <c r="AB11" s="542"/>
      <c r="AC11" s="549"/>
      <c r="AD11" s="550" t="s">
        <v>246</v>
      </c>
      <c r="AE11" s="530"/>
    </row>
    <row r="12" spans="2:39" ht="25.5" customHeight="1">
      <c r="B12" s="531"/>
      <c r="C12" s="516"/>
      <c r="D12" s="516"/>
      <c r="E12" s="516"/>
      <c r="F12" s="516"/>
      <c r="G12" s="516"/>
      <c r="H12" s="535"/>
      <c r="I12" s="516"/>
      <c r="J12" s="516"/>
      <c r="K12" s="516"/>
      <c r="L12" s="2121"/>
      <c r="M12" s="2121"/>
      <c r="N12" s="2121"/>
      <c r="O12" s="2121"/>
      <c r="P12" s="2121"/>
      <c r="Q12" s="516"/>
      <c r="R12" s="538"/>
      <c r="S12" s="516"/>
      <c r="T12" s="516"/>
      <c r="U12" s="516"/>
      <c r="V12" s="516"/>
      <c r="W12" s="516"/>
      <c r="X12" s="535"/>
      <c r="Y12" s="516"/>
      <c r="Z12" s="540" t="s">
        <v>312</v>
      </c>
      <c r="AA12" s="540"/>
      <c r="AB12" s="542"/>
      <c r="AC12" s="551">
        <f>R5-70</f>
        <v>1330</v>
      </c>
      <c r="AD12" s="550" t="s">
        <v>246</v>
      </c>
      <c r="AE12" s="530"/>
    </row>
    <row r="13" spans="2:39" ht="25.5" customHeight="1">
      <c r="B13" s="531"/>
      <c r="C13" s="2100" t="s">
        <v>313</v>
      </c>
      <c r="D13" s="2101"/>
      <c r="E13" s="552" t="str">
        <f>+DATI!C11</f>
        <v>1</v>
      </c>
      <c r="F13" s="533"/>
      <c r="G13" s="534"/>
      <c r="H13" s="535"/>
      <c r="I13" s="516"/>
      <c r="J13" s="516"/>
      <c r="K13" s="516"/>
      <c r="L13" s="2121"/>
      <c r="M13" s="2121"/>
      <c r="N13" s="2121"/>
      <c r="O13" s="2121"/>
      <c r="P13" s="2121"/>
      <c r="Q13" s="516"/>
      <c r="R13" s="538"/>
      <c r="S13" s="516"/>
      <c r="T13" s="516"/>
      <c r="U13" s="516"/>
      <c r="V13" s="516"/>
      <c r="W13" s="516"/>
      <c r="X13" s="535"/>
      <c r="Y13" s="516"/>
      <c r="Z13" s="540" t="s">
        <v>203</v>
      </c>
      <c r="AA13" s="540"/>
      <c r="AB13" s="542"/>
      <c r="AC13" s="551">
        <f>AC12</f>
        <v>1330</v>
      </c>
      <c r="AD13" s="550" t="s">
        <v>246</v>
      </c>
      <c r="AE13" s="530"/>
    </row>
    <row r="14" spans="2:39" ht="25.5" customHeight="1">
      <c r="B14" s="531"/>
      <c r="C14" s="516"/>
      <c r="D14" s="516"/>
      <c r="E14" s="516"/>
      <c r="F14" s="516"/>
      <c r="G14" s="516"/>
      <c r="H14" s="535"/>
      <c r="I14" s="516"/>
      <c r="J14" s="516"/>
      <c r="K14" s="553" t="s">
        <v>314</v>
      </c>
      <c r="L14" s="548">
        <f>V5-51+10</f>
        <v>2159</v>
      </c>
      <c r="M14" s="516"/>
      <c r="N14" s="516"/>
      <c r="O14" s="554" t="s">
        <v>324</v>
      </c>
      <c r="P14" s="554"/>
      <c r="Q14" s="516"/>
      <c r="R14" s="538"/>
      <c r="S14" s="555"/>
      <c r="T14" s="533"/>
      <c r="U14" s="533"/>
      <c r="V14" s="533"/>
      <c r="W14" s="534"/>
      <c r="X14" s="535"/>
      <c r="Y14" s="516"/>
      <c r="Z14" s="540" t="s">
        <v>315</v>
      </c>
      <c r="AA14" s="540"/>
      <c r="AB14" s="540"/>
      <c r="AC14" s="551">
        <f>R5-28</f>
        <v>1372</v>
      </c>
      <c r="AD14" s="550">
        <v>1</v>
      </c>
      <c r="AE14" s="530"/>
    </row>
    <row r="15" spans="2:39" ht="25.5" customHeight="1">
      <c r="B15" s="531"/>
      <c r="C15" s="2100" t="s">
        <v>169</v>
      </c>
      <c r="D15" s="2101"/>
      <c r="E15" s="556" t="str">
        <f>+DATI!R5</f>
        <v>13-25</v>
      </c>
      <c r="F15" s="533"/>
      <c r="G15" s="534"/>
      <c r="H15" s="535"/>
      <c r="I15" s="538"/>
      <c r="J15" s="516"/>
      <c r="K15" s="516"/>
      <c r="L15" s="516"/>
      <c r="M15" s="516"/>
      <c r="N15" s="516"/>
      <c r="O15" s="516"/>
      <c r="P15" s="516"/>
      <c r="Q15" s="516"/>
      <c r="R15" s="538"/>
      <c r="S15" s="516"/>
      <c r="T15" s="516"/>
      <c r="U15" s="516"/>
      <c r="V15" s="516"/>
      <c r="W15" s="516"/>
      <c r="X15" s="535"/>
      <c r="Y15" s="516"/>
      <c r="Z15" s="540" t="s">
        <v>316</v>
      </c>
      <c r="AA15" s="540"/>
      <c r="AB15" s="540"/>
      <c r="AC15" s="557"/>
      <c r="AD15" s="550" t="str">
        <f>IF(R5&gt;899,"３","２")</f>
        <v>３</v>
      </c>
      <c r="AE15" s="530"/>
    </row>
    <row r="16" spans="2:39" ht="25.5" customHeight="1">
      <c r="B16" s="531"/>
      <c r="C16" s="516"/>
      <c r="D16" s="516"/>
      <c r="E16" s="516"/>
      <c r="F16" s="516"/>
      <c r="G16" s="516"/>
      <c r="H16" s="535"/>
      <c r="I16" s="558"/>
      <c r="J16" s="537"/>
      <c r="K16" s="553"/>
      <c r="L16" s="553"/>
      <c r="M16" s="553"/>
      <c r="N16" s="553"/>
      <c r="O16" s="553"/>
      <c r="P16" s="553"/>
      <c r="Q16" s="559"/>
      <c r="R16" s="560"/>
      <c r="S16" s="561"/>
      <c r="T16" s="561"/>
      <c r="U16" s="561"/>
      <c r="V16" s="561"/>
      <c r="W16" s="561"/>
      <c r="X16" s="562"/>
      <c r="Y16" s="516"/>
      <c r="Z16" s="516"/>
      <c r="AA16" s="516"/>
      <c r="AB16" s="516"/>
      <c r="AC16" s="516"/>
      <c r="AD16" s="516"/>
      <c r="AE16" s="530"/>
    </row>
    <row r="17" spans="1:31" ht="25.5" customHeight="1">
      <c r="B17" s="531"/>
      <c r="C17" s="2102" t="s">
        <v>43</v>
      </c>
      <c r="D17" s="2103"/>
      <c r="E17" s="563" t="s">
        <v>4</v>
      </c>
      <c r="F17" s="565"/>
      <c r="G17" s="564" t="s">
        <v>5</v>
      </c>
      <c r="H17" s="535"/>
      <c r="I17" s="538"/>
      <c r="J17" s="516"/>
      <c r="K17" s="516"/>
      <c r="L17" s="516"/>
      <c r="M17" s="516"/>
      <c r="N17" s="516"/>
      <c r="O17" s="516"/>
      <c r="P17" s="516"/>
      <c r="Q17" s="516"/>
      <c r="R17" s="538"/>
      <c r="S17" s="516"/>
      <c r="T17" s="516"/>
      <c r="U17" s="516"/>
      <c r="V17" s="516"/>
      <c r="W17" s="516"/>
      <c r="X17" s="535"/>
      <c r="Y17" s="516"/>
      <c r="Z17" s="516"/>
      <c r="AA17" s="516"/>
      <c r="AB17" s="516"/>
      <c r="AC17" s="522"/>
      <c r="AD17" s="516"/>
      <c r="AE17" s="530"/>
    </row>
    <row r="18" spans="1:31" ht="25.5" customHeight="1">
      <c r="B18" s="531"/>
      <c r="C18" s="2104"/>
      <c r="D18" s="2105"/>
      <c r="E18" s="566">
        <f>+DATI!C7</f>
        <v>1400</v>
      </c>
      <c r="F18" s="567" t="s">
        <v>44</v>
      </c>
      <c r="G18" s="568">
        <f>+DATI!C8</f>
        <v>2200</v>
      </c>
      <c r="H18" s="535"/>
      <c r="I18" s="569">
        <v>40</v>
      </c>
      <c r="J18" s="516"/>
      <c r="K18" s="516"/>
      <c r="L18" s="516"/>
      <c r="M18" s="516"/>
      <c r="N18" s="516"/>
      <c r="O18" s="516"/>
      <c r="P18" s="516"/>
      <c r="Q18" s="516"/>
      <c r="R18" s="538"/>
      <c r="S18" s="2086" t="s">
        <v>319</v>
      </c>
      <c r="T18" s="2087"/>
      <c r="U18" s="2087"/>
      <c r="V18" s="2087"/>
      <c r="W18" s="2088"/>
      <c r="X18" s="535"/>
      <c r="Y18" s="516"/>
      <c r="Z18" s="516"/>
      <c r="AA18" s="516"/>
      <c r="AB18" s="570" t="s">
        <v>320</v>
      </c>
      <c r="AC18" s="516"/>
      <c r="AD18" s="522"/>
      <c r="AE18" s="530"/>
    </row>
    <row r="19" spans="1:31" ht="25.5" customHeight="1">
      <c r="B19" s="531"/>
      <c r="C19" s="516"/>
      <c r="D19" s="516"/>
      <c r="E19" s="516"/>
      <c r="F19" s="516"/>
      <c r="G19" s="516"/>
      <c r="H19" s="535"/>
      <c r="I19" s="516"/>
      <c r="J19" s="571">
        <f>IF(X5=2,L14-40,IF(X5&gt;2,K20-P29))</f>
        <v>455.80000000000013</v>
      </c>
      <c r="K19" s="572"/>
      <c r="L19" s="572"/>
      <c r="M19" s="572"/>
      <c r="N19" s="572"/>
      <c r="O19" s="572"/>
      <c r="P19" s="572"/>
      <c r="Q19" s="572"/>
      <c r="R19" s="538"/>
      <c r="S19" s="516"/>
      <c r="T19" s="516"/>
      <c r="U19" s="516"/>
      <c r="V19" s="516"/>
      <c r="W19" s="516"/>
      <c r="X19" s="535"/>
      <c r="Y19" s="516"/>
      <c r="Z19" s="516"/>
      <c r="AA19" s="516"/>
      <c r="AB19" s="516"/>
      <c r="AC19" s="516"/>
      <c r="AD19" s="522"/>
      <c r="AE19" s="573"/>
    </row>
    <row r="20" spans="1:31" ht="25.5" customHeight="1" thickBot="1">
      <c r="B20" s="531"/>
      <c r="C20" s="516"/>
      <c r="D20" s="516"/>
      <c r="E20" s="516"/>
      <c r="F20" s="516"/>
      <c r="G20" s="516"/>
      <c r="H20" s="516"/>
      <c r="I20" s="574"/>
      <c r="J20" s="572"/>
      <c r="K20" s="575">
        <f>IF(X5&lt;4," ",IF(X5&gt;=4,L21-P29))</f>
        <v>871.60000000000014</v>
      </c>
      <c r="L20" s="572"/>
      <c r="M20" s="572"/>
      <c r="N20" s="572"/>
      <c r="O20" s="572"/>
      <c r="P20" s="572"/>
      <c r="Q20" s="572"/>
      <c r="R20" s="538"/>
      <c r="S20" s="516"/>
      <c r="T20" s="547" t="s">
        <v>323</v>
      </c>
      <c r="U20" s="576">
        <f>V5-73+10</f>
        <v>2137</v>
      </c>
      <c r="V20" s="516"/>
      <c r="W20" s="539" t="s">
        <v>324</v>
      </c>
      <c r="X20" s="535"/>
      <c r="Y20" s="516"/>
      <c r="Z20" s="516"/>
      <c r="AA20" s="516"/>
      <c r="AB20" s="516"/>
      <c r="AC20" s="516"/>
      <c r="AD20" s="522"/>
      <c r="AE20" s="530"/>
    </row>
    <row r="21" spans="1:31" ht="25.5" customHeight="1">
      <c r="B21" s="577" t="s">
        <v>50</v>
      </c>
      <c r="C21" s="2106" t="s">
        <v>326</v>
      </c>
      <c r="D21" s="2106"/>
      <c r="E21" s="2106"/>
      <c r="F21" s="2106"/>
      <c r="G21" s="2106"/>
      <c r="H21" s="2107"/>
      <c r="I21" s="574" t="s">
        <v>37</v>
      </c>
      <c r="J21" s="516"/>
      <c r="K21" s="516"/>
      <c r="L21" s="575">
        <f>IF(X5&lt;4,"",IF(X5=4,L14-40,IF(X5&gt;4,M22-P29)))</f>
        <v>1287.4000000000001</v>
      </c>
      <c r="M21" s="572"/>
      <c r="N21" s="572"/>
      <c r="O21" s="572"/>
      <c r="P21" s="572"/>
      <c r="Q21" s="572"/>
      <c r="R21" s="538"/>
      <c r="S21" s="516"/>
      <c r="T21" s="516"/>
      <c r="U21" s="516"/>
      <c r="V21" s="516"/>
      <c r="W21" s="516"/>
      <c r="X21" s="535"/>
      <c r="Y21" s="516"/>
      <c r="Z21" s="516"/>
      <c r="AA21" s="516"/>
      <c r="AB21" s="522"/>
      <c r="AC21" s="522"/>
      <c r="AD21" s="522"/>
      <c r="AE21" s="530"/>
    </row>
    <row r="22" spans="1:31" ht="25.5" customHeight="1">
      <c r="A22" s="578"/>
      <c r="B22" s="531"/>
      <c r="C22" s="516"/>
      <c r="D22" s="516"/>
      <c r="E22" s="516"/>
      <c r="F22" s="516"/>
      <c r="G22" s="516"/>
      <c r="H22" s="516"/>
      <c r="I22" s="574"/>
      <c r="J22" s="572" t="s">
        <v>37</v>
      </c>
      <c r="K22" s="516"/>
      <c r="L22" s="516"/>
      <c r="M22" s="579">
        <f>IF(X5&gt;=5,N24-P29,IF(X5&lt;6," "))</f>
        <v>1703.2</v>
      </c>
      <c r="N22" s="572"/>
      <c r="O22" s="572"/>
      <c r="P22" s="572"/>
      <c r="Q22" s="572"/>
      <c r="R22" s="538"/>
      <c r="S22" s="516"/>
      <c r="T22" s="516"/>
      <c r="U22" s="516"/>
      <c r="V22" s="516"/>
      <c r="W22" s="516"/>
      <c r="X22" s="535"/>
      <c r="Y22" s="516"/>
      <c r="Z22" s="516"/>
      <c r="AA22" s="516"/>
      <c r="AB22" s="580" t="s">
        <v>328</v>
      </c>
      <c r="AC22" s="516"/>
      <c r="AD22" s="516"/>
      <c r="AE22" s="530"/>
    </row>
    <row r="23" spans="1:31" ht="25.5" customHeight="1">
      <c r="A23" s="516"/>
      <c r="B23" s="531"/>
      <c r="C23" s="516"/>
      <c r="D23" s="547" t="s">
        <v>330</v>
      </c>
      <c r="E23" s="581">
        <f>R5-0</f>
        <v>1400</v>
      </c>
      <c r="F23" s="516"/>
      <c r="G23" s="516"/>
      <c r="H23" s="516"/>
      <c r="I23" s="574"/>
      <c r="J23" s="572"/>
      <c r="K23" s="572" t="s">
        <v>37</v>
      </c>
      <c r="L23" s="516"/>
      <c r="M23" s="516"/>
      <c r="N23" s="572"/>
      <c r="O23" s="572"/>
      <c r="P23" s="572"/>
      <c r="Q23" s="572"/>
      <c r="R23" s="538"/>
      <c r="S23" s="555"/>
      <c r="T23" s="533"/>
      <c r="U23" s="533"/>
      <c r="V23" s="533"/>
      <c r="W23" s="534"/>
      <c r="X23" s="535"/>
      <c r="Y23" s="516"/>
      <c r="Z23" s="516"/>
      <c r="AA23" s="516"/>
      <c r="AB23" s="516"/>
      <c r="AC23" s="516"/>
      <c r="AD23" s="516"/>
      <c r="AE23" s="530"/>
    </row>
    <row r="24" spans="1:31" ht="25.5" customHeight="1">
      <c r="B24" s="531"/>
      <c r="C24" s="516"/>
      <c r="D24" s="516"/>
      <c r="E24" s="516"/>
      <c r="F24" s="516"/>
      <c r="G24" s="516"/>
      <c r="H24" s="516"/>
      <c r="I24" s="574"/>
      <c r="J24" s="572"/>
      <c r="K24" s="572"/>
      <c r="L24" s="572" t="s">
        <v>37</v>
      </c>
      <c r="M24" s="516"/>
      <c r="N24" s="579">
        <f>IF(X5=6,L14-40,IF(X5&lt;6," ",IF(X5&gt;6,O25-P29,)))</f>
        <v>2119</v>
      </c>
      <c r="O24" s="572"/>
      <c r="P24" s="572"/>
      <c r="Q24" s="572"/>
      <c r="R24" s="538"/>
      <c r="S24" s="516"/>
      <c r="T24" s="516"/>
      <c r="U24" s="516"/>
      <c r="V24" s="516"/>
      <c r="W24" s="516"/>
      <c r="X24" s="535"/>
      <c r="Y24" s="516"/>
      <c r="Z24" s="516"/>
      <c r="AA24" s="516"/>
      <c r="AB24" s="516"/>
      <c r="AC24" s="516"/>
      <c r="AD24" s="582"/>
      <c r="AE24" s="530"/>
    </row>
    <row r="25" spans="1:31" ht="25.5" customHeight="1">
      <c r="B25" s="531"/>
      <c r="C25" s="516"/>
      <c r="D25" s="553" t="s">
        <v>86</v>
      </c>
      <c r="E25" s="516"/>
      <c r="F25" s="516"/>
      <c r="G25" s="516"/>
      <c r="H25" s="516"/>
      <c r="I25" s="574"/>
      <c r="J25" s="572"/>
      <c r="K25" s="572"/>
      <c r="L25" s="572"/>
      <c r="M25" s="572" t="s">
        <v>37</v>
      </c>
      <c r="N25" s="516"/>
      <c r="O25" s="579" t="str">
        <f>IF(X5=8,O27-P29,"")</f>
        <v/>
      </c>
      <c r="P25" s="572"/>
      <c r="Q25" s="572"/>
      <c r="R25" s="538"/>
      <c r="S25" s="516"/>
      <c r="T25" s="516"/>
      <c r="U25" s="537" t="s">
        <v>333</v>
      </c>
      <c r="V25" s="516"/>
      <c r="W25" s="516"/>
      <c r="X25" s="535"/>
      <c r="Y25" s="516"/>
      <c r="Z25" s="516"/>
      <c r="AA25" s="516"/>
      <c r="AB25" s="516"/>
      <c r="AC25" s="516"/>
      <c r="AD25" s="516"/>
      <c r="AE25" s="530"/>
    </row>
    <row r="26" spans="1:31" ht="25.5" customHeight="1" thickBot="1">
      <c r="B26" s="531"/>
      <c r="C26" s="516"/>
      <c r="D26" s="516"/>
      <c r="E26" s="516"/>
      <c r="F26" s="516"/>
      <c r="G26" s="516"/>
      <c r="H26" s="516"/>
      <c r="I26" s="574"/>
      <c r="J26" s="572"/>
      <c r="K26" s="572"/>
      <c r="L26" s="572"/>
      <c r="M26" s="572"/>
      <c r="N26" s="572" t="s">
        <v>37</v>
      </c>
      <c r="O26" s="516"/>
      <c r="P26" s="579"/>
      <c r="Q26" s="572"/>
      <c r="R26" s="538"/>
      <c r="S26" s="547"/>
      <c r="T26" s="547"/>
      <c r="U26" s="547"/>
      <c r="V26" s="516"/>
      <c r="W26" s="516"/>
      <c r="X26" s="535"/>
      <c r="Y26" s="516"/>
      <c r="Z26" s="516"/>
      <c r="AA26" s="516"/>
      <c r="AB26" s="516"/>
      <c r="AC26" s="516"/>
      <c r="AD26" s="516"/>
      <c r="AE26" s="530"/>
    </row>
    <row r="27" spans="1:31" ht="25.5" customHeight="1" thickBot="1">
      <c r="B27" s="531"/>
      <c r="C27" s="583"/>
      <c r="D27" s="584"/>
      <c r="E27" s="585"/>
      <c r="F27" s="516"/>
      <c r="G27" s="516"/>
      <c r="H27" s="516"/>
      <c r="I27" s="574"/>
      <c r="J27" s="572"/>
      <c r="K27" s="572"/>
      <c r="L27" s="572"/>
      <c r="M27" s="572"/>
      <c r="N27" s="572"/>
      <c r="O27" s="2152" t="str">
        <f>IF(X5=8,L14-40,IF(X5&lt;8," "))</f>
        <v xml:space="preserve"> </v>
      </c>
      <c r="P27" s="2152"/>
      <c r="Q27" s="516"/>
      <c r="R27" s="586" t="str">
        <f>IF(X5=5,"PZ","")</f>
        <v/>
      </c>
      <c r="S27" s="516"/>
      <c r="T27" s="537"/>
      <c r="U27" s="516"/>
      <c r="V27" s="516"/>
      <c r="W27" s="522" t="s">
        <v>37</v>
      </c>
      <c r="X27" s="535"/>
      <c r="Y27" s="587"/>
      <c r="Z27" s="588"/>
      <c r="AA27" s="589"/>
      <c r="AB27" s="589"/>
      <c r="AC27" s="589"/>
      <c r="AD27" s="589"/>
      <c r="AE27" s="590"/>
    </row>
    <row r="28" spans="1:31" ht="25.5" customHeight="1">
      <c r="B28" s="531"/>
      <c r="C28" s="516"/>
      <c r="D28" s="516"/>
      <c r="E28" s="516"/>
      <c r="F28" s="516"/>
      <c r="G28" s="516"/>
      <c r="H28" s="516"/>
      <c r="I28" s="538"/>
      <c r="J28" s="516"/>
      <c r="K28" s="516"/>
      <c r="L28" s="516"/>
      <c r="M28" s="516"/>
      <c r="N28" s="516"/>
      <c r="O28" s="516"/>
      <c r="P28" s="516"/>
      <c r="Q28" s="516"/>
      <c r="R28" s="538"/>
      <c r="S28" s="516"/>
      <c r="T28" s="516"/>
      <c r="U28" s="516"/>
      <c r="V28" s="553" t="s">
        <v>334</v>
      </c>
      <c r="W28" s="591">
        <f>IF(X5=0,2,IF(AND(X5&gt;0,X5&lt;4),3,IF(X5&gt;3,4,"")))</f>
        <v>4</v>
      </c>
      <c r="X28" s="592" t="s">
        <v>37</v>
      </c>
      <c r="Y28" s="2083" t="s">
        <v>335</v>
      </c>
      <c r="Z28" s="2084"/>
      <c r="AA28" s="516"/>
      <c r="AB28" s="516"/>
      <c r="AC28" s="516"/>
      <c r="AD28" s="516"/>
      <c r="AE28" s="530"/>
    </row>
    <row r="29" spans="1:31" ht="25.5" customHeight="1">
      <c r="B29" s="531"/>
      <c r="C29" s="537" t="s">
        <v>336</v>
      </c>
      <c r="D29" s="516"/>
      <c r="E29" s="516"/>
      <c r="F29" s="516"/>
      <c r="G29" s="559" t="s">
        <v>337</v>
      </c>
      <c r="H29" s="516"/>
      <c r="I29" s="538"/>
      <c r="J29" s="516" t="s">
        <v>338</v>
      </c>
      <c r="K29" s="516"/>
      <c r="L29" s="516"/>
      <c r="M29" s="516"/>
      <c r="N29" s="516"/>
      <c r="O29" s="593" t="s">
        <v>339</v>
      </c>
      <c r="P29" s="594">
        <f>(+L14-80)/(X5-1)</f>
        <v>415.8</v>
      </c>
      <c r="Q29" s="516"/>
      <c r="R29" s="538"/>
      <c r="S29" s="516"/>
      <c r="T29" s="516"/>
      <c r="U29" s="516"/>
      <c r="V29" s="516"/>
      <c r="W29" s="547"/>
      <c r="X29" s="595"/>
      <c r="Y29" s="2083" t="s">
        <v>90</v>
      </c>
      <c r="Z29" s="2084"/>
      <c r="AA29" s="596" t="s">
        <v>340</v>
      </c>
      <c r="AB29" s="522"/>
      <c r="AC29" s="539" t="s">
        <v>341</v>
      </c>
      <c r="AD29" s="597">
        <f>IF(V5&gt;(R5+31),V5+219,R5+251)</f>
        <v>2419</v>
      </c>
      <c r="AE29" s="530"/>
    </row>
    <row r="30" spans="1:31" ht="25.5" customHeight="1">
      <c r="B30" s="531"/>
      <c r="C30" s="516"/>
      <c r="D30" s="516"/>
      <c r="E30" s="516"/>
      <c r="F30" s="516"/>
      <c r="G30" s="516"/>
      <c r="H30" s="516"/>
      <c r="I30" s="598" t="s">
        <v>342</v>
      </c>
      <c r="J30" s="516"/>
      <c r="K30" s="516"/>
      <c r="L30" s="516"/>
      <c r="M30" s="516"/>
      <c r="N30" s="516"/>
      <c r="O30" s="516"/>
      <c r="P30" s="516"/>
      <c r="Q30" s="516"/>
      <c r="R30" s="538"/>
      <c r="S30" s="516"/>
      <c r="T30" s="516"/>
      <c r="U30" s="537" t="s">
        <v>252</v>
      </c>
      <c r="V30" s="516"/>
      <c r="W30" s="516"/>
      <c r="X30" s="535"/>
      <c r="Y30" s="599"/>
      <c r="Z30" s="600"/>
      <c r="AA30" s="516"/>
      <c r="AB30" s="516"/>
      <c r="AC30" s="516"/>
      <c r="AD30" s="516"/>
      <c r="AE30" s="530"/>
    </row>
    <row r="31" spans="1:31" ht="25.5" customHeight="1">
      <c r="B31" s="531"/>
      <c r="C31" s="587"/>
      <c r="D31" s="516"/>
      <c r="E31" s="601"/>
      <c r="F31" s="516"/>
      <c r="G31" s="516"/>
      <c r="H31" s="516"/>
      <c r="I31" s="599"/>
      <c r="J31" s="602"/>
      <c r="K31" s="602"/>
      <c r="L31" s="602"/>
      <c r="M31" s="602"/>
      <c r="N31" s="602"/>
      <c r="O31" s="602"/>
      <c r="P31" s="602"/>
      <c r="Q31" s="602"/>
      <c r="R31" s="538"/>
      <c r="S31" s="516"/>
      <c r="T31" s="516"/>
      <c r="U31" s="553" t="s">
        <v>343</v>
      </c>
      <c r="V31" s="548">
        <f>(L14-80)/(X5-1)</f>
        <v>415.8</v>
      </c>
      <c r="W31" s="516"/>
      <c r="X31" s="535"/>
      <c r="Y31" s="603"/>
      <c r="Z31" s="604"/>
      <c r="AA31" s="604"/>
      <c r="AB31" s="604"/>
      <c r="AC31" s="604"/>
      <c r="AD31" s="604"/>
      <c r="AE31" s="605"/>
    </row>
    <row r="32" spans="1:31" ht="25.5" customHeight="1">
      <c r="B32" s="531"/>
      <c r="C32" s="538"/>
      <c r="D32" s="516"/>
      <c r="E32" s="606"/>
      <c r="F32" s="516"/>
      <c r="G32" s="516"/>
      <c r="H32" s="516"/>
      <c r="I32" s="2149" t="str">
        <f>+IF(DATI!$C$12=1,"","RETE GRIGIA")</f>
        <v>RETE GRIGIA</v>
      </c>
      <c r="J32" s="2150"/>
      <c r="K32" s="2150"/>
      <c r="L32" s="2150"/>
      <c r="M32" s="2150"/>
      <c r="N32" s="2150"/>
      <c r="O32" s="2150"/>
      <c r="P32" s="2150"/>
      <c r="Q32" s="2151"/>
      <c r="R32" s="560"/>
      <c r="S32" s="561"/>
      <c r="T32" s="561"/>
      <c r="U32" s="561"/>
      <c r="V32" s="561"/>
      <c r="W32" s="561"/>
      <c r="X32" s="562"/>
      <c r="Y32" s="607"/>
      <c r="Z32" s="608"/>
      <c r="AA32" s="608"/>
      <c r="AB32" s="608"/>
      <c r="AC32" s="608"/>
      <c r="AD32" s="608"/>
      <c r="AE32" s="609"/>
    </row>
    <row r="33" spans="2:31" ht="25.5" customHeight="1">
      <c r="B33" s="531"/>
      <c r="C33" s="538"/>
      <c r="D33" s="516"/>
      <c r="E33" s="606"/>
      <c r="F33" s="516"/>
      <c r="G33" s="516"/>
      <c r="H33" s="516"/>
      <c r="I33" s="670" t="s">
        <v>63</v>
      </c>
      <c r="J33" s="2085" t="s">
        <v>241</v>
      </c>
      <c r="K33" s="2085"/>
      <c r="L33" s="2085"/>
      <c r="M33" s="2085"/>
      <c r="N33" s="2085"/>
      <c r="O33" s="2085"/>
      <c r="P33" s="2085"/>
      <c r="Q33" s="2085"/>
      <c r="R33" s="538"/>
      <c r="S33" s="516"/>
      <c r="T33" s="516"/>
      <c r="U33" s="516"/>
      <c r="V33" s="516"/>
      <c r="W33" s="516"/>
      <c r="X33" s="535"/>
      <c r="Y33" s="607"/>
      <c r="Z33" s="608"/>
      <c r="AA33" s="608"/>
      <c r="AB33" s="608"/>
      <c r="AC33" s="608"/>
      <c r="AD33" s="608"/>
      <c r="AE33" s="609"/>
    </row>
    <row r="34" spans="2:31" ht="25.5" customHeight="1">
      <c r="B34" s="531"/>
      <c r="C34" s="538"/>
      <c r="D34" s="516"/>
      <c r="E34" s="606"/>
      <c r="F34" s="516"/>
      <c r="G34" s="516"/>
      <c r="H34" s="516"/>
      <c r="I34" s="643"/>
      <c r="J34" s="644"/>
      <c r="K34" s="644"/>
      <c r="L34" s="644"/>
      <c r="M34" s="644"/>
      <c r="N34" s="644"/>
      <c r="O34" s="644"/>
      <c r="P34" s="644"/>
      <c r="Q34" s="516"/>
      <c r="R34" s="538"/>
      <c r="S34" s="516"/>
      <c r="T34" s="516"/>
      <c r="U34" s="516"/>
      <c r="V34" s="516"/>
      <c r="W34" s="516"/>
      <c r="X34" s="535"/>
      <c r="Y34" s="607"/>
      <c r="Z34" s="608"/>
      <c r="AA34" s="608"/>
      <c r="AB34" s="608"/>
      <c r="AC34" s="608"/>
      <c r="AD34" s="608"/>
      <c r="AE34" s="609"/>
    </row>
    <row r="35" spans="2:31" ht="25.5" customHeight="1">
      <c r="B35" s="531"/>
      <c r="C35" s="538"/>
      <c r="D35" s="611"/>
      <c r="E35" s="606"/>
      <c r="F35" s="516"/>
      <c r="G35" s="516"/>
      <c r="H35" s="516"/>
      <c r="I35" s="643"/>
      <c r="J35" s="644"/>
      <c r="K35" s="644"/>
      <c r="L35" s="644"/>
      <c r="M35" s="645"/>
      <c r="N35" s="644"/>
      <c r="O35" s="644"/>
      <c r="P35" s="644"/>
      <c r="Q35" s="516"/>
      <c r="R35" s="538"/>
      <c r="S35" s="2086" t="s">
        <v>345</v>
      </c>
      <c r="T35" s="2087"/>
      <c r="U35" s="2087"/>
      <c r="V35" s="2087"/>
      <c r="W35" s="2088"/>
      <c r="X35" s="535"/>
      <c r="Y35" s="607"/>
      <c r="Z35" s="608"/>
      <c r="AA35" s="608"/>
      <c r="AB35" s="608"/>
      <c r="AC35" s="608"/>
      <c r="AD35" s="608"/>
      <c r="AE35" s="609"/>
    </row>
    <row r="36" spans="2:31" ht="25.5" customHeight="1">
      <c r="B36" s="531"/>
      <c r="C36" s="538"/>
      <c r="D36" s="516"/>
      <c r="E36" s="606"/>
      <c r="F36" s="559" t="s">
        <v>346</v>
      </c>
      <c r="G36" s="516"/>
      <c r="H36" s="516"/>
      <c r="I36" s="643"/>
      <c r="J36" s="644"/>
      <c r="K36" s="644"/>
      <c r="L36" s="644"/>
      <c r="M36" s="646" t="s">
        <v>37</v>
      </c>
      <c r="N36" s="647">
        <f>IF(X5="","",ROUNDUP(R5+(L14+(L14-80)/(X5-1))+140,-2))</f>
        <v>4200</v>
      </c>
      <c r="O36" s="647">
        <v>4</v>
      </c>
      <c r="P36" s="648" t="s">
        <v>171</v>
      </c>
      <c r="Q36" s="516"/>
      <c r="R36" s="538"/>
      <c r="S36" s="516"/>
      <c r="T36" s="516"/>
      <c r="U36" s="516"/>
      <c r="V36" s="516"/>
      <c r="W36" s="516"/>
      <c r="X36" s="535"/>
      <c r="Y36" s="607"/>
      <c r="Z36" s="608"/>
      <c r="AA36" s="608"/>
      <c r="AB36" s="608"/>
      <c r="AC36" s="608"/>
      <c r="AD36" s="608"/>
      <c r="AE36" s="609"/>
    </row>
    <row r="37" spans="2:31" ht="25.5" customHeight="1">
      <c r="B37" s="531"/>
      <c r="C37" s="538"/>
      <c r="D37" s="516"/>
      <c r="E37" s="606"/>
      <c r="F37" s="516"/>
      <c r="G37" s="516"/>
      <c r="H37" s="516"/>
      <c r="I37" s="643"/>
      <c r="J37" s="644"/>
      <c r="K37" s="644"/>
      <c r="L37" s="644"/>
      <c r="M37" s="649"/>
      <c r="N37" s="650"/>
      <c r="O37" s="650"/>
      <c r="P37" s="644"/>
      <c r="Q37" s="516"/>
      <c r="R37" s="538"/>
      <c r="S37" s="516"/>
      <c r="T37" s="547" t="s">
        <v>348</v>
      </c>
      <c r="U37" s="616">
        <f>R5-70+10</f>
        <v>1340</v>
      </c>
      <c r="V37" s="537"/>
      <c r="W37" s="539" t="s">
        <v>238</v>
      </c>
      <c r="X37" s="535"/>
      <c r="Y37" s="607"/>
      <c r="Z37" s="608"/>
      <c r="AA37" s="608"/>
      <c r="AB37" s="608"/>
      <c r="AC37" s="608"/>
      <c r="AD37" s="608"/>
      <c r="AE37" s="609"/>
    </row>
    <row r="38" spans="2:31" ht="25.5" customHeight="1">
      <c r="B38" s="531"/>
      <c r="C38" s="538"/>
      <c r="D38" s="516"/>
      <c r="E38" s="606"/>
      <c r="F38" s="516"/>
      <c r="G38" s="516"/>
      <c r="H38" s="516"/>
      <c r="I38" s="643"/>
      <c r="J38" s="644"/>
      <c r="K38" s="644"/>
      <c r="L38" s="644"/>
      <c r="M38" s="649"/>
      <c r="N38" s="651" t="s">
        <v>37</v>
      </c>
      <c r="O38" s="650"/>
      <c r="P38" s="644"/>
      <c r="Q38" s="516"/>
      <c r="R38" s="538"/>
      <c r="S38" s="516"/>
      <c r="T38" s="516"/>
      <c r="U38" s="516"/>
      <c r="V38" s="516"/>
      <c r="W38" s="516"/>
      <c r="X38" s="535"/>
      <c r="Y38" s="607"/>
      <c r="Z38" s="608"/>
      <c r="AA38" s="608"/>
      <c r="AB38" s="608"/>
      <c r="AC38" s="608"/>
      <c r="AD38" s="608"/>
      <c r="AE38" s="609"/>
    </row>
    <row r="39" spans="2:31" ht="25.5" customHeight="1">
      <c r="B39" s="531"/>
      <c r="C39" s="538"/>
      <c r="D39" s="516"/>
      <c r="E39" s="606"/>
      <c r="F39" s="516"/>
      <c r="G39" s="516"/>
      <c r="H39" s="516"/>
      <c r="I39" s="643"/>
      <c r="J39" s="644"/>
      <c r="K39" s="644"/>
      <c r="L39" s="644"/>
      <c r="M39" s="646"/>
      <c r="N39" s="652" t="s">
        <v>37</v>
      </c>
      <c r="O39" s="653"/>
      <c r="P39" s="654" t="s">
        <v>37</v>
      </c>
      <c r="Q39" s="516"/>
      <c r="R39" s="538"/>
      <c r="S39" s="516"/>
      <c r="T39" s="516"/>
      <c r="U39" s="516"/>
      <c r="V39" s="516"/>
      <c r="W39" s="516"/>
      <c r="X39" s="535"/>
      <c r="Y39" s="607"/>
      <c r="Z39" s="608"/>
      <c r="AA39" s="608"/>
      <c r="AB39" s="608"/>
      <c r="AC39" s="608"/>
      <c r="AD39" s="608"/>
      <c r="AE39" s="609"/>
    </row>
    <row r="40" spans="2:31" ht="25.5" customHeight="1">
      <c r="B40" s="531"/>
      <c r="C40" s="538"/>
      <c r="D40" s="516"/>
      <c r="E40" s="606"/>
      <c r="F40" s="516"/>
      <c r="G40" s="516"/>
      <c r="H40" s="516"/>
      <c r="I40" s="643"/>
      <c r="J40" s="644"/>
      <c r="K40" s="644"/>
      <c r="L40" s="644"/>
      <c r="M40" s="646" t="s">
        <v>37</v>
      </c>
      <c r="N40" s="650"/>
      <c r="O40" s="650"/>
      <c r="P40" s="644"/>
      <c r="Q40" s="516"/>
      <c r="R40" s="538"/>
      <c r="S40" s="555"/>
      <c r="T40" s="533"/>
      <c r="U40" s="533"/>
      <c r="V40" s="533"/>
      <c r="W40" s="534"/>
      <c r="X40" s="535"/>
      <c r="Y40" s="607"/>
      <c r="Z40" s="608"/>
      <c r="AA40" s="608"/>
      <c r="AB40" s="608"/>
      <c r="AC40" s="608"/>
      <c r="AD40" s="608"/>
      <c r="AE40" s="609"/>
    </row>
    <row r="41" spans="2:31" ht="25.5" customHeight="1">
      <c r="B41" s="531"/>
      <c r="C41" s="538"/>
      <c r="D41" s="516"/>
      <c r="E41" s="606"/>
      <c r="F41" s="516"/>
      <c r="G41" s="516"/>
      <c r="H41" s="516"/>
      <c r="I41" s="643"/>
      <c r="J41" s="644"/>
      <c r="K41" s="644"/>
      <c r="L41" s="644"/>
      <c r="M41" s="646"/>
      <c r="N41" s="655">
        <f>IF(X5&gt;4,ROUNDUP(R5+4*(L14-80)/(X5-1)+260,-2),"")</f>
        <v>3400</v>
      </c>
      <c r="O41" s="647" t="str">
        <f>IF(X5&lt;=4,"",IF(X5&gt;4,"2",""))</f>
        <v>2</v>
      </c>
      <c r="P41" s="648" t="str">
        <f>IF(X5&gt;4,"PZ","")</f>
        <v>PZ</v>
      </c>
      <c r="Q41" s="516"/>
      <c r="R41" s="538"/>
      <c r="S41" s="516"/>
      <c r="T41" s="516"/>
      <c r="U41" s="522" t="s">
        <v>37</v>
      </c>
      <c r="V41" s="516"/>
      <c r="W41" s="516"/>
      <c r="X41" s="535"/>
      <c r="Y41" s="607"/>
      <c r="Z41" s="608"/>
      <c r="AA41" s="608"/>
      <c r="AB41" s="608"/>
      <c r="AC41" s="608"/>
      <c r="AD41" s="608"/>
      <c r="AE41" s="609"/>
    </row>
    <row r="42" spans="2:31" ht="25.5" customHeight="1">
      <c r="B42" s="531"/>
      <c r="C42" s="599"/>
      <c r="D42" s="516"/>
      <c r="E42" s="620"/>
      <c r="F42" s="516"/>
      <c r="G42" s="516"/>
      <c r="H42" s="516"/>
      <c r="I42" s="643"/>
      <c r="J42" s="644"/>
      <c r="K42" s="644"/>
      <c r="L42" s="644"/>
      <c r="M42" s="644"/>
      <c r="N42" s="655"/>
      <c r="O42" s="653"/>
      <c r="P42" s="656"/>
      <c r="Q42" s="516"/>
      <c r="R42" s="538"/>
      <c r="S42" s="516"/>
      <c r="T42" s="516"/>
      <c r="U42" s="516"/>
      <c r="V42" s="516"/>
      <c r="W42" s="516"/>
      <c r="X42" s="535"/>
      <c r="Y42" s="607"/>
      <c r="Z42" s="608"/>
      <c r="AA42" s="608"/>
      <c r="AB42" s="608"/>
      <c r="AC42" s="608"/>
      <c r="AD42" s="608"/>
      <c r="AE42" s="609"/>
    </row>
    <row r="43" spans="2:31" ht="25.5" customHeight="1">
      <c r="B43" s="531"/>
      <c r="C43" s="516"/>
      <c r="D43" s="516"/>
      <c r="E43" s="516"/>
      <c r="F43" s="516"/>
      <c r="G43" s="516"/>
      <c r="H43" s="535"/>
      <c r="I43" s="643"/>
      <c r="J43" s="644"/>
      <c r="K43" s="644"/>
      <c r="L43" s="644"/>
      <c r="M43" s="646" t="s">
        <v>37</v>
      </c>
      <c r="N43" s="644"/>
      <c r="O43" s="644"/>
      <c r="P43" s="644"/>
      <c r="Q43" s="516"/>
      <c r="R43" s="538"/>
      <c r="S43" s="621"/>
      <c r="T43" s="516"/>
      <c r="U43" s="516"/>
      <c r="V43" s="623" t="s">
        <v>350</v>
      </c>
      <c r="W43" s="516"/>
      <c r="X43" s="535"/>
      <c r="Y43" s="607"/>
      <c r="Z43" s="608"/>
      <c r="AA43" s="608"/>
      <c r="AB43" s="608"/>
      <c r="AC43" s="608"/>
      <c r="AD43" s="608"/>
      <c r="AE43" s="609"/>
    </row>
    <row r="44" spans="2:31" ht="25.5" customHeight="1">
      <c r="B44" s="531"/>
      <c r="C44" s="516"/>
      <c r="D44" s="516"/>
      <c r="E44" s="516"/>
      <c r="F44" s="537"/>
      <c r="G44" s="516"/>
      <c r="H44" s="535"/>
      <c r="I44" s="643"/>
      <c r="J44" s="644"/>
      <c r="K44" s="644"/>
      <c r="L44" s="644"/>
      <c r="M44" s="644"/>
      <c r="N44" s="651" t="str">
        <f>IF(X5&gt;=7,ROUNDUP(R5+6*(L14-80)/(X5-1)+260,-2),"")</f>
        <v/>
      </c>
      <c r="O44" s="647" t="str">
        <f>IF(X5&gt;=7,"2","")</f>
        <v/>
      </c>
      <c r="P44" s="651" t="str">
        <f>IF(X5&gt;=7,"PZ","")</f>
        <v/>
      </c>
      <c r="Q44" s="516"/>
      <c r="R44" s="538"/>
      <c r="S44" s="516"/>
      <c r="T44" s="516"/>
      <c r="U44" s="516"/>
      <c r="V44" s="624" t="s">
        <v>37</v>
      </c>
      <c r="W44" s="516"/>
      <c r="X44" s="535"/>
      <c r="Y44" s="607"/>
      <c r="Z44" s="608"/>
      <c r="AA44" s="608"/>
      <c r="AB44" s="608"/>
      <c r="AC44" s="608"/>
      <c r="AD44" s="608"/>
      <c r="AE44" s="609"/>
    </row>
    <row r="45" spans="2:31" ht="25.5" customHeight="1">
      <c r="B45" s="531"/>
      <c r="C45" s="625" t="s">
        <v>37</v>
      </c>
      <c r="D45" s="516" t="s">
        <v>37</v>
      </c>
      <c r="E45" s="516"/>
      <c r="F45" s="516"/>
      <c r="G45" s="516"/>
      <c r="H45" s="535"/>
      <c r="I45" s="643"/>
      <c r="J45" s="644"/>
      <c r="K45" s="644"/>
      <c r="L45" s="644"/>
      <c r="M45" s="646" t="s">
        <v>37</v>
      </c>
      <c r="N45" s="644"/>
      <c r="O45" s="644"/>
      <c r="P45" s="644"/>
      <c r="Q45" s="516"/>
      <c r="R45" s="538"/>
      <c r="S45" s="516"/>
      <c r="T45" s="516"/>
      <c r="U45" s="516"/>
      <c r="V45" s="547"/>
      <c r="W45" s="626"/>
      <c r="X45" s="535"/>
      <c r="Y45" s="607"/>
      <c r="Z45" s="608"/>
      <c r="AA45" s="608"/>
      <c r="AB45" s="608"/>
      <c r="AC45" s="608"/>
      <c r="AD45" s="608"/>
      <c r="AE45" s="609"/>
    </row>
    <row r="46" spans="2:31" ht="25.5" customHeight="1">
      <c r="B46" s="531"/>
      <c r="C46" s="516"/>
      <c r="D46" s="516"/>
      <c r="E46" s="516"/>
      <c r="F46" s="516"/>
      <c r="G46" s="516"/>
      <c r="H46" s="535"/>
      <c r="I46" s="643"/>
      <c r="J46" s="644"/>
      <c r="K46" s="644"/>
      <c r="L46" s="644"/>
      <c r="M46" s="649"/>
      <c r="N46" s="644"/>
      <c r="O46" s="644"/>
      <c r="P46" s="644"/>
      <c r="Q46" s="516"/>
      <c r="R46" s="538"/>
      <c r="S46" s="516"/>
      <c r="T46" s="547" t="s">
        <v>351</v>
      </c>
      <c r="U46" s="616">
        <f>U37</f>
        <v>1340</v>
      </c>
      <c r="V46" s="537"/>
      <c r="W46" s="539" t="s">
        <v>238</v>
      </c>
      <c r="X46" s="535"/>
      <c r="Y46" s="607"/>
      <c r="Z46" s="608"/>
      <c r="AA46" s="608"/>
      <c r="AB46" s="608"/>
      <c r="AC46" s="608"/>
      <c r="AD46" s="608"/>
      <c r="AE46" s="609"/>
    </row>
    <row r="47" spans="2:31" ht="25.5" customHeight="1">
      <c r="B47" s="531"/>
      <c r="C47" s="516"/>
      <c r="D47" s="516"/>
      <c r="E47" s="516"/>
      <c r="F47" s="522"/>
      <c r="G47" s="553" t="s">
        <v>352</v>
      </c>
      <c r="H47" s="535"/>
      <c r="I47" s="643"/>
      <c r="J47" s="644"/>
      <c r="K47" s="644"/>
      <c r="L47" s="644"/>
      <c r="M47" s="644"/>
      <c r="N47" s="644"/>
      <c r="O47" s="644"/>
      <c r="P47" s="644"/>
      <c r="Q47" s="516"/>
      <c r="R47" s="538"/>
      <c r="S47" s="516"/>
      <c r="T47" s="516"/>
      <c r="U47" s="516"/>
      <c r="V47" s="516"/>
      <c r="W47" s="516"/>
      <c r="X47" s="535"/>
      <c r="Y47" s="607"/>
      <c r="Z47" s="608"/>
      <c r="AA47" s="608"/>
      <c r="AB47" s="608"/>
      <c r="AC47" s="608"/>
      <c r="AD47" s="608"/>
      <c r="AE47" s="609"/>
    </row>
    <row r="48" spans="2:31" ht="25.5" customHeight="1">
      <c r="B48" s="531"/>
      <c r="C48" s="516"/>
      <c r="D48" s="516"/>
      <c r="E48" s="516"/>
      <c r="F48" s="516"/>
      <c r="G48" s="516"/>
      <c r="H48" s="535"/>
      <c r="I48" s="643"/>
      <c r="J48" s="644"/>
      <c r="K48" s="644"/>
      <c r="L48" s="644"/>
      <c r="M48" s="649"/>
      <c r="N48" s="651" t="s">
        <v>37</v>
      </c>
      <c r="O48" s="644"/>
      <c r="P48" s="644"/>
      <c r="Q48" s="516"/>
      <c r="R48" s="538"/>
      <c r="S48" s="516"/>
      <c r="T48" s="516"/>
      <c r="U48" s="516"/>
      <c r="V48" s="516"/>
      <c r="W48" s="516"/>
      <c r="X48" s="535"/>
      <c r="Y48" s="607"/>
      <c r="Z48" s="608"/>
      <c r="AA48" s="608"/>
      <c r="AB48" s="608"/>
      <c r="AC48" s="608"/>
      <c r="AD48" s="608"/>
      <c r="AE48" s="609"/>
    </row>
    <row r="49" spans="2:31" ht="25.5" customHeight="1">
      <c r="B49" s="627"/>
      <c r="C49" s="628" t="s">
        <v>353</v>
      </c>
      <c r="D49" s="534"/>
      <c r="E49" s="533"/>
      <c r="F49" s="629" t="s">
        <v>9</v>
      </c>
      <c r="G49" s="533" t="s">
        <v>37</v>
      </c>
      <c r="H49" s="534"/>
      <c r="I49" s="643"/>
      <c r="J49" s="644"/>
      <c r="K49" s="644"/>
      <c r="L49" s="644"/>
      <c r="M49" s="649"/>
      <c r="N49" s="644"/>
      <c r="O49" s="644"/>
      <c r="P49" s="644"/>
      <c r="Q49" s="516"/>
      <c r="R49" s="538"/>
      <c r="S49" s="555"/>
      <c r="T49" s="533"/>
      <c r="U49" s="533"/>
      <c r="V49" s="533"/>
      <c r="W49" s="534"/>
      <c r="X49" s="535"/>
      <c r="Y49" s="607"/>
      <c r="Z49" s="608"/>
      <c r="AA49" s="608"/>
      <c r="AB49" s="608"/>
      <c r="AC49" s="608"/>
      <c r="AD49" s="608"/>
      <c r="AE49" s="609"/>
    </row>
    <row r="50" spans="2:31" ht="25.5" customHeight="1">
      <c r="B50" s="630" t="s">
        <v>112</v>
      </c>
      <c r="C50" s="2089" t="s">
        <v>354</v>
      </c>
      <c r="D50" s="2090"/>
      <c r="E50" s="2091" t="str">
        <f>+DATI!M15</f>
        <v>RETE NERA</v>
      </c>
      <c r="F50" s="2092"/>
      <c r="G50" s="2092"/>
      <c r="H50" s="2093"/>
      <c r="I50" s="643"/>
      <c r="J50" s="644"/>
      <c r="K50" s="644"/>
      <c r="L50" s="644"/>
      <c r="M50" s="646"/>
      <c r="N50" s="644"/>
      <c r="O50" s="644"/>
      <c r="P50" s="644"/>
      <c r="Q50" s="516"/>
      <c r="R50" s="538"/>
      <c r="S50" s="516"/>
      <c r="T50" s="516"/>
      <c r="U50" s="522" t="s">
        <v>37</v>
      </c>
      <c r="V50" s="516"/>
      <c r="W50" s="516"/>
      <c r="X50" s="535"/>
      <c r="Y50" s="607"/>
      <c r="Z50" s="608"/>
      <c r="AA50" s="608"/>
      <c r="AB50" s="608"/>
      <c r="AC50" s="608"/>
      <c r="AD50" s="608"/>
      <c r="AE50" s="609"/>
    </row>
    <row r="51" spans="2:31" ht="25.5" customHeight="1">
      <c r="B51" s="631"/>
      <c r="C51" s="527"/>
      <c r="D51" s="528"/>
      <c r="E51" s="2091"/>
      <c r="F51" s="2092"/>
      <c r="G51" s="2092"/>
      <c r="H51" s="2093"/>
      <c r="I51" s="643"/>
      <c r="J51" s="644"/>
      <c r="K51" s="644"/>
      <c r="L51" s="644"/>
      <c r="M51" s="649"/>
      <c r="N51" s="651" t="s">
        <v>37</v>
      </c>
      <c r="O51" s="644"/>
      <c r="P51" s="644"/>
      <c r="Q51" s="516"/>
      <c r="R51" s="538"/>
      <c r="S51" s="516"/>
      <c r="T51" s="516"/>
      <c r="U51" s="516"/>
      <c r="V51" s="516"/>
      <c r="W51" s="516"/>
      <c r="X51" s="535"/>
      <c r="Y51" s="607"/>
      <c r="Z51" s="608"/>
      <c r="AA51" s="608"/>
      <c r="AB51" s="608"/>
      <c r="AC51" s="608"/>
      <c r="AD51" s="608"/>
      <c r="AE51" s="609"/>
    </row>
    <row r="52" spans="2:31" ht="25.5" customHeight="1">
      <c r="B52" s="632"/>
      <c r="C52" s="516"/>
      <c r="D52" s="535"/>
      <c r="E52" s="2091"/>
      <c r="F52" s="2092"/>
      <c r="G52" s="2092"/>
      <c r="H52" s="2093"/>
      <c r="I52" s="643"/>
      <c r="J52" s="644"/>
      <c r="K52" s="644"/>
      <c r="L52" s="644"/>
      <c r="M52" s="644"/>
      <c r="N52" s="644"/>
      <c r="O52" s="644"/>
      <c r="P52" s="644"/>
      <c r="Q52" s="516"/>
      <c r="R52" s="538"/>
      <c r="S52" s="516"/>
      <c r="T52" s="516"/>
      <c r="U52" s="516"/>
      <c r="V52" s="516"/>
      <c r="W52" s="516"/>
      <c r="X52" s="535"/>
      <c r="Y52" s="607"/>
      <c r="Z52" s="608"/>
      <c r="AA52" s="608"/>
      <c r="AB52" s="608"/>
      <c r="AC52" s="608"/>
      <c r="AD52" s="608"/>
      <c r="AE52" s="609"/>
    </row>
    <row r="53" spans="2:31" ht="25.5" customHeight="1">
      <c r="B53" s="632"/>
      <c r="C53" s="516"/>
      <c r="D53" s="535"/>
      <c r="E53" s="633" t="s">
        <v>355</v>
      </c>
      <c r="F53" s="533"/>
      <c r="G53" s="533" t="s">
        <v>260</v>
      </c>
      <c r="H53" s="534"/>
      <c r="I53" s="644"/>
      <c r="J53" s="644"/>
      <c r="K53" s="644"/>
      <c r="L53" s="644"/>
      <c r="M53" s="644"/>
      <c r="N53" s="644"/>
      <c r="O53" s="644"/>
      <c r="P53" s="644"/>
      <c r="Q53" s="516"/>
      <c r="R53" s="538"/>
      <c r="S53" s="516"/>
      <c r="T53" s="516"/>
      <c r="U53" s="516"/>
      <c r="V53" s="516"/>
      <c r="W53" s="516"/>
      <c r="X53" s="535"/>
      <c r="Y53" s="607"/>
      <c r="Z53" s="608"/>
      <c r="AA53" s="608"/>
      <c r="AB53" s="608"/>
      <c r="AC53" s="608"/>
      <c r="AD53" s="608"/>
      <c r="AE53" s="609"/>
    </row>
    <row r="54" spans="2:31" ht="25.5" customHeight="1">
      <c r="B54" s="632"/>
      <c r="C54" s="516"/>
      <c r="D54" s="535"/>
      <c r="E54" s="516"/>
      <c r="F54" s="516"/>
      <c r="G54" s="516"/>
      <c r="H54" s="535"/>
      <c r="I54" s="2146" t="s">
        <v>357</v>
      </c>
      <c r="J54" s="2147"/>
      <c r="K54" s="2147"/>
      <c r="L54" s="2147"/>
      <c r="M54" s="2147"/>
      <c r="N54" s="2147"/>
      <c r="O54" s="2147"/>
      <c r="P54" s="2147"/>
      <c r="Q54" s="2148"/>
      <c r="R54" s="538"/>
      <c r="S54" s="516"/>
      <c r="T54" s="516"/>
      <c r="U54" s="516"/>
      <c r="V54" s="516"/>
      <c r="W54" s="516"/>
      <c r="X54" s="535"/>
      <c r="Y54" s="607"/>
      <c r="Z54" s="608"/>
      <c r="AA54" s="608"/>
      <c r="AB54" s="608"/>
      <c r="AC54" s="608"/>
      <c r="AD54" s="608"/>
      <c r="AE54" s="609"/>
    </row>
    <row r="55" spans="2:31" ht="25.5" customHeight="1" thickBot="1">
      <c r="B55" s="634"/>
      <c r="C55" s="635"/>
      <c r="D55" s="636"/>
      <c r="E55" s="635"/>
      <c r="F55" s="635"/>
      <c r="G55" s="635"/>
      <c r="H55" s="635"/>
      <c r="I55" s="637"/>
      <c r="J55" s="635"/>
      <c r="K55" s="635"/>
      <c r="L55" s="635"/>
      <c r="M55" s="635"/>
      <c r="N55" s="635"/>
      <c r="O55" s="635"/>
      <c r="P55" s="635"/>
      <c r="Q55" s="636"/>
      <c r="R55" s="635"/>
      <c r="S55" s="635"/>
      <c r="T55" s="635"/>
      <c r="U55" s="635"/>
      <c r="V55" s="635"/>
      <c r="W55" s="635"/>
      <c r="X55" s="636"/>
      <c r="Y55" s="638"/>
      <c r="Z55" s="639"/>
      <c r="AA55" s="639"/>
      <c r="AB55" s="639"/>
      <c r="AC55" s="639"/>
      <c r="AD55" s="639"/>
      <c r="AE55" s="640"/>
    </row>
    <row r="56" spans="2:31" ht="99" customHeight="1"/>
  </sheetData>
  <mergeCells count="44">
    <mergeCell ref="C50:D50"/>
    <mergeCell ref="E50:H52"/>
    <mergeCell ref="I54:Q54"/>
    <mergeCell ref="Y28:Z28"/>
    <mergeCell ref="Y29:Z29"/>
    <mergeCell ref="I32:Q32"/>
    <mergeCell ref="J33:Q33"/>
    <mergeCell ref="S35:W35"/>
    <mergeCell ref="C15:D15"/>
    <mergeCell ref="C17:D18"/>
    <mergeCell ref="S18:W18"/>
    <mergeCell ref="C21:H21"/>
    <mergeCell ref="O27:P27"/>
    <mergeCell ref="L8:P13"/>
    <mergeCell ref="C9:D9"/>
    <mergeCell ref="S9:W9"/>
    <mergeCell ref="C11:D11"/>
    <mergeCell ref="C13:D13"/>
    <mergeCell ref="C7:H7"/>
    <mergeCell ref="J7:Q7"/>
    <mergeCell ref="S7:X7"/>
    <mergeCell ref="Y7:Z7"/>
    <mergeCell ref="AA7:AE7"/>
    <mergeCell ref="R5:S5"/>
    <mergeCell ref="V5:W5"/>
    <mergeCell ref="X5:Z5"/>
    <mergeCell ref="AA5:AB5"/>
    <mergeCell ref="AD5:AE5"/>
    <mergeCell ref="B2:AE2"/>
    <mergeCell ref="B4:D4"/>
    <mergeCell ref="E4:G4"/>
    <mergeCell ref="H4:J4"/>
    <mergeCell ref="K4:M4"/>
    <mergeCell ref="N4:Q5"/>
    <mergeCell ref="R4:S4"/>
    <mergeCell ref="T4:U5"/>
    <mergeCell ref="V4:W4"/>
    <mergeCell ref="X4:Z4"/>
    <mergeCell ref="AA4:AB4"/>
    <mergeCell ref="AD4:AE4"/>
    <mergeCell ref="B5:D5"/>
    <mergeCell ref="E5:G5"/>
    <mergeCell ref="H5:J5"/>
    <mergeCell ref="K5:M5"/>
  </mergeCells>
  <conditionalFormatting sqref="E50">
    <cfRule type="expression" dxfId="7" priority="1" stopIfTrue="1">
      <formula>IF($AG$11=1,1,0)</formula>
    </cfRule>
  </conditionalFormatting>
  <pageMargins left="0" right="0" top="0" bottom="0" header="0" footer="0"/>
  <pageSetup paperSize="9" scale="3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6">
    <tabColor indexed="11"/>
    <pageSetUpPr fitToPage="1"/>
  </sheetPr>
  <dimension ref="A1:AT78"/>
  <sheetViews>
    <sheetView showGridLines="0" showZeros="0" topLeftCell="D1" zoomScale="40" zoomScaleNormal="40" workbookViewId="0">
      <selection activeCell="V8" sqref="V8"/>
    </sheetView>
  </sheetViews>
  <sheetFormatPr defaultRowHeight="25.5" outlineLevelCol="1"/>
  <cols>
    <col min="1" max="1" width="65.85546875" style="226" hidden="1" customWidth="1" outlineLevel="1"/>
    <col min="2" max="2" width="65.5703125" style="289" hidden="1" customWidth="1" outlineLevel="1"/>
    <col min="3" max="3" width="5.140625" style="276" hidden="1" customWidth="1" outlineLevel="1"/>
    <col min="4" max="4" width="7.7109375" style="250" customWidth="1" collapsed="1"/>
    <col min="5" max="5" width="14.42578125" style="250" customWidth="1"/>
    <col min="6" max="6" width="6.5703125" style="250" customWidth="1"/>
    <col min="7" max="7" width="21.5703125" style="250" bestFit="1" customWidth="1"/>
    <col min="8" max="9" width="10.85546875" style="250" customWidth="1"/>
    <col min="10" max="10" width="9.42578125" style="250" customWidth="1"/>
    <col min="11" max="11" width="9.140625" style="250"/>
    <col min="12" max="12" width="10.7109375" style="250" customWidth="1"/>
    <col min="13" max="13" width="13.42578125" style="250" customWidth="1"/>
    <col min="14" max="14" width="15.28515625" style="250" customWidth="1"/>
    <col min="15" max="15" width="15.7109375" style="250" customWidth="1"/>
    <col min="16" max="16" width="21.85546875" style="250" customWidth="1"/>
    <col min="17" max="17" width="26" style="250" customWidth="1"/>
    <col min="18" max="18" width="13.28515625" style="250" customWidth="1"/>
    <col min="19" max="20" width="9.140625" style="250"/>
    <col min="21" max="21" width="24.42578125" style="250" customWidth="1"/>
    <col min="22" max="22" width="13.5703125" style="250" customWidth="1"/>
    <col min="23" max="23" width="13.140625" style="250" customWidth="1"/>
    <col min="24" max="24" width="13.85546875" style="250" customWidth="1"/>
    <col min="25" max="25" width="15.28515625" style="250" customWidth="1"/>
    <col min="26" max="26" width="12.7109375" style="250" customWidth="1"/>
    <col min="27" max="27" width="11.42578125" style="250" customWidth="1"/>
    <col min="28" max="28" width="12.5703125" style="250" customWidth="1"/>
    <col min="29" max="29" width="27.5703125" style="250" customWidth="1"/>
    <col min="30" max="30" width="27.28515625" style="250" customWidth="1"/>
    <col min="31" max="31" width="15.42578125" style="250" customWidth="1"/>
    <col min="32" max="32" width="18.85546875" style="250" customWidth="1"/>
    <col min="33" max="33" width="5.28515625" style="250" customWidth="1"/>
    <col min="34" max="34" width="3.140625" style="250" customWidth="1"/>
    <col min="35" max="38" width="9.140625" style="250"/>
    <col min="39" max="39" width="10.85546875" style="250" customWidth="1"/>
    <col min="40" max="16384" width="9.140625" style="250"/>
  </cols>
  <sheetData>
    <row r="1" spans="1:45" s="233" customFormat="1" ht="28.5" thickBot="1">
      <c r="A1" s="226" t="s">
        <v>1</v>
      </c>
      <c r="B1"/>
      <c r="C1" s="227"/>
      <c r="D1" s="228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30" t="s">
        <v>860</v>
      </c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31"/>
      <c r="AF1" s="232" t="s">
        <v>37</v>
      </c>
      <c r="AH1" s="234"/>
      <c r="AI1" s="234"/>
    </row>
    <row r="2" spans="1:45" s="237" customFormat="1" ht="27" customHeight="1">
      <c r="A2" s="226" t="s">
        <v>137</v>
      </c>
      <c r="B2"/>
      <c r="C2" s="227"/>
      <c r="D2" s="1919" t="s">
        <v>138</v>
      </c>
      <c r="E2" s="1905"/>
      <c r="F2" s="1905"/>
      <c r="G2" s="1905" t="s">
        <v>139</v>
      </c>
      <c r="H2" s="1905"/>
      <c r="I2" s="1905"/>
      <c r="J2" s="1905"/>
      <c r="K2" s="1905" t="s">
        <v>140</v>
      </c>
      <c r="L2" s="1905"/>
      <c r="M2" s="1905"/>
      <c r="N2" s="1905" t="s">
        <v>141</v>
      </c>
      <c r="O2" s="1905"/>
      <c r="P2" s="1905"/>
      <c r="Q2" s="1905" t="s">
        <v>142</v>
      </c>
      <c r="R2" s="1905"/>
      <c r="S2" s="1905"/>
      <c r="T2" s="1905" t="s">
        <v>143</v>
      </c>
      <c r="U2" s="1906"/>
      <c r="V2" s="1450" t="s">
        <v>144</v>
      </c>
      <c r="W2" s="1920" t="s">
        <v>145</v>
      </c>
      <c r="X2" s="1905"/>
      <c r="Y2" s="1449" t="s">
        <v>146</v>
      </c>
      <c r="Z2" s="1905" t="s">
        <v>147</v>
      </c>
      <c r="AA2" s="1905"/>
      <c r="AB2" s="1905"/>
      <c r="AC2" s="1449" t="s">
        <v>148</v>
      </c>
      <c r="AD2" s="1906" t="s">
        <v>149</v>
      </c>
      <c r="AE2" s="1907"/>
      <c r="AF2" s="1908"/>
      <c r="AH2" s="238"/>
      <c r="AI2" s="238"/>
    </row>
    <row r="3" spans="1:45" s="242" customFormat="1" ht="37.15" customHeight="1" thickBot="1">
      <c r="A3" s="226" t="s">
        <v>3</v>
      </c>
      <c r="B3"/>
      <c r="C3" s="227"/>
      <c r="D3" s="1909" t="s">
        <v>934</v>
      </c>
      <c r="E3" s="1910"/>
      <c r="F3" s="1910"/>
      <c r="G3" s="2007">
        <f>B1</f>
        <v>0</v>
      </c>
      <c r="H3" s="1910"/>
      <c r="I3" s="1910"/>
      <c r="J3" s="1910"/>
      <c r="K3" s="1911">
        <f>B2</f>
        <v>0</v>
      </c>
      <c r="L3" s="1911"/>
      <c r="M3" s="1911"/>
      <c r="N3" s="1911">
        <f>B4</f>
        <v>0</v>
      </c>
      <c r="O3" s="1911"/>
      <c r="P3" s="1911"/>
      <c r="Q3" s="1912">
        <f>+B43</f>
        <v>400</v>
      </c>
      <c r="R3" s="1913"/>
      <c r="S3" s="1914"/>
      <c r="T3" s="1912">
        <f>IF(E20&lt;B43,B43,E20)</f>
        <v>1400</v>
      </c>
      <c r="U3" s="1913"/>
      <c r="V3" s="240"/>
      <c r="W3" s="1913">
        <f>IF(H20&lt;B45,B45,H20)</f>
        <v>2200</v>
      </c>
      <c r="X3" s="1914"/>
      <c r="Y3" s="1451">
        <f>+W3-20</f>
        <v>2180</v>
      </c>
      <c r="Z3" s="1912">
        <f>IF(N10&lt;501,2,IF(N10&lt;1066,3,IF(N10&lt;1451,4,IF(N10&lt;1901,5,IF(N10&lt;2351,6,IF(N10&lt;2790,7,8))))))</f>
        <v>6</v>
      </c>
      <c r="AA3" s="1913"/>
      <c r="AB3" s="1914"/>
      <c r="AC3" s="241">
        <f>+G11</f>
        <v>0</v>
      </c>
      <c r="AD3" s="1916" t="str">
        <f>G13</f>
        <v>RETE GRIGIA</v>
      </c>
      <c r="AE3" s="1917"/>
      <c r="AF3" s="1918"/>
      <c r="AH3" s="243"/>
      <c r="AI3" s="243"/>
    </row>
    <row r="4" spans="1:45" s="242" customFormat="1" ht="40.15" customHeight="1" thickBot="1">
      <c r="A4" s="226" t="s">
        <v>2</v>
      </c>
      <c r="B4"/>
      <c r="C4" s="227"/>
      <c r="D4" s="244" t="s">
        <v>150</v>
      </c>
      <c r="E4" s="243"/>
      <c r="F4" s="243"/>
      <c r="G4" s="243"/>
      <c r="H4" s="243"/>
      <c r="I4" s="243"/>
      <c r="J4" s="243"/>
      <c r="K4" s="1921"/>
      <c r="L4" s="1921"/>
      <c r="M4" s="1922"/>
      <c r="N4" s="1923" t="s">
        <v>151</v>
      </c>
      <c r="O4" s="1924"/>
      <c r="P4" s="1924"/>
      <c r="Q4" s="1924"/>
      <c r="R4" s="1924"/>
      <c r="S4" s="1924"/>
      <c r="T4" s="243"/>
      <c r="U4" s="245">
        <f>IF((IF(T3/G15&lt;$B$43,$B$43,T3/G15))&lt;$B$43,$B$43,IF(T3/G15&lt;$B$43,$B$43,T3/G15))</f>
        <v>1400</v>
      </c>
      <c r="V4" s="246" t="s">
        <v>37</v>
      </c>
      <c r="W4" s="243"/>
      <c r="X4" s="247" t="s">
        <v>37</v>
      </c>
      <c r="Y4" s="243"/>
      <c r="Z4" s="243"/>
      <c r="AA4" s="248"/>
      <c r="AB4" s="2004" t="s">
        <v>152</v>
      </c>
      <c r="AC4" s="2004"/>
      <c r="AD4" s="1899">
        <f ca="1">NOW()</f>
        <v>45247.406918981484</v>
      </c>
      <c r="AE4" s="1899"/>
      <c r="AF4" s="2005"/>
      <c r="AG4" s="243"/>
      <c r="AH4" s="243"/>
      <c r="AI4" s="243"/>
    </row>
    <row r="5" spans="1:45" ht="39.75" customHeight="1">
      <c r="A5" s="226" t="s">
        <v>4</v>
      </c>
      <c r="B5"/>
      <c r="C5" s="227"/>
      <c r="D5" s="1882" t="s">
        <v>153</v>
      </c>
      <c r="E5" s="1848"/>
      <c r="F5" s="1881" t="s">
        <v>0</v>
      </c>
      <c r="G5" s="1881"/>
      <c r="H5" s="1881"/>
      <c r="I5" s="1881"/>
      <c r="J5" s="1881"/>
      <c r="K5" s="1882" t="s">
        <v>154</v>
      </c>
      <c r="L5" s="1848"/>
      <c r="M5" s="1881" t="s">
        <v>155</v>
      </c>
      <c r="N5" s="1881"/>
      <c r="O5" s="1881"/>
      <c r="P5" s="1881"/>
      <c r="Q5" s="1881"/>
      <c r="R5" s="1890"/>
      <c r="S5" s="1882" t="s">
        <v>156</v>
      </c>
      <c r="T5" s="1848"/>
      <c r="U5" s="1881" t="s">
        <v>157</v>
      </c>
      <c r="V5" s="1881"/>
      <c r="W5" s="1881"/>
      <c r="X5" s="1881"/>
      <c r="Y5" s="1881"/>
      <c r="Z5" s="1881"/>
      <c r="AA5" s="1881"/>
      <c r="AB5" s="1881"/>
      <c r="AC5" s="1881"/>
      <c r="AD5" s="1881"/>
      <c r="AE5" s="1881"/>
      <c r="AF5" s="1890"/>
      <c r="AG5" s="249"/>
      <c r="AH5" s="249"/>
      <c r="AI5" s="249"/>
    </row>
    <row r="6" spans="1:45" ht="30.75" customHeight="1">
      <c r="A6" s="226" t="s">
        <v>5</v>
      </c>
      <c r="B6"/>
      <c r="C6" s="227"/>
      <c r="D6" s="251"/>
      <c r="E6" s="234"/>
      <c r="F6" s="234"/>
      <c r="G6" s="234"/>
      <c r="H6" s="234"/>
      <c r="I6" s="234"/>
      <c r="J6" s="234"/>
      <c r="K6" s="252"/>
      <c r="L6" s="249"/>
      <c r="M6" s="253" t="s">
        <v>38</v>
      </c>
      <c r="N6" s="1455" t="s">
        <v>158</v>
      </c>
      <c r="O6" s="255">
        <f>ROUNDUP(((IF(IF(T3/G15&lt;$B$43,$B$43,T3/G15)&lt;$B$43,$B$43,IF(T3/G15&lt;$B$43,$B$43,T3/G15)))-65)*0.036,0)</f>
        <v>49</v>
      </c>
      <c r="P6" s="249"/>
      <c r="Q6" s="256">
        <f>+G15*G11</f>
        <v>0</v>
      </c>
      <c r="R6" s="257" t="s">
        <v>159</v>
      </c>
      <c r="S6" s="2155" t="s">
        <v>86</v>
      </c>
      <c r="T6" s="2156"/>
      <c r="U6" s="2156"/>
      <c r="V6" s="2156"/>
      <c r="W6" s="2156"/>
      <c r="X6" s="2156"/>
      <c r="Y6" s="2157"/>
      <c r="Z6" s="2156" t="s">
        <v>269</v>
      </c>
      <c r="AA6" s="2156"/>
      <c r="AB6" s="2156"/>
      <c r="AC6" s="2156"/>
      <c r="AD6" s="2156"/>
      <c r="AE6" s="2156"/>
      <c r="AF6" s="2158"/>
      <c r="AG6" s="249"/>
      <c r="AH6" s="249"/>
      <c r="AI6" s="249"/>
    </row>
    <row r="7" spans="1:45" ht="30.75" customHeight="1">
      <c r="A7" s="226" t="s">
        <v>7</v>
      </c>
      <c r="B7"/>
      <c r="C7" s="227"/>
      <c r="D7" s="251"/>
      <c r="E7" s="1448" t="s">
        <v>42</v>
      </c>
      <c r="F7" s="234"/>
      <c r="G7" s="2159">
        <f>+DATI!C6</f>
        <v>0</v>
      </c>
      <c r="H7" s="2160"/>
      <c r="I7" s="2160"/>
      <c r="J7" s="2160"/>
      <c r="K7" s="252"/>
      <c r="L7" s="249"/>
      <c r="M7" s="249"/>
      <c r="N7" s="249"/>
      <c r="O7" s="249"/>
      <c r="P7" s="249"/>
      <c r="Q7" s="249"/>
      <c r="R7" s="263"/>
      <c r="S7" s="1464"/>
      <c r="T7" s="1465"/>
      <c r="U7" s="1465"/>
      <c r="V7" s="1465"/>
      <c r="W7" s="1465"/>
      <c r="X7" s="1465"/>
      <c r="Y7" s="1466"/>
      <c r="Z7" s="1467"/>
      <c r="AA7" s="1468"/>
      <c r="AB7" s="1469"/>
      <c r="AC7" s="1469"/>
      <c r="AD7" s="1467"/>
      <c r="AE7" s="1467"/>
      <c r="AF7" s="1470"/>
      <c r="AG7" s="249"/>
      <c r="AH7" s="249"/>
      <c r="AI7" s="249"/>
    </row>
    <row r="8" spans="1:45" ht="30.75" customHeight="1">
      <c r="A8" s="226" t="s">
        <v>8</v>
      </c>
      <c r="B8"/>
      <c r="C8" s="227"/>
      <c r="D8" s="251"/>
      <c r="E8" s="234"/>
      <c r="F8" s="234" t="s">
        <v>37</v>
      </c>
      <c r="G8" s="234"/>
      <c r="H8" s="234"/>
      <c r="I8" s="234"/>
      <c r="J8" s="234"/>
      <c r="K8" s="252"/>
      <c r="L8" s="249"/>
      <c r="M8" s="249"/>
      <c r="N8" s="249"/>
      <c r="O8" s="249"/>
      <c r="P8" s="249"/>
      <c r="Q8" s="249"/>
      <c r="R8" s="263"/>
      <c r="S8" s="1464"/>
      <c r="T8" s="1467"/>
      <c r="U8" s="1471" t="s">
        <v>864</v>
      </c>
      <c r="V8" s="1472">
        <f>W3-67</f>
        <v>2133</v>
      </c>
      <c r="W8" s="1465"/>
      <c r="X8" s="1473"/>
      <c r="Y8" s="1474"/>
      <c r="Z8" s="1467"/>
      <c r="AA8" s="1475"/>
      <c r="AB8" s="1467"/>
      <c r="AC8" s="1467"/>
      <c r="AD8" s="1467"/>
      <c r="AE8" s="1467"/>
      <c r="AF8" s="1470"/>
      <c r="AG8" s="249"/>
      <c r="AH8" s="249"/>
      <c r="AI8" s="249"/>
    </row>
    <row r="9" spans="1:45" ht="30.75" customHeight="1">
      <c r="A9" s="226" t="s">
        <v>865</v>
      </c>
      <c r="B9"/>
      <c r="C9" s="227"/>
      <c r="D9" s="251"/>
      <c r="E9" s="1476" t="s">
        <v>161</v>
      </c>
      <c r="F9" s="1477"/>
      <c r="G9" s="1478"/>
      <c r="H9" s="1479" t="str">
        <f>DATI!C10</f>
        <v>06.NERO</v>
      </c>
      <c r="I9" s="1480"/>
      <c r="J9" s="1543"/>
      <c r="K9" s="252"/>
      <c r="L9" s="249"/>
      <c r="M9" s="238"/>
      <c r="N9" s="238"/>
      <c r="O9" s="238"/>
      <c r="P9" s="238"/>
      <c r="Q9" s="238"/>
      <c r="R9" s="263"/>
      <c r="S9" s="1464"/>
      <c r="T9" s="1481"/>
      <c r="U9" s="1467"/>
      <c r="V9" s="1467"/>
      <c r="W9" s="1467"/>
      <c r="X9" s="1465"/>
      <c r="Y9" s="1466"/>
      <c r="Z9" s="1467"/>
      <c r="AA9" s="1468"/>
      <c r="AB9" s="1469" t="s">
        <v>470</v>
      </c>
      <c r="AC9" s="1469">
        <f>T3 - 5</f>
        <v>1395</v>
      </c>
      <c r="AD9" s="1467"/>
      <c r="AE9" s="1467"/>
      <c r="AF9" s="1470"/>
      <c r="AG9" s="249"/>
      <c r="AH9" s="249"/>
      <c r="AI9" s="249"/>
    </row>
    <row r="10" spans="1:45" ht="30.75" customHeight="1">
      <c r="A10" s="226" t="s">
        <v>867</v>
      </c>
      <c r="B10"/>
      <c r="C10" s="227"/>
      <c r="D10" s="251"/>
      <c r="E10" s="234"/>
      <c r="F10" s="234"/>
      <c r="G10" s="234"/>
      <c r="H10" s="234"/>
      <c r="I10" s="234"/>
      <c r="J10" s="234"/>
      <c r="K10" s="252"/>
      <c r="L10" s="1468" t="s">
        <v>164</v>
      </c>
      <c r="M10" s="1467"/>
      <c r="N10" s="2161">
        <f>W3-30-2</f>
        <v>2168</v>
      </c>
      <c r="O10" s="2161"/>
      <c r="P10" s="1854" t="s">
        <v>869</v>
      </c>
      <c r="Q10" s="1854"/>
      <c r="R10" s="270" t="s">
        <v>37</v>
      </c>
      <c r="S10" s="1464"/>
      <c r="T10" s="1465"/>
      <c r="U10" s="1465"/>
      <c r="V10" s="1465"/>
      <c r="W10" s="1465"/>
      <c r="X10" s="1465"/>
      <c r="Y10" s="1466"/>
      <c r="Z10" s="1467"/>
      <c r="AA10" s="1475"/>
      <c r="AB10" s="1467"/>
      <c r="AC10" s="1467"/>
      <c r="AD10" s="1467"/>
      <c r="AE10" s="1467"/>
      <c r="AF10" s="1470"/>
      <c r="AG10" s="249"/>
      <c r="AH10" s="249"/>
      <c r="AI10" s="249"/>
    </row>
    <row r="11" spans="1:45" ht="30.75" customHeight="1">
      <c r="A11" s="226" t="s">
        <v>870</v>
      </c>
      <c r="B11"/>
      <c r="C11" s="227"/>
      <c r="D11" s="251"/>
      <c r="E11" s="1448" t="s">
        <v>48</v>
      </c>
      <c r="F11" s="234" t="s">
        <v>167</v>
      </c>
      <c r="G11" s="1483">
        <f>B8</f>
        <v>0</v>
      </c>
      <c r="H11" s="271">
        <f>+G15*G11</f>
        <v>0</v>
      </c>
      <c r="I11" s="271" t="str">
        <f>IF(H11&gt;1,"COLLI","COLLO")</f>
        <v>COLLO</v>
      </c>
      <c r="K11" s="252"/>
      <c r="L11" s="249"/>
      <c r="M11" s="249"/>
      <c r="N11" s="249"/>
      <c r="O11" s="249"/>
      <c r="P11" s="249"/>
      <c r="Q11" s="249"/>
      <c r="R11" s="263"/>
      <c r="S11" s="1464"/>
      <c r="T11" s="1465"/>
      <c r="U11" s="1465"/>
      <c r="V11" s="1465"/>
      <c r="W11" s="1465"/>
      <c r="X11" s="1465"/>
      <c r="Y11" s="1466"/>
      <c r="Z11" s="1467"/>
      <c r="AA11" s="1467"/>
      <c r="AB11" s="1467"/>
      <c r="AC11" s="1467"/>
      <c r="AD11" s="1467"/>
      <c r="AE11" s="1467"/>
      <c r="AF11" s="1470"/>
      <c r="AG11" s="249"/>
      <c r="AH11" s="249"/>
      <c r="AI11" s="249"/>
    </row>
    <row r="12" spans="1:45" ht="30.75" customHeight="1">
      <c r="A12" s="226" t="s">
        <v>871</v>
      </c>
      <c r="B12"/>
      <c r="C12" s="227"/>
      <c r="D12" s="251"/>
      <c r="E12" s="233"/>
      <c r="F12" s="233"/>
      <c r="G12" s="233"/>
      <c r="H12" s="233"/>
      <c r="I12" s="233"/>
      <c r="J12" s="233"/>
      <c r="K12" s="252"/>
      <c r="L12" s="262" t="s">
        <v>168</v>
      </c>
      <c r="M12" s="249"/>
      <c r="N12" s="1461"/>
      <c r="O12" s="1461"/>
      <c r="P12" s="1461"/>
      <c r="Q12" s="1461"/>
      <c r="R12" s="263"/>
      <c r="S12" s="1464"/>
      <c r="T12" s="1484"/>
      <c r="U12" s="1484"/>
      <c r="V12" s="1484"/>
      <c r="W12" s="1472"/>
      <c r="X12" s="1473"/>
      <c r="Y12" s="1466"/>
      <c r="Z12" s="1467"/>
      <c r="AA12" s="1467"/>
      <c r="AB12" s="1467"/>
      <c r="AC12" s="1467"/>
      <c r="AD12" s="1467"/>
      <c r="AE12" s="1467"/>
      <c r="AF12" s="1470"/>
      <c r="AG12" s="249"/>
      <c r="AH12" s="249"/>
      <c r="AI12" s="249"/>
    </row>
    <row r="13" spans="1:45" ht="30.75" customHeight="1">
      <c r="A13" s="226" t="s">
        <v>872</v>
      </c>
      <c r="B13"/>
      <c r="C13" s="227"/>
      <c r="D13" s="273"/>
      <c r="E13" s="1448" t="s">
        <v>46</v>
      </c>
      <c r="F13" s="234"/>
      <c r="G13" s="2160" t="str">
        <f>IF(DATI!$C$12=1,"",VLOOKUP(38,TRADUZIONI,DATI!$C$2-1,0))</f>
        <v>RETE GRIGIA</v>
      </c>
      <c r="H13" s="2160"/>
      <c r="I13" s="2160"/>
      <c r="J13" s="2160"/>
      <c r="K13" s="252"/>
      <c r="L13" s="249"/>
      <c r="M13" s="249"/>
      <c r="N13" s="249"/>
      <c r="O13" s="249"/>
      <c r="P13" s="249"/>
      <c r="Q13" s="249"/>
      <c r="R13" s="263"/>
      <c r="S13" s="1464"/>
      <c r="T13" s="2162" t="s">
        <v>940</v>
      </c>
      <c r="U13" s="2162"/>
      <c r="V13" s="2162"/>
      <c r="W13" s="1472">
        <f>W3-67</f>
        <v>2133</v>
      </c>
      <c r="X13" s="1473" t="s">
        <v>171</v>
      </c>
      <c r="Y13" s="1485">
        <f>+G15*G11</f>
        <v>0</v>
      </c>
      <c r="Z13" s="1467"/>
      <c r="AA13" s="1467"/>
      <c r="AB13" s="1467"/>
      <c r="AC13" s="1467"/>
      <c r="AD13" s="1467"/>
      <c r="AE13" s="1467"/>
      <c r="AF13" s="1470"/>
      <c r="AG13" s="249"/>
      <c r="AH13" s="249"/>
      <c r="AI13" s="249"/>
    </row>
    <row r="14" spans="1:45" ht="30.75" customHeight="1">
      <c r="A14" s="226" t="s">
        <v>874</v>
      </c>
      <c r="B14"/>
      <c r="D14" s="251"/>
      <c r="E14" s="234"/>
      <c r="F14" s="277"/>
      <c r="G14" s="234"/>
      <c r="H14" s="277"/>
      <c r="I14" s="277"/>
      <c r="J14" s="277"/>
      <c r="K14" s="252"/>
      <c r="L14" s="249"/>
      <c r="M14" s="249"/>
      <c r="N14" s="249"/>
      <c r="O14" s="249"/>
      <c r="P14" s="249"/>
      <c r="Q14" s="249"/>
      <c r="R14" s="263"/>
      <c r="S14" s="1464"/>
      <c r="T14" s="1467"/>
      <c r="U14" s="1467"/>
      <c r="V14" s="1467"/>
      <c r="W14" s="1467"/>
      <c r="X14" s="1467"/>
      <c r="Y14" s="1487">
        <f>+G15*G11</f>
        <v>0</v>
      </c>
      <c r="Z14" s="1467"/>
      <c r="AA14" s="1467"/>
      <c r="AB14" s="1467"/>
      <c r="AC14" s="1467"/>
      <c r="AD14" s="1467"/>
      <c r="AE14" s="1467"/>
      <c r="AF14" s="1470"/>
      <c r="AG14" s="249"/>
      <c r="AH14" s="249"/>
      <c r="AI14" s="249"/>
    </row>
    <row r="15" spans="1:45" ht="30.75" customHeight="1">
      <c r="A15" s="226" t="s">
        <v>875</v>
      </c>
      <c r="B15"/>
      <c r="D15" s="251"/>
      <c r="E15" s="279" t="s">
        <v>173</v>
      </c>
      <c r="F15" s="234"/>
      <c r="G15" s="280">
        <f>+DATI!C9</f>
        <v>1</v>
      </c>
      <c r="H15" s="281" t="str">
        <f>IF(OR(B12=" ",B12&lt;&gt;"S"),"",B12)</f>
        <v/>
      </c>
      <c r="I15" s="1454"/>
      <c r="J15" s="234"/>
      <c r="K15" s="283">
        <v>50</v>
      </c>
      <c r="L15" s="1459"/>
      <c r="M15" s="285"/>
      <c r="N15" s="238"/>
      <c r="O15" s="238"/>
      <c r="P15" s="238"/>
      <c r="Q15" s="238"/>
      <c r="R15" s="263"/>
      <c r="S15" s="2155" t="s">
        <v>876</v>
      </c>
      <c r="T15" s="2156"/>
      <c r="U15" s="2156"/>
      <c r="V15" s="2156"/>
      <c r="W15" s="2156"/>
      <c r="X15" s="2156"/>
      <c r="Y15" s="2157"/>
      <c r="Z15" s="2163" t="s">
        <v>270</v>
      </c>
      <c r="AA15" s="2156"/>
      <c r="AB15" s="2156"/>
      <c r="AC15" s="2156"/>
      <c r="AD15" s="2156"/>
      <c r="AE15" s="2156"/>
      <c r="AF15" s="2158"/>
      <c r="AG15" s="249"/>
      <c r="AH15" s="249"/>
      <c r="AI15" s="249"/>
      <c r="AN15" s="249"/>
      <c r="AO15" s="1461"/>
      <c r="AP15" s="249"/>
      <c r="AQ15" s="1461"/>
      <c r="AR15" s="1461"/>
      <c r="AS15" s="249"/>
    </row>
    <row r="16" spans="1:45" ht="30.75" customHeight="1">
      <c r="A16" s="226" t="s">
        <v>877</v>
      </c>
      <c r="B16"/>
      <c r="D16" s="251"/>
      <c r="E16" s="233"/>
      <c r="F16" s="233"/>
      <c r="G16" s="233"/>
      <c r="H16" s="234"/>
      <c r="I16" s="234"/>
      <c r="J16" s="234"/>
      <c r="K16" s="2164">
        <f>IF(Z3=2,N10-R23,M17-L29)</f>
        <v>467.60000000000014</v>
      </c>
      <c r="L16" s="1883"/>
      <c r="M16" s="238"/>
      <c r="N16" s="238"/>
      <c r="O16" s="238"/>
      <c r="P16" s="238"/>
      <c r="Q16" s="238"/>
      <c r="R16" s="263"/>
      <c r="S16" s="1489"/>
      <c r="T16" s="1467"/>
      <c r="U16" s="1467"/>
      <c r="V16" s="1467"/>
      <c r="W16" s="1467"/>
      <c r="X16" s="1467"/>
      <c r="Y16" s="1490"/>
      <c r="Z16" s="1467"/>
      <c r="AA16" s="1468"/>
      <c r="AB16" s="1467"/>
      <c r="AC16" s="1467"/>
      <c r="AD16" s="1491"/>
      <c r="AE16" s="1492"/>
      <c r="AF16" s="1470"/>
      <c r="AG16" s="249"/>
      <c r="AH16" s="249"/>
      <c r="AI16" s="249"/>
      <c r="AN16" s="262"/>
      <c r="AO16" s="249"/>
      <c r="AP16" s="249"/>
      <c r="AQ16" s="281"/>
      <c r="AR16" s="1459"/>
      <c r="AS16" s="249"/>
    </row>
    <row r="17" spans="1:46" ht="30.75" customHeight="1">
      <c r="A17" s="226" t="s">
        <v>878</v>
      </c>
      <c r="B17"/>
      <c r="D17" s="251"/>
      <c r="E17" s="279"/>
      <c r="H17" s="280"/>
      <c r="J17" s="234"/>
      <c r="K17" s="286"/>
      <c r="L17" s="238"/>
      <c r="M17" s="287">
        <f>IF(Z3&lt;3,0,IF(Z3=3,N10-R23,N18-L29))</f>
        <v>885.20000000000016</v>
      </c>
      <c r="N17" s="238"/>
      <c r="O17" s="238"/>
      <c r="P17" s="238"/>
      <c r="Q17" s="238"/>
      <c r="R17" s="263"/>
      <c r="S17" s="1489"/>
      <c r="T17" s="1467"/>
      <c r="U17" s="1471" t="s">
        <v>864</v>
      </c>
      <c r="V17" s="1472">
        <f>W3-67</f>
        <v>2133</v>
      </c>
      <c r="W17" s="1467"/>
      <c r="X17" s="1467"/>
      <c r="Y17" s="1494"/>
      <c r="Z17" s="1467"/>
      <c r="AA17" s="1467"/>
      <c r="AB17" s="1471" t="s">
        <v>751</v>
      </c>
      <c r="AC17" s="1469">
        <f>T3-5</f>
        <v>1395</v>
      </c>
      <c r="AD17" s="1495"/>
      <c r="AE17" s="1495"/>
      <c r="AF17" s="1470"/>
      <c r="AG17" s="249"/>
      <c r="AH17" s="249"/>
      <c r="AI17" s="249"/>
      <c r="AN17" s="262"/>
      <c r="AO17" s="249"/>
      <c r="AP17" s="249"/>
      <c r="AQ17" s="281"/>
      <c r="AR17" s="1459"/>
      <c r="AS17" s="249"/>
    </row>
    <row r="18" spans="1:46" ht="30.75" customHeight="1">
      <c r="A18" s="226" t="s">
        <v>879</v>
      </c>
      <c r="B18"/>
      <c r="D18" s="251"/>
      <c r="J18" s="1544"/>
      <c r="K18" s="286"/>
      <c r="L18" s="238"/>
      <c r="M18" s="238"/>
      <c r="N18" s="287">
        <f>IF(Z3&lt;4,"VUOTO",IF(Z3=4,N10-50,O19-L29))</f>
        <v>1302.8000000000002</v>
      </c>
      <c r="O18" s="238"/>
      <c r="P18" s="238"/>
      <c r="Q18" s="238"/>
      <c r="R18" s="263"/>
      <c r="S18" s="2165"/>
      <c r="T18" s="2166"/>
      <c r="U18" s="2166"/>
      <c r="V18" s="2166"/>
      <c r="W18" s="2166"/>
      <c r="X18" s="2166"/>
      <c r="Y18" s="2167"/>
      <c r="Z18" s="1467"/>
      <c r="AA18" s="1467"/>
      <c r="AB18" s="1467"/>
      <c r="AC18" s="1467"/>
      <c r="AD18" s="1467"/>
      <c r="AE18" s="1467"/>
      <c r="AF18" s="1470"/>
      <c r="AG18" s="249"/>
      <c r="AH18" s="249"/>
      <c r="AI18" s="249"/>
      <c r="AN18" s="249"/>
      <c r="AO18" s="249"/>
      <c r="AP18" s="249"/>
      <c r="AQ18" s="249"/>
      <c r="AR18" s="249"/>
      <c r="AS18" s="249"/>
    </row>
    <row r="19" spans="1:46" ht="30.75" customHeight="1">
      <c r="B19"/>
      <c r="D19" s="1497" t="str">
        <f>IF(AND(E20&lt;$B$43,G15=1),"MINIMO L $B$43 - REIMPOSTA ! ","")</f>
        <v/>
      </c>
      <c r="E19" s="1860" t="s">
        <v>4</v>
      </c>
      <c r="F19" s="1860"/>
      <c r="H19" s="279" t="s">
        <v>5</v>
      </c>
      <c r="I19" s="279"/>
      <c r="J19" s="249"/>
      <c r="K19" s="286"/>
      <c r="L19" s="238"/>
      <c r="M19" s="238"/>
      <c r="N19" s="238"/>
      <c r="O19" s="287">
        <f>IF(Z3&lt;5,"VUOTO",IF(Z3=5,N10-R23,P20-L29))</f>
        <v>1720.4</v>
      </c>
      <c r="P19" s="290"/>
      <c r="Q19" s="238"/>
      <c r="R19" s="263"/>
      <c r="S19" s="1464"/>
      <c r="T19" s="1465"/>
      <c r="U19" s="1465"/>
      <c r="V19" s="1465"/>
      <c r="W19" s="1465"/>
      <c r="X19" s="1465"/>
      <c r="Y19" s="1466"/>
      <c r="Z19" s="1467"/>
      <c r="AA19" s="1467"/>
      <c r="AB19" s="1467"/>
      <c r="AC19" s="1467"/>
      <c r="AD19" s="1467"/>
      <c r="AE19" s="1467"/>
      <c r="AF19" s="1470"/>
      <c r="AG19" s="249"/>
      <c r="AH19" s="249"/>
      <c r="AI19" s="249"/>
      <c r="AN19" s="249"/>
      <c r="AO19" s="249"/>
      <c r="AP19" s="285"/>
      <c r="AQ19" s="1454"/>
      <c r="AR19" s="249"/>
      <c r="AS19" s="249"/>
      <c r="AT19" s="249"/>
    </row>
    <row r="20" spans="1:46" ht="30.75" customHeight="1">
      <c r="A20" s="226" t="s">
        <v>881</v>
      </c>
      <c r="B20"/>
      <c r="D20" s="252"/>
      <c r="E20" s="2153">
        <f>+DATI!C7</f>
        <v>1400</v>
      </c>
      <c r="F20" s="2154"/>
      <c r="G20" s="1454" t="s">
        <v>44</v>
      </c>
      <c r="H20" s="2153">
        <f>+DATI!C8</f>
        <v>2200</v>
      </c>
      <c r="I20" s="2154"/>
      <c r="K20" s="286"/>
      <c r="L20" s="238"/>
      <c r="M20" s="238"/>
      <c r="N20" s="238"/>
      <c r="O20" s="249"/>
      <c r="P20" s="281">
        <f>IF(Z3&lt;6,0,IF(Z3=6,N10-R23,Q21-L29))</f>
        <v>2138</v>
      </c>
      <c r="Q20" s="238"/>
      <c r="R20" s="263"/>
      <c r="S20" s="1464"/>
      <c r="T20" s="1465"/>
      <c r="U20" s="1465"/>
      <c r="V20" s="1465"/>
      <c r="W20" s="1465"/>
      <c r="X20" s="1465"/>
      <c r="Y20" s="1466"/>
      <c r="Z20" s="1467"/>
      <c r="AA20" s="1467"/>
      <c r="AB20" s="1467"/>
      <c r="AC20" s="1467"/>
      <c r="AD20" s="1467"/>
      <c r="AE20" s="1467"/>
      <c r="AF20" s="1470"/>
      <c r="AG20" s="249"/>
      <c r="AH20" s="249"/>
      <c r="AI20" s="249"/>
      <c r="AN20" s="249"/>
      <c r="AO20" s="249"/>
      <c r="AP20" s="249"/>
      <c r="AQ20" s="249"/>
      <c r="AR20" s="249"/>
      <c r="AS20" s="249"/>
      <c r="AT20" s="249"/>
    </row>
    <row r="21" spans="1:46" ht="30.75" customHeight="1">
      <c r="A21" s="226" t="s">
        <v>882</v>
      </c>
      <c r="B21"/>
      <c r="D21" s="252"/>
      <c r="K21" s="286"/>
      <c r="L21" s="238"/>
      <c r="M21" s="238"/>
      <c r="N21" s="238"/>
      <c r="O21" s="238"/>
      <c r="P21" s="281"/>
      <c r="Q21" s="287">
        <f>IF(Z3&lt;7,0,IF(Z3=7,N10-R23,Q22-L29))</f>
        <v>0</v>
      </c>
      <c r="R21" s="291"/>
      <c r="S21" s="1489"/>
      <c r="T21" s="1467"/>
      <c r="U21" s="1467"/>
      <c r="V21" s="1467"/>
      <c r="W21" s="1467"/>
      <c r="X21" s="1467"/>
      <c r="Y21" s="1467"/>
      <c r="Z21" s="1498"/>
      <c r="AA21" s="1467"/>
      <c r="AB21" s="1467"/>
      <c r="AC21" s="1467"/>
      <c r="AD21" s="1467"/>
      <c r="AE21" s="1473" t="s">
        <v>37</v>
      </c>
      <c r="AF21" s="1499" t="s">
        <v>37</v>
      </c>
      <c r="AG21" s="249"/>
      <c r="AH21" s="249"/>
      <c r="AI21" s="249"/>
      <c r="AN21" s="249"/>
      <c r="AO21" s="249"/>
      <c r="AP21" s="249"/>
      <c r="AQ21" s="249"/>
      <c r="AR21" s="249"/>
      <c r="AS21" s="249"/>
      <c r="AT21" s="249"/>
    </row>
    <row r="22" spans="1:46" ht="30.75" customHeight="1">
      <c r="B22"/>
      <c r="D22" s="2168" t="str">
        <f>IF(W3-T3/G15&gt;130,"REALIZZABILE","NON REALIZZABILE")</f>
        <v>REALIZZABILE</v>
      </c>
      <c r="E22" s="2169"/>
      <c r="F22" s="2169"/>
      <c r="G22" s="2169"/>
      <c r="H22" s="2169"/>
      <c r="I22" s="2169"/>
      <c r="J22" s="2169"/>
      <c r="K22" s="252"/>
      <c r="L22" s="1500"/>
      <c r="M22" s="1500"/>
      <c r="N22" s="1500"/>
      <c r="O22" s="1500"/>
      <c r="P22" s="1500"/>
      <c r="Q22" s="1387">
        <f>IF(Z3=8,N10-R23,0)</f>
        <v>0</v>
      </c>
      <c r="R22" s="263"/>
      <c r="S22" s="2155" t="s">
        <v>271</v>
      </c>
      <c r="T22" s="2156"/>
      <c r="U22" s="2156"/>
      <c r="V22" s="2156"/>
      <c r="W22" s="2156"/>
      <c r="X22" s="2156"/>
      <c r="Y22" s="2157"/>
      <c r="Z22" s="2156" t="s">
        <v>174</v>
      </c>
      <c r="AA22" s="2156"/>
      <c r="AB22" s="2156"/>
      <c r="AC22" s="2156"/>
      <c r="AD22" s="2156"/>
      <c r="AE22" s="2156"/>
      <c r="AF22" s="2158"/>
      <c r="AG22" s="249"/>
      <c r="AH22" s="249"/>
      <c r="AI22" s="249"/>
      <c r="AN22" s="249"/>
      <c r="AO22" s="249"/>
      <c r="AP22" s="249"/>
      <c r="AQ22" s="249"/>
      <c r="AR22" s="249"/>
      <c r="AS22" s="249"/>
      <c r="AT22" s="249"/>
    </row>
    <row r="23" spans="1:46" ht="30.75" customHeight="1">
      <c r="A23" s="1501" t="s">
        <v>883</v>
      </c>
      <c r="B23"/>
      <c r="D23" s="252"/>
      <c r="E23" s="1503" t="str">
        <f>IF((H20&gt;B44),CONCATENATE("ERRORE !!! H MAX ",B44),"")</f>
        <v/>
      </c>
      <c r="F23" s="249"/>
      <c r="G23" s="249"/>
      <c r="H23" s="249"/>
      <c r="I23" s="249"/>
      <c r="J23" s="249"/>
      <c r="K23" s="252"/>
      <c r="L23" s="2052" t="e">
        <f>IF(DATI!E13="AUTOMATICA",CONCATENATE("*",DATI!E14,"-",REPT("0",4-LEN(N10)),N10,"*"),CONCATENATE("*",DATI!L14,REPT("0",3-LEN(O6)),O6,REPT("0",4-LEN(N10)),N10,DATI!L13,"*"))</f>
        <v>#VALUE!</v>
      </c>
      <c r="M23" s="2052"/>
      <c r="N23" s="2052"/>
      <c r="O23" s="2052"/>
      <c r="P23" s="2052"/>
      <c r="Q23" s="2052"/>
      <c r="R23" s="1460">
        <v>30</v>
      </c>
      <c r="S23" s="1464"/>
      <c r="T23" s="1465"/>
      <c r="U23" s="1467"/>
      <c r="V23" s="1467"/>
      <c r="W23" s="1465"/>
      <c r="X23" s="1465"/>
      <c r="Y23" s="1466"/>
      <c r="Z23" s="1467"/>
      <c r="AA23" s="1467"/>
      <c r="AB23" s="1467"/>
      <c r="AC23" s="1467"/>
      <c r="AD23" s="1467"/>
      <c r="AE23" s="1467"/>
      <c r="AF23" s="1470"/>
      <c r="AG23" s="249"/>
      <c r="AH23" s="249"/>
      <c r="AI23" s="249"/>
      <c r="AN23" s="249"/>
      <c r="AO23" s="279"/>
      <c r="AP23" s="267"/>
      <c r="AQ23" s="297"/>
      <c r="AR23" s="264"/>
      <c r="AS23" s="1452"/>
      <c r="AT23" s="238"/>
    </row>
    <row r="24" spans="1:46" ht="30.75" customHeight="1">
      <c r="A24" s="1504" t="s">
        <v>884</v>
      </c>
      <c r="B24"/>
      <c r="D24" s="298" t="str">
        <f>IF(AND(E20&lt;B42,G15=2),CONCATENATE("ERRORE !!! L MIN 2 ANTE ",B42),"")</f>
        <v/>
      </c>
      <c r="E24" s="249"/>
      <c r="F24" s="249"/>
      <c r="G24" s="249"/>
      <c r="H24" s="249"/>
      <c r="I24" s="249"/>
      <c r="J24" s="249"/>
      <c r="K24" s="252"/>
      <c r="L24" s="2052"/>
      <c r="M24" s="2052"/>
      <c r="N24" s="2052"/>
      <c r="O24" s="2052"/>
      <c r="P24" s="2052"/>
      <c r="Q24" s="2052"/>
      <c r="R24" s="263"/>
      <c r="S24" s="1464"/>
      <c r="T24" s="1465"/>
      <c r="U24" s="1471" t="s">
        <v>885</v>
      </c>
      <c r="V24" s="1472">
        <f>W3-67</f>
        <v>2133</v>
      </c>
      <c r="W24" s="1465"/>
      <c r="X24" s="1465"/>
      <c r="Y24" s="1466"/>
      <c r="Z24" s="1467"/>
      <c r="AA24" s="2170" t="s">
        <v>781</v>
      </c>
      <c r="AB24" s="2170"/>
      <c r="AC24" s="2170"/>
      <c r="AD24" s="1506">
        <f>IF(OR(G15=1,H15="S"),W3-57,"NO")</f>
        <v>2143</v>
      </c>
      <c r="AE24" s="1467"/>
      <c r="AF24" s="1470"/>
      <c r="AG24" s="249"/>
      <c r="AH24" s="249"/>
      <c r="AI24" s="249"/>
      <c r="AN24" s="249"/>
      <c r="AO24" s="249"/>
      <c r="AP24" s="249"/>
      <c r="AQ24" s="249"/>
      <c r="AR24" s="249"/>
      <c r="AS24" s="249"/>
      <c r="AT24" s="249"/>
    </row>
    <row r="25" spans="1:46" ht="30.75" customHeight="1">
      <c r="A25" s="1504" t="s">
        <v>886</v>
      </c>
      <c r="B25"/>
      <c r="D25" s="252"/>
      <c r="E25" s="249"/>
      <c r="F25" s="1865">
        <f>T3-0</f>
        <v>1400</v>
      </c>
      <c r="G25" s="1865"/>
      <c r="H25" s="1865"/>
      <c r="I25" s="249"/>
      <c r="J25" s="249"/>
      <c r="K25" s="252"/>
      <c r="L25" s="2052"/>
      <c r="M25" s="2052"/>
      <c r="N25" s="2052"/>
      <c r="O25" s="2052"/>
      <c r="P25" s="2052"/>
      <c r="Q25" s="2052"/>
      <c r="R25" s="263"/>
      <c r="S25" s="1464"/>
      <c r="T25" s="1465"/>
      <c r="U25" s="1465"/>
      <c r="V25" s="1465"/>
      <c r="W25" s="1465"/>
      <c r="X25" s="1465"/>
      <c r="Y25" s="1466"/>
      <c r="Z25" s="1467"/>
      <c r="AA25" s="1467"/>
      <c r="AB25" s="1467"/>
      <c r="AC25" s="1467"/>
      <c r="AD25" s="1467"/>
      <c r="AE25" s="1467"/>
      <c r="AF25" s="1470"/>
      <c r="AG25" s="249"/>
      <c r="AH25" s="249"/>
      <c r="AI25" s="249"/>
      <c r="AN25" s="249"/>
      <c r="AO25" s="249"/>
      <c r="AP25" s="249"/>
      <c r="AQ25" s="249"/>
      <c r="AR25" s="249"/>
      <c r="AS25" s="249"/>
      <c r="AT25" s="249"/>
    </row>
    <row r="26" spans="1:46" ht="30.75" customHeight="1">
      <c r="A26" s="1504" t="s">
        <v>887</v>
      </c>
      <c r="B26"/>
      <c r="D26" s="252"/>
      <c r="E26" s="249"/>
      <c r="F26" s="1456"/>
      <c r="G26" s="1456"/>
      <c r="H26" s="1456"/>
      <c r="I26" s="249"/>
      <c r="J26" s="249"/>
      <c r="K26" s="252"/>
      <c r="L26" s="2052"/>
      <c r="M26" s="2052"/>
      <c r="N26" s="2052"/>
      <c r="O26" s="2052"/>
      <c r="P26" s="2052"/>
      <c r="Q26" s="2052"/>
      <c r="R26" s="263"/>
      <c r="S26" s="1464"/>
      <c r="T26" s="1465"/>
      <c r="U26" s="1465"/>
      <c r="V26" s="1465"/>
      <c r="W26" s="1465"/>
      <c r="X26" s="1465"/>
      <c r="Y26" s="1466"/>
      <c r="Z26" s="1467"/>
      <c r="AA26" s="1467"/>
      <c r="AB26" s="1467"/>
      <c r="AC26" s="1467"/>
      <c r="AD26" s="1467"/>
      <c r="AE26" s="1467"/>
      <c r="AF26" s="1470"/>
      <c r="AG26" s="249"/>
      <c r="AH26" s="249"/>
      <c r="AI26" s="249"/>
      <c r="AN26" s="249"/>
      <c r="AO26" s="249"/>
      <c r="AP26" s="249"/>
      <c r="AQ26" s="249"/>
      <c r="AR26" s="249"/>
      <c r="AS26" s="249"/>
      <c r="AT26" s="249"/>
    </row>
    <row r="27" spans="1:46" ht="30.75" customHeight="1">
      <c r="A27" s="1504" t="s">
        <v>888</v>
      </c>
      <c r="B27"/>
      <c r="D27" s="259"/>
      <c r="E27" s="249"/>
      <c r="F27" s="1459"/>
      <c r="G27" s="249"/>
      <c r="H27" s="249"/>
      <c r="I27" s="249"/>
      <c r="J27" s="249"/>
      <c r="K27" s="252"/>
      <c r="L27" s="2052"/>
      <c r="M27" s="2052"/>
      <c r="N27" s="2052"/>
      <c r="O27" s="2052"/>
      <c r="P27" s="2052"/>
      <c r="Q27" s="2052"/>
      <c r="R27" s="263"/>
      <c r="S27" s="1464"/>
      <c r="T27" s="1465"/>
      <c r="U27" s="1465"/>
      <c r="V27" s="1465"/>
      <c r="W27" s="1465"/>
      <c r="X27" s="1465"/>
      <c r="Y27" s="1466"/>
      <c r="Z27" s="1467"/>
      <c r="AA27" s="1467"/>
      <c r="AB27" s="1467"/>
      <c r="AC27" s="1467"/>
      <c r="AD27" s="1467"/>
      <c r="AE27" s="1467"/>
      <c r="AF27" s="1470"/>
      <c r="AG27" s="249"/>
      <c r="AH27" s="249"/>
      <c r="AI27" s="249"/>
      <c r="AN27" s="249"/>
      <c r="AO27" s="249"/>
      <c r="AP27" s="249"/>
      <c r="AQ27" s="249"/>
      <c r="AR27" s="249"/>
      <c r="AS27" s="249"/>
      <c r="AT27" s="249"/>
    </row>
    <row r="28" spans="1:46" ht="30.75" customHeight="1">
      <c r="A28" s="1507" t="s">
        <v>889</v>
      </c>
      <c r="B28"/>
      <c r="D28" s="252"/>
      <c r="E28" s="249"/>
      <c r="F28" s="249"/>
      <c r="G28" s="249"/>
      <c r="H28" s="249"/>
      <c r="I28" s="249"/>
      <c r="J28" s="249"/>
      <c r="K28" s="252"/>
      <c r="L28" s="1860"/>
      <c r="M28" s="1860"/>
      <c r="N28" s="1860"/>
      <c r="O28" s="1860"/>
      <c r="P28" s="1860"/>
      <c r="Q28" s="1860"/>
      <c r="R28" s="300"/>
      <c r="S28" s="1464"/>
      <c r="T28" s="1465"/>
      <c r="U28" s="1467"/>
      <c r="V28" s="1467"/>
      <c r="W28" s="1467"/>
      <c r="X28" s="1509" t="s">
        <v>37</v>
      </c>
      <c r="Y28" s="1466"/>
      <c r="Z28" s="1467"/>
      <c r="AA28" s="1467"/>
      <c r="AB28" s="1467"/>
      <c r="AC28" s="1467"/>
      <c r="AD28" s="1467"/>
      <c r="AE28" s="1510"/>
      <c r="AF28" s="1470"/>
      <c r="AG28" s="249"/>
      <c r="AH28" s="249"/>
      <c r="AI28" s="249"/>
      <c r="AN28" s="249"/>
      <c r="AO28" s="249"/>
      <c r="AP28" s="249"/>
      <c r="AQ28" s="249"/>
      <c r="AR28" s="249"/>
      <c r="AS28" s="249"/>
      <c r="AT28" s="249"/>
    </row>
    <row r="29" spans="1:46" ht="30.75" customHeight="1">
      <c r="A29" s="226" t="s">
        <v>890</v>
      </c>
      <c r="B29"/>
      <c r="D29" s="252"/>
      <c r="E29" s="249"/>
      <c r="F29" s="249"/>
      <c r="G29" s="249"/>
      <c r="H29" s="302"/>
      <c r="I29" s="302"/>
      <c r="J29" s="249"/>
      <c r="K29" s="252"/>
      <c r="L29" s="2000">
        <f>(N10-K15-R23)/(Z3-1)</f>
        <v>417.6</v>
      </c>
      <c r="M29" s="2000"/>
      <c r="N29" s="2000"/>
      <c r="O29" s="2000"/>
      <c r="P29" s="2000"/>
      <c r="Q29" s="2000"/>
      <c r="R29" s="263"/>
      <c r="S29" s="1464"/>
      <c r="T29" s="1465"/>
      <c r="U29" s="1465"/>
      <c r="V29" s="1481" t="s">
        <v>177</v>
      </c>
      <c r="W29" s="1509">
        <v>4</v>
      </c>
      <c r="X29" s="1509" t="s">
        <v>37</v>
      </c>
      <c r="Y29" s="1466"/>
      <c r="Z29" s="1465"/>
      <c r="AA29" s="1467"/>
      <c r="AB29" s="1467"/>
      <c r="AC29" s="1481"/>
      <c r="AD29" s="1511"/>
      <c r="AE29" s="1512"/>
      <c r="AF29" s="1470"/>
      <c r="AG29" s="249"/>
      <c r="AH29" s="249"/>
      <c r="AI29" s="249"/>
      <c r="AN29" s="249"/>
      <c r="AO29" s="249"/>
      <c r="AP29" s="249"/>
      <c r="AQ29" s="249"/>
      <c r="AR29" s="249"/>
      <c r="AS29" s="1453"/>
      <c r="AT29" s="249"/>
    </row>
    <row r="30" spans="1:46" ht="30.75" customHeight="1" thickBot="1">
      <c r="A30" s="226" t="s">
        <v>891</v>
      </c>
      <c r="B30"/>
      <c r="D30" s="252"/>
      <c r="E30" s="249"/>
      <c r="F30" s="249"/>
      <c r="G30" s="249"/>
      <c r="H30" s="303"/>
      <c r="I30" s="303"/>
      <c r="J30" s="249"/>
      <c r="K30" s="2186" t="s">
        <v>935</v>
      </c>
      <c r="L30" s="2187"/>
      <c r="M30" s="2187"/>
      <c r="N30" s="2187"/>
      <c r="O30" s="2187"/>
      <c r="P30" s="2187"/>
      <c r="Q30" s="2187"/>
      <c r="R30" s="2188"/>
      <c r="S30" s="1514"/>
      <c r="T30" s="1515"/>
      <c r="U30" s="1516"/>
      <c r="V30" s="1515"/>
      <c r="W30" s="1515"/>
      <c r="X30" s="1515"/>
      <c r="Y30" s="1517"/>
      <c r="Z30" s="1515"/>
      <c r="AA30" s="1518"/>
      <c r="AB30" s="1518"/>
      <c r="AC30" s="1519"/>
      <c r="AD30" s="1520"/>
      <c r="AE30" s="1521"/>
      <c r="AF30" s="1522"/>
      <c r="AG30" s="249"/>
      <c r="AH30" s="249"/>
      <c r="AI30" s="249"/>
      <c r="AN30" s="260"/>
      <c r="AO30" s="249"/>
      <c r="AP30" s="249"/>
      <c r="AQ30" s="253"/>
      <c r="AR30" s="279"/>
      <c r="AS30" s="1454"/>
      <c r="AT30" s="249"/>
    </row>
    <row r="31" spans="1:46" ht="39" customHeight="1">
      <c r="B31"/>
      <c r="D31" s="252"/>
      <c r="E31" s="249"/>
      <c r="F31" s="249"/>
      <c r="G31" s="249"/>
      <c r="H31" s="249"/>
      <c r="I31" s="249"/>
      <c r="J31" s="249"/>
      <c r="K31" s="1882" t="s">
        <v>179</v>
      </c>
      <c r="L31" s="1848"/>
      <c r="M31" s="2189" t="s">
        <v>180</v>
      </c>
      <c r="N31" s="1881"/>
      <c r="O31" s="1881"/>
      <c r="P31" s="1881"/>
      <c r="Q31" s="1881"/>
      <c r="R31" s="1881"/>
      <c r="S31" s="1992"/>
      <c r="T31" s="1992"/>
      <c r="U31" s="1881"/>
      <c r="V31" s="1881"/>
      <c r="W31" s="1881"/>
      <c r="X31" s="1881"/>
      <c r="Y31" s="1890"/>
      <c r="Z31" s="1992" t="s">
        <v>183</v>
      </c>
      <c r="AA31" s="1992"/>
      <c r="AB31" s="1881" t="s">
        <v>184</v>
      </c>
      <c r="AC31" s="1881"/>
      <c r="AD31" s="1881"/>
      <c r="AE31" s="1881"/>
      <c r="AF31" s="1890"/>
      <c r="AG31" s="249"/>
      <c r="AH31" s="249"/>
      <c r="AI31" s="249"/>
      <c r="AN31" s="260"/>
      <c r="AO31" s="249"/>
      <c r="AP31" s="249"/>
      <c r="AQ31" s="253"/>
      <c r="AR31" s="279"/>
      <c r="AS31" s="1454"/>
      <c r="AT31" s="249"/>
    </row>
    <row r="32" spans="1:46" ht="28.15" customHeight="1">
      <c r="B32"/>
      <c r="D32" s="1830">
        <f>H20 -20</f>
        <v>2180</v>
      </c>
      <c r="E32" s="249"/>
      <c r="F32" s="249"/>
      <c r="G32" s="249"/>
      <c r="H32" s="249"/>
      <c r="I32" s="249"/>
      <c r="J32" s="249"/>
      <c r="K32" s="311"/>
      <c r="L32" s="302"/>
      <c r="M32" s="302"/>
      <c r="N32" s="264"/>
      <c r="O32" s="302"/>
      <c r="P32" s="302"/>
      <c r="Q32" s="302"/>
      <c r="R32" s="302"/>
      <c r="S32" s="260"/>
      <c r="T32" s="260"/>
      <c r="U32" s="260"/>
      <c r="V32" s="260"/>
      <c r="W32" s="260"/>
      <c r="X32" s="260"/>
      <c r="Y32" s="313"/>
      <c r="Z32" s="249"/>
      <c r="AA32" s="249"/>
      <c r="AB32" s="249"/>
      <c r="AC32" s="249"/>
      <c r="AD32" s="249"/>
      <c r="AE32" s="249"/>
      <c r="AF32" s="263"/>
      <c r="AG32" s="249"/>
      <c r="AH32" s="249"/>
      <c r="AI32" s="249"/>
    </row>
    <row r="33" spans="1:35" ht="24.6" customHeight="1">
      <c r="A33" s="226" t="s">
        <v>399</v>
      </c>
      <c r="B33"/>
      <c r="D33" s="1830"/>
      <c r="E33" s="249"/>
      <c r="F33" s="249"/>
      <c r="G33" s="249"/>
      <c r="H33" s="249"/>
      <c r="I33" s="249"/>
      <c r="J33" s="249"/>
      <c r="K33" s="311"/>
      <c r="L33" s="302"/>
      <c r="M33" s="2171" t="s">
        <v>752</v>
      </c>
      <c r="N33" s="2171"/>
      <c r="O33" s="2171"/>
      <c r="P33" s="325">
        <f>ROUNDUP((T3+N10)+100,-2)</f>
        <v>3700</v>
      </c>
      <c r="Q33" s="1455">
        <v>2</v>
      </c>
      <c r="R33" s="303" t="s">
        <v>171</v>
      </c>
      <c r="S33" s="249"/>
      <c r="T33" s="1838"/>
      <c r="U33" s="1838"/>
      <c r="V33" s="1836"/>
      <c r="W33" s="1836"/>
      <c r="X33" s="1836"/>
      <c r="Y33" s="1837"/>
      <c r="Z33" s="302"/>
      <c r="AA33" s="303" t="s">
        <v>893</v>
      </c>
      <c r="AB33" s="302"/>
      <c r="AC33" s="302"/>
      <c r="AD33" s="303"/>
      <c r="AE33" s="302"/>
      <c r="AF33" s="263"/>
      <c r="AG33" s="249"/>
      <c r="AH33" s="249"/>
      <c r="AI33" s="249"/>
    </row>
    <row r="34" spans="1:35" ht="24.6" customHeight="1">
      <c r="A34" s="226" t="s">
        <v>894</v>
      </c>
      <c r="B34"/>
      <c r="D34" s="1830"/>
      <c r="E34" s="249"/>
      <c r="F34" s="249"/>
      <c r="G34" s="249"/>
      <c r="H34" s="249"/>
      <c r="I34" s="249"/>
      <c r="J34" s="249"/>
      <c r="K34" s="311"/>
      <c r="L34" s="302"/>
      <c r="M34" s="2171"/>
      <c r="N34" s="2171"/>
      <c r="O34" s="2171"/>
      <c r="P34" s="302"/>
      <c r="Q34" s="318"/>
      <c r="R34" s="249"/>
      <c r="S34" s="260"/>
      <c r="T34" s="260"/>
      <c r="U34" s="260"/>
      <c r="V34" s="260"/>
      <c r="W34" s="260"/>
      <c r="X34" s="260"/>
      <c r="Y34" s="313"/>
      <c r="Z34" s="234"/>
      <c r="AA34" s="234"/>
      <c r="AB34" s="234"/>
      <c r="AC34" s="292"/>
      <c r="AD34" s="234"/>
      <c r="AE34" s="234"/>
      <c r="AF34" s="312"/>
      <c r="AG34" s="302"/>
      <c r="AH34" s="302"/>
      <c r="AI34" s="249"/>
    </row>
    <row r="35" spans="1:35" ht="21.75" customHeight="1">
      <c r="A35" s="226" t="s">
        <v>896</v>
      </c>
      <c r="B35"/>
      <c r="D35" s="1830"/>
      <c r="E35" s="249"/>
      <c r="F35" s="249"/>
      <c r="G35" s="249"/>
      <c r="H35" s="249"/>
      <c r="I35" s="249"/>
      <c r="J35" s="249"/>
      <c r="K35" s="311"/>
      <c r="L35" s="302"/>
      <c r="M35" s="2171" t="s">
        <v>898</v>
      </c>
      <c r="N35" s="2171"/>
      <c r="O35" s="2171"/>
      <c r="P35" s="325">
        <f>IF(Z3=2,"",ROUNDUP(U4+L29+50+50+150+100,-2))</f>
        <v>2200</v>
      </c>
      <c r="Q35" s="1455">
        <f>IF(Z3&gt;2,IF(Z3&lt;4,1,2)," ")</f>
        <v>2</v>
      </c>
      <c r="R35" s="303" t="s">
        <v>171</v>
      </c>
      <c r="S35" s="249"/>
      <c r="T35" s="249"/>
      <c r="U35" s="249"/>
      <c r="V35" s="249"/>
      <c r="W35" s="249"/>
      <c r="X35" s="249"/>
      <c r="Y35" s="263"/>
      <c r="Z35" s="234"/>
      <c r="AA35" s="292" t="s">
        <v>188</v>
      </c>
      <c r="AB35" s="234"/>
      <c r="AC35" s="1454">
        <f>2+(T3/G15-20)/20</f>
        <v>71</v>
      </c>
      <c r="AD35" s="279" t="s">
        <v>189</v>
      </c>
      <c r="AE35" s="234"/>
      <c r="AF35" s="317"/>
      <c r="AG35" s="234"/>
      <c r="AH35" s="234"/>
      <c r="AI35" s="249"/>
    </row>
    <row r="36" spans="1:35" ht="27.6" customHeight="1">
      <c r="A36" s="226" t="s">
        <v>899</v>
      </c>
      <c r="B36"/>
      <c r="D36" s="1830"/>
      <c r="E36" s="249"/>
      <c r="F36" s="249"/>
      <c r="G36" s="249"/>
      <c r="H36" s="249"/>
      <c r="I36" s="249"/>
      <c r="J36" s="249"/>
      <c r="K36" s="311"/>
      <c r="L36" s="302"/>
      <c r="M36" s="1524"/>
      <c r="N36" s="1524"/>
      <c r="O36" s="1524"/>
      <c r="P36" s="302"/>
      <c r="Q36" s="318"/>
      <c r="R36" s="1525"/>
      <c r="S36" s="260"/>
      <c r="T36" s="326"/>
      <c r="U36" s="292"/>
      <c r="V36" s="260"/>
      <c r="W36" s="326"/>
      <c r="X36" s="260"/>
      <c r="Y36" s="313"/>
      <c r="AF36" s="317"/>
      <c r="AG36" s="234"/>
      <c r="AH36" s="234"/>
      <c r="AI36" s="249"/>
    </row>
    <row r="37" spans="1:35" ht="24.6" customHeight="1">
      <c r="A37" s="226" t="s">
        <v>901</v>
      </c>
      <c r="B37"/>
      <c r="D37" s="1830"/>
      <c r="E37" s="1831"/>
      <c r="F37" s="1831"/>
      <c r="G37" s="1831"/>
      <c r="H37" s="279"/>
      <c r="I37" s="324" t="s">
        <v>190</v>
      </c>
      <c r="K37" s="311"/>
      <c r="L37" s="302"/>
      <c r="M37" s="2171" t="s">
        <v>903</v>
      </c>
      <c r="N37" s="2171"/>
      <c r="O37" s="2171"/>
      <c r="P37" s="325">
        <f>IF(Z3&lt;4,"",ROUNDUP(U4+2*L29+50+50+150+100,-2))</f>
        <v>2600</v>
      </c>
      <c r="Q37" s="1455">
        <f>IF(Z3&gt;4,IF(Z3&lt;6,1,2)," ")</f>
        <v>2</v>
      </c>
      <c r="R37" s="303" t="s">
        <v>171</v>
      </c>
      <c r="S37" s="260"/>
      <c r="T37" s="260"/>
      <c r="U37" s="260"/>
      <c r="V37" s="260"/>
      <c r="W37" s="326"/>
      <c r="X37" s="260"/>
      <c r="Y37" s="313"/>
      <c r="Z37" s="2180" t="s">
        <v>904</v>
      </c>
      <c r="AA37" s="2180"/>
      <c r="AB37" s="2180"/>
      <c r="AC37" s="2180"/>
      <c r="AD37" s="2180"/>
      <c r="AE37" s="2180"/>
      <c r="AF37" s="2181"/>
      <c r="AG37" s="234"/>
      <c r="AH37" s="234"/>
      <c r="AI37" s="249"/>
    </row>
    <row r="38" spans="1:35" ht="24.6" customHeight="1">
      <c r="A38" s="226" t="s">
        <v>905</v>
      </c>
      <c r="B38"/>
      <c r="D38" s="1830"/>
      <c r="E38" s="249"/>
      <c r="F38" s="249"/>
      <c r="G38" s="249"/>
      <c r="H38" s="249"/>
      <c r="I38" s="249"/>
      <c r="J38" s="249"/>
      <c r="K38" s="311"/>
      <c r="L38" s="302"/>
      <c r="M38" s="1524"/>
      <c r="N38" s="1524"/>
      <c r="O38" s="1524"/>
      <c r="P38" s="249"/>
      <c r="Q38" s="249"/>
      <c r="R38" s="1525"/>
      <c r="S38" s="1832"/>
      <c r="T38" s="1832"/>
      <c r="U38" s="1833"/>
      <c r="V38" s="1833"/>
      <c r="W38" s="1833"/>
      <c r="X38" s="1833"/>
      <c r="Y38" s="1834"/>
      <c r="Z38" s="2182"/>
      <c r="AA38" s="2182"/>
      <c r="AB38" s="2182"/>
      <c r="AC38" s="2182"/>
      <c r="AD38" s="2182"/>
      <c r="AE38" s="2182"/>
      <c r="AF38" s="2183"/>
      <c r="AG38" s="234"/>
      <c r="AH38" s="234"/>
      <c r="AI38" s="249"/>
    </row>
    <row r="39" spans="1:35" ht="24.6" customHeight="1">
      <c r="A39" s="226" t="s">
        <v>907</v>
      </c>
      <c r="B39"/>
      <c r="D39" s="1830"/>
      <c r="E39" s="249"/>
      <c r="F39" s="249"/>
      <c r="G39" s="249"/>
      <c r="H39" s="249"/>
      <c r="I39" s="249"/>
      <c r="J39" s="249"/>
      <c r="K39" s="311"/>
      <c r="L39" s="302"/>
      <c r="M39" s="2171" t="s">
        <v>909</v>
      </c>
      <c r="N39" s="2171"/>
      <c r="O39" s="2171"/>
      <c r="P39" s="325">
        <f>IF(Z3&lt;6,"",ROUNDUP(U4+3*L29+50+50+150+100,-2))</f>
        <v>3100</v>
      </c>
      <c r="Q39" s="1455" t="str">
        <f>IF(Z3&gt;6,IF(Z3&lt;8,1,2)," ")</f>
        <v xml:space="preserve"> </v>
      </c>
      <c r="R39" s="303" t="s">
        <v>171</v>
      </c>
      <c r="S39" s="260"/>
      <c r="T39" s="260"/>
      <c r="U39" s="357" t="s">
        <v>910</v>
      </c>
      <c r="V39" s="260"/>
      <c r="W39" s="260"/>
      <c r="X39" s="260"/>
      <c r="Y39" s="313"/>
      <c r="Z39" s="1448"/>
      <c r="AA39" s="234"/>
      <c r="AB39" s="1448"/>
      <c r="AC39" s="234"/>
      <c r="AD39" s="234"/>
      <c r="AE39" s="234"/>
      <c r="AF39" s="317"/>
      <c r="AG39" s="234"/>
      <c r="AH39" s="234"/>
      <c r="AI39" s="249"/>
    </row>
    <row r="40" spans="1:35" ht="24.6" customHeight="1">
      <c r="B40"/>
      <c r="D40" s="1830"/>
      <c r="E40" s="249"/>
      <c r="F40" s="249"/>
      <c r="G40" s="249"/>
      <c r="H40" s="249"/>
      <c r="I40" s="249"/>
      <c r="J40" s="249"/>
      <c r="K40" s="311"/>
      <c r="L40" s="302"/>
      <c r="M40" s="302"/>
      <c r="N40" s="302"/>
      <c r="O40" s="302"/>
      <c r="P40" s="302"/>
      <c r="Q40" s="318"/>
      <c r="R40" s="495"/>
      <c r="S40" s="260"/>
      <c r="T40" s="260"/>
      <c r="U40" s="260"/>
      <c r="V40" s="260"/>
      <c r="W40" s="260"/>
      <c r="X40" s="260"/>
      <c r="Y40" s="313"/>
      <c r="Z40" s="1448"/>
      <c r="AA40" s="234"/>
      <c r="AB40" s="1448"/>
      <c r="AC40" s="234"/>
      <c r="AD40" s="234"/>
      <c r="AE40" s="234"/>
      <c r="AF40" s="317"/>
      <c r="AG40" s="234"/>
      <c r="AH40" s="234"/>
      <c r="AI40" s="249"/>
    </row>
    <row r="41" spans="1:35" ht="24.6" customHeight="1">
      <c r="B41"/>
      <c r="D41" s="1830"/>
      <c r="E41" s="249"/>
      <c r="F41" s="249"/>
      <c r="G41" s="249"/>
      <c r="H41" s="249"/>
      <c r="I41" s="249"/>
      <c r="J41" s="249"/>
      <c r="K41" s="311"/>
      <c r="L41" s="302"/>
      <c r="M41" s="302"/>
      <c r="N41" s="302"/>
      <c r="O41" s="315"/>
      <c r="P41" s="249"/>
      <c r="Q41" s="249"/>
      <c r="R41" s="249"/>
      <c r="S41" s="249"/>
      <c r="T41" s="249"/>
      <c r="U41" s="249"/>
      <c r="V41" s="260"/>
      <c r="W41" s="260"/>
      <c r="X41" s="253"/>
      <c r="Y41" s="313"/>
      <c r="Z41" s="2184" t="s">
        <v>911</v>
      </c>
      <c r="AA41" s="2185"/>
      <c r="AB41" s="2185"/>
      <c r="AC41" s="1526">
        <f>T3/G15+43</f>
        <v>1443</v>
      </c>
      <c r="AD41" s="234"/>
      <c r="AE41" s="234"/>
      <c r="AF41" s="317"/>
      <c r="AG41" s="1853" t="s">
        <v>199</v>
      </c>
      <c r="AH41" s="234"/>
      <c r="AI41" s="249"/>
    </row>
    <row r="42" spans="1:35" ht="21.95" customHeight="1">
      <c r="A42" s="502" t="s">
        <v>272</v>
      </c>
      <c r="B42" s="1542">
        <v>1430</v>
      </c>
      <c r="D42" s="1830"/>
      <c r="E42" s="249"/>
      <c r="F42" s="249"/>
      <c r="G42" s="249"/>
      <c r="H42" s="249"/>
      <c r="I42" s="249"/>
      <c r="J42" s="249"/>
      <c r="K42" s="311"/>
      <c r="L42" s="302"/>
      <c r="M42" s="1455"/>
      <c r="N42" s="302" t="s">
        <v>37</v>
      </c>
      <c r="O42" s="302"/>
      <c r="P42" s="302"/>
      <c r="Q42" s="302"/>
      <c r="R42" s="302"/>
      <c r="S42" s="260"/>
      <c r="T42" s="260"/>
      <c r="U42" s="260"/>
      <c r="V42" s="260"/>
      <c r="W42" s="326"/>
      <c r="X42" s="260"/>
      <c r="Y42" s="313"/>
      <c r="Z42" s="234"/>
      <c r="AA42" s="2172"/>
      <c r="AB42" s="2172"/>
      <c r="AC42" s="2172"/>
      <c r="AD42" s="234"/>
      <c r="AE42" s="234"/>
      <c r="AF42" s="317"/>
      <c r="AG42" s="1853"/>
      <c r="AH42" s="234"/>
      <c r="AI42" s="249"/>
    </row>
    <row r="43" spans="1:35" ht="33.75" customHeight="1">
      <c r="A43" s="504" t="s">
        <v>273</v>
      </c>
      <c r="B43" s="1542">
        <v>400</v>
      </c>
      <c r="D43" s="1830"/>
      <c r="E43" s="249"/>
      <c r="F43" s="249"/>
      <c r="G43" s="249"/>
      <c r="H43" s="249"/>
      <c r="I43" s="249"/>
      <c r="J43" s="249"/>
      <c r="K43" s="311"/>
      <c r="L43" s="302"/>
      <c r="M43" s="302"/>
      <c r="N43" s="302"/>
      <c r="O43" s="302"/>
      <c r="P43" s="303"/>
      <c r="Q43" s="302"/>
      <c r="R43" s="302"/>
      <c r="S43" s="1832"/>
      <c r="T43" s="1832"/>
      <c r="U43" s="1854"/>
      <c r="V43" s="1854"/>
      <c r="W43" s="1854"/>
      <c r="X43" s="1854"/>
      <c r="Y43" s="1855"/>
      <c r="Z43" s="234"/>
      <c r="AA43" s="234"/>
      <c r="AB43" s="234"/>
      <c r="AC43" s="234"/>
      <c r="AD43" s="234"/>
      <c r="AE43" s="234"/>
      <c r="AF43" s="317"/>
      <c r="AG43" s="1853"/>
      <c r="AH43" s="234"/>
      <c r="AI43" s="249"/>
    </row>
    <row r="44" spans="1:35" ht="33.75" customHeight="1">
      <c r="A44" s="504" t="s">
        <v>274</v>
      </c>
      <c r="B44" s="1542">
        <v>2731</v>
      </c>
      <c r="D44" s="252"/>
      <c r="E44" s="249"/>
      <c r="F44" s="249"/>
      <c r="G44" s="249"/>
      <c r="H44" s="249"/>
      <c r="I44" s="249"/>
      <c r="J44" s="249"/>
      <c r="K44" s="311"/>
      <c r="L44" s="302"/>
      <c r="M44" s="302"/>
      <c r="N44" s="302"/>
      <c r="O44" s="302"/>
      <c r="P44" s="302"/>
      <c r="Q44" s="302"/>
      <c r="R44" s="302"/>
      <c r="S44" s="260"/>
      <c r="T44" s="326"/>
      <c r="U44" s="1458"/>
      <c r="V44" s="260"/>
      <c r="W44" s="260"/>
      <c r="X44" s="260"/>
      <c r="Y44" s="313"/>
      <c r="Z44" s="350"/>
      <c r="AA44" s="1527" t="s">
        <v>92</v>
      </c>
      <c r="AB44" s="1527"/>
      <c r="AC44" s="1527"/>
      <c r="AD44" s="1527"/>
      <c r="AE44" s="1528"/>
      <c r="AF44" s="351"/>
      <c r="AG44" s="1853"/>
      <c r="AH44" s="249"/>
      <c r="AI44" s="249"/>
    </row>
    <row r="45" spans="1:35" ht="18.95" customHeight="1">
      <c r="A45" s="506" t="s">
        <v>275</v>
      </c>
      <c r="B45" s="1542">
        <v>700</v>
      </c>
      <c r="D45" s="252"/>
      <c r="E45" s="249"/>
      <c r="F45" s="249"/>
      <c r="G45" s="249"/>
      <c r="H45" s="249"/>
      <c r="I45" s="249"/>
      <c r="J45" s="249"/>
      <c r="K45" s="311"/>
      <c r="L45" s="302"/>
      <c r="M45" s="1455"/>
      <c r="N45" s="302"/>
      <c r="O45" s="302"/>
      <c r="P45" s="303"/>
      <c r="Q45" s="302"/>
      <c r="R45" s="302"/>
      <c r="S45" s="260"/>
      <c r="T45" s="260"/>
      <c r="U45" s="260"/>
      <c r="V45" s="260"/>
      <c r="W45" s="260"/>
      <c r="X45" s="260"/>
      <c r="Y45" s="313"/>
      <c r="Z45" s="249"/>
      <c r="AA45" s="332"/>
      <c r="AB45" s="262" t="s">
        <v>202</v>
      </c>
      <c r="AC45" s="332"/>
      <c r="AD45" s="332"/>
      <c r="AE45" s="1461"/>
      <c r="AF45" s="263"/>
      <c r="AG45" s="1853"/>
      <c r="AH45" s="249"/>
      <c r="AI45" s="249"/>
    </row>
    <row r="46" spans="1:35" ht="18.600000000000001" customHeight="1">
      <c r="D46" s="252"/>
      <c r="E46" s="249"/>
      <c r="F46" s="249"/>
      <c r="G46" s="333"/>
      <c r="H46" s="249"/>
      <c r="I46" s="249"/>
      <c r="J46" s="249"/>
      <c r="K46" s="311"/>
      <c r="L46" s="302"/>
      <c r="M46" s="302"/>
      <c r="N46" s="302"/>
      <c r="O46" s="302"/>
      <c r="P46" s="302"/>
      <c r="Q46" s="302"/>
      <c r="R46" s="302"/>
      <c r="S46" s="260"/>
      <c r="T46" s="260"/>
      <c r="U46" s="260"/>
      <c r="V46" s="260"/>
      <c r="W46" s="260"/>
      <c r="X46" s="253"/>
      <c r="Y46" s="313"/>
      <c r="Z46" s="249"/>
      <c r="AA46" s="332"/>
      <c r="AB46" s="262" t="s">
        <v>203</v>
      </c>
      <c r="AC46" s="332"/>
      <c r="AD46" s="334"/>
      <c r="AE46" s="1461"/>
      <c r="AF46" s="263"/>
      <c r="AG46" s="1853"/>
      <c r="AH46" s="249"/>
      <c r="AI46" s="249"/>
    </row>
    <row r="47" spans="1:35" ht="26.45" customHeight="1" thickBot="1">
      <c r="D47" s="304"/>
      <c r="E47" s="305"/>
      <c r="F47" s="305"/>
      <c r="G47" s="305" t="s">
        <v>204</v>
      </c>
      <c r="H47" s="305"/>
      <c r="I47" s="305"/>
      <c r="J47" s="305"/>
      <c r="K47" s="311"/>
      <c r="L47" s="302"/>
      <c r="M47" s="303"/>
      <c r="N47" s="302"/>
      <c r="O47" s="302"/>
      <c r="P47" s="302"/>
      <c r="Q47" s="302"/>
      <c r="R47" s="302"/>
      <c r="S47" s="260"/>
      <c r="T47" s="249"/>
      <c r="U47" s="1458"/>
      <c r="V47" s="260"/>
      <c r="W47" s="1455"/>
      <c r="X47" s="260"/>
      <c r="Y47" s="313"/>
      <c r="Z47" s="249"/>
      <c r="AA47" s="335"/>
      <c r="AB47" s="262" t="s">
        <v>95</v>
      </c>
      <c r="AC47" s="332"/>
      <c r="AD47" s="253"/>
      <c r="AE47" s="336"/>
      <c r="AF47" s="263"/>
      <c r="AG47" s="1853"/>
      <c r="AH47" s="249"/>
      <c r="AI47" s="249"/>
    </row>
    <row r="48" spans="1:35" ht="18.95" customHeight="1">
      <c r="D48" s="252"/>
      <c r="E48" s="1461" t="s">
        <v>109</v>
      </c>
      <c r="F48" s="337"/>
      <c r="G48" s="249"/>
      <c r="H48" s="260" t="s">
        <v>110</v>
      </c>
      <c r="I48" s="260"/>
      <c r="J48" s="249"/>
      <c r="K48" s="311"/>
      <c r="L48" s="302"/>
      <c r="M48" s="302"/>
      <c r="N48" s="302"/>
      <c r="O48" s="302"/>
      <c r="P48" s="302"/>
      <c r="Q48" s="302"/>
      <c r="R48" s="302"/>
      <c r="S48" s="292"/>
      <c r="T48" s="260"/>
      <c r="U48" s="292"/>
      <c r="V48" s="260"/>
      <c r="W48" s="260"/>
      <c r="X48" s="260"/>
      <c r="Y48" s="313"/>
      <c r="Z48" s="249"/>
      <c r="AA48" s="260"/>
      <c r="AB48" s="262" t="s">
        <v>206</v>
      </c>
      <c r="AC48" s="249"/>
      <c r="AD48" s="253"/>
      <c r="AE48" s="336"/>
      <c r="AF48" s="263"/>
      <c r="AG48" s="1853"/>
      <c r="AH48" s="249"/>
      <c r="AI48" s="249"/>
    </row>
    <row r="49" spans="1:35" ht="18.95" customHeight="1" thickBot="1">
      <c r="D49" s="338" t="s">
        <v>207</v>
      </c>
      <c r="E49" s="339"/>
      <c r="F49" s="340" t="s">
        <v>113</v>
      </c>
      <c r="G49" s="2173" t="str">
        <f>CONCATENATE(B30,B29)</f>
        <v/>
      </c>
      <c r="H49" s="2174"/>
      <c r="I49" s="2174"/>
      <c r="J49" s="2174"/>
      <c r="K49" s="311"/>
      <c r="L49" s="302"/>
      <c r="M49" s="302"/>
      <c r="N49" s="302"/>
      <c r="O49" s="302"/>
      <c r="P49" s="302"/>
      <c r="Q49" s="302"/>
      <c r="R49" s="302"/>
      <c r="S49" s="260"/>
      <c r="T49" s="260"/>
      <c r="U49" s="260"/>
      <c r="V49" s="260"/>
      <c r="W49" s="260"/>
      <c r="X49" s="260"/>
      <c r="Y49" s="313"/>
      <c r="Z49" s="305"/>
      <c r="AA49" s="341"/>
      <c r="AB49" s="305"/>
      <c r="AC49" s="305"/>
      <c r="AD49" s="305"/>
      <c r="AE49" s="305"/>
      <c r="AF49" s="307"/>
      <c r="AG49" s="1853"/>
      <c r="AH49" s="249"/>
      <c r="AI49" s="249"/>
    </row>
    <row r="50" spans="1:35" ht="18.95" customHeight="1">
      <c r="D50" s="342"/>
      <c r="E50" s="343"/>
      <c r="F50" s="344"/>
      <c r="G50" s="2175"/>
      <c r="H50" s="2176"/>
      <c r="I50" s="2176"/>
      <c r="J50" s="2176"/>
      <c r="K50" s="311"/>
      <c r="L50" s="302"/>
      <c r="M50" s="302"/>
      <c r="N50" s="302"/>
      <c r="O50" s="302"/>
      <c r="P50" s="302"/>
      <c r="Q50" s="302"/>
      <c r="R50" s="302"/>
      <c r="S50" s="260"/>
      <c r="T50" s="260"/>
      <c r="U50" s="1529"/>
      <c r="V50" s="260"/>
      <c r="W50" s="253"/>
      <c r="X50" s="264"/>
      <c r="Y50" s="1530"/>
      <c r="Z50" s="1531" t="s">
        <v>37</v>
      </c>
      <c r="AA50" s="249"/>
      <c r="AB50" s="249"/>
      <c r="AC50" s="249"/>
      <c r="AD50" s="249"/>
      <c r="AE50" s="249"/>
      <c r="AF50" s="263"/>
      <c r="AG50" s="1853"/>
      <c r="AH50" s="249"/>
      <c r="AI50" s="249"/>
    </row>
    <row r="51" spans="1:35" ht="39" customHeight="1">
      <c r="D51" s="252"/>
      <c r="E51" s="249"/>
      <c r="F51" s="337"/>
      <c r="G51" s="2177"/>
      <c r="H51" s="2178"/>
      <c r="I51" s="2178"/>
      <c r="J51" s="2178"/>
      <c r="K51" s="311"/>
      <c r="L51" s="302"/>
      <c r="M51" s="302"/>
      <c r="N51" s="264"/>
      <c r="O51" s="302"/>
      <c r="P51" s="302"/>
      <c r="Q51" s="302"/>
      <c r="R51" s="302"/>
      <c r="S51" s="2179"/>
      <c r="T51" s="2179"/>
      <c r="U51" s="1860"/>
      <c r="V51" s="1860"/>
      <c r="W51" s="1860"/>
      <c r="X51" s="1860"/>
      <c r="Y51" s="1861"/>
      <c r="Z51" s="1459"/>
      <c r="AA51" s="249"/>
      <c r="AB51" s="347" t="s">
        <v>98</v>
      </c>
      <c r="AC51" s="347" t="s">
        <v>99</v>
      </c>
      <c r="AD51" s="347" t="s">
        <v>100</v>
      </c>
      <c r="AE51" s="249"/>
      <c r="AF51" s="263"/>
      <c r="AG51" s="1853"/>
      <c r="AH51" s="249"/>
      <c r="AI51" s="249"/>
    </row>
    <row r="52" spans="1:35" ht="21.95" customHeight="1">
      <c r="D52" s="252"/>
      <c r="E52" s="249"/>
      <c r="F52" s="337"/>
      <c r="G52" s="348" t="s">
        <v>114</v>
      </c>
      <c r="H52" s="348" t="s">
        <v>115</v>
      </c>
      <c r="I52" s="348"/>
      <c r="J52" s="348"/>
      <c r="K52" s="311"/>
      <c r="L52" s="302"/>
      <c r="M52" s="302"/>
      <c r="N52" s="303"/>
      <c r="O52" s="302"/>
      <c r="P52" s="302"/>
      <c r="Q52" s="302"/>
      <c r="R52" s="302"/>
      <c r="S52" s="249"/>
      <c r="T52" s="249"/>
      <c r="U52" s="249"/>
      <c r="V52" s="249"/>
      <c r="W52" s="249"/>
      <c r="X52" s="249"/>
      <c r="Y52" s="263"/>
      <c r="Z52" s="262"/>
      <c r="AA52" s="249"/>
      <c r="AB52" s="353" t="s">
        <v>44</v>
      </c>
      <c r="AC52" s="354"/>
      <c r="AD52" s="354"/>
      <c r="AE52" s="249"/>
      <c r="AF52" s="263"/>
      <c r="AG52" s="1853"/>
      <c r="AH52" s="249"/>
      <c r="AI52" s="249"/>
    </row>
    <row r="53" spans="1:35" ht="26.45" customHeight="1">
      <c r="D53" s="252"/>
      <c r="E53" s="249"/>
      <c r="F53" s="337"/>
      <c r="G53" s="355"/>
      <c r="H53" s="350"/>
      <c r="I53" s="350"/>
      <c r="J53" s="350"/>
      <c r="K53" s="311"/>
      <c r="L53" s="302"/>
      <c r="M53" s="302"/>
      <c r="N53" s="302"/>
      <c r="O53" s="302"/>
      <c r="P53" s="302"/>
      <c r="Q53" s="302"/>
      <c r="R53" s="303"/>
      <c r="S53" s="1457"/>
      <c r="T53" s="249"/>
      <c r="U53" s="249"/>
      <c r="V53" s="1448"/>
      <c r="W53" s="326"/>
      <c r="X53" s="357"/>
      <c r="Y53" s="263"/>
      <c r="Z53" s="1448"/>
      <c r="AA53" s="249"/>
      <c r="AB53" s="249">
        <v>0.05</v>
      </c>
      <c r="AC53" s="1461">
        <v>0.115</v>
      </c>
      <c r="AD53" s="358" t="s">
        <v>102</v>
      </c>
      <c r="AE53" s="359">
        <f>(W3-42+207)/1000</f>
        <v>2.3650000000000002</v>
      </c>
      <c r="AF53" s="263"/>
      <c r="AG53" s="1853"/>
      <c r="AH53" s="249"/>
      <c r="AI53" s="249"/>
    </row>
    <row r="54" spans="1:35" ht="24" customHeight="1">
      <c r="D54" s="252"/>
      <c r="E54" s="249"/>
      <c r="F54" s="337"/>
      <c r="G54" s="360"/>
      <c r="H54" s="361"/>
      <c r="I54" s="361"/>
      <c r="J54" s="361"/>
      <c r="K54" s="362"/>
      <c r="L54" s="302"/>
      <c r="M54" s="302"/>
      <c r="N54" s="357"/>
      <c r="O54" s="264"/>
      <c r="P54" s="357"/>
      <c r="Q54" s="302"/>
      <c r="S54" s="249"/>
      <c r="T54" s="249"/>
      <c r="U54" s="357" t="s">
        <v>912</v>
      </c>
      <c r="V54" s="249"/>
      <c r="W54" s="249"/>
      <c r="X54" s="249"/>
      <c r="Y54" s="263"/>
      <c r="Z54" s="249"/>
      <c r="AA54" s="249"/>
      <c r="AB54" s="249" t="s">
        <v>103</v>
      </c>
      <c r="AC54" s="249"/>
      <c r="AD54" s="1455">
        <f>+H11</f>
        <v>0</v>
      </c>
      <c r="AE54" s="238" t="s">
        <v>104</v>
      </c>
      <c r="AF54" s="263"/>
      <c r="AG54" s="1853"/>
      <c r="AH54" s="249"/>
      <c r="AI54" s="249"/>
    </row>
    <row r="55" spans="1:35" ht="18.95" customHeight="1" thickBot="1">
      <c r="D55" s="304"/>
      <c r="E55" s="305"/>
      <c r="F55" s="363"/>
      <c r="G55" s="364"/>
      <c r="H55" s="305"/>
      <c r="I55" s="305"/>
      <c r="J55" s="305"/>
      <c r="K55" s="365"/>
      <c r="L55" s="366"/>
      <c r="M55" s="366"/>
      <c r="N55" s="366"/>
      <c r="O55" s="366"/>
      <c r="P55" s="366"/>
      <c r="Q55" s="366"/>
      <c r="R55" s="366"/>
      <c r="S55" s="305"/>
      <c r="T55" s="305"/>
      <c r="U55" s="309"/>
      <c r="V55" s="309"/>
      <c r="W55" s="309"/>
      <c r="X55" s="309"/>
      <c r="Y55" s="307"/>
      <c r="Z55" s="305"/>
      <c r="AA55" s="305"/>
      <c r="AB55" s="305" t="s">
        <v>105</v>
      </c>
      <c r="AC55" s="305"/>
      <c r="AD55" s="368">
        <f>(AB53*AC53*AE53)</f>
        <v>1.3598750000000003E-2</v>
      </c>
      <c r="AE55" s="305" t="s">
        <v>212</v>
      </c>
      <c r="AF55" s="307"/>
      <c r="AG55" s="1853"/>
    </row>
    <row r="56" spans="1:35" ht="102" customHeight="1">
      <c r="O56" s="249"/>
      <c r="U56" s="369"/>
      <c r="V56" s="369"/>
      <c r="W56" s="369"/>
      <c r="X56" s="369"/>
      <c r="AE56" s="1532"/>
      <c r="AF56" s="1533"/>
    </row>
    <row r="57" spans="1:35">
      <c r="U57" s="369"/>
      <c r="V57" s="369"/>
      <c r="W57" s="369"/>
      <c r="X57" s="260"/>
      <c r="Y57" s="249"/>
      <c r="Z57" s="249"/>
      <c r="AA57" s="249"/>
      <c r="AB57" s="249"/>
      <c r="AC57" s="249"/>
      <c r="AD57" s="249"/>
    </row>
    <row r="58" spans="1:35">
      <c r="U58" s="369"/>
      <c r="V58" s="369"/>
      <c r="W58" s="369"/>
      <c r="X58" s="260"/>
      <c r="Y58" s="249"/>
      <c r="Z58" s="249"/>
      <c r="AA58" s="249"/>
      <c r="AB58" s="249"/>
      <c r="AC58" s="249"/>
      <c r="AD58" s="249"/>
    </row>
    <row r="59" spans="1:35" ht="27.75">
      <c r="A59" s="1534" t="str">
        <f>+SUBSTITUTE(B3,"&amp;","")</f>
        <v/>
      </c>
      <c r="U59" s="369"/>
      <c r="V59" s="369"/>
      <c r="W59" s="369"/>
      <c r="X59" s="292"/>
      <c r="Y59" s="260"/>
      <c r="Z59" s="279"/>
      <c r="AA59" s="249"/>
      <c r="AB59" s="249"/>
      <c r="AC59" s="249"/>
      <c r="AD59" s="249"/>
    </row>
    <row r="60" spans="1:35" ht="27.75">
      <c r="A60" s="1534" t="str">
        <f>+SUBSTITUTE(A59,"'"," ")</f>
        <v/>
      </c>
      <c r="B60" s="1502"/>
      <c r="U60" s="369"/>
      <c r="V60" s="369"/>
      <c r="W60" s="369"/>
      <c r="X60" s="292"/>
      <c r="Y60" s="260"/>
      <c r="Z60" s="279"/>
      <c r="AA60" s="249"/>
      <c r="AB60" s="249"/>
      <c r="AC60" s="249"/>
      <c r="AD60" s="249"/>
    </row>
    <row r="61" spans="1:35">
      <c r="A61" s="1535" t="str">
        <f>IF(LEN(H11)&lt;2,CONCATENATE("0",H11),H11)</f>
        <v>00</v>
      </c>
      <c r="B61" s="1505" t="s">
        <v>913</v>
      </c>
      <c r="U61" s="369"/>
      <c r="V61" s="369"/>
      <c r="W61" s="369"/>
      <c r="X61" s="260"/>
      <c r="Y61" s="249"/>
      <c r="Z61" s="249"/>
      <c r="AA61" s="249"/>
      <c r="AB61" s="249"/>
      <c r="AC61" s="249"/>
      <c r="AD61" s="249"/>
    </row>
    <row r="62" spans="1:35" ht="27">
      <c r="A62" s="276" t="str">
        <f>IF(G15=1,"01",IF(H15="S","03",VLOOKUP(CONCATENATE("PLISSE",G15,"A"),A33:B39,2,0)))</f>
        <v>01</v>
      </c>
      <c r="B62" s="1536" t="s">
        <v>914</v>
      </c>
      <c r="U62" s="369"/>
      <c r="V62" s="369"/>
      <c r="W62" s="369"/>
      <c r="X62" s="260"/>
      <c r="Y62" s="249"/>
      <c r="Z62" s="234"/>
      <c r="AA62" s="249"/>
      <c r="AB62" s="1453"/>
      <c r="AC62" s="1455"/>
      <c r="AD62" s="1455"/>
    </row>
    <row r="63" spans="1:35" ht="27.75">
      <c r="A63" s="1504" t="e">
        <f>VLOOKUP(B7,COLORE,2,0)</f>
        <v>#REF!</v>
      </c>
      <c r="B63" s="1536" t="s">
        <v>915</v>
      </c>
      <c r="X63" s="249"/>
      <c r="Y63" s="326"/>
      <c r="Z63" s="279"/>
      <c r="AA63" s="249"/>
      <c r="AB63" s="238"/>
      <c r="AC63" s="249"/>
      <c r="AD63" s="249"/>
    </row>
    <row r="64" spans="1:35">
      <c r="A64" s="1504" t="e">
        <f>IF(B28="",VLOOKUP(H17,#REF!,2,0),"-----")</f>
        <v>#REF!</v>
      </c>
      <c r="B64" s="1536" t="s">
        <v>916</v>
      </c>
      <c r="X64" s="249"/>
      <c r="Y64" s="249"/>
      <c r="Z64" s="249"/>
      <c r="AA64" s="249"/>
      <c r="AB64" s="238"/>
      <c r="AC64" s="249"/>
      <c r="AD64" s="249"/>
    </row>
    <row r="65" spans="1:30" ht="26.25">
      <c r="A65" s="1504" t="str">
        <f>CONCATENATE(SUBSTITUTE(MID(A60,1,10)," ","-"),REPT("-",10-IF(LEN(A60)&lt;10,LEN(A60),10)))</f>
        <v>----------</v>
      </c>
      <c r="B65" s="1536" t="s">
        <v>3</v>
      </c>
      <c r="X65" s="249"/>
      <c r="Y65" s="249"/>
      <c r="Z65" s="303"/>
      <c r="AA65" s="249"/>
      <c r="AB65" s="262"/>
      <c r="AC65" s="1455"/>
      <c r="AD65" s="1453"/>
    </row>
    <row r="66" spans="1:30" ht="33.75">
      <c r="A66" s="1537" t="str">
        <f>CONCATENATE(REPT("0",IF(LEN(E20)&lt;4,4-LEN(E20),0)),E20)</f>
        <v>1400</v>
      </c>
      <c r="B66" s="1536" t="s">
        <v>4</v>
      </c>
      <c r="X66" s="249"/>
      <c r="Y66" s="326"/>
      <c r="Z66" s="370"/>
      <c r="AA66" s="249"/>
      <c r="AB66" s="249"/>
      <c r="AC66" s="249"/>
      <c r="AD66" s="249"/>
    </row>
    <row r="67" spans="1:30">
      <c r="A67" s="1537" t="str">
        <f>CONCATENATE(REPT("0",IF(LEN(H20)&lt;4,4-LEN(H20),0)),H20)</f>
        <v>2200</v>
      </c>
      <c r="B67" s="1536" t="s">
        <v>5</v>
      </c>
      <c r="X67" s="249"/>
      <c r="Y67" s="249"/>
      <c r="Z67" s="249"/>
      <c r="AA67" s="249"/>
      <c r="AB67" s="249"/>
      <c r="AC67" s="249"/>
      <c r="AD67" s="249"/>
    </row>
    <row r="68" spans="1:30">
      <c r="A68" s="1538" t="str">
        <f>CONCATENATE("2",REPT("0",4-LEN(N10)),N10)</f>
        <v>22168</v>
      </c>
      <c r="B68" s="1536" t="s">
        <v>917</v>
      </c>
    </row>
    <row r="69" spans="1:30">
      <c r="A69" s="1504">
        <f>IF(B30="RG",1,IF(B29="OS",2,0))</f>
        <v>0</v>
      </c>
      <c r="B69" s="1505" t="s">
        <v>918</v>
      </c>
    </row>
    <row r="70" spans="1:30">
      <c r="A70" s="1507" t="e">
        <f>CONCATENATE("*",A62,A63,A64,A65,A66,A67,A61,A69,A68,"*")</f>
        <v>#REF!</v>
      </c>
      <c r="B70" s="1508"/>
    </row>
    <row r="74" spans="1:30">
      <c r="A74" s="1539" t="s">
        <v>454</v>
      </c>
      <c r="B74" s="1540" t="s">
        <v>919</v>
      </c>
    </row>
    <row r="75" spans="1:30">
      <c r="A75" s="1539" t="s">
        <v>455</v>
      </c>
      <c r="B75" s="1540" t="s">
        <v>920</v>
      </c>
    </row>
    <row r="76" spans="1:30">
      <c r="A76" s="1539" t="s">
        <v>456</v>
      </c>
      <c r="B76" s="1540" t="s">
        <v>921</v>
      </c>
    </row>
    <row r="77" spans="1:30">
      <c r="A77" s="1539" t="s">
        <v>457</v>
      </c>
      <c r="B77" s="1540" t="s">
        <v>922</v>
      </c>
    </row>
    <row r="78" spans="1:30">
      <c r="A78" s="1539" t="s">
        <v>458</v>
      </c>
      <c r="B78" s="1540" t="s">
        <v>923</v>
      </c>
    </row>
  </sheetData>
  <sheetProtection formatCells="0" formatColumns="0"/>
  <mergeCells count="77">
    <mergeCell ref="G49:J51"/>
    <mergeCell ref="S51:T51"/>
    <mergeCell ref="U51:Y51"/>
    <mergeCell ref="L23:Q27"/>
    <mergeCell ref="Z37:AF38"/>
    <mergeCell ref="S38:T38"/>
    <mergeCell ref="U38:Y38"/>
    <mergeCell ref="M39:O39"/>
    <mergeCell ref="Z41:AB41"/>
    <mergeCell ref="L29:Q29"/>
    <mergeCell ref="K30:R30"/>
    <mergeCell ref="K31:L31"/>
    <mergeCell ref="M31:R31"/>
    <mergeCell ref="L28:Q28"/>
    <mergeCell ref="AG41:AG55"/>
    <mergeCell ref="AA42:AC42"/>
    <mergeCell ref="S43:T43"/>
    <mergeCell ref="U43:Y43"/>
    <mergeCell ref="Z31:AA31"/>
    <mergeCell ref="AB31:AF31"/>
    <mergeCell ref="S31:T31"/>
    <mergeCell ref="U31:Y31"/>
    <mergeCell ref="D32:D43"/>
    <mergeCell ref="M33:O33"/>
    <mergeCell ref="T33:U33"/>
    <mergeCell ref="V33:Y33"/>
    <mergeCell ref="M34:O34"/>
    <mergeCell ref="M35:O35"/>
    <mergeCell ref="E37:G37"/>
    <mergeCell ref="M37:O37"/>
    <mergeCell ref="D22:J22"/>
    <mergeCell ref="S22:Y22"/>
    <mergeCell ref="Z22:AF22"/>
    <mergeCell ref="AA24:AC24"/>
    <mergeCell ref="F25:H25"/>
    <mergeCell ref="E20:F20"/>
    <mergeCell ref="H20:I20"/>
    <mergeCell ref="S6:Y6"/>
    <mergeCell ref="Z6:AF6"/>
    <mergeCell ref="G7:J7"/>
    <mergeCell ref="N10:O10"/>
    <mergeCell ref="P10:Q10"/>
    <mergeCell ref="G13:J13"/>
    <mergeCell ref="T13:V13"/>
    <mergeCell ref="S15:Y15"/>
    <mergeCell ref="Z15:AF15"/>
    <mergeCell ref="K16:L16"/>
    <mergeCell ref="S18:Y18"/>
    <mergeCell ref="E19:F19"/>
    <mergeCell ref="D5:E5"/>
    <mergeCell ref="F5:J5"/>
    <mergeCell ref="K5:L5"/>
    <mergeCell ref="M5:R5"/>
    <mergeCell ref="S5:T5"/>
    <mergeCell ref="U5:AF5"/>
    <mergeCell ref="Z3:AB3"/>
    <mergeCell ref="AD3:AF3"/>
    <mergeCell ref="K4:M4"/>
    <mergeCell ref="N4:S4"/>
    <mergeCell ref="AB4:AC4"/>
    <mergeCell ref="AD4:AF4"/>
    <mergeCell ref="W2:X2"/>
    <mergeCell ref="Z2:AB2"/>
    <mergeCell ref="AD2:AF2"/>
    <mergeCell ref="D3:F3"/>
    <mergeCell ref="G3:J3"/>
    <mergeCell ref="K3:M3"/>
    <mergeCell ref="N3:P3"/>
    <mergeCell ref="Q3:S3"/>
    <mergeCell ref="T3:U3"/>
    <mergeCell ref="W3:X3"/>
    <mergeCell ref="D2:F2"/>
    <mergeCell ref="G2:J2"/>
    <mergeCell ref="K2:M2"/>
    <mergeCell ref="N2:P2"/>
    <mergeCell ref="Q2:S2"/>
    <mergeCell ref="T2:U2"/>
  </mergeCells>
  <conditionalFormatting sqref="G49:J51">
    <cfRule type="expression" dxfId="6" priority="1" stopIfTrue="1">
      <formula>IF($A$69=1,1,0)</formula>
    </cfRule>
  </conditionalFormatting>
  <printOptions horizontalCentered="1" verticalCentered="1"/>
  <pageMargins left="0" right="0" top="0" bottom="0" header="0" footer="0"/>
  <pageSetup paperSize="8" scale="47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7">
    <tabColor indexed="11"/>
    <pageSetUpPr fitToPage="1"/>
  </sheetPr>
  <dimension ref="A1:AT78"/>
  <sheetViews>
    <sheetView showGridLines="0" showZeros="0" topLeftCell="D1" zoomScale="50" zoomScaleNormal="50" workbookViewId="0">
      <selection activeCell="N10" sqref="N10:O10"/>
    </sheetView>
  </sheetViews>
  <sheetFormatPr defaultRowHeight="25.5" outlineLevelCol="1"/>
  <cols>
    <col min="1" max="1" width="65.85546875" style="226" hidden="1" customWidth="1" outlineLevel="1"/>
    <col min="2" max="2" width="65.5703125" style="289" hidden="1" customWidth="1" outlineLevel="1"/>
    <col min="3" max="3" width="5.140625" style="276" hidden="1" customWidth="1" outlineLevel="1"/>
    <col min="4" max="4" width="7.7109375" style="250" customWidth="1" collapsed="1"/>
    <col min="5" max="5" width="14.42578125" style="250" customWidth="1"/>
    <col min="6" max="6" width="6.5703125" style="250" customWidth="1"/>
    <col min="7" max="7" width="21.5703125" style="250" bestFit="1" customWidth="1"/>
    <col min="8" max="9" width="10.85546875" style="250" customWidth="1"/>
    <col min="10" max="10" width="9.42578125" style="250" customWidth="1"/>
    <col min="11" max="11" width="9.140625" style="250"/>
    <col min="12" max="12" width="10.7109375" style="250" customWidth="1"/>
    <col min="13" max="13" width="13.42578125" style="250" customWidth="1"/>
    <col min="14" max="14" width="15.28515625" style="250" customWidth="1"/>
    <col min="15" max="15" width="15.7109375" style="250" customWidth="1"/>
    <col min="16" max="16" width="21.85546875" style="250" customWidth="1"/>
    <col min="17" max="17" width="26" style="250" customWidth="1"/>
    <col min="18" max="18" width="13.28515625" style="250" customWidth="1"/>
    <col min="19" max="20" width="9.140625" style="250"/>
    <col min="21" max="21" width="24.42578125" style="250" customWidth="1"/>
    <col min="22" max="22" width="13.5703125" style="250" customWidth="1"/>
    <col min="23" max="23" width="13.140625" style="250" customWidth="1"/>
    <col min="24" max="24" width="13.85546875" style="250" customWidth="1"/>
    <col min="25" max="25" width="15.28515625" style="250" customWidth="1"/>
    <col min="26" max="26" width="12.7109375" style="250" customWidth="1"/>
    <col min="27" max="27" width="11.42578125" style="250" customWidth="1"/>
    <col min="28" max="28" width="12.5703125" style="250" customWidth="1"/>
    <col min="29" max="29" width="27.5703125" style="250" customWidth="1"/>
    <col min="30" max="30" width="27.28515625" style="250" customWidth="1"/>
    <col min="31" max="31" width="15.42578125" style="250" customWidth="1"/>
    <col min="32" max="32" width="18.85546875" style="250" customWidth="1"/>
    <col min="33" max="33" width="5.28515625" style="250" customWidth="1"/>
    <col min="34" max="34" width="3.140625" style="250" customWidth="1"/>
    <col min="35" max="38" width="9.140625" style="250"/>
    <col min="39" max="39" width="10.85546875" style="250" customWidth="1"/>
    <col min="40" max="16384" width="9.140625" style="250"/>
  </cols>
  <sheetData>
    <row r="1" spans="1:45" s="233" customFormat="1" ht="28.5" thickBot="1">
      <c r="A1" s="226" t="s">
        <v>1</v>
      </c>
      <c r="B1" s="1462" t="s">
        <v>859</v>
      </c>
      <c r="C1" s="227"/>
      <c r="D1" s="228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30" t="s">
        <v>1004</v>
      </c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31"/>
      <c r="AF1" s="232" t="s">
        <v>37</v>
      </c>
      <c r="AH1" s="234"/>
      <c r="AI1" s="234"/>
    </row>
    <row r="2" spans="1:45" s="237" customFormat="1" ht="27" customHeight="1">
      <c r="A2" s="226" t="s">
        <v>137</v>
      </c>
      <c r="B2" s="1463"/>
      <c r="C2" s="227"/>
      <c r="D2" s="1919" t="s">
        <v>138</v>
      </c>
      <c r="E2" s="1905"/>
      <c r="F2" s="1905"/>
      <c r="G2" s="1905" t="s">
        <v>139</v>
      </c>
      <c r="H2" s="1905"/>
      <c r="I2" s="1905"/>
      <c r="J2" s="1905"/>
      <c r="K2" s="1905" t="s">
        <v>140</v>
      </c>
      <c r="L2" s="1905"/>
      <c r="M2" s="1905"/>
      <c r="N2" s="1905" t="s">
        <v>141</v>
      </c>
      <c r="O2" s="1905"/>
      <c r="P2" s="1905"/>
      <c r="Q2" s="1905" t="s">
        <v>142</v>
      </c>
      <c r="R2" s="1905"/>
      <c r="S2" s="1905"/>
      <c r="T2" s="1905" t="s">
        <v>143</v>
      </c>
      <c r="U2" s="1906"/>
      <c r="V2" s="1450" t="s">
        <v>144</v>
      </c>
      <c r="W2" s="1920" t="s">
        <v>145</v>
      </c>
      <c r="X2" s="1905"/>
      <c r="Y2" s="1449" t="s">
        <v>146</v>
      </c>
      <c r="Z2" s="1905" t="s">
        <v>147</v>
      </c>
      <c r="AA2" s="1905"/>
      <c r="AB2" s="1905"/>
      <c r="AC2" s="1449" t="s">
        <v>148</v>
      </c>
      <c r="AD2" s="1906" t="s">
        <v>149</v>
      </c>
      <c r="AE2" s="1907"/>
      <c r="AF2" s="1908"/>
      <c r="AH2" s="238"/>
      <c r="AI2" s="238"/>
    </row>
    <row r="3" spans="1:45" s="242" customFormat="1" ht="37.15" customHeight="1" thickBot="1">
      <c r="A3" s="226" t="s">
        <v>3</v>
      </c>
      <c r="B3" s="1463" t="s">
        <v>861</v>
      </c>
      <c r="C3" s="227"/>
      <c r="D3" s="1909" t="str">
        <f>B17</f>
        <v>-M12-</v>
      </c>
      <c r="E3" s="1910"/>
      <c r="F3" s="1910"/>
      <c r="G3" s="2007" t="str">
        <f>B1</f>
        <v>BRONZO</v>
      </c>
      <c r="H3" s="1910"/>
      <c r="I3" s="1910"/>
      <c r="J3" s="1910"/>
      <c r="K3" s="1911">
        <f>B2</f>
        <v>0</v>
      </c>
      <c r="L3" s="1911"/>
      <c r="M3" s="1911"/>
      <c r="N3" s="1911">
        <f>B4</f>
        <v>0</v>
      </c>
      <c r="O3" s="1911"/>
      <c r="P3" s="1911"/>
      <c r="Q3" s="1912">
        <f>+B43</f>
        <v>400</v>
      </c>
      <c r="R3" s="1913"/>
      <c r="S3" s="1914"/>
      <c r="T3" s="1912">
        <f>IF(E20&lt;B43,B43,E20)</f>
        <v>500</v>
      </c>
      <c r="U3" s="1913"/>
      <c r="V3" s="240"/>
      <c r="W3" s="1913">
        <v>1000</v>
      </c>
      <c r="X3" s="1914"/>
      <c r="Y3" s="1451">
        <f>+W3-20</f>
        <v>980</v>
      </c>
      <c r="Z3" s="1912">
        <f>IF(N10&lt;750,2,IF(N10&lt;1316,3,IF(N10&lt;1700,4,IF(N10&lt;2150,5,IF(N10&lt;2600,6,IF(N10&lt;3000,7,8))))))</f>
        <v>3</v>
      </c>
      <c r="AA3" s="1913"/>
      <c r="AB3" s="1914"/>
      <c r="AC3" s="241">
        <f>+G11</f>
        <v>0</v>
      </c>
      <c r="AD3" s="1916" t="str">
        <f>G13</f>
        <v>RETE NERA</v>
      </c>
      <c r="AE3" s="1917"/>
      <c r="AF3" s="1918"/>
      <c r="AH3" s="243"/>
      <c r="AI3" s="243"/>
    </row>
    <row r="4" spans="1:45" s="242" customFormat="1" ht="40.15" customHeight="1" thickBot="1">
      <c r="A4" s="226" t="s">
        <v>2</v>
      </c>
      <c r="B4" s="1463"/>
      <c r="C4" s="227"/>
      <c r="D4" s="244" t="s">
        <v>150</v>
      </c>
      <c r="E4" s="243"/>
      <c r="F4" s="243"/>
      <c r="G4" s="243"/>
      <c r="H4" s="243"/>
      <c r="I4" s="243"/>
      <c r="J4" s="243"/>
      <c r="K4" s="1921"/>
      <c r="L4" s="1921"/>
      <c r="M4" s="1922"/>
      <c r="N4" s="1923" t="s">
        <v>151</v>
      </c>
      <c r="O4" s="1924"/>
      <c r="P4" s="1924"/>
      <c r="Q4" s="1924"/>
      <c r="R4" s="1924"/>
      <c r="S4" s="1924"/>
      <c r="T4" s="243"/>
      <c r="U4" s="245">
        <f>IF((IF(T3/G15&lt;$B$43,$B$43,T3/G15))&lt;$B$43,$B$43,IF(T3/G15&lt;$B$43,$B$43,T3/G15))</f>
        <v>500</v>
      </c>
      <c r="V4" s="246" t="s">
        <v>37</v>
      </c>
      <c r="W4" s="243"/>
      <c r="X4" s="247" t="s">
        <v>37</v>
      </c>
      <c r="Y4" s="243"/>
      <c r="Z4" s="243"/>
      <c r="AA4" s="248"/>
      <c r="AB4" s="2004" t="s">
        <v>152</v>
      </c>
      <c r="AC4" s="2004"/>
      <c r="AD4" s="1899">
        <f ca="1">NOW()</f>
        <v>45247.406918981484</v>
      </c>
      <c r="AE4" s="1899"/>
      <c r="AF4" s="2005"/>
      <c r="AG4" s="243"/>
      <c r="AH4" s="243"/>
      <c r="AI4" s="243"/>
    </row>
    <row r="5" spans="1:45" ht="39.75" customHeight="1">
      <c r="A5" s="226" t="s">
        <v>4</v>
      </c>
      <c r="B5" s="1463" t="s">
        <v>862</v>
      </c>
      <c r="C5" s="227"/>
      <c r="D5" s="1882" t="s">
        <v>153</v>
      </c>
      <c r="E5" s="1848"/>
      <c r="F5" s="1881" t="s">
        <v>0</v>
      </c>
      <c r="G5" s="1881"/>
      <c r="H5" s="1881"/>
      <c r="I5" s="1881"/>
      <c r="J5" s="1890"/>
      <c r="K5" s="1882" t="s">
        <v>154</v>
      </c>
      <c r="L5" s="1848"/>
      <c r="M5" s="1881" t="s">
        <v>155</v>
      </c>
      <c r="N5" s="1881"/>
      <c r="O5" s="1881"/>
      <c r="P5" s="1881"/>
      <c r="Q5" s="1881"/>
      <c r="R5" s="1881"/>
      <c r="S5" s="1882" t="s">
        <v>156</v>
      </c>
      <c r="T5" s="1848"/>
      <c r="U5" s="1881" t="s">
        <v>157</v>
      </c>
      <c r="V5" s="1881"/>
      <c r="W5" s="1881"/>
      <c r="X5" s="1881"/>
      <c r="Y5" s="1881"/>
      <c r="Z5" s="1881"/>
      <c r="AA5" s="1881"/>
      <c r="AB5" s="1881"/>
      <c r="AC5" s="1881"/>
      <c r="AD5" s="1881"/>
      <c r="AE5" s="1881"/>
      <c r="AF5" s="1890"/>
      <c r="AG5" s="249"/>
      <c r="AH5" s="249"/>
      <c r="AI5" s="249"/>
    </row>
    <row r="6" spans="1:45" ht="30.75" customHeight="1">
      <c r="A6" s="226" t="s">
        <v>5</v>
      </c>
      <c r="B6" s="1463" t="s">
        <v>863</v>
      </c>
      <c r="C6" s="227"/>
      <c r="D6" s="251"/>
      <c r="E6" s="234"/>
      <c r="F6" s="234"/>
      <c r="G6" s="234"/>
      <c r="H6" s="234"/>
      <c r="I6" s="234"/>
      <c r="J6" s="234"/>
      <c r="K6" s="252"/>
      <c r="L6" s="249"/>
      <c r="M6" s="253" t="s">
        <v>38</v>
      </c>
      <c r="N6" s="1455" t="s">
        <v>158</v>
      </c>
      <c r="O6" s="255">
        <f>ROUNDUP(((IF(IF(T3/G15&lt;$B$43,$B$43,T3/G15)&lt;$B$43,$B$43,IF(T3/G15&lt;$B$43,$B$43,T3/G15)))-65)*0.036,0)</f>
        <v>16</v>
      </c>
      <c r="P6" s="249"/>
      <c r="Q6" s="256">
        <f>+G15*G11</f>
        <v>0</v>
      </c>
      <c r="R6" s="256" t="s">
        <v>159</v>
      </c>
      <c r="S6" s="2155" t="s">
        <v>86</v>
      </c>
      <c r="T6" s="2156"/>
      <c r="U6" s="2156"/>
      <c r="V6" s="2156"/>
      <c r="W6" s="2156"/>
      <c r="X6" s="2156"/>
      <c r="Y6" s="2157"/>
      <c r="Z6" s="2156" t="s">
        <v>269</v>
      </c>
      <c r="AA6" s="2156"/>
      <c r="AB6" s="2156"/>
      <c r="AC6" s="2156"/>
      <c r="AD6" s="2156"/>
      <c r="AE6" s="2156"/>
      <c r="AF6" s="2158"/>
      <c r="AG6" s="249"/>
      <c r="AH6" s="249"/>
      <c r="AI6" s="249"/>
    </row>
    <row r="7" spans="1:45" ht="30.75" customHeight="1">
      <c r="A7" s="226" t="s">
        <v>7</v>
      </c>
      <c r="B7" s="1463" t="s">
        <v>626</v>
      </c>
      <c r="C7" s="227"/>
      <c r="D7" s="251"/>
      <c r="E7" s="1448" t="s">
        <v>42</v>
      </c>
      <c r="F7" s="234"/>
      <c r="G7" s="2160" t="str">
        <f>MID(B3,1,16)</f>
        <v>RANIERI</v>
      </c>
      <c r="H7" s="2160"/>
      <c r="I7" s="2160"/>
      <c r="J7" s="2190"/>
      <c r="S7" s="1464"/>
      <c r="T7" s="1465"/>
      <c r="U7" s="1465"/>
      <c r="V7" s="1465"/>
      <c r="W7" s="1465"/>
      <c r="X7" s="1465"/>
      <c r="Y7" s="1466"/>
      <c r="Z7" s="1467"/>
      <c r="AA7" s="1468"/>
      <c r="AB7" s="1469"/>
      <c r="AC7" s="1469"/>
      <c r="AD7" s="1467"/>
      <c r="AE7" s="1467"/>
      <c r="AF7" s="1470"/>
      <c r="AG7" s="249"/>
      <c r="AH7" s="249"/>
      <c r="AI7" s="249"/>
    </row>
    <row r="8" spans="1:45" ht="30.75" customHeight="1">
      <c r="A8" s="226" t="s">
        <v>8</v>
      </c>
      <c r="B8" s="1463"/>
      <c r="C8" s="227"/>
      <c r="D8" s="251"/>
      <c r="E8" s="234"/>
      <c r="F8" s="234" t="s">
        <v>37</v>
      </c>
      <c r="G8" s="234"/>
      <c r="H8" s="234"/>
      <c r="I8" s="234"/>
      <c r="J8" s="234"/>
      <c r="K8" s="252"/>
      <c r="L8" s="249"/>
      <c r="M8" s="249"/>
      <c r="N8" s="249"/>
      <c r="O8" s="249"/>
      <c r="P8" s="249"/>
      <c r="Q8" s="1541" t="s">
        <v>924</v>
      </c>
      <c r="R8" s="249"/>
      <c r="S8" s="1464"/>
      <c r="T8" s="1467"/>
      <c r="U8" s="1471" t="s">
        <v>864</v>
      </c>
      <c r="V8" s="1472">
        <f>W3-67</f>
        <v>933</v>
      </c>
      <c r="W8" s="1465"/>
      <c r="X8" s="1473"/>
      <c r="Y8" s="1474"/>
      <c r="Z8" s="1467"/>
      <c r="AA8" s="1475"/>
      <c r="AB8" s="1467"/>
      <c r="AC8" s="1467"/>
      <c r="AD8" s="1467"/>
      <c r="AE8" s="1467"/>
      <c r="AF8" s="1470"/>
      <c r="AG8" s="249"/>
      <c r="AH8" s="249"/>
      <c r="AI8" s="249"/>
    </row>
    <row r="9" spans="1:45" ht="30.75" customHeight="1">
      <c r="A9" s="226" t="s">
        <v>865</v>
      </c>
      <c r="B9" s="1463" t="s">
        <v>866</v>
      </c>
      <c r="C9" s="227"/>
      <c r="D9" s="251"/>
      <c r="E9" s="1476" t="s">
        <v>161</v>
      </c>
      <c r="F9" s="1477"/>
      <c r="G9" s="1478"/>
      <c r="H9" s="1479" t="str">
        <f>B1</f>
        <v>BRONZO</v>
      </c>
      <c r="I9" s="1480"/>
      <c r="J9" s="266"/>
      <c r="K9" s="252"/>
      <c r="L9" s="249"/>
      <c r="M9" s="238"/>
      <c r="N9" s="238"/>
      <c r="O9" s="238"/>
      <c r="P9" s="238"/>
      <c r="Q9" s="238"/>
      <c r="R9" s="249"/>
      <c r="S9" s="1464"/>
      <c r="T9" s="1481"/>
      <c r="U9" s="1467"/>
      <c r="V9" s="1467"/>
      <c r="W9" s="1467"/>
      <c r="X9" s="1465"/>
      <c r="Y9" s="1466"/>
      <c r="Z9" s="1467"/>
      <c r="AA9" s="1468"/>
      <c r="AB9" s="1469" t="s">
        <v>750</v>
      </c>
      <c r="AC9" s="1469">
        <f>T3 - 4</f>
        <v>496</v>
      </c>
      <c r="AD9" s="1467"/>
      <c r="AE9" s="1467"/>
      <c r="AF9" s="1470"/>
      <c r="AG9" s="249"/>
      <c r="AH9" s="249"/>
      <c r="AI9" s="249"/>
    </row>
    <row r="10" spans="1:45" ht="30.75" customHeight="1">
      <c r="A10" s="226" t="s">
        <v>867</v>
      </c>
      <c r="B10" s="1463" t="s">
        <v>868</v>
      </c>
      <c r="C10" s="227"/>
      <c r="D10" s="251"/>
      <c r="E10" s="234"/>
      <c r="F10" s="234"/>
      <c r="G10" s="234"/>
      <c r="H10" s="234"/>
      <c r="I10" s="234"/>
      <c r="J10" s="317"/>
      <c r="K10" s="249"/>
      <c r="L10" s="1468" t="s">
        <v>164</v>
      </c>
      <c r="M10" s="1467"/>
      <c r="N10" s="2161">
        <f>W3-30-2</f>
        <v>968</v>
      </c>
      <c r="O10" s="2161"/>
      <c r="P10" s="1854" t="s">
        <v>869</v>
      </c>
      <c r="Q10" s="1854"/>
      <c r="R10" s="279" t="s">
        <v>37</v>
      </c>
      <c r="S10" s="1464"/>
      <c r="T10" s="1465"/>
      <c r="U10" s="1465"/>
      <c r="V10" s="1465"/>
      <c r="W10" s="1465"/>
      <c r="X10" s="1465"/>
      <c r="Y10" s="1466"/>
      <c r="Z10" s="1467"/>
      <c r="AA10" s="1475"/>
      <c r="AB10" s="1467"/>
      <c r="AC10" s="1467"/>
      <c r="AD10" s="1467"/>
      <c r="AE10" s="1467"/>
      <c r="AF10" s="1470"/>
      <c r="AG10" s="249"/>
      <c r="AH10" s="249"/>
      <c r="AI10" s="249"/>
    </row>
    <row r="11" spans="1:45" ht="30.75" customHeight="1">
      <c r="A11" s="226" t="s">
        <v>870</v>
      </c>
      <c r="B11" s="1482">
        <v>1</v>
      </c>
      <c r="C11" s="227"/>
      <c r="D11" s="251"/>
      <c r="E11" s="1448" t="s">
        <v>48</v>
      </c>
      <c r="F11" s="234" t="s">
        <v>167</v>
      </c>
      <c r="G11" s="1483">
        <f>B8</f>
        <v>0</v>
      </c>
      <c r="H11" s="271">
        <f>+G15*G11</f>
        <v>0</v>
      </c>
      <c r="I11" s="271" t="str">
        <f>IF(H11&gt;1,"COLLI","COLLO")</f>
        <v>COLLO</v>
      </c>
      <c r="K11" s="252"/>
      <c r="L11" s="249"/>
      <c r="M11" s="249"/>
      <c r="N11" s="249"/>
      <c r="O11" s="249"/>
      <c r="P11" s="249"/>
      <c r="Q11" s="249"/>
      <c r="R11" s="249"/>
      <c r="S11" s="1464"/>
      <c r="T11" s="1465"/>
      <c r="U11" s="1465"/>
      <c r="V11" s="1465"/>
      <c r="W11" s="1465"/>
      <c r="X11" s="1465"/>
      <c r="Y11" s="1466"/>
      <c r="Z11" s="1467"/>
      <c r="AA11" s="1467"/>
      <c r="AB11" s="1467"/>
      <c r="AC11" s="1467"/>
      <c r="AD11" s="1467"/>
      <c r="AE11" s="1467"/>
      <c r="AF11" s="1470"/>
      <c r="AG11" s="249"/>
      <c r="AH11" s="249"/>
      <c r="AI11" s="249"/>
    </row>
    <row r="12" spans="1:45" ht="30.75" customHeight="1">
      <c r="A12" s="226" t="s">
        <v>871</v>
      </c>
      <c r="B12" s="1463" t="s">
        <v>37</v>
      </c>
      <c r="C12" s="227"/>
      <c r="D12" s="251"/>
      <c r="E12" s="233"/>
      <c r="F12" s="233"/>
      <c r="G12" s="233"/>
      <c r="H12" s="233"/>
      <c r="I12" s="233"/>
      <c r="J12" s="233"/>
      <c r="K12" s="252"/>
      <c r="L12" s="262" t="s">
        <v>168</v>
      </c>
      <c r="M12" s="249"/>
      <c r="N12" s="1461"/>
      <c r="O12" s="1461"/>
      <c r="P12" s="1461"/>
      <c r="Q12" s="1461"/>
      <c r="R12" s="249"/>
      <c r="S12" s="1464"/>
      <c r="T12" s="1484"/>
      <c r="U12" s="1484"/>
      <c r="V12" s="1484"/>
      <c r="W12" s="1472"/>
      <c r="X12" s="1473"/>
      <c r="Y12" s="1466"/>
      <c r="Z12" s="1467"/>
      <c r="AA12" s="1467"/>
      <c r="AB12" s="1467"/>
      <c r="AC12" s="1467"/>
      <c r="AD12" s="1467"/>
      <c r="AE12" s="1467"/>
      <c r="AF12" s="1470"/>
      <c r="AG12" s="249"/>
      <c r="AH12" s="249"/>
      <c r="AI12" s="249"/>
    </row>
    <row r="13" spans="1:45" ht="30.75" customHeight="1">
      <c r="A13" s="226" t="s">
        <v>872</v>
      </c>
      <c r="B13" s="1463" t="s">
        <v>873</v>
      </c>
      <c r="C13" s="227"/>
      <c r="D13" s="273"/>
      <c r="E13" s="1448" t="s">
        <v>46</v>
      </c>
      <c r="F13" s="234"/>
      <c r="G13" s="2159" t="str">
        <f>B7</f>
        <v>RETE NERA</v>
      </c>
      <c r="H13" s="2160"/>
      <c r="I13" s="2160"/>
      <c r="J13" s="2190"/>
      <c r="K13" s="252"/>
      <c r="L13" s="249"/>
      <c r="M13" s="249"/>
      <c r="N13" s="249"/>
      <c r="O13" s="249"/>
      <c r="P13" s="249"/>
      <c r="Q13" s="249"/>
      <c r="R13" s="249"/>
      <c r="S13" s="1464"/>
      <c r="T13" s="2162" t="s">
        <v>172</v>
      </c>
      <c r="U13" s="2162"/>
      <c r="V13" s="2162"/>
      <c r="W13" s="1472">
        <f>W3-56+21</f>
        <v>965</v>
      </c>
      <c r="X13" s="1473" t="s">
        <v>171</v>
      </c>
      <c r="Y13" s="1485">
        <f>+G15*G11</f>
        <v>0</v>
      </c>
      <c r="Z13" s="1467"/>
      <c r="AA13" s="1467"/>
      <c r="AB13" s="1467"/>
      <c r="AC13" s="1467"/>
      <c r="AD13" s="1467"/>
      <c r="AE13" s="1467"/>
      <c r="AF13" s="1470"/>
      <c r="AG13" s="249"/>
      <c r="AH13" s="249"/>
      <c r="AI13" s="249"/>
    </row>
    <row r="14" spans="1:45" ht="30.75" customHeight="1" thickBot="1">
      <c r="A14" s="226" t="s">
        <v>874</v>
      </c>
      <c r="B14" s="1486"/>
      <c r="D14" s="251"/>
      <c r="E14" s="234"/>
      <c r="F14" s="277"/>
      <c r="G14" s="234"/>
      <c r="H14" s="277"/>
      <c r="I14" s="277"/>
      <c r="J14" s="277"/>
      <c r="K14" s="252"/>
      <c r="L14" s="249"/>
      <c r="M14" s="249"/>
      <c r="N14" s="249"/>
      <c r="O14" s="249"/>
      <c r="P14" s="249"/>
      <c r="Q14" s="249"/>
      <c r="R14" s="249"/>
      <c r="S14" s="1464"/>
      <c r="T14" s="1467"/>
      <c r="U14" s="1467"/>
      <c r="V14" s="1467"/>
      <c r="W14" s="1467"/>
      <c r="X14" s="1467"/>
      <c r="Y14" s="1487">
        <f>+G15*G11</f>
        <v>0</v>
      </c>
      <c r="Z14" s="1467"/>
      <c r="AA14" s="1467"/>
      <c r="AB14" s="1467"/>
      <c r="AC14" s="1467"/>
      <c r="AD14" s="1467"/>
      <c r="AE14" s="1467"/>
      <c r="AF14" s="1470"/>
      <c r="AG14" s="249"/>
      <c r="AH14" s="249"/>
      <c r="AI14" s="249"/>
    </row>
    <row r="15" spans="1:45" ht="30.75" customHeight="1">
      <c r="A15" s="226" t="s">
        <v>875</v>
      </c>
      <c r="B15" s="1488">
        <f>IF(VALUE(SUBSTITUTE(B5,".",""))&lt;$B$43,$B$43,VALUE(SUBSTITUTE(B5,".","")))</f>
        <v>1500</v>
      </c>
      <c r="D15" s="251"/>
      <c r="E15" s="279" t="s">
        <v>173</v>
      </c>
      <c r="F15" s="234"/>
      <c r="G15" s="280">
        <f>IF(B11=" ",1,B11)</f>
        <v>1</v>
      </c>
      <c r="H15" s="281" t="str">
        <f>IF(OR(B12=" ",B12&lt;&gt;"S"),"",B12)</f>
        <v/>
      </c>
      <c r="I15" s="1454"/>
      <c r="J15" s="234"/>
      <c r="K15" s="283">
        <v>50</v>
      </c>
      <c r="L15" s="1459"/>
      <c r="M15" s="285"/>
      <c r="N15" s="238"/>
      <c r="O15" s="238"/>
      <c r="P15" s="238"/>
      <c r="Q15" s="238"/>
      <c r="R15" s="249"/>
      <c r="S15" s="2155" t="s">
        <v>876</v>
      </c>
      <c r="T15" s="2156"/>
      <c r="U15" s="2156"/>
      <c r="V15" s="2156"/>
      <c r="W15" s="2156"/>
      <c r="X15" s="2156"/>
      <c r="Y15" s="2157"/>
      <c r="Z15" s="2163" t="s">
        <v>270</v>
      </c>
      <c r="AA15" s="2156"/>
      <c r="AB15" s="2156"/>
      <c r="AC15" s="2156"/>
      <c r="AD15" s="2156"/>
      <c r="AE15" s="2156"/>
      <c r="AF15" s="2158"/>
      <c r="AG15" s="249"/>
      <c r="AH15" s="249"/>
      <c r="AI15" s="249"/>
      <c r="AN15" s="249"/>
      <c r="AO15" s="1461"/>
      <c r="AP15" s="249"/>
      <c r="AQ15" s="1461"/>
      <c r="AR15" s="1461"/>
      <c r="AS15" s="249"/>
    </row>
    <row r="16" spans="1:45" ht="30.75" customHeight="1">
      <c r="A16" s="226" t="s">
        <v>877</v>
      </c>
      <c r="B16" s="1488">
        <f>VALUE(SUBSTITUTE(B6,".",""))</f>
        <v>2000</v>
      </c>
      <c r="D16" s="251"/>
      <c r="E16" s="233"/>
      <c r="F16" s="233"/>
      <c r="G16" s="233"/>
      <c r="H16" s="234"/>
      <c r="I16" s="234"/>
      <c r="J16" s="234"/>
      <c r="K16" s="2164">
        <f>IF(Z3=2,N10-R23,M17-L28)</f>
        <v>364</v>
      </c>
      <c r="L16" s="1883"/>
      <c r="M16" s="238"/>
      <c r="N16" s="238"/>
      <c r="O16" s="238"/>
      <c r="P16" s="238"/>
      <c r="Q16" s="238"/>
      <c r="R16" s="249"/>
      <c r="S16" s="1489"/>
      <c r="T16" s="1467"/>
      <c r="U16" s="1467"/>
      <c r="V16" s="1467"/>
      <c r="W16" s="1467"/>
      <c r="X16" s="1467"/>
      <c r="Y16" s="1490"/>
      <c r="Z16" s="1467"/>
      <c r="AA16" s="1468"/>
      <c r="AB16" s="1467"/>
      <c r="AC16" s="1467"/>
      <c r="AD16" s="1491"/>
      <c r="AE16" s="1492"/>
      <c r="AF16" s="1470"/>
      <c r="AG16" s="249"/>
      <c r="AH16" s="249"/>
      <c r="AI16" s="249"/>
      <c r="AN16" s="262"/>
      <c r="AO16" s="249"/>
      <c r="AP16" s="249"/>
      <c r="AQ16" s="281"/>
      <c r="AR16" s="1459"/>
      <c r="AS16" s="249"/>
    </row>
    <row r="17" spans="1:46" ht="30.75" customHeight="1">
      <c r="A17" s="226" t="s">
        <v>878</v>
      </c>
      <c r="B17" s="1493" t="str">
        <f>IF(B12="S",MID(B10,11,5),B13)</f>
        <v>-M12-</v>
      </c>
      <c r="D17" s="251"/>
      <c r="E17" s="279" t="s">
        <v>169</v>
      </c>
      <c r="H17" s="280" t="str">
        <f>IF(G15=1,MID(B10,7,5),IF(H15="S",MID(B10,11,5),MID(B10,9,5)))</f>
        <v>-M12-</v>
      </c>
      <c r="J17" s="234"/>
      <c r="K17" s="286"/>
      <c r="L17" s="238"/>
      <c r="M17" s="287">
        <f>IF(Z3&lt;3,0,IF(Z3=3,N10-R23,N18-L28))</f>
        <v>678</v>
      </c>
      <c r="N17" s="238"/>
      <c r="O17" s="238"/>
      <c r="P17" s="238"/>
      <c r="Q17" s="238"/>
      <c r="R17" s="249"/>
      <c r="S17" s="1489"/>
      <c r="T17" s="1467"/>
      <c r="U17" s="1471" t="s">
        <v>864</v>
      </c>
      <c r="V17" s="1472">
        <f>W3-67</f>
        <v>933</v>
      </c>
      <c r="W17" s="1467"/>
      <c r="X17" s="1467"/>
      <c r="Y17" s="1494"/>
      <c r="Z17" s="1467"/>
      <c r="AA17" s="1467"/>
      <c r="AB17" s="1471" t="s">
        <v>751</v>
      </c>
      <c r="AC17" s="1469">
        <f>T3-5</f>
        <v>495</v>
      </c>
      <c r="AD17" s="1495"/>
      <c r="AE17" s="1495"/>
      <c r="AF17" s="1470"/>
      <c r="AG17" s="249"/>
      <c r="AH17" s="249"/>
      <c r="AI17" s="249"/>
      <c r="AN17" s="262"/>
      <c r="AO17" s="249"/>
      <c r="AP17" s="249"/>
      <c r="AQ17" s="281"/>
      <c r="AR17" s="1459"/>
      <c r="AS17" s="249"/>
    </row>
    <row r="18" spans="1:46" ht="30.75" customHeight="1">
      <c r="A18" s="226" t="s">
        <v>879</v>
      </c>
      <c r="B18" s="1496" t="str">
        <f>CONCATENATE(B23,B24,B25,B28,B26,B27)</f>
        <v>MINI</v>
      </c>
      <c r="D18" s="251"/>
      <c r="J18" s="288"/>
      <c r="K18" s="286"/>
      <c r="L18" s="238"/>
      <c r="M18" s="238"/>
      <c r="N18" s="287" t="str">
        <f>IF(Z3&lt;4,"VUOTO",IF(Z3=4,N10-50,O19-L28))</f>
        <v>VUOTO</v>
      </c>
      <c r="O18" s="238"/>
      <c r="P18" s="238"/>
      <c r="Q18" s="238"/>
      <c r="R18" s="249"/>
      <c r="S18" s="2165"/>
      <c r="T18" s="2166"/>
      <c r="U18" s="2166"/>
      <c r="V18" s="2166"/>
      <c r="W18" s="2166"/>
      <c r="X18" s="2166"/>
      <c r="Y18" s="2167"/>
      <c r="Z18" s="1467"/>
      <c r="AA18" s="1467"/>
      <c r="AB18" s="1467"/>
      <c r="AC18" s="1467"/>
      <c r="AD18" s="1467"/>
      <c r="AE18" s="1467"/>
      <c r="AF18" s="1470"/>
      <c r="AG18" s="249"/>
      <c r="AH18" s="249"/>
      <c r="AI18" s="249"/>
      <c r="AN18" s="249"/>
      <c r="AO18" s="249"/>
      <c r="AP18" s="249"/>
      <c r="AQ18" s="249"/>
      <c r="AR18" s="249"/>
      <c r="AS18" s="249"/>
    </row>
    <row r="19" spans="1:46" ht="30.75" customHeight="1">
      <c r="B19" s="289" t="s">
        <v>880</v>
      </c>
      <c r="D19" s="1497" t="str">
        <f>IF(AND(E20&lt;$B$43,G15=1),"MINIMO L $B$43 - REIMPOSTA ! ","")</f>
        <v/>
      </c>
      <c r="E19" s="1860" t="s">
        <v>4</v>
      </c>
      <c r="F19" s="1860"/>
      <c r="H19" s="279" t="s">
        <v>5</v>
      </c>
      <c r="I19" s="279"/>
      <c r="J19" s="249"/>
      <c r="K19" s="286"/>
      <c r="L19" s="238"/>
      <c r="M19" s="238"/>
      <c r="N19" s="238"/>
      <c r="O19" s="287" t="str">
        <f>IF(Z3&lt;5,"VUOTO",IF(Z3=5,N10-R23,P20-L28))</f>
        <v>VUOTO</v>
      </c>
      <c r="P19" s="290"/>
      <c r="Q19" s="238"/>
      <c r="R19" s="249"/>
      <c r="S19" s="1464"/>
      <c r="T19" s="1465"/>
      <c r="U19" s="1465"/>
      <c r="V19" s="1465"/>
      <c r="W19" s="1465"/>
      <c r="X19" s="1465"/>
      <c r="Y19" s="1466"/>
      <c r="Z19" s="1467"/>
      <c r="AA19" s="1467"/>
      <c r="AB19" s="1467"/>
      <c r="AC19" s="1467"/>
      <c r="AD19" s="1467"/>
      <c r="AE19" s="1467"/>
      <c r="AF19" s="1470"/>
      <c r="AG19" s="249"/>
      <c r="AH19" s="249"/>
      <c r="AI19" s="249"/>
      <c r="AN19" s="249"/>
      <c r="AO19" s="249"/>
      <c r="AP19" s="285"/>
      <c r="AQ19" s="1454"/>
      <c r="AR19" s="249"/>
      <c r="AS19" s="249"/>
      <c r="AT19" s="249"/>
    </row>
    <row r="20" spans="1:46" ht="30.75" customHeight="1">
      <c r="A20" s="226" t="s">
        <v>881</v>
      </c>
      <c r="B20" s="1488">
        <f>VALUE(SUBSTITUTE(B5,".",""))</f>
        <v>1500</v>
      </c>
      <c r="D20" s="252"/>
      <c r="E20" s="2153">
        <v>500</v>
      </c>
      <c r="F20" s="2154"/>
      <c r="G20" s="1454" t="s">
        <v>44</v>
      </c>
      <c r="H20" s="2153">
        <v>710</v>
      </c>
      <c r="I20" s="2154"/>
      <c r="K20" s="286"/>
      <c r="L20" s="238"/>
      <c r="M20" s="238"/>
      <c r="N20" s="238"/>
      <c r="P20" s="281">
        <f>IF(Z3&lt;6,0,IF(Z3=6,N10-R23,Q21-L28))</f>
        <v>0</v>
      </c>
      <c r="Q20" s="238"/>
      <c r="R20" s="249"/>
      <c r="S20" s="1464"/>
      <c r="T20" s="1465"/>
      <c r="U20" s="1465"/>
      <c r="V20" s="1465"/>
      <c r="W20" s="1465"/>
      <c r="X20" s="1465"/>
      <c r="Y20" s="1466"/>
      <c r="Z20" s="1467"/>
      <c r="AA20" s="1467"/>
      <c r="AB20" s="1467"/>
      <c r="AC20" s="1467"/>
      <c r="AD20" s="1467"/>
      <c r="AE20" s="1467"/>
      <c r="AF20" s="1470"/>
      <c r="AG20" s="249"/>
      <c r="AH20" s="249"/>
      <c r="AI20" s="249"/>
      <c r="AN20" s="249"/>
      <c r="AO20" s="249"/>
      <c r="AP20" s="249"/>
      <c r="AQ20" s="249"/>
      <c r="AR20" s="249"/>
      <c r="AS20" s="249"/>
      <c r="AT20" s="249"/>
    </row>
    <row r="21" spans="1:46" ht="30.75" customHeight="1">
      <c r="A21" s="226" t="s">
        <v>882</v>
      </c>
      <c r="B21" s="289">
        <f>IF(ISERR(SEARCH("GIOCONDA2",B10,1))=TRUE,1,2)</f>
        <v>1</v>
      </c>
      <c r="D21" s="252"/>
      <c r="K21" s="286"/>
      <c r="L21" s="238"/>
      <c r="M21" s="238"/>
      <c r="N21" s="238"/>
      <c r="O21" s="238"/>
      <c r="P21" s="281"/>
      <c r="Q21" s="287">
        <f>IF(Z3&lt;7,0,IF(Z3=7,N10-R23,Q22-L28))</f>
        <v>0</v>
      </c>
      <c r="R21" s="1384"/>
      <c r="S21" s="1489"/>
      <c r="T21" s="1467"/>
      <c r="U21" s="1467"/>
      <c r="V21" s="1467"/>
      <c r="W21" s="1467"/>
      <c r="X21" s="1467"/>
      <c r="Y21" s="1467"/>
      <c r="Z21" s="1498"/>
      <c r="AA21" s="1467"/>
      <c r="AB21" s="1467"/>
      <c r="AC21" s="1467"/>
      <c r="AD21" s="1467"/>
      <c r="AE21" s="1473" t="s">
        <v>37</v>
      </c>
      <c r="AF21" s="1499" t="s">
        <v>37</v>
      </c>
      <c r="AG21" s="249"/>
      <c r="AH21" s="249"/>
      <c r="AI21" s="249"/>
      <c r="AN21" s="249"/>
      <c r="AO21" s="249"/>
      <c r="AP21" s="249"/>
      <c r="AQ21" s="249"/>
      <c r="AR21" s="249"/>
      <c r="AS21" s="249"/>
      <c r="AT21" s="249"/>
    </row>
    <row r="22" spans="1:46" ht="30.75" customHeight="1">
      <c r="D22" s="2168" t="str">
        <f>IF(W3-T3/G15&gt;130,"REALIZZABILE","NON REALIZZABILE")</f>
        <v>REALIZZABILE</v>
      </c>
      <c r="E22" s="2169"/>
      <c r="F22" s="2169"/>
      <c r="G22" s="2169"/>
      <c r="H22" s="2169"/>
      <c r="I22" s="2169"/>
      <c r="J22" s="2191"/>
      <c r="K22" s="252"/>
      <c r="L22" s="1500"/>
      <c r="M22" s="1500"/>
      <c r="N22" s="1500"/>
      <c r="O22" s="1500"/>
      <c r="P22" s="1500"/>
      <c r="Q22" s="1387">
        <f>IF(Z3=8,N10-R23,0)</f>
        <v>0</v>
      </c>
      <c r="R22" s="249"/>
      <c r="S22" s="2155" t="s">
        <v>271</v>
      </c>
      <c r="T22" s="2156"/>
      <c r="U22" s="2156"/>
      <c r="V22" s="2156"/>
      <c r="W22" s="2156"/>
      <c r="X22" s="2156"/>
      <c r="Y22" s="2157"/>
      <c r="Z22" s="2156" t="s">
        <v>174</v>
      </c>
      <c r="AA22" s="2156"/>
      <c r="AB22" s="2156"/>
      <c r="AC22" s="2156"/>
      <c r="AD22" s="2156"/>
      <c r="AE22" s="2156"/>
      <c r="AF22" s="2158"/>
      <c r="AG22" s="249"/>
      <c r="AH22" s="249"/>
      <c r="AI22" s="249"/>
      <c r="AN22" s="249"/>
      <c r="AO22" s="249"/>
      <c r="AP22" s="249"/>
      <c r="AQ22" s="249"/>
      <c r="AR22" s="249"/>
      <c r="AS22" s="249"/>
      <c r="AT22" s="249"/>
    </row>
    <row r="23" spans="1:46" ht="30.75" customHeight="1">
      <c r="A23" s="1501" t="s">
        <v>883</v>
      </c>
      <c r="B23" s="1502" t="str">
        <f>IF(CONCATENATE(B24,B25,B28,B26,B27)="","PLISSE","")</f>
        <v/>
      </c>
      <c r="D23" s="252"/>
      <c r="E23" s="1503" t="str">
        <f>IF((H20&gt;B44),CONCATENATE("ERRORE !!! H MAX ",B44),"")</f>
        <v/>
      </c>
      <c r="F23" s="249"/>
      <c r="G23" s="249"/>
      <c r="H23" s="249"/>
      <c r="I23" s="249"/>
      <c r="J23" s="249"/>
      <c r="K23" s="252"/>
      <c r="L23" s="2052" t="e">
        <f>IF(DATI!E13="AUTOMATICA",CONCATENATE("*",DATI!E14,"-",REPT("0",4-LEN(N10)),N10,"*"),CONCATENATE("*",DATI!L14,REPT("0",3-LEN(O6)),O6,REPT("0",4-LEN(N10)),N10,DATI!L13,"*"))</f>
        <v>#VALUE!</v>
      </c>
      <c r="M23" s="2052"/>
      <c r="N23" s="2052"/>
      <c r="O23" s="2052"/>
      <c r="P23" s="2052"/>
      <c r="Q23" s="2052"/>
      <c r="R23" s="1454">
        <v>290</v>
      </c>
      <c r="S23" s="1464"/>
      <c r="T23" s="1465"/>
      <c r="U23" s="1467"/>
      <c r="V23" s="1467"/>
      <c r="W23" s="1465"/>
      <c r="X23" s="1465"/>
      <c r="Y23" s="1466"/>
      <c r="Z23" s="1467"/>
      <c r="AA23" s="1467"/>
      <c r="AB23" s="1467"/>
      <c r="AC23" s="1467"/>
      <c r="AD23" s="1467"/>
      <c r="AE23" s="1467"/>
      <c r="AF23" s="1470"/>
      <c r="AG23" s="249"/>
      <c r="AH23" s="249"/>
      <c r="AI23" s="249"/>
      <c r="AN23" s="249"/>
      <c r="AO23" s="279"/>
      <c r="AP23" s="267"/>
      <c r="AQ23" s="297"/>
      <c r="AR23" s="264"/>
      <c r="AS23" s="1452"/>
      <c r="AT23" s="238"/>
    </row>
    <row r="24" spans="1:46" ht="30.75" customHeight="1">
      <c r="A24" s="1504" t="s">
        <v>884</v>
      </c>
      <c r="B24" s="1505" t="str">
        <f>IF(AND(ISERR(SEARCH("MINI",B9,1))=FALSE,B25=""),"MINI","")</f>
        <v>MINI</v>
      </c>
      <c r="D24" s="298" t="str">
        <f>IF(AND(E20&lt;B42,G15=2),CONCATENATE("ERRORE !!! L MIN 2 ANTE ",B42),"")</f>
        <v/>
      </c>
      <c r="E24" s="249"/>
      <c r="F24" s="249"/>
      <c r="G24" s="249"/>
      <c r="H24" s="249"/>
      <c r="I24" s="249"/>
      <c r="J24" s="249"/>
      <c r="K24" s="252"/>
      <c r="L24" s="2052"/>
      <c r="M24" s="2052"/>
      <c r="N24" s="2052"/>
      <c r="O24" s="2052"/>
      <c r="P24" s="2052"/>
      <c r="Q24" s="2052"/>
      <c r="R24" s="249"/>
      <c r="S24" s="1464"/>
      <c r="T24" s="1465"/>
      <c r="U24" s="1471" t="s">
        <v>885</v>
      </c>
      <c r="V24" s="1472">
        <f>W3-67</f>
        <v>933</v>
      </c>
      <c r="W24" s="1465"/>
      <c r="X24" s="1465"/>
      <c r="Y24" s="1466"/>
      <c r="Z24" s="1467"/>
      <c r="AA24" s="2170" t="s">
        <v>781</v>
      </c>
      <c r="AB24" s="2170"/>
      <c r="AC24" s="2170"/>
      <c r="AD24" s="1506">
        <f>IF(OR(G15=1,H15="S"),W3-57,"NO")</f>
        <v>943</v>
      </c>
      <c r="AE24" s="1467"/>
      <c r="AF24" s="1470"/>
      <c r="AG24" s="249"/>
      <c r="AH24" s="249"/>
      <c r="AI24" s="249"/>
      <c r="AN24" s="249"/>
      <c r="AO24" s="249"/>
      <c r="AP24" s="249"/>
      <c r="AQ24" s="249"/>
      <c r="AR24" s="249"/>
      <c r="AS24" s="249"/>
      <c r="AT24" s="249"/>
    </row>
    <row r="25" spans="1:46" ht="30.75" customHeight="1">
      <c r="A25" s="1504" t="s">
        <v>886</v>
      </c>
      <c r="B25" s="1505" t="str">
        <f>IF(ISERR(SEARCH("-M2A-",B10,1))=TRUE,"","MINI2A")</f>
        <v/>
      </c>
      <c r="D25" s="252"/>
      <c r="E25" s="249"/>
      <c r="F25" s="1865">
        <f>T3-0</f>
        <v>500</v>
      </c>
      <c r="G25" s="1865"/>
      <c r="H25" s="1865"/>
      <c r="I25" s="249"/>
      <c r="J25" s="249"/>
      <c r="K25" s="252"/>
      <c r="L25" s="2052"/>
      <c r="M25" s="2052"/>
      <c r="N25" s="2052"/>
      <c r="O25" s="2052"/>
      <c r="P25" s="2052"/>
      <c r="Q25" s="2052"/>
      <c r="R25" s="249"/>
      <c r="S25" s="1464"/>
      <c r="T25" s="1465"/>
      <c r="U25" s="1465"/>
      <c r="V25" s="1465"/>
      <c r="W25" s="1465"/>
      <c r="X25" s="1465"/>
      <c r="Y25" s="1466"/>
      <c r="Z25" s="1467"/>
      <c r="AA25" s="1467"/>
      <c r="AB25" s="1467"/>
      <c r="AC25" s="1467"/>
      <c r="AD25" s="1467"/>
      <c r="AE25" s="1467"/>
      <c r="AF25" s="1470"/>
      <c r="AG25" s="249"/>
      <c r="AH25" s="249"/>
      <c r="AI25" s="249"/>
      <c r="AN25" s="249"/>
      <c r="AO25" s="249"/>
      <c r="AP25" s="249"/>
      <c r="AQ25" s="249"/>
      <c r="AR25" s="249"/>
      <c r="AS25" s="249"/>
      <c r="AT25" s="249"/>
    </row>
    <row r="26" spans="1:46" ht="30.75" customHeight="1">
      <c r="A26" s="1504" t="s">
        <v>887</v>
      </c>
      <c r="B26" s="1505" t="str">
        <f>IF(AND(ISERR(SEARCH("GIOCONDA",B10,1))=FALSE,CONCATENATE(B28,B27)=""),"GIOCONDA","")</f>
        <v/>
      </c>
      <c r="D26" s="252"/>
      <c r="E26" s="249"/>
      <c r="F26" s="1456"/>
      <c r="G26" s="1456"/>
      <c r="H26" s="1456"/>
      <c r="I26" s="249"/>
      <c r="J26" s="249"/>
      <c r="K26" s="252"/>
      <c r="L26" s="2052"/>
      <c r="M26" s="2052"/>
      <c r="N26" s="2052"/>
      <c r="O26" s="2052"/>
      <c r="P26" s="2052"/>
      <c r="Q26" s="2052"/>
      <c r="R26" s="249"/>
      <c r="S26" s="1464"/>
      <c r="T26" s="1465"/>
      <c r="U26" s="1465"/>
      <c r="V26" s="1465"/>
      <c r="W26" s="1465"/>
      <c r="X26" s="1465"/>
      <c r="Y26" s="1466"/>
      <c r="Z26" s="1467"/>
      <c r="AA26" s="1467"/>
      <c r="AB26" s="1467"/>
      <c r="AC26" s="1467"/>
      <c r="AD26" s="1467"/>
      <c r="AE26" s="1467"/>
      <c r="AF26" s="1470"/>
      <c r="AG26" s="249"/>
      <c r="AH26" s="249"/>
      <c r="AI26" s="249"/>
      <c r="AN26" s="249"/>
      <c r="AO26" s="249"/>
      <c r="AP26" s="249"/>
      <c r="AQ26" s="249"/>
      <c r="AR26" s="249"/>
      <c r="AS26" s="249"/>
      <c r="AT26" s="249"/>
    </row>
    <row r="27" spans="1:46" ht="30.75" customHeight="1">
      <c r="A27" s="1504" t="s">
        <v>888</v>
      </c>
      <c r="B27" s="1505" t="str">
        <f>IF(ISERR(SEARCH("GIOCONDA.L",B10,1))=TRUE,"","GIO-LAT")</f>
        <v/>
      </c>
      <c r="D27" s="259"/>
      <c r="E27" s="249"/>
      <c r="F27" s="1459"/>
      <c r="G27" s="249"/>
      <c r="H27" s="249"/>
      <c r="I27" s="249"/>
      <c r="J27" s="249"/>
      <c r="K27" s="252"/>
      <c r="L27" s="2052"/>
      <c r="M27" s="2052"/>
      <c r="N27" s="2052"/>
      <c r="O27" s="2052"/>
      <c r="P27" s="2052"/>
      <c r="Q27" s="2052"/>
      <c r="R27" s="249"/>
      <c r="S27" s="1464"/>
      <c r="T27" s="1465"/>
      <c r="U27" s="1465"/>
      <c r="V27" s="1465"/>
      <c r="W27" s="1465"/>
      <c r="X27" s="1465"/>
      <c r="Y27" s="1466"/>
      <c r="Z27" s="1467"/>
      <c r="AA27" s="1467"/>
      <c r="AB27" s="1467"/>
      <c r="AC27" s="1467"/>
      <c r="AD27" s="1467"/>
      <c r="AE27" s="1467"/>
      <c r="AF27" s="1470"/>
      <c r="AG27" s="249"/>
      <c r="AH27" s="249"/>
      <c r="AI27" s="249"/>
      <c r="AN27" s="249"/>
      <c r="AO27" s="249"/>
      <c r="AP27" s="249"/>
      <c r="AQ27" s="249"/>
      <c r="AR27" s="249"/>
      <c r="AS27" s="249"/>
      <c r="AT27" s="249"/>
    </row>
    <row r="28" spans="1:46" ht="30.75" customHeight="1">
      <c r="A28" s="1507" t="s">
        <v>889</v>
      </c>
      <c r="B28" s="1508" t="str">
        <f>IF(ISERR(SEARCH("GIOCONDA.FR",B10,1))=TRUE,"","GIO-FR")</f>
        <v/>
      </c>
      <c r="D28" s="252"/>
      <c r="E28" s="249"/>
      <c r="F28" s="249"/>
      <c r="G28" s="249"/>
      <c r="H28" s="249"/>
      <c r="I28" s="249"/>
      <c r="J28" s="249"/>
      <c r="K28" s="252"/>
      <c r="L28" s="2000">
        <f>(N10-K15-R23)/(Z3-1)</f>
        <v>314</v>
      </c>
      <c r="M28" s="2000"/>
      <c r="N28" s="2000"/>
      <c r="O28" s="2000"/>
      <c r="P28" s="2000"/>
      <c r="Q28" s="2000"/>
      <c r="R28" s="332"/>
      <c r="S28" s="1464"/>
      <c r="T28" s="1465"/>
      <c r="U28" s="1467"/>
      <c r="V28" s="1467"/>
      <c r="W28" s="1467"/>
      <c r="X28" s="1509" t="s">
        <v>37</v>
      </c>
      <c r="Y28" s="1466"/>
      <c r="Z28" s="1467"/>
      <c r="AA28" s="1467"/>
      <c r="AB28" s="1467"/>
      <c r="AC28" s="1467"/>
      <c r="AD28" s="1467"/>
      <c r="AE28" s="1510"/>
      <c r="AF28" s="1470"/>
      <c r="AG28" s="249"/>
      <c r="AH28" s="249"/>
      <c r="AI28" s="249"/>
      <c r="AN28" s="249"/>
      <c r="AO28" s="249"/>
      <c r="AP28" s="249"/>
      <c r="AQ28" s="249"/>
      <c r="AR28" s="249"/>
      <c r="AS28" s="249"/>
      <c r="AT28" s="249"/>
    </row>
    <row r="29" spans="1:46" ht="30.75" customHeight="1">
      <c r="A29" s="226" t="s">
        <v>890</v>
      </c>
      <c r="B29" s="289" t="str">
        <f>IF(ISERR(SEARCH("OS",B10,1))=TRUE,"","OS")</f>
        <v/>
      </c>
      <c r="D29" s="252"/>
      <c r="E29" s="249"/>
      <c r="F29" s="249"/>
      <c r="G29" s="249"/>
      <c r="H29" s="302"/>
      <c r="I29" s="302"/>
      <c r="J29" s="249"/>
      <c r="K29" s="1879" t="s">
        <v>178</v>
      </c>
      <c r="L29" s="1880"/>
      <c r="M29" s="1880"/>
      <c r="N29" s="1880"/>
      <c r="O29" s="1880"/>
      <c r="P29" s="1880"/>
      <c r="Q29" s="1880"/>
      <c r="R29" s="1880"/>
      <c r="S29" s="1464"/>
      <c r="T29" s="1465"/>
      <c r="U29" s="1465"/>
      <c r="V29" s="1481" t="s">
        <v>177</v>
      </c>
      <c r="W29" s="1509">
        <v>4</v>
      </c>
      <c r="X29" s="1509" t="s">
        <v>37</v>
      </c>
      <c r="Y29" s="1466"/>
      <c r="Z29" s="1465"/>
      <c r="AA29" s="1467"/>
      <c r="AB29" s="1467"/>
      <c r="AC29" s="1481"/>
      <c r="AD29" s="1511"/>
      <c r="AE29" s="1512"/>
      <c r="AF29" s="1470"/>
      <c r="AG29" s="249"/>
      <c r="AH29" s="249"/>
      <c r="AI29" s="249"/>
      <c r="AN29" s="249"/>
      <c r="AO29" s="249"/>
      <c r="AP29" s="249"/>
      <c r="AQ29" s="249"/>
      <c r="AR29" s="249"/>
      <c r="AS29" s="1453"/>
      <c r="AT29" s="249"/>
    </row>
    <row r="30" spans="1:46" ht="30.75" customHeight="1" thickBot="1">
      <c r="A30" s="226" t="s">
        <v>891</v>
      </c>
      <c r="B30" s="1513" t="str">
        <f>IF(ISERR(SEARCH("RG",B14,1))=TRUE,"","RG")</f>
        <v/>
      </c>
      <c r="D30" s="252"/>
      <c r="E30" s="249"/>
      <c r="F30" s="249"/>
      <c r="G30" s="249"/>
      <c r="H30" s="303"/>
      <c r="I30" s="303"/>
      <c r="J30" s="249"/>
      <c r="K30" s="252"/>
      <c r="L30" s="249"/>
      <c r="M30" s="249"/>
      <c r="N30" s="249"/>
      <c r="O30" s="1459"/>
      <c r="P30" s="249"/>
      <c r="Q30" s="249"/>
      <c r="R30" s="249"/>
      <c r="S30" s="1514"/>
      <c r="T30" s="1515"/>
      <c r="U30" s="1516"/>
      <c r="V30" s="1515"/>
      <c r="W30" s="1515"/>
      <c r="X30" s="1515"/>
      <c r="Y30" s="1517"/>
      <c r="Z30" s="1515"/>
      <c r="AA30" s="1518"/>
      <c r="AB30" s="1518"/>
      <c r="AC30" s="1519"/>
      <c r="AD30" s="1520"/>
      <c r="AE30" s="1521"/>
      <c r="AF30" s="1522"/>
      <c r="AG30" s="249"/>
      <c r="AH30" s="249"/>
      <c r="AI30" s="249"/>
      <c r="AN30" s="260"/>
      <c r="AO30" s="249"/>
      <c r="AP30" s="249"/>
      <c r="AQ30" s="253"/>
      <c r="AR30" s="279"/>
      <c r="AS30" s="1454"/>
      <c r="AT30" s="249"/>
    </row>
    <row r="31" spans="1:46" ht="39" customHeight="1">
      <c r="D31" s="252"/>
      <c r="E31" s="249"/>
      <c r="F31" s="249"/>
      <c r="G31" s="249"/>
      <c r="H31" s="249"/>
      <c r="I31" s="249"/>
      <c r="J31" s="249"/>
      <c r="K31" s="1882" t="s">
        <v>179</v>
      </c>
      <c r="L31" s="1848"/>
      <c r="M31" s="2189" t="s">
        <v>180</v>
      </c>
      <c r="N31" s="1881"/>
      <c r="O31" s="1881"/>
      <c r="P31" s="1881"/>
      <c r="Q31" s="1881"/>
      <c r="R31" s="1881"/>
      <c r="S31" s="1992"/>
      <c r="T31" s="1992"/>
      <c r="U31" s="1881"/>
      <c r="V31" s="1881"/>
      <c r="W31" s="1881"/>
      <c r="X31" s="1881"/>
      <c r="Y31" s="1890"/>
      <c r="Z31" s="1992" t="s">
        <v>183</v>
      </c>
      <c r="AA31" s="1992"/>
      <c r="AB31" s="1881" t="s">
        <v>184</v>
      </c>
      <c r="AC31" s="1881"/>
      <c r="AD31" s="1881"/>
      <c r="AE31" s="1881"/>
      <c r="AF31" s="1890"/>
      <c r="AG31" s="249"/>
      <c r="AH31" s="249"/>
      <c r="AI31" s="249"/>
      <c r="AN31" s="260"/>
      <c r="AO31" s="249"/>
      <c r="AP31" s="249"/>
      <c r="AQ31" s="253"/>
      <c r="AR31" s="279"/>
      <c r="AS31" s="1454"/>
      <c r="AT31" s="249"/>
    </row>
    <row r="32" spans="1:46" ht="28.15" customHeight="1">
      <c r="D32" s="1830">
        <f>H20 -20</f>
        <v>690</v>
      </c>
      <c r="E32" s="249"/>
      <c r="F32" s="249"/>
      <c r="G32" s="249"/>
      <c r="H32" s="249"/>
      <c r="I32" s="249"/>
      <c r="J32" s="249"/>
      <c r="K32" s="311"/>
      <c r="L32" s="302"/>
      <c r="M32" s="302"/>
      <c r="N32" s="264"/>
      <c r="O32" s="302"/>
      <c r="P32" s="302"/>
      <c r="Q32" s="302"/>
      <c r="R32" s="302"/>
      <c r="S32" s="260"/>
      <c r="T32" s="260"/>
      <c r="U32" s="260"/>
      <c r="V32" s="260"/>
      <c r="W32" s="260"/>
      <c r="X32" s="260"/>
      <c r="Y32" s="313"/>
      <c r="Z32" s="249"/>
      <c r="AA32" s="249"/>
      <c r="AB32" s="249"/>
      <c r="AC32" s="249"/>
      <c r="AD32" s="249"/>
      <c r="AE32" s="249"/>
      <c r="AF32" s="263"/>
      <c r="AG32" s="249"/>
      <c r="AH32" s="249"/>
      <c r="AI32" s="249"/>
    </row>
    <row r="33" spans="1:35" ht="24.6" customHeight="1">
      <c r="A33" s="226" t="s">
        <v>399</v>
      </c>
      <c r="B33" s="1523" t="s">
        <v>892</v>
      </c>
      <c r="D33" s="1830"/>
      <c r="E33" s="249"/>
      <c r="F33" s="249"/>
      <c r="G33" s="249"/>
      <c r="H33" s="249"/>
      <c r="I33" s="249"/>
      <c r="J33" s="249"/>
      <c r="K33" s="311"/>
      <c r="L33" s="302"/>
      <c r="M33" s="2171" t="s">
        <v>925</v>
      </c>
      <c r="N33" s="2171"/>
      <c r="O33" s="2171"/>
      <c r="P33" s="325">
        <f>ROUNDUP((T3+N10)+100-250,-2)</f>
        <v>1400</v>
      </c>
      <c r="Q33" s="1455"/>
      <c r="R33" s="303"/>
      <c r="S33" s="249"/>
      <c r="T33" s="1838"/>
      <c r="U33" s="1838"/>
      <c r="V33" s="1836"/>
      <c r="W33" s="1836"/>
      <c r="X33" s="1836"/>
      <c r="Y33" s="1837"/>
      <c r="Z33" s="302"/>
      <c r="AA33" s="303" t="s">
        <v>893</v>
      </c>
      <c r="AB33" s="302"/>
      <c r="AC33" s="302"/>
      <c r="AD33" s="303"/>
      <c r="AE33" s="302"/>
      <c r="AF33" s="263"/>
      <c r="AG33" s="249"/>
      <c r="AH33" s="249"/>
      <c r="AI33" s="249"/>
    </row>
    <row r="34" spans="1:35" ht="24.6" customHeight="1">
      <c r="A34" s="226" t="s">
        <v>894</v>
      </c>
      <c r="B34" s="1523" t="s">
        <v>895</v>
      </c>
      <c r="D34" s="1830"/>
      <c r="E34" s="249"/>
      <c r="F34" s="249"/>
      <c r="G34" s="249"/>
      <c r="H34" s="249"/>
      <c r="I34" s="249"/>
      <c r="J34" s="249"/>
      <c r="K34" s="311"/>
      <c r="L34" s="302"/>
      <c r="M34" s="2171" t="s">
        <v>926</v>
      </c>
      <c r="N34" s="2171"/>
      <c r="O34" s="2171"/>
      <c r="P34" s="325">
        <f>ROUNDUP((T3+N10)+100,-2)</f>
        <v>1600</v>
      </c>
      <c r="Q34" s="1455"/>
      <c r="R34" s="303"/>
      <c r="S34" s="260"/>
      <c r="T34" s="260"/>
      <c r="U34" s="260"/>
      <c r="V34" s="260"/>
      <c r="W34" s="260"/>
      <c r="X34" s="260"/>
      <c r="Y34" s="313"/>
      <c r="Z34" s="234"/>
      <c r="AA34" s="234"/>
      <c r="AB34" s="234"/>
      <c r="AC34" s="292"/>
      <c r="AD34" s="234"/>
      <c r="AE34" s="234"/>
      <c r="AF34" s="312"/>
      <c r="AG34" s="302"/>
      <c r="AH34" s="302"/>
      <c r="AI34" s="249"/>
    </row>
    <row r="35" spans="1:35" ht="21.75" customHeight="1">
      <c r="A35" s="226" t="s">
        <v>896</v>
      </c>
      <c r="B35" s="1523" t="s">
        <v>897</v>
      </c>
      <c r="D35" s="1830"/>
      <c r="E35" s="249"/>
      <c r="F35" s="249"/>
      <c r="G35" s="249"/>
      <c r="H35" s="249"/>
      <c r="I35" s="249"/>
      <c r="J35" s="249"/>
      <c r="K35" s="311"/>
      <c r="L35" s="302"/>
      <c r="M35" s="2171" t="s">
        <v>927</v>
      </c>
      <c r="N35" s="2171"/>
      <c r="O35" s="2171"/>
      <c r="P35" s="325">
        <f>IF(Z3&lt;3,"EMPTY",ROUNDUP(U4+L28+50+50+150+100+250,-2))</f>
        <v>1500</v>
      </c>
      <c r="Q35" s="1455"/>
      <c r="R35" s="303"/>
      <c r="S35" s="249"/>
      <c r="T35" s="249"/>
      <c r="U35" s="249"/>
      <c r="V35" s="249"/>
      <c r="W35" s="249"/>
      <c r="X35" s="249"/>
      <c r="Y35" s="263"/>
      <c r="Z35" s="234"/>
      <c r="AA35" s="292" t="s">
        <v>188</v>
      </c>
      <c r="AB35" s="234"/>
      <c r="AC35" s="1454">
        <f>2+(T3/G15-20)/20</f>
        <v>26</v>
      </c>
      <c r="AD35" s="279" t="s">
        <v>189</v>
      </c>
      <c r="AE35" s="234"/>
      <c r="AF35" s="317"/>
      <c r="AG35" s="234"/>
      <c r="AH35" s="234"/>
      <c r="AI35" s="249"/>
    </row>
    <row r="36" spans="1:35" ht="27.6" customHeight="1">
      <c r="A36" s="226" t="s">
        <v>899</v>
      </c>
      <c r="B36" s="1523" t="s">
        <v>900</v>
      </c>
      <c r="D36" s="1830"/>
      <c r="E36" s="249"/>
      <c r="F36" s="249"/>
      <c r="G36" s="249"/>
      <c r="H36" s="249"/>
      <c r="I36" s="249"/>
      <c r="J36" s="249"/>
      <c r="K36" s="311"/>
      <c r="L36" s="302"/>
      <c r="M36" s="2171" t="s">
        <v>928</v>
      </c>
      <c r="N36" s="2171"/>
      <c r="O36" s="2171"/>
      <c r="P36" s="325" t="str">
        <f>IF(Z3&lt;4,"NO",ROUNDUP(U4+L28+50+50+150+100,-2))</f>
        <v>NO</v>
      </c>
      <c r="Q36" s="1455"/>
      <c r="R36" s="303"/>
      <c r="S36" s="249"/>
      <c r="T36" s="249"/>
      <c r="U36" s="292"/>
      <c r="V36" s="260"/>
      <c r="W36" s="326"/>
      <c r="X36" s="260"/>
      <c r="Y36" s="313"/>
      <c r="AF36" s="317"/>
      <c r="AG36" s="234"/>
      <c r="AH36" s="234"/>
      <c r="AI36" s="249"/>
    </row>
    <row r="37" spans="1:35" ht="24.6" customHeight="1">
      <c r="A37" s="226" t="s">
        <v>901</v>
      </c>
      <c r="B37" s="1523" t="s">
        <v>902</v>
      </c>
      <c r="D37" s="1830"/>
      <c r="E37" s="1831"/>
      <c r="F37" s="1831"/>
      <c r="G37" s="1831"/>
      <c r="H37" s="279"/>
      <c r="I37" s="324" t="s">
        <v>190</v>
      </c>
      <c r="K37" s="311"/>
      <c r="L37" s="302"/>
      <c r="M37" s="2171" t="s">
        <v>929</v>
      </c>
      <c r="N37" s="2171"/>
      <c r="O37" s="2171"/>
      <c r="P37" s="325" t="str">
        <f>IF(Z3&lt;5,"NO",ROUNDUP(U4+2*L28+50+50+150+100+250,-2))</f>
        <v>NO</v>
      </c>
      <c r="Q37" s="1455"/>
      <c r="R37" s="303"/>
      <c r="S37" s="260"/>
      <c r="T37" s="260"/>
      <c r="U37" s="260"/>
      <c r="V37" s="260"/>
      <c r="W37" s="326"/>
      <c r="X37" s="260"/>
      <c r="Y37" s="313"/>
      <c r="Z37" s="2180" t="s">
        <v>904</v>
      </c>
      <c r="AA37" s="2180"/>
      <c r="AB37" s="2180"/>
      <c r="AC37" s="2180"/>
      <c r="AD37" s="2180"/>
      <c r="AE37" s="2180"/>
      <c r="AF37" s="2181"/>
      <c r="AG37" s="234"/>
      <c r="AH37" s="234"/>
      <c r="AI37" s="249"/>
    </row>
    <row r="38" spans="1:35" ht="24.6" customHeight="1">
      <c r="A38" s="226" t="s">
        <v>905</v>
      </c>
      <c r="B38" s="1523" t="s">
        <v>906</v>
      </c>
      <c r="D38" s="1830"/>
      <c r="E38" s="249"/>
      <c r="F38" s="249"/>
      <c r="G38" s="249"/>
      <c r="H38" s="249"/>
      <c r="I38" s="249"/>
      <c r="J38" s="249"/>
      <c r="K38" s="311"/>
      <c r="L38" s="302"/>
      <c r="M38" s="2171" t="s">
        <v>930</v>
      </c>
      <c r="N38" s="2171"/>
      <c r="O38" s="2171"/>
      <c r="P38" s="325" t="str">
        <f>IF(Z3&lt;6,"NO",ROUNDUP(U4+2*L28+50+50+150+100,-2))</f>
        <v>NO</v>
      </c>
      <c r="Q38" s="1455"/>
      <c r="R38" s="303"/>
      <c r="S38" s="260"/>
      <c r="T38" s="260"/>
      <c r="U38" s="1833"/>
      <c r="V38" s="1833"/>
      <c r="W38" s="1833"/>
      <c r="X38" s="1833"/>
      <c r="Y38" s="1834"/>
      <c r="Z38" s="2182"/>
      <c r="AA38" s="2182"/>
      <c r="AB38" s="2182"/>
      <c r="AC38" s="2182"/>
      <c r="AD38" s="2182"/>
      <c r="AE38" s="2182"/>
      <c r="AF38" s="2183"/>
      <c r="AG38" s="234"/>
      <c r="AH38" s="234"/>
      <c r="AI38" s="249"/>
    </row>
    <row r="39" spans="1:35" ht="24.6" customHeight="1">
      <c r="A39" s="226" t="s">
        <v>907</v>
      </c>
      <c r="B39" s="1523" t="s">
        <v>908</v>
      </c>
      <c r="D39" s="1830"/>
      <c r="E39" s="249"/>
      <c r="F39" s="249"/>
      <c r="G39" s="249"/>
      <c r="H39" s="249"/>
      <c r="I39" s="249"/>
      <c r="J39" s="249"/>
      <c r="K39" s="311"/>
      <c r="L39" s="302"/>
      <c r="M39" s="2171" t="s">
        <v>931</v>
      </c>
      <c r="N39" s="2171"/>
      <c r="O39" s="2171"/>
      <c r="P39" s="325" t="str">
        <f>IF(Z3&lt;7,"NO",ROUNDUP(U4+3*L28+50+50+150+100+250,-2))</f>
        <v>NO</v>
      </c>
      <c r="Q39" s="1455"/>
      <c r="R39" s="303"/>
      <c r="S39" s="260"/>
      <c r="T39" s="260"/>
      <c r="U39" s="357" t="s">
        <v>910</v>
      </c>
      <c r="V39" s="260"/>
      <c r="W39" s="260"/>
      <c r="X39" s="260"/>
      <c r="Y39" s="313"/>
      <c r="Z39" s="1448"/>
      <c r="AA39" s="234"/>
      <c r="AB39" s="1448"/>
      <c r="AC39" s="234"/>
      <c r="AD39" s="234"/>
      <c r="AE39" s="234"/>
      <c r="AF39" s="317"/>
      <c r="AG39" s="234"/>
      <c r="AH39" s="234"/>
      <c r="AI39" s="249"/>
    </row>
    <row r="40" spans="1:35" ht="24.6" customHeight="1">
      <c r="D40" s="1830"/>
      <c r="E40" s="249"/>
      <c r="F40" s="249"/>
      <c r="G40" s="249"/>
      <c r="H40" s="249"/>
      <c r="I40" s="249"/>
      <c r="J40" s="249"/>
      <c r="K40" s="311"/>
      <c r="L40" s="302"/>
      <c r="M40" s="2171" t="s">
        <v>932</v>
      </c>
      <c r="N40" s="2171"/>
      <c r="O40" s="2171"/>
      <c r="P40" s="325" t="str">
        <f>IF(Z3&lt;8,"NO",ROUNDUP(U4+3*L28+50+50+150+100,-2))</f>
        <v>NO</v>
      </c>
      <c r="Q40" s="1455"/>
      <c r="R40" s="303"/>
      <c r="S40" s="260"/>
      <c r="T40" s="260"/>
      <c r="U40" s="260"/>
      <c r="V40" s="260"/>
      <c r="W40" s="260"/>
      <c r="X40" s="260"/>
      <c r="Y40" s="313"/>
      <c r="Z40" s="1448"/>
      <c r="AA40" s="234"/>
      <c r="AB40" s="1448"/>
      <c r="AC40" s="234"/>
      <c r="AD40" s="234"/>
      <c r="AE40" s="234"/>
      <c r="AF40" s="317"/>
      <c r="AG40" s="234"/>
      <c r="AH40" s="234"/>
      <c r="AI40" s="249"/>
    </row>
    <row r="41" spans="1:35" ht="24.6" customHeight="1">
      <c r="D41" s="1830"/>
      <c r="E41" s="249"/>
      <c r="F41" s="249"/>
      <c r="G41" s="249"/>
      <c r="H41" s="249"/>
      <c r="I41" s="249"/>
      <c r="J41" s="249"/>
      <c r="K41" s="311"/>
      <c r="L41" s="302"/>
      <c r="M41" s="302"/>
      <c r="N41" s="302"/>
      <c r="O41" s="315"/>
      <c r="P41" s="249"/>
      <c r="Q41" s="249"/>
      <c r="R41" s="249"/>
      <c r="S41" s="249"/>
      <c r="T41" s="249"/>
      <c r="U41" s="249"/>
      <c r="V41" s="260"/>
      <c r="W41" s="260"/>
      <c r="X41" s="253"/>
      <c r="Y41" s="313"/>
      <c r="Z41" s="2184" t="s">
        <v>911</v>
      </c>
      <c r="AA41" s="2185"/>
      <c r="AB41" s="2185"/>
      <c r="AC41" s="1526">
        <f>T3/G15+43</f>
        <v>543</v>
      </c>
      <c r="AD41" s="234"/>
      <c r="AE41" s="234"/>
      <c r="AF41" s="317"/>
      <c r="AG41" s="1853" t="s">
        <v>199</v>
      </c>
      <c r="AH41" s="234"/>
      <c r="AI41" s="249"/>
    </row>
    <row r="42" spans="1:35" ht="21.95" customHeight="1">
      <c r="A42" s="502" t="s">
        <v>272</v>
      </c>
      <c r="B42" s="1502">
        <v>1430</v>
      </c>
      <c r="D42" s="1830"/>
      <c r="E42" s="249"/>
      <c r="F42" s="249"/>
      <c r="G42" s="249"/>
      <c r="H42" s="249"/>
      <c r="I42" s="249"/>
      <c r="J42" s="249"/>
      <c r="K42" s="311"/>
      <c r="L42" s="302"/>
      <c r="M42" s="1455"/>
      <c r="N42" s="302" t="s">
        <v>37</v>
      </c>
      <c r="O42" s="302"/>
      <c r="P42" s="302"/>
      <c r="Q42" s="302"/>
      <c r="R42" s="302"/>
      <c r="S42" s="260"/>
      <c r="T42" s="260"/>
      <c r="U42" s="260"/>
      <c r="V42" s="260"/>
      <c r="W42" s="326"/>
      <c r="X42" s="260"/>
      <c r="Y42" s="313"/>
      <c r="Z42" s="234"/>
      <c r="AA42" s="2172"/>
      <c r="AB42" s="2172"/>
      <c r="AC42" s="2172"/>
      <c r="AD42" s="234"/>
      <c r="AE42" s="234"/>
      <c r="AF42" s="317"/>
      <c r="AG42" s="1853"/>
      <c r="AH42" s="234"/>
      <c r="AI42" s="249"/>
    </row>
    <row r="43" spans="1:35" ht="33.75" customHeight="1">
      <c r="A43" s="504" t="s">
        <v>273</v>
      </c>
      <c r="B43" s="1505">
        <v>400</v>
      </c>
      <c r="D43" s="1830"/>
      <c r="E43" s="249"/>
      <c r="F43" s="249"/>
      <c r="G43" s="249"/>
      <c r="H43" s="249"/>
      <c r="I43" s="249"/>
      <c r="J43" s="249"/>
      <c r="K43" s="311"/>
      <c r="L43" s="302"/>
      <c r="M43" s="302"/>
      <c r="N43" s="302"/>
      <c r="O43" s="302"/>
      <c r="P43" s="303"/>
      <c r="Q43" s="302"/>
      <c r="R43" s="302"/>
      <c r="S43" s="1832"/>
      <c r="T43" s="1832"/>
      <c r="U43" s="1854"/>
      <c r="V43" s="1854"/>
      <c r="W43" s="1854"/>
      <c r="X43" s="1854"/>
      <c r="Y43" s="1855"/>
      <c r="Z43" s="234"/>
      <c r="AA43" s="234"/>
      <c r="AB43" s="234"/>
      <c r="AC43" s="234"/>
      <c r="AD43" s="234"/>
      <c r="AE43" s="234"/>
      <c r="AF43" s="317"/>
      <c r="AG43" s="1853"/>
      <c r="AH43" s="234"/>
      <c r="AI43" s="249"/>
    </row>
    <row r="44" spans="1:35" ht="33.75" customHeight="1">
      <c r="A44" s="504" t="s">
        <v>274</v>
      </c>
      <c r="B44" s="1505">
        <v>2731</v>
      </c>
      <c r="D44" s="252"/>
      <c r="E44" s="249"/>
      <c r="F44" s="249"/>
      <c r="G44" s="249"/>
      <c r="H44" s="249"/>
      <c r="I44" s="249"/>
      <c r="J44" s="249"/>
      <c r="K44" s="311"/>
      <c r="L44" s="302"/>
      <c r="M44" s="302"/>
      <c r="N44" s="302"/>
      <c r="O44" s="302"/>
      <c r="P44" s="302"/>
      <c r="Q44" s="302"/>
      <c r="R44" s="302"/>
      <c r="S44" s="260"/>
      <c r="T44" s="326"/>
      <c r="U44" s="1458"/>
      <c r="V44" s="260"/>
      <c r="W44" s="260"/>
      <c r="X44" s="260"/>
      <c r="Y44" s="313"/>
      <c r="Z44" s="350"/>
      <c r="AA44" s="1527" t="s">
        <v>92</v>
      </c>
      <c r="AB44" s="1527"/>
      <c r="AC44" s="1527"/>
      <c r="AD44" s="1527"/>
      <c r="AE44" s="1528"/>
      <c r="AF44" s="351"/>
      <c r="AG44" s="1853"/>
      <c r="AH44" s="249"/>
      <c r="AI44" s="249"/>
    </row>
    <row r="45" spans="1:35" ht="18.95" customHeight="1">
      <c r="A45" s="506" t="s">
        <v>275</v>
      </c>
      <c r="B45" s="1508">
        <v>700</v>
      </c>
      <c r="D45" s="252"/>
      <c r="E45" s="249"/>
      <c r="F45" s="249"/>
      <c r="G45" s="249"/>
      <c r="H45" s="249"/>
      <c r="I45" s="249"/>
      <c r="J45" s="249"/>
      <c r="K45" s="311"/>
      <c r="L45" s="302"/>
      <c r="M45" s="1455"/>
      <c r="N45" s="302"/>
      <c r="O45" s="302"/>
      <c r="P45" s="303"/>
      <c r="Q45" s="302"/>
      <c r="R45" s="302"/>
      <c r="S45" s="260"/>
      <c r="T45" s="260"/>
      <c r="U45" s="260"/>
      <c r="V45" s="260"/>
      <c r="W45" s="260"/>
      <c r="X45" s="260"/>
      <c r="Y45" s="313"/>
      <c r="Z45" s="249"/>
      <c r="AA45" s="332"/>
      <c r="AB45" s="262" t="s">
        <v>202</v>
      </c>
      <c r="AC45" s="332"/>
      <c r="AD45" s="332"/>
      <c r="AE45" s="1461"/>
      <c r="AF45" s="263"/>
      <c r="AG45" s="1853"/>
      <c r="AH45" s="249"/>
      <c r="AI45" s="249"/>
    </row>
    <row r="46" spans="1:35" ht="18.600000000000001" customHeight="1">
      <c r="D46" s="252"/>
      <c r="E46" s="249"/>
      <c r="F46" s="249"/>
      <c r="G46" s="333"/>
      <c r="H46" s="249"/>
      <c r="I46" s="249"/>
      <c r="J46" s="249"/>
      <c r="K46" s="311"/>
      <c r="L46" s="302"/>
      <c r="M46" s="302"/>
      <c r="N46" s="302"/>
      <c r="O46" s="302"/>
      <c r="P46" s="302"/>
      <c r="Q46" s="302"/>
      <c r="R46" s="302"/>
      <c r="S46" s="260"/>
      <c r="T46" s="260"/>
      <c r="U46" s="260"/>
      <c r="V46" s="260"/>
      <c r="W46" s="260"/>
      <c r="X46" s="253"/>
      <c r="Y46" s="313"/>
      <c r="Z46" s="249"/>
      <c r="AA46" s="332"/>
      <c r="AB46" s="262" t="s">
        <v>203</v>
      </c>
      <c r="AC46" s="332"/>
      <c r="AD46" s="334"/>
      <c r="AE46" s="1461"/>
      <c r="AF46" s="263"/>
      <c r="AG46" s="1853"/>
      <c r="AH46" s="249"/>
      <c r="AI46" s="249"/>
    </row>
    <row r="47" spans="1:35" ht="26.45" customHeight="1" thickBot="1">
      <c r="D47" s="304"/>
      <c r="E47" s="305"/>
      <c r="F47" s="305"/>
      <c r="G47" s="305" t="s">
        <v>204</v>
      </c>
      <c r="H47" s="305"/>
      <c r="I47" s="305"/>
      <c r="J47" s="305"/>
      <c r="K47" s="311"/>
      <c r="L47" s="302"/>
      <c r="M47" s="303"/>
      <c r="N47" s="302"/>
      <c r="O47" s="302"/>
      <c r="P47" s="302"/>
      <c r="Q47" s="302"/>
      <c r="R47" s="302"/>
      <c r="S47" s="260"/>
      <c r="T47" s="249"/>
      <c r="U47" s="1458"/>
      <c r="V47" s="260"/>
      <c r="W47" s="1455"/>
      <c r="X47" s="260"/>
      <c r="Y47" s="313"/>
      <c r="Z47" s="249"/>
      <c r="AA47" s="335"/>
      <c r="AB47" s="262" t="s">
        <v>95</v>
      </c>
      <c r="AC47" s="332"/>
      <c r="AD47" s="253"/>
      <c r="AE47" s="336"/>
      <c r="AF47" s="263"/>
      <c r="AG47" s="1853"/>
      <c r="AH47" s="249"/>
      <c r="AI47" s="249"/>
    </row>
    <row r="48" spans="1:35" ht="18.95" customHeight="1">
      <c r="D48" s="252"/>
      <c r="E48" s="1461" t="s">
        <v>109</v>
      </c>
      <c r="F48" s="337"/>
      <c r="G48" s="249"/>
      <c r="H48" s="260" t="s">
        <v>110</v>
      </c>
      <c r="I48" s="260"/>
      <c r="J48" s="249"/>
      <c r="K48" s="311"/>
      <c r="L48" s="302"/>
      <c r="M48" s="302"/>
      <c r="N48" s="302"/>
      <c r="O48" s="302"/>
      <c r="P48" s="302"/>
      <c r="Q48" s="302"/>
      <c r="R48" s="302"/>
      <c r="S48" s="292"/>
      <c r="T48" s="260"/>
      <c r="U48" s="292"/>
      <c r="V48" s="260"/>
      <c r="W48" s="260"/>
      <c r="X48" s="260"/>
      <c r="Y48" s="313"/>
      <c r="Z48" s="249"/>
      <c r="AA48" s="260"/>
      <c r="AB48" s="262" t="s">
        <v>206</v>
      </c>
      <c r="AC48" s="249"/>
      <c r="AD48" s="253"/>
      <c r="AE48" s="336"/>
      <c r="AF48" s="263"/>
      <c r="AG48" s="1853"/>
      <c r="AH48" s="249"/>
      <c r="AI48" s="249"/>
    </row>
    <row r="49" spans="1:35" ht="18.95" customHeight="1" thickBot="1">
      <c r="D49" s="338" t="s">
        <v>207</v>
      </c>
      <c r="E49" s="339"/>
      <c r="F49" s="340" t="s">
        <v>113</v>
      </c>
      <c r="G49" s="2173" t="str">
        <f>CONCATENATE(B30,B29)</f>
        <v/>
      </c>
      <c r="H49" s="2174"/>
      <c r="I49" s="2174"/>
      <c r="J49" s="2174"/>
      <c r="K49" s="2192" t="s">
        <v>933</v>
      </c>
      <c r="L49" s="2193"/>
      <c r="M49" s="2193"/>
      <c r="N49" s="302"/>
      <c r="O49" s="302"/>
      <c r="P49" s="302"/>
      <c r="Q49" s="302"/>
      <c r="R49" s="302"/>
      <c r="S49" s="260"/>
      <c r="T49" s="260"/>
      <c r="U49" s="260"/>
      <c r="V49" s="260"/>
      <c r="W49" s="260"/>
      <c r="X49" s="260"/>
      <c r="Y49" s="313"/>
      <c r="Z49" s="305"/>
      <c r="AA49" s="341"/>
      <c r="AB49" s="305"/>
      <c r="AC49" s="305"/>
      <c r="AD49" s="305"/>
      <c r="AE49" s="305"/>
      <c r="AF49" s="307"/>
      <c r="AG49" s="1853"/>
      <c r="AH49" s="249"/>
      <c r="AI49" s="249"/>
    </row>
    <row r="50" spans="1:35" ht="18.95" customHeight="1">
      <c r="D50" s="342"/>
      <c r="E50" s="343"/>
      <c r="F50" s="344"/>
      <c r="G50" s="2175"/>
      <c r="H50" s="2176"/>
      <c r="I50" s="2176"/>
      <c r="J50" s="2176"/>
      <c r="K50" s="311"/>
      <c r="L50" s="302"/>
      <c r="M50" s="302"/>
      <c r="N50" s="302"/>
      <c r="O50" s="302"/>
      <c r="P50" s="302"/>
      <c r="Q50" s="302"/>
      <c r="R50" s="302"/>
      <c r="S50" s="260"/>
      <c r="T50" s="260"/>
      <c r="U50" s="1529"/>
      <c r="V50" s="260"/>
      <c r="W50" s="253"/>
      <c r="X50" s="264"/>
      <c r="Y50" s="1530"/>
      <c r="Z50" s="1531" t="s">
        <v>37</v>
      </c>
      <c r="AA50" s="249"/>
      <c r="AB50" s="249"/>
      <c r="AC50" s="249"/>
      <c r="AD50" s="249"/>
      <c r="AE50" s="249"/>
      <c r="AF50" s="263"/>
      <c r="AG50" s="1853"/>
      <c r="AH50" s="249"/>
      <c r="AI50" s="249"/>
    </row>
    <row r="51" spans="1:35" ht="39" customHeight="1">
      <c r="D51" s="252"/>
      <c r="E51" s="249"/>
      <c r="F51" s="337"/>
      <c r="G51" s="2177"/>
      <c r="H51" s="2178"/>
      <c r="I51" s="2178"/>
      <c r="J51" s="2178"/>
      <c r="K51" s="311"/>
      <c r="L51" s="302"/>
      <c r="M51" s="302"/>
      <c r="N51" s="264"/>
      <c r="O51" s="302"/>
      <c r="P51" s="302"/>
      <c r="Q51" s="302"/>
      <c r="R51" s="302"/>
      <c r="S51" s="2179"/>
      <c r="T51" s="2179"/>
      <c r="U51" s="1860"/>
      <c r="V51" s="1860"/>
      <c r="W51" s="1860"/>
      <c r="X51" s="1860"/>
      <c r="Y51" s="1861"/>
      <c r="Z51" s="1459"/>
      <c r="AA51" s="249"/>
      <c r="AB51" s="347" t="s">
        <v>98</v>
      </c>
      <c r="AC51" s="347" t="s">
        <v>99</v>
      </c>
      <c r="AD51" s="347" t="s">
        <v>100</v>
      </c>
      <c r="AE51" s="249"/>
      <c r="AF51" s="263"/>
      <c r="AG51" s="1853"/>
      <c r="AH51" s="249"/>
      <c r="AI51" s="249"/>
    </row>
    <row r="52" spans="1:35" ht="21.95" customHeight="1">
      <c r="D52" s="252"/>
      <c r="E52" s="249"/>
      <c r="F52" s="337"/>
      <c r="G52" s="348" t="s">
        <v>114</v>
      </c>
      <c r="H52" s="348" t="s">
        <v>115</v>
      </c>
      <c r="I52" s="348"/>
      <c r="J52" s="348"/>
      <c r="K52" s="311"/>
      <c r="L52" s="302"/>
      <c r="M52" s="302"/>
      <c r="N52" s="303"/>
      <c r="O52" s="302"/>
      <c r="P52" s="302"/>
      <c r="Q52" s="302"/>
      <c r="R52" s="302"/>
      <c r="S52" s="249"/>
      <c r="T52" s="249"/>
      <c r="U52" s="249"/>
      <c r="V52" s="249"/>
      <c r="W52" s="249"/>
      <c r="X52" s="249"/>
      <c r="Y52" s="263"/>
      <c r="Z52" s="262"/>
      <c r="AA52" s="249"/>
      <c r="AB52" s="353" t="s">
        <v>44</v>
      </c>
      <c r="AC52" s="354"/>
      <c r="AD52" s="354"/>
      <c r="AE52" s="249"/>
      <c r="AF52" s="263"/>
      <c r="AG52" s="1853"/>
      <c r="AH52" s="249"/>
      <c r="AI52" s="249"/>
    </row>
    <row r="53" spans="1:35" ht="26.45" customHeight="1">
      <c r="D53" s="252"/>
      <c r="E53" s="249"/>
      <c r="F53" s="337"/>
      <c r="G53" s="355"/>
      <c r="H53" s="350"/>
      <c r="I53" s="350"/>
      <c r="J53" s="350"/>
      <c r="K53" s="311"/>
      <c r="L53" s="302"/>
      <c r="M53" s="302"/>
      <c r="N53" s="302"/>
      <c r="O53" s="302"/>
      <c r="P53" s="302"/>
      <c r="Q53" s="302"/>
      <c r="R53" s="303"/>
      <c r="S53" s="1457"/>
      <c r="T53" s="249"/>
      <c r="U53" s="249"/>
      <c r="V53" s="1448"/>
      <c r="W53" s="326"/>
      <c r="X53" s="357"/>
      <c r="Y53" s="263"/>
      <c r="Z53" s="1448"/>
      <c r="AA53" s="249"/>
      <c r="AB53" s="249">
        <v>0.05</v>
      </c>
      <c r="AC53" s="1461">
        <v>0.115</v>
      </c>
      <c r="AD53" s="358" t="s">
        <v>102</v>
      </c>
      <c r="AE53" s="359">
        <f>(W3-42+207)/1000</f>
        <v>1.165</v>
      </c>
      <c r="AF53" s="263"/>
      <c r="AG53" s="1853"/>
      <c r="AH53" s="249"/>
      <c r="AI53" s="249"/>
    </row>
    <row r="54" spans="1:35" ht="24" customHeight="1">
      <c r="D54" s="252"/>
      <c r="E54" s="249"/>
      <c r="F54" s="337"/>
      <c r="G54" s="360"/>
      <c r="H54" s="361"/>
      <c r="I54" s="361"/>
      <c r="J54" s="361"/>
      <c r="K54" s="362"/>
      <c r="L54" s="302"/>
      <c r="M54" s="302"/>
      <c r="N54" s="357"/>
      <c r="O54" s="264"/>
      <c r="P54" s="357"/>
      <c r="Q54" s="302"/>
      <c r="S54" s="249"/>
      <c r="T54" s="249"/>
      <c r="U54" s="357" t="s">
        <v>912</v>
      </c>
      <c r="V54" s="249"/>
      <c r="W54" s="249"/>
      <c r="X54" s="249"/>
      <c r="Y54" s="263"/>
      <c r="Z54" s="249"/>
      <c r="AA54" s="249"/>
      <c r="AB54" s="249" t="s">
        <v>103</v>
      </c>
      <c r="AC54" s="249"/>
      <c r="AD54" s="1455">
        <f>+H11</f>
        <v>0</v>
      </c>
      <c r="AE54" s="238" t="s">
        <v>104</v>
      </c>
      <c r="AF54" s="263"/>
      <c r="AG54" s="1853"/>
      <c r="AH54" s="249"/>
      <c r="AI54" s="249"/>
    </row>
    <row r="55" spans="1:35" ht="18.95" customHeight="1" thickBot="1">
      <c r="D55" s="304"/>
      <c r="E55" s="305"/>
      <c r="F55" s="363"/>
      <c r="G55" s="364"/>
      <c r="H55" s="305"/>
      <c r="I55" s="305"/>
      <c r="J55" s="305"/>
      <c r="K55" s="365"/>
      <c r="L55" s="366"/>
      <c r="M55" s="366"/>
      <c r="N55" s="366"/>
      <c r="O55" s="366"/>
      <c r="P55" s="366"/>
      <c r="Q55" s="366"/>
      <c r="R55" s="366"/>
      <c r="S55" s="305"/>
      <c r="T55" s="305"/>
      <c r="U55" s="309"/>
      <c r="V55" s="309"/>
      <c r="W55" s="309"/>
      <c r="X55" s="309"/>
      <c r="Y55" s="307"/>
      <c r="Z55" s="305"/>
      <c r="AA55" s="305"/>
      <c r="AB55" s="305" t="s">
        <v>105</v>
      </c>
      <c r="AC55" s="305"/>
      <c r="AD55" s="368">
        <f>(AB53*AC53*AE53)</f>
        <v>6.6987500000000007E-3</v>
      </c>
      <c r="AE55" s="305" t="s">
        <v>212</v>
      </c>
      <c r="AF55" s="307"/>
      <c r="AG55" s="1853"/>
    </row>
    <row r="56" spans="1:35" ht="102" customHeight="1">
      <c r="O56" s="249"/>
      <c r="U56" s="369"/>
      <c r="V56" s="369"/>
      <c r="W56" s="369"/>
      <c r="X56" s="369"/>
      <c r="AE56" s="1532"/>
      <c r="AF56" s="1533" t="e">
        <f>A70</f>
        <v>#REF!</v>
      </c>
    </row>
    <row r="57" spans="1:35">
      <c r="U57" s="369"/>
      <c r="V57" s="369"/>
      <c r="W57" s="369"/>
      <c r="X57" s="260"/>
      <c r="Y57" s="249"/>
      <c r="Z57" s="249"/>
      <c r="AA57" s="249"/>
      <c r="AB57" s="249"/>
      <c r="AC57" s="249"/>
      <c r="AD57" s="249"/>
    </row>
    <row r="58" spans="1:35">
      <c r="U58" s="369"/>
      <c r="V58" s="369"/>
      <c r="W58" s="369"/>
      <c r="X58" s="260"/>
      <c r="Y58" s="249"/>
      <c r="Z58" s="249"/>
      <c r="AA58" s="249"/>
      <c r="AB58" s="249"/>
      <c r="AC58" s="249"/>
      <c r="AD58" s="249"/>
    </row>
    <row r="59" spans="1:35" ht="27.75">
      <c r="A59" s="1534" t="str">
        <f>+SUBSTITUTE(B3,"&amp;","")</f>
        <v>RANIERI</v>
      </c>
      <c r="U59" s="369"/>
      <c r="V59" s="369"/>
      <c r="W59" s="369"/>
      <c r="X59" s="292"/>
      <c r="Y59" s="260"/>
      <c r="Z59" s="279"/>
      <c r="AA59" s="249"/>
      <c r="AB59" s="249"/>
      <c r="AC59" s="249"/>
      <c r="AD59" s="249"/>
    </row>
    <row r="60" spans="1:35" ht="27.75">
      <c r="A60" s="1534" t="str">
        <f>+SUBSTITUTE(A59,"'"," ")</f>
        <v>RANIERI</v>
      </c>
      <c r="B60" s="1502"/>
      <c r="U60" s="369"/>
      <c r="V60" s="369"/>
      <c r="W60" s="369"/>
      <c r="X60" s="292"/>
      <c r="Y60" s="260"/>
      <c r="Z60" s="279"/>
      <c r="AA60" s="249"/>
      <c r="AB60" s="249"/>
      <c r="AC60" s="249"/>
      <c r="AD60" s="249"/>
    </row>
    <row r="61" spans="1:35">
      <c r="A61" s="1535" t="str">
        <f>IF(LEN(H11)&lt;2,CONCATENATE("0",H11),H11)</f>
        <v>00</v>
      </c>
      <c r="B61" s="1505" t="s">
        <v>913</v>
      </c>
      <c r="U61" s="369"/>
      <c r="V61" s="369"/>
      <c r="W61" s="369"/>
      <c r="X61" s="260"/>
      <c r="Y61" s="249"/>
      <c r="Z61" s="249"/>
      <c r="AA61" s="249"/>
      <c r="AB61" s="249"/>
      <c r="AC61" s="249"/>
      <c r="AD61" s="249"/>
    </row>
    <row r="62" spans="1:35" ht="27">
      <c r="A62" s="276" t="str">
        <f>IF(G15=1,"01",IF(H15="S","03",VLOOKUP(CONCATENATE("PLISSE",G15,"A"),A33:B39,2,0)))</f>
        <v>01</v>
      </c>
      <c r="B62" s="1536" t="s">
        <v>914</v>
      </c>
      <c r="U62" s="369"/>
      <c r="V62" s="369"/>
      <c r="W62" s="369"/>
      <c r="X62" s="260"/>
      <c r="Y62" s="249"/>
      <c r="Z62" s="234"/>
      <c r="AA62" s="249"/>
      <c r="AB62" s="1453"/>
      <c r="AC62" s="1455"/>
      <c r="AD62" s="1455"/>
    </row>
    <row r="63" spans="1:35" ht="27.75">
      <c r="A63" s="1504" t="e">
        <f>VLOOKUP(B7,COLORE,2,0)</f>
        <v>#REF!</v>
      </c>
      <c r="B63" s="1536" t="s">
        <v>915</v>
      </c>
      <c r="X63" s="249"/>
      <c r="Y63" s="326"/>
      <c r="Z63" s="279"/>
      <c r="AA63" s="249"/>
      <c r="AB63" s="238"/>
      <c r="AC63" s="249"/>
      <c r="AD63" s="249"/>
    </row>
    <row r="64" spans="1:35">
      <c r="A64" s="1504" t="e">
        <f>IF(B28="",VLOOKUP(H17,#REF!,2,0),"-----")</f>
        <v>#REF!</v>
      </c>
      <c r="B64" s="1536" t="s">
        <v>916</v>
      </c>
      <c r="X64" s="249"/>
      <c r="Y64" s="249"/>
      <c r="Z64" s="249"/>
      <c r="AA64" s="249"/>
      <c r="AB64" s="238"/>
      <c r="AC64" s="249"/>
      <c r="AD64" s="249"/>
    </row>
    <row r="65" spans="1:30" ht="26.25">
      <c r="A65" s="1504" t="str">
        <f>CONCATENATE(SUBSTITUTE(MID(A60,1,10)," ","-"),REPT("-",10-IF(LEN(A60)&lt;10,LEN(A60),10)))</f>
        <v>RANIERI---</v>
      </c>
      <c r="B65" s="1536" t="s">
        <v>3</v>
      </c>
      <c r="X65" s="249"/>
      <c r="Y65" s="249"/>
      <c r="Z65" s="303"/>
      <c r="AA65" s="249"/>
      <c r="AB65" s="262"/>
      <c r="AC65" s="1455"/>
      <c r="AD65" s="1453"/>
    </row>
    <row r="66" spans="1:30" ht="33.75">
      <c r="A66" s="1537" t="str">
        <f>CONCATENATE(REPT("0",IF(LEN(E20)&lt;4,4-LEN(E20),0)),E20)</f>
        <v>0500</v>
      </c>
      <c r="B66" s="1536" t="s">
        <v>4</v>
      </c>
      <c r="X66" s="249"/>
      <c r="Y66" s="326"/>
      <c r="Z66" s="370"/>
      <c r="AA66" s="249"/>
      <c r="AB66" s="249"/>
      <c r="AC66" s="249"/>
      <c r="AD66" s="249"/>
    </row>
    <row r="67" spans="1:30">
      <c r="A67" s="1537" t="str">
        <f>CONCATENATE(REPT("0",IF(LEN(H20)&lt;4,4-LEN(H20),0)),H20)</f>
        <v>0710</v>
      </c>
      <c r="B67" s="1536" t="s">
        <v>5</v>
      </c>
      <c r="X67" s="249"/>
      <c r="Y67" s="249"/>
      <c r="Z67" s="249"/>
      <c r="AA67" s="249"/>
      <c r="AB67" s="249"/>
      <c r="AC67" s="249"/>
      <c r="AD67" s="249"/>
    </row>
    <row r="68" spans="1:30">
      <c r="A68" s="1538" t="str">
        <f>CONCATENATE("2",REPT("0",4-LEN(N10)),N10)</f>
        <v>20968</v>
      </c>
      <c r="B68" s="1536" t="s">
        <v>917</v>
      </c>
    </row>
    <row r="69" spans="1:30">
      <c r="A69" s="1504">
        <f>IF(B30="RG",1,IF(B29="OS",2,0))</f>
        <v>0</v>
      </c>
      <c r="B69" s="1505" t="s">
        <v>918</v>
      </c>
    </row>
    <row r="70" spans="1:30">
      <c r="A70" s="1507" t="e">
        <f>CONCATENATE("*",A62,A63,A64,A65,A66,A67,A61,A69,A68,"*")</f>
        <v>#REF!</v>
      </c>
      <c r="B70" s="1508"/>
    </row>
    <row r="74" spans="1:30">
      <c r="A74" s="1539" t="s">
        <v>454</v>
      </c>
      <c r="B74" s="1540" t="s">
        <v>919</v>
      </c>
    </row>
    <row r="75" spans="1:30">
      <c r="A75" s="1539" t="s">
        <v>455</v>
      </c>
      <c r="B75" s="1540" t="s">
        <v>920</v>
      </c>
    </row>
    <row r="76" spans="1:30">
      <c r="A76" s="1539" t="s">
        <v>456</v>
      </c>
      <c r="B76" s="1540" t="s">
        <v>921</v>
      </c>
    </row>
    <row r="77" spans="1:30">
      <c r="A77" s="1539" t="s">
        <v>457</v>
      </c>
      <c r="B77" s="1540" t="s">
        <v>922</v>
      </c>
    </row>
    <row r="78" spans="1:30">
      <c r="A78" s="1539" t="s">
        <v>458</v>
      </c>
      <c r="B78" s="1540" t="s">
        <v>923</v>
      </c>
    </row>
  </sheetData>
  <sheetProtection formatCells="0" formatColumns="0"/>
  <mergeCells count="79">
    <mergeCell ref="Z41:AB41"/>
    <mergeCell ref="AG41:AG55"/>
    <mergeCell ref="AA42:AC42"/>
    <mergeCell ref="S43:T43"/>
    <mergeCell ref="U43:Y43"/>
    <mergeCell ref="G49:J51"/>
    <mergeCell ref="K49:M49"/>
    <mergeCell ref="S51:T51"/>
    <mergeCell ref="U51:Y51"/>
    <mergeCell ref="M37:O37"/>
    <mergeCell ref="Z31:AA31"/>
    <mergeCell ref="AB31:AF31"/>
    <mergeCell ref="D32:D43"/>
    <mergeCell ref="M33:O33"/>
    <mergeCell ref="T33:U33"/>
    <mergeCell ref="V33:Y33"/>
    <mergeCell ref="M34:O34"/>
    <mergeCell ref="M35:O35"/>
    <mergeCell ref="M36:O36"/>
    <mergeCell ref="E37:G37"/>
    <mergeCell ref="U31:Y31"/>
    <mergeCell ref="Z37:AF38"/>
    <mergeCell ref="M38:O38"/>
    <mergeCell ref="U38:Y38"/>
    <mergeCell ref="M39:O39"/>
    <mergeCell ref="M40:O40"/>
    <mergeCell ref="L28:Q28"/>
    <mergeCell ref="K29:R29"/>
    <mergeCell ref="K31:L31"/>
    <mergeCell ref="M31:R31"/>
    <mergeCell ref="S31:T31"/>
    <mergeCell ref="L23:Q27"/>
    <mergeCell ref="D22:J22"/>
    <mergeCell ref="S22:Y22"/>
    <mergeCell ref="Z22:AF22"/>
    <mergeCell ref="AA24:AC24"/>
    <mergeCell ref="F25:H25"/>
    <mergeCell ref="E19:F19"/>
    <mergeCell ref="E20:F20"/>
    <mergeCell ref="H20:I20"/>
    <mergeCell ref="S6:Y6"/>
    <mergeCell ref="Z6:AF6"/>
    <mergeCell ref="G7:J7"/>
    <mergeCell ref="N10:O10"/>
    <mergeCell ref="P10:Q10"/>
    <mergeCell ref="G13:J13"/>
    <mergeCell ref="T13:V13"/>
    <mergeCell ref="S15:Y15"/>
    <mergeCell ref="Z15:AF15"/>
    <mergeCell ref="K16:L16"/>
    <mergeCell ref="S18:Y18"/>
    <mergeCell ref="D5:E5"/>
    <mergeCell ref="F5:J5"/>
    <mergeCell ref="K5:L5"/>
    <mergeCell ref="M5:R5"/>
    <mergeCell ref="S5:T5"/>
    <mergeCell ref="U5:AF5"/>
    <mergeCell ref="Z3:AB3"/>
    <mergeCell ref="AD3:AF3"/>
    <mergeCell ref="K4:M4"/>
    <mergeCell ref="N4:S4"/>
    <mergeCell ref="AB4:AC4"/>
    <mergeCell ref="AD4:AF4"/>
    <mergeCell ref="W2:X2"/>
    <mergeCell ref="Z2:AB2"/>
    <mergeCell ref="AD2:AF2"/>
    <mergeCell ref="D3:F3"/>
    <mergeCell ref="G3:J3"/>
    <mergeCell ref="K3:M3"/>
    <mergeCell ref="N3:P3"/>
    <mergeCell ref="Q3:S3"/>
    <mergeCell ref="T3:U3"/>
    <mergeCell ref="W3:X3"/>
    <mergeCell ref="D2:F2"/>
    <mergeCell ref="G2:J2"/>
    <mergeCell ref="K2:M2"/>
    <mergeCell ref="N2:P2"/>
    <mergeCell ref="Q2:S2"/>
    <mergeCell ref="T2:U2"/>
  </mergeCells>
  <conditionalFormatting sqref="G49:J51">
    <cfRule type="expression" dxfId="5" priority="1" stopIfTrue="1">
      <formula>IF($A$69=1,1,0)</formula>
    </cfRule>
  </conditionalFormatting>
  <printOptions horizontalCentered="1" verticalCentered="1"/>
  <pageMargins left="0" right="0" top="0" bottom="0" header="0" footer="0"/>
  <pageSetup paperSize="8" scale="47" orientation="landscape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>
    <tabColor theme="6" tint="-0.249977111117893"/>
    <pageSetUpPr fitToPage="1"/>
  </sheetPr>
  <dimension ref="B1:S79"/>
  <sheetViews>
    <sheetView showGridLines="0" zoomScale="70" zoomScaleNormal="70" workbookViewId="0">
      <selection activeCell="O63" sqref="O63:U63"/>
    </sheetView>
  </sheetViews>
  <sheetFormatPr defaultColWidth="10.28515625" defaultRowHeight="18.75"/>
  <cols>
    <col min="1" max="1" width="43.42578125" style="6" customWidth="1"/>
    <col min="2" max="2" width="6.42578125" style="7" customWidth="1"/>
    <col min="3" max="3" width="18.140625" style="6" customWidth="1"/>
    <col min="4" max="4" width="13.7109375" style="6" customWidth="1"/>
    <col min="5" max="5" width="15.28515625" style="6" customWidth="1"/>
    <col min="6" max="6" width="13.28515625" style="6" customWidth="1"/>
    <col min="7" max="7" width="9.7109375" style="6" customWidth="1"/>
    <col min="8" max="8" width="10.85546875" style="6" customWidth="1"/>
    <col min="9" max="10" width="7.7109375" style="6" customWidth="1"/>
    <col min="11" max="11" width="6.42578125" style="6" customWidth="1"/>
    <col min="12" max="12" width="2.140625" style="6" customWidth="1"/>
    <col min="13" max="13" width="17.85546875" style="7" customWidth="1"/>
    <col min="14" max="14" width="26.42578125" style="6" customWidth="1"/>
    <col min="15" max="15" width="21.28515625" style="6" customWidth="1"/>
    <col min="16" max="16" width="6.5703125" style="6" customWidth="1"/>
    <col min="17" max="17" width="19.42578125" style="6" customWidth="1"/>
    <col min="18" max="18" width="7" style="6" customWidth="1"/>
    <col min="19" max="19" width="10.28515625" style="6" customWidth="1"/>
    <col min="20" max="27" width="10.28515625" style="6"/>
    <col min="28" max="28" width="12.85546875" style="6" bestFit="1" customWidth="1"/>
    <col min="29" max="16384" width="10.28515625" style="6"/>
  </cols>
  <sheetData>
    <row r="1" spans="2:18" ht="11.25" customHeight="1"/>
    <row r="2" spans="2:18" ht="33.75">
      <c r="B2" s="2194" t="str">
        <f>+VLOOKUP(134,TRADUZIONI,DATI!C2-1,0)</f>
        <v>FOGLIO LAVORO GIOCONDA CATENA</v>
      </c>
      <c r="C2" s="2195"/>
      <c r="D2" s="2195"/>
      <c r="E2" s="2195"/>
      <c r="F2" s="2195"/>
      <c r="G2" s="2195"/>
      <c r="H2" s="2195"/>
      <c r="I2" s="2195"/>
      <c r="J2" s="2195"/>
      <c r="K2" s="2195"/>
      <c r="L2" s="2195"/>
      <c r="M2" s="2195"/>
      <c r="N2" s="2195"/>
      <c r="O2" s="2195"/>
      <c r="P2" s="2195"/>
      <c r="Q2" s="2195"/>
      <c r="R2" s="2196"/>
    </row>
    <row r="3" spans="2:18" ht="33" customHeight="1" thickBot="1"/>
    <row r="4" spans="2:18" ht="39.950000000000003" customHeight="1">
      <c r="B4" s="214" t="str">
        <f>+VLOOKUP(108,TRADUZIONI,DATI!$C$2-1,0)</f>
        <v>QUADRO A</v>
      </c>
      <c r="C4" s="215"/>
      <c r="D4" s="2197" t="str">
        <f>+VLOOKUP(109,TRADUZIONI,DATI!$C$2-1,0)</f>
        <v>DATI ORDINE</v>
      </c>
      <c r="E4" s="2197"/>
      <c r="F4" s="2197"/>
      <c r="G4" s="2197"/>
      <c r="H4" s="2197"/>
      <c r="I4" s="2197"/>
      <c r="J4" s="2197"/>
      <c r="K4" s="2197"/>
      <c r="L4" s="2197"/>
      <c r="M4" s="216"/>
      <c r="N4" s="215"/>
      <c r="O4" s="215"/>
      <c r="P4" s="215"/>
      <c r="Q4" s="215"/>
      <c r="R4" s="217"/>
    </row>
    <row r="5" spans="2:18" ht="19.5" customHeight="1">
      <c r="B5" s="8"/>
      <c r="C5" s="9"/>
      <c r="D5" s="10"/>
      <c r="E5" s="9"/>
      <c r="F5" s="10"/>
      <c r="G5" s="10"/>
      <c r="H5" s="10"/>
      <c r="I5" s="10"/>
      <c r="J5" s="10"/>
      <c r="K5" s="10"/>
      <c r="L5" s="10"/>
      <c r="M5" s="11"/>
      <c r="N5" s="10"/>
      <c r="O5" s="10"/>
      <c r="P5" s="10"/>
      <c r="Q5" s="10"/>
      <c r="R5" s="12"/>
    </row>
    <row r="6" spans="2:18" ht="26.25" customHeight="1">
      <c r="B6" s="13"/>
      <c r="C6" s="1432" t="str">
        <f>+VLOOKUP(22,TRADUZIONI,DATI!C2-1,0)</f>
        <v>CLIENTE</v>
      </c>
      <c r="D6" s="2198">
        <f>+DATI!C6</f>
        <v>0</v>
      </c>
      <c r="E6" s="2198"/>
      <c r="F6" s="2198"/>
      <c r="G6" s="2199"/>
      <c r="H6" s="16"/>
      <c r="I6" s="16"/>
      <c r="J6" s="16"/>
      <c r="K6" s="17"/>
      <c r="L6" s="17"/>
      <c r="M6" s="18"/>
      <c r="N6" s="2200" t="str">
        <f>+VLOOKUP(115,TRADUZIONI,DATI!C2-1,0)</f>
        <v xml:space="preserve">DIMENSIONI </v>
      </c>
      <c r="O6" s="14" t="str">
        <f>+VLOOKUP(96,TRADUZIONI,DATI!C2-1,0)</f>
        <v>BASE</v>
      </c>
      <c r="P6" s="19"/>
      <c r="Q6" s="20" t="str">
        <f>+VLOOKUP(97,TRADUZIONI,DATI!C2-1,0)</f>
        <v>ALTEZZA</v>
      </c>
      <c r="R6" s="21"/>
    </row>
    <row r="7" spans="2:18" ht="26.25" customHeight="1">
      <c r="B7" s="13"/>
      <c r="C7" s="17"/>
      <c r="D7" s="22" t="s">
        <v>37</v>
      </c>
      <c r="E7" s="17"/>
      <c r="F7" s="17"/>
      <c r="G7" s="17"/>
      <c r="H7" s="17"/>
      <c r="I7" s="17"/>
      <c r="J7" s="17"/>
      <c r="K7" s="17"/>
      <c r="L7" s="17"/>
      <c r="M7" s="18"/>
      <c r="N7" s="2201"/>
      <c r="O7" s="23">
        <f>+DATI!C7</f>
        <v>1400</v>
      </c>
      <c r="P7" s="24" t="s">
        <v>44</v>
      </c>
      <c r="Q7" s="15">
        <f>+DATI!C8</f>
        <v>2200</v>
      </c>
      <c r="R7" s="21"/>
    </row>
    <row r="8" spans="2:18" ht="26.25" customHeight="1">
      <c r="B8" s="13"/>
      <c r="C8" s="14" t="str">
        <f>+VLOOKUP(23,TRADUZIONI,DATI!C2-1,0)</f>
        <v>NUM. ORDINE</v>
      </c>
      <c r="D8" s="2198">
        <f>+DATI!C4</f>
        <v>0</v>
      </c>
      <c r="E8" s="2198"/>
      <c r="F8" s="2198"/>
      <c r="G8" s="2199"/>
      <c r="H8" s="16"/>
      <c r="I8" s="16"/>
      <c r="J8" s="16"/>
      <c r="K8" s="17"/>
      <c r="L8" s="17"/>
      <c r="M8" s="18"/>
      <c r="N8" s="27"/>
      <c r="O8" s="28"/>
      <c r="P8" s="17"/>
      <c r="Q8" s="17"/>
      <c r="R8" s="21"/>
    </row>
    <row r="9" spans="2:18" ht="26.25" customHeight="1">
      <c r="B9" s="13"/>
      <c r="C9" s="17"/>
      <c r="D9" s="17"/>
      <c r="E9" s="17"/>
      <c r="F9" s="17"/>
      <c r="G9" s="17"/>
      <c r="H9" s="17"/>
      <c r="I9" s="17"/>
      <c r="J9" s="17"/>
      <c r="K9" s="17"/>
      <c r="L9" s="17"/>
      <c r="M9" s="18"/>
      <c r="N9" s="14" t="str">
        <f>+VLOOKUP(99,TRADUZIONI,DATI!C2-1,0)</f>
        <v>COLORE</v>
      </c>
      <c r="O9" s="2202" t="str">
        <f>+DATI!C10</f>
        <v>06.NERO</v>
      </c>
      <c r="P9" s="2203"/>
      <c r="Q9" s="2204"/>
      <c r="R9" s="21"/>
    </row>
    <row r="10" spans="2:18" ht="26.25" customHeight="1">
      <c r="B10" s="13"/>
      <c r="C10" s="14" t="str">
        <f>+VLOOKUP(5,TRADUZIONI,DATI!C2-1,0)</f>
        <v>DATA SPEDIZIONE</v>
      </c>
      <c r="D10" s="2202">
        <f>+DATI!C5</f>
        <v>42370</v>
      </c>
      <c r="E10" s="2205"/>
      <c r="F10" s="2205"/>
      <c r="G10" s="2206"/>
      <c r="H10" s="30"/>
      <c r="I10" s="30"/>
      <c r="J10" s="30"/>
      <c r="K10" s="17"/>
      <c r="L10" s="17"/>
      <c r="M10" s="18"/>
      <c r="N10" s="27"/>
      <c r="O10" s="17"/>
      <c r="P10" s="17"/>
      <c r="Q10" s="17"/>
      <c r="R10" s="21"/>
    </row>
    <row r="11" spans="2:18" ht="26.25" customHeight="1">
      <c r="B11" s="13"/>
      <c r="C11" s="17"/>
      <c r="D11" s="17"/>
      <c r="E11" s="17"/>
      <c r="F11" s="31"/>
      <c r="G11" s="17"/>
      <c r="H11" s="17"/>
      <c r="I11" s="17"/>
      <c r="J11" s="17"/>
      <c r="K11" s="17"/>
      <c r="L11" s="17"/>
      <c r="M11" s="18"/>
      <c r="N11" s="32" t="str">
        <f>+VLOOKUP(78,TRADUZIONI,DATI!C2-1,0)</f>
        <v>PEZZI /PZ.</v>
      </c>
      <c r="O11" s="33">
        <f>+DATI!C9</f>
        <v>1</v>
      </c>
      <c r="P11" s="17"/>
      <c r="Q11" s="17"/>
      <c r="R11" s="21"/>
    </row>
    <row r="12" spans="2:18" ht="26.25" customHeight="1">
      <c r="B12" s="13"/>
      <c r="C12" s="14" t="s">
        <v>49</v>
      </c>
      <c r="D12" s="34">
        <f>IF((O7*Q7/1000000)&lt;=1.5,1.5*O11,IF((O7*Q7/1000000)&gt;1.5,(O7*Q7/1000000)*O11))</f>
        <v>3.08</v>
      </c>
      <c r="E12" s="35"/>
      <c r="F12" s="2207"/>
      <c r="G12" s="2207"/>
      <c r="H12" s="17"/>
      <c r="I12" s="17"/>
      <c r="J12" s="17"/>
      <c r="K12" s="17"/>
      <c r="L12" s="17"/>
      <c r="M12" s="18"/>
      <c r="N12" s="36"/>
      <c r="O12" s="37"/>
      <c r="P12" s="37"/>
      <c r="Q12" s="37"/>
      <c r="R12" s="21"/>
    </row>
    <row r="13" spans="2:18" ht="26.25" customHeight="1">
      <c r="B13" s="13"/>
      <c r="C13" s="38"/>
      <c r="D13" s="39"/>
      <c r="E13" s="40"/>
      <c r="F13" s="10"/>
      <c r="G13" s="40"/>
      <c r="H13" s="40"/>
      <c r="I13" s="40"/>
      <c r="J13" s="40"/>
      <c r="K13" s="35"/>
      <c r="L13" s="35"/>
      <c r="M13" s="18"/>
      <c r="N13" s="32" t="str">
        <f>+VLOOKUP(145,TRADUZIONI,DATI!C2-1,0)</f>
        <v>Comando</v>
      </c>
      <c r="O13" s="41">
        <v>1</v>
      </c>
      <c r="P13" s="17"/>
      <c r="Q13" s="42"/>
      <c r="R13" s="21"/>
    </row>
    <row r="14" spans="2:18" ht="27" customHeight="1" thickBot="1">
      <c r="B14" s="43"/>
      <c r="C14" s="44"/>
      <c r="D14" s="44"/>
      <c r="E14" s="44"/>
      <c r="F14" s="44"/>
      <c r="G14" s="44"/>
      <c r="H14" s="44"/>
      <c r="I14" s="44"/>
      <c r="J14" s="44"/>
      <c r="K14" s="45"/>
      <c r="L14" s="45"/>
      <c r="M14" s="46"/>
      <c r="N14" s="47"/>
      <c r="O14" s="48" t="str">
        <f>CONCATENATE("1= ",VLOOKUP(146,TRADUZIONI,DATI!C2-1,0)," - 2= ",VLOOKUP(147,TRADUZIONI,DATI!C2-1,0))</f>
        <v>1= MONO - 2= DOPPIO</v>
      </c>
      <c r="P14" s="49"/>
      <c r="Q14" s="49"/>
      <c r="R14" s="50"/>
    </row>
    <row r="15" spans="2:18" ht="39.950000000000003" customHeight="1">
      <c r="B15" s="214" t="str">
        <f>+VLOOKUP(111,TRADUZIONI,DATI!$C$2-1,0)</f>
        <v>QUADRO B</v>
      </c>
      <c r="C15" s="218"/>
      <c r="D15" s="2197" t="str">
        <f>+VLOOKUP(118,TRADUZIONI,DATI!$C$2-1,0)</f>
        <v>DIMENSIONE RETE E FORI</v>
      </c>
      <c r="E15" s="2197"/>
      <c r="F15" s="2197"/>
      <c r="G15" s="2197"/>
      <c r="H15" s="2197"/>
      <c r="I15" s="2197"/>
      <c r="J15" s="2197"/>
      <c r="K15" s="2197"/>
      <c r="L15" s="2208"/>
      <c r="M15" s="219" t="str">
        <f>+VLOOKUP(138,TRADUZIONI,DATI!$C$2-1,0)</f>
        <v>QUADRO C</v>
      </c>
      <c r="N15" s="2197" t="str">
        <f>+VLOOKUP(148,TRADUZIONI,DATI!$C$2-1,0)</f>
        <v>CORDINI E CATENA</v>
      </c>
      <c r="O15" s="2197"/>
      <c r="P15" s="2197"/>
      <c r="Q15" s="2197"/>
      <c r="R15" s="2208"/>
    </row>
    <row r="16" spans="2:18" ht="19.5" customHeight="1">
      <c r="B16" s="51"/>
      <c r="C16" s="17"/>
      <c r="D16" s="17"/>
      <c r="E16" s="17"/>
      <c r="F16" s="17"/>
      <c r="G16" s="52"/>
      <c r="H16" s="52"/>
      <c r="I16" s="52"/>
      <c r="J16" s="52"/>
      <c r="K16" s="52"/>
      <c r="L16" s="53"/>
      <c r="M16" s="54"/>
      <c r="N16" s="17"/>
      <c r="O16" s="17" t="s">
        <v>37</v>
      </c>
      <c r="P16" s="55" t="s">
        <v>37</v>
      </c>
      <c r="Q16" s="17"/>
      <c r="R16" s="21"/>
    </row>
    <row r="17" spans="2:18" ht="26.25" customHeight="1">
      <c r="B17" s="51"/>
      <c r="C17" s="56" t="str">
        <f>+VLOOKUP(19,TRADUZIONI,DATI!C2-1,0)</f>
        <v>PIEGHE</v>
      </c>
      <c r="D17" s="57">
        <f>ROUNDUP((Q7-53)*0.036,0)</f>
        <v>78</v>
      </c>
      <c r="F17" s="2209" t="e">
        <f>IF(DATI!E13="AUTOMATICA",CONCATENATE("*",DATI!E14,"-",REPT("0",4-LEN(F23)),F23,"*"),CONCATENATE("*",DATI!$L$14,REPT("0",3-LEN(D17)),D17,REPT("0",4-LEN(F23)),F23,DATI!L13,"*"))</f>
        <v>#VALUE!</v>
      </c>
      <c r="G17" s="2209"/>
      <c r="H17" s="2209"/>
      <c r="I17" s="2209"/>
      <c r="J17" s="2209"/>
      <c r="K17" s="52"/>
      <c r="L17" s="53"/>
      <c r="M17" s="54"/>
      <c r="N17" s="2200" t="str">
        <f>+VLOOKUP(149,TRADUZIONI,DATI!C2-1,0)</f>
        <v>CORDINI</v>
      </c>
      <c r="O17" s="14" t="str">
        <f>+VLOOKUP(60,TRADUZIONI,DATI!C2-1,0)</f>
        <v>LUNGHEZZA</v>
      </c>
      <c r="P17" s="19"/>
      <c r="Q17" s="20" t="str">
        <f>+VLOOKUP(78,TRADUZIONI,DATI!C2-1,0)</f>
        <v>PEZZI /PZ.</v>
      </c>
      <c r="R17" s="21"/>
    </row>
    <row r="18" spans="2:18" ht="26.25" customHeight="1">
      <c r="B18" s="13"/>
      <c r="C18" s="17"/>
      <c r="D18" s="17"/>
      <c r="E18" s="17"/>
      <c r="F18" s="2209"/>
      <c r="G18" s="2209"/>
      <c r="H18" s="2209"/>
      <c r="I18" s="2209"/>
      <c r="J18" s="2209"/>
      <c r="K18" s="17"/>
      <c r="L18" s="21"/>
      <c r="M18" s="54"/>
      <c r="N18" s="2201"/>
      <c r="O18" s="58">
        <f>ROUNDUP(O7*(H43+1)+800,-2)</f>
        <v>5000</v>
      </c>
      <c r="P18" s="24" t="s">
        <v>44</v>
      </c>
      <c r="Q18" s="59">
        <f>IF(O7&lt;=530,2,IF(O7&lt;=1000,3,IF(O7&lt;1651,4,IF(O7&lt;2001,5,IF(O7&lt;2633,6,7)))))</f>
        <v>4</v>
      </c>
      <c r="R18" s="21"/>
    </row>
    <row r="19" spans="2:18" ht="19.5" customHeight="1">
      <c r="B19" s="13"/>
      <c r="C19" s="17"/>
      <c r="D19" s="17"/>
      <c r="E19" s="17"/>
      <c r="F19" s="2209"/>
      <c r="G19" s="2209"/>
      <c r="H19" s="2209"/>
      <c r="I19" s="2209"/>
      <c r="J19" s="2209"/>
      <c r="K19" s="17"/>
      <c r="L19" s="21"/>
      <c r="M19" s="54"/>
      <c r="N19" s="17"/>
      <c r="O19" s="17"/>
      <c r="P19" s="17"/>
      <c r="Q19" s="60"/>
      <c r="R19" s="21"/>
    </row>
    <row r="20" spans="2:18" ht="19.5" customHeight="1">
      <c r="B20" s="13"/>
      <c r="C20" s="17"/>
      <c r="D20" s="17"/>
      <c r="E20" s="52"/>
      <c r="F20" s="2209"/>
      <c r="G20" s="2209"/>
      <c r="H20" s="2209"/>
      <c r="I20" s="2209"/>
      <c r="J20" s="2209"/>
      <c r="K20" s="52"/>
      <c r="L20" s="53"/>
      <c r="M20" s="54"/>
      <c r="N20" s="17"/>
      <c r="O20" s="17"/>
      <c r="P20" s="17"/>
      <c r="Q20" s="17"/>
      <c r="R20" s="21"/>
    </row>
    <row r="21" spans="2:18" ht="40.5" customHeight="1">
      <c r="B21" s="13"/>
      <c r="C21" s="17"/>
      <c r="D21" s="17"/>
      <c r="E21" s="52"/>
      <c r="F21" s="2209"/>
      <c r="G21" s="2209"/>
      <c r="H21" s="2209"/>
      <c r="I21" s="2209"/>
      <c r="J21" s="2209"/>
      <c r="K21" s="52"/>
      <c r="L21" s="53"/>
      <c r="M21" s="54"/>
      <c r="N21" s="2210" t="str">
        <f>CONCATENATE(VLOOKUP(60,TRADUZIONI,DATI!C2-1,0)," ",VLOOKUP(150,TRADUZIONI,DATI!C2-1,0))</f>
        <v>LUNGHEZZA CATENA</v>
      </c>
      <c r="O21" s="61" t="str">
        <f>CONCATENATE(VLOOKUP(146,TRADUZIONI,DATI!C2-1,0)," ",VLOOKUP(145,TRADUZIONI,DATI!C2-1,0))</f>
        <v>MONO Comando</v>
      </c>
      <c r="P21" s="19"/>
      <c r="Q21" s="62" t="str">
        <f>CONCATENATE(VLOOKUP(147,TRADUZIONI,DATI!C2-1,0)," ",VLOOKUP(145,TRADUZIONI,DATI!C2-1,0))</f>
        <v>DOPPIO Comando</v>
      </c>
      <c r="R21" s="21"/>
    </row>
    <row r="22" spans="2:18" ht="30" customHeight="1">
      <c r="B22" s="13"/>
      <c r="C22" s="17"/>
      <c r="D22" s="17"/>
      <c r="E22" s="52"/>
      <c r="F22" s="52"/>
      <c r="G22" s="52"/>
      <c r="H22" s="52"/>
      <c r="I22" s="52"/>
      <c r="J22" s="52"/>
      <c r="K22" s="52"/>
      <c r="L22" s="53"/>
      <c r="N22" s="2211"/>
      <c r="O22" s="63">
        <f>IF(O13&lt;&gt;1,"-",IF(Q7&gt;1600,Q7-1550+720+Q7/H43*2,IF(H43&lt;3,Q7+1050-1550+750+Q7/H43,Q7+1050-1550+720+Q7/H43*2)))</f>
        <v>3570</v>
      </c>
      <c r="P22" s="24"/>
      <c r="Q22" s="64" t="str">
        <f>IF(O13=2,O22*2,"-")</f>
        <v>-</v>
      </c>
      <c r="R22" s="21"/>
    </row>
    <row r="23" spans="2:18" ht="26.25" customHeight="1">
      <c r="B23" s="13"/>
      <c r="C23" s="2212" t="str">
        <f>CONCATENATE(VLOOKUP(116,TRADUZIONI,DATI!C2-1,0),"(",VLOOKUP(96,TRADUZIONI,DATI!C2-1,0),"-34)")</f>
        <v>TAGLIO RETE(BASE-34)</v>
      </c>
      <c r="D23" s="2213"/>
      <c r="E23" s="2213"/>
      <c r="F23" s="65">
        <f>+O7-34</f>
        <v>1366</v>
      </c>
      <c r="G23" s="66" t="s">
        <v>56</v>
      </c>
      <c r="H23" s="26"/>
      <c r="I23" s="26"/>
      <c r="J23" s="25"/>
      <c r="K23" s="52"/>
      <c r="L23" s="21"/>
      <c r="M23" s="54"/>
      <c r="N23" s="17"/>
      <c r="O23" s="17"/>
      <c r="P23" s="17"/>
      <c r="Q23" s="17"/>
      <c r="R23" s="21"/>
    </row>
    <row r="24" spans="2:18" ht="22.5" customHeight="1">
      <c r="B24" s="13"/>
      <c r="C24" s="17"/>
      <c r="D24" s="17"/>
      <c r="E24" s="17"/>
      <c r="F24" s="17"/>
      <c r="G24" s="17"/>
      <c r="H24" s="17"/>
      <c r="I24" s="17"/>
      <c r="J24" s="17"/>
      <c r="K24" s="52"/>
      <c r="L24" s="21"/>
      <c r="M24" s="54"/>
      <c r="N24" s="17"/>
      <c r="O24" s="2214" t="str">
        <f>IF(AND(H43&lt;3,Q7&lt;1601),"ATTACCO DIRETTO"," ")</f>
        <v xml:space="preserve"> </v>
      </c>
      <c r="P24" s="2214"/>
      <c r="Q24" s="2214"/>
      <c r="R24" s="21"/>
    </row>
    <row r="25" spans="2:18" ht="19.5" customHeight="1">
      <c r="B25" s="13"/>
      <c r="C25" s="17"/>
      <c r="D25" s="17"/>
      <c r="E25" s="17"/>
      <c r="F25" s="17"/>
      <c r="G25" s="17"/>
      <c r="H25" s="17"/>
      <c r="I25" s="17"/>
      <c r="J25" s="17"/>
      <c r="K25" s="52"/>
      <c r="L25" s="21"/>
      <c r="M25" s="54"/>
      <c r="N25" s="17"/>
      <c r="O25" s="38" t="s">
        <v>37</v>
      </c>
      <c r="P25" s="17" t="s">
        <v>37</v>
      </c>
      <c r="Q25" s="17"/>
      <c r="R25" s="21"/>
    </row>
    <row r="26" spans="2:18" ht="19.5" customHeight="1">
      <c r="B26" s="13"/>
      <c r="C26" s="17"/>
      <c r="D26" s="38"/>
      <c r="E26" s="67"/>
      <c r="F26" s="52"/>
      <c r="G26" s="52"/>
      <c r="H26" s="52"/>
      <c r="I26" s="52"/>
      <c r="J26" s="52"/>
      <c r="K26" s="52"/>
      <c r="L26" s="53"/>
      <c r="M26" s="54"/>
      <c r="N26" s="17"/>
      <c r="O26" s="17"/>
      <c r="P26" s="17"/>
      <c r="Q26" s="17"/>
      <c r="R26" s="21"/>
    </row>
    <row r="27" spans="2:18" ht="15" customHeight="1">
      <c r="B27" s="13"/>
      <c r="C27" s="68" t="s">
        <v>37</v>
      </c>
      <c r="D27" s="17"/>
      <c r="E27" s="52"/>
      <c r="F27" s="52"/>
      <c r="G27" s="52"/>
      <c r="H27" s="52"/>
      <c r="I27" s="52"/>
      <c r="J27" s="52"/>
      <c r="K27" s="52"/>
      <c r="L27" s="53"/>
      <c r="M27" s="54"/>
      <c r="N27" s="17"/>
      <c r="O27" s="17"/>
      <c r="P27" s="17"/>
      <c r="Q27" s="17"/>
      <c r="R27" s="21"/>
    </row>
    <row r="28" spans="2:18" ht="26.25" customHeight="1">
      <c r="B28" s="13"/>
      <c r="C28" s="69">
        <v>40</v>
      </c>
      <c r="D28" s="68" t="s">
        <v>37</v>
      </c>
      <c r="E28" s="17"/>
      <c r="F28" s="52"/>
      <c r="G28" s="52"/>
      <c r="H28" s="52"/>
      <c r="I28" s="52"/>
      <c r="J28" s="52"/>
      <c r="K28" s="52"/>
      <c r="L28" s="53"/>
      <c r="M28" s="54"/>
      <c r="N28" s="17"/>
      <c r="O28" s="38" t="s">
        <v>37</v>
      </c>
      <c r="P28" s="17"/>
      <c r="Q28" s="17"/>
      <c r="R28" s="21"/>
    </row>
    <row r="29" spans="2:18" ht="26.25" customHeight="1">
      <c r="B29" s="13"/>
      <c r="C29" s="70">
        <f>+C28+F37</f>
        <v>468.66666666666669</v>
      </c>
      <c r="D29" s="52"/>
      <c r="E29" s="68" t="s">
        <v>37</v>
      </c>
      <c r="F29" s="17"/>
      <c r="G29" s="52"/>
      <c r="H29" s="52"/>
      <c r="I29" s="52"/>
      <c r="J29" s="52"/>
      <c r="K29" s="52"/>
      <c r="L29" s="53"/>
      <c r="M29" s="54"/>
      <c r="N29" s="17"/>
      <c r="O29" s="17"/>
      <c r="P29" s="17"/>
      <c r="Q29" s="17"/>
      <c r="R29" s="21"/>
    </row>
    <row r="30" spans="2:18" ht="26.25" customHeight="1">
      <c r="B30" s="13"/>
      <c r="C30" s="17"/>
      <c r="D30" s="70">
        <f>IF(Q18&gt;2,C29+F37,"")</f>
        <v>897.33333333333337</v>
      </c>
      <c r="E30" s="52"/>
      <c r="F30" s="68" t="s">
        <v>37</v>
      </c>
      <c r="G30" s="17"/>
      <c r="H30" s="17"/>
      <c r="I30" s="17"/>
      <c r="J30" s="17"/>
      <c r="K30" s="17"/>
      <c r="L30" s="21"/>
      <c r="M30" s="54"/>
      <c r="N30" s="17"/>
      <c r="O30" s="52" t="s">
        <v>37</v>
      </c>
      <c r="P30" s="17"/>
      <c r="Q30" s="17"/>
      <c r="R30" s="21"/>
    </row>
    <row r="31" spans="2:18" ht="26.25" customHeight="1">
      <c r="B31" s="13"/>
      <c r="C31" s="52"/>
      <c r="D31" s="52"/>
      <c r="E31" s="70">
        <f>+IF(Q18&gt;=4,D30+F37,"")</f>
        <v>1326</v>
      </c>
      <c r="F31" s="52"/>
      <c r="G31" s="17"/>
      <c r="H31" s="17"/>
      <c r="I31" s="17"/>
      <c r="J31" s="17"/>
      <c r="K31" s="17"/>
      <c r="L31" s="21"/>
      <c r="M31" s="54"/>
      <c r="N31" s="67"/>
      <c r="O31" s="17"/>
      <c r="P31" s="67"/>
      <c r="Q31" s="17"/>
      <c r="R31" s="21"/>
    </row>
    <row r="32" spans="2:18" ht="26.25" customHeight="1">
      <c r="B32" s="13"/>
      <c r="C32" s="52"/>
      <c r="D32" s="52"/>
      <c r="E32" s="52"/>
      <c r="F32" s="70" t="str">
        <f>+IF(Q18&gt;=5,E31+F37,"")</f>
        <v/>
      </c>
      <c r="G32" s="71"/>
      <c r="H32" s="71"/>
      <c r="I32" s="71"/>
      <c r="J32" s="71"/>
      <c r="K32" s="52"/>
      <c r="L32" s="53"/>
      <c r="M32" s="54"/>
      <c r="N32" s="17"/>
      <c r="O32" s="17"/>
      <c r="P32" s="17"/>
      <c r="Q32" s="17"/>
      <c r="R32" s="21"/>
    </row>
    <row r="33" spans="2:18" ht="26.25" customHeight="1">
      <c r="B33" s="13"/>
      <c r="C33" s="52"/>
      <c r="D33" s="52"/>
      <c r="E33" s="52"/>
      <c r="F33" s="70"/>
      <c r="G33" s="2215" t="str">
        <f>IF(Q18&gt;=6,F32+F37,"")</f>
        <v/>
      </c>
      <c r="H33" s="2215"/>
      <c r="I33" s="71"/>
      <c r="J33" s="71"/>
      <c r="K33" s="52"/>
      <c r="L33" s="53"/>
      <c r="M33" s="54"/>
      <c r="R33" s="21"/>
    </row>
    <row r="34" spans="2:18" ht="26.25" customHeight="1">
      <c r="B34" s="13"/>
      <c r="C34" s="52"/>
      <c r="D34" s="52"/>
      <c r="E34" s="52"/>
      <c r="F34" s="70"/>
      <c r="G34" s="71"/>
      <c r="H34" s="2215" t="str">
        <f>IF(Q18&gt;=7,G33+F37,"")</f>
        <v/>
      </c>
      <c r="I34" s="2215"/>
      <c r="J34" s="71"/>
      <c r="K34" s="52"/>
      <c r="L34" s="53"/>
      <c r="M34" s="54"/>
      <c r="N34" s="2216" t="s">
        <v>57</v>
      </c>
      <c r="O34" s="2216"/>
      <c r="P34" s="2216"/>
      <c r="Q34" s="2216"/>
      <c r="R34" s="21"/>
    </row>
    <row r="35" spans="2:18" ht="26.25" customHeight="1" thickBot="1">
      <c r="B35" s="13"/>
      <c r="C35" s="17"/>
      <c r="D35" s="17"/>
      <c r="E35" s="17"/>
      <c r="F35" s="17"/>
      <c r="G35" s="70"/>
      <c r="H35" s="70"/>
      <c r="I35" s="70"/>
      <c r="J35" s="70"/>
      <c r="K35" s="17"/>
      <c r="L35" s="21"/>
      <c r="M35" s="72"/>
      <c r="N35" s="44"/>
      <c r="O35" s="44"/>
      <c r="P35" s="44"/>
      <c r="Q35" s="44"/>
      <c r="R35" s="73"/>
    </row>
    <row r="36" spans="2:18" ht="39.75" customHeight="1">
      <c r="B36" s="13"/>
      <c r="C36" s="17"/>
      <c r="D36" s="52"/>
      <c r="E36" s="52"/>
      <c r="F36" s="52"/>
      <c r="G36" s="17"/>
      <c r="H36" s="17"/>
      <c r="I36" s="17"/>
      <c r="J36" s="17"/>
      <c r="K36" s="17"/>
      <c r="L36" s="21"/>
      <c r="M36" s="214" t="str">
        <f>+VLOOKUP(140,TRADUZIONI,DATI!$C$2-1,0)</f>
        <v>QUADRO E</v>
      </c>
      <c r="N36" s="2197" t="s">
        <v>59</v>
      </c>
      <c r="O36" s="2197"/>
      <c r="P36" s="2197"/>
      <c r="Q36" s="2197"/>
      <c r="R36" s="2208"/>
    </row>
    <row r="37" spans="2:18" ht="26.25" customHeight="1">
      <c r="B37" s="13"/>
      <c r="C37" s="2217" t="str">
        <f>+VLOOKUP(41,TRADUZIONI,DATI!$C$2-1,0)</f>
        <v>DIST.STD TRA FORI RETE</v>
      </c>
      <c r="D37" s="2218"/>
      <c r="E37" s="2218"/>
      <c r="F37" s="74">
        <f>(F23-80)/(Q18-1)</f>
        <v>428.66666666666669</v>
      </c>
      <c r="G37" s="2219" t="s">
        <v>61</v>
      </c>
      <c r="H37" s="2220"/>
      <c r="I37" s="2220"/>
      <c r="J37" s="2220"/>
      <c r="K37" s="2221"/>
      <c r="L37" s="21"/>
      <c r="M37" s="13"/>
      <c r="N37" s="17"/>
      <c r="O37" s="17"/>
      <c r="P37" s="17"/>
      <c r="Q37" s="17"/>
      <c r="R37" s="21"/>
    </row>
    <row r="38" spans="2:18" ht="26.25" customHeight="1" thickBot="1">
      <c r="B38" s="75"/>
      <c r="C38" s="44"/>
      <c r="D38" s="44"/>
      <c r="E38" s="44"/>
      <c r="F38" s="44"/>
      <c r="G38" s="44"/>
      <c r="H38" s="44"/>
      <c r="I38" s="44"/>
      <c r="J38" s="44"/>
      <c r="K38" s="44"/>
      <c r="L38" s="73"/>
      <c r="M38" s="13"/>
      <c r="N38" s="2222" t="s">
        <v>62</v>
      </c>
      <c r="O38" s="2223"/>
      <c r="P38" s="2223"/>
      <c r="Q38" s="2224"/>
      <c r="R38" s="21"/>
    </row>
    <row r="39" spans="2:18" ht="39.950000000000003" customHeight="1">
      <c r="B39" s="214" t="str">
        <f>+VLOOKUP(139,TRADUZIONI,DATI!$C$2-1,0)</f>
        <v>QUADRO D</v>
      </c>
      <c r="C39" s="218"/>
      <c r="D39" s="2197" t="s">
        <v>64</v>
      </c>
      <c r="E39" s="2197"/>
      <c r="F39" s="2197"/>
      <c r="G39" s="2197"/>
      <c r="H39" s="2197"/>
      <c r="I39" s="2197"/>
      <c r="J39" s="2197"/>
      <c r="K39" s="2197"/>
      <c r="L39" s="2208"/>
      <c r="M39" s="13"/>
      <c r="N39" s="17"/>
      <c r="O39" s="17"/>
      <c r="P39" s="17"/>
      <c r="Q39" s="17"/>
      <c r="R39" s="21"/>
    </row>
    <row r="40" spans="2:18" ht="26.25" customHeight="1">
      <c r="B40" s="13"/>
      <c r="C40" s="60"/>
      <c r="D40" s="60"/>
      <c r="E40" s="60"/>
      <c r="F40" s="60"/>
      <c r="G40" s="60"/>
      <c r="H40" s="60"/>
      <c r="I40" s="60"/>
      <c r="J40" s="60"/>
      <c r="K40" s="60"/>
      <c r="L40" s="76"/>
      <c r="M40" s="77"/>
      <c r="N40" s="78" t="str">
        <f>+VLOOKUP(78,TRADUZIONI,DATI!C2-1,0)</f>
        <v>PEZZI /PZ.</v>
      </c>
      <c r="O40" s="79">
        <f>1*O11</f>
        <v>1</v>
      </c>
      <c r="P40" s="80"/>
      <c r="Q40" s="80"/>
      <c r="R40" s="12"/>
    </row>
    <row r="41" spans="2:18" ht="26.25" customHeight="1">
      <c r="B41" s="13"/>
      <c r="C41" s="17"/>
      <c r="G41" s="60"/>
      <c r="H41" s="60"/>
      <c r="I41" s="60"/>
      <c r="J41" s="60"/>
      <c r="K41" s="60"/>
      <c r="L41" s="76"/>
      <c r="M41" s="13"/>
      <c r="N41" s="17"/>
      <c r="O41" s="17"/>
      <c r="P41" s="17"/>
      <c r="Q41" s="17"/>
      <c r="R41" s="21"/>
    </row>
    <row r="42" spans="2:18" ht="27" customHeight="1">
      <c r="B42" s="13"/>
      <c r="C42" s="55" t="s">
        <v>37</v>
      </c>
      <c r="D42" s="60" t="s">
        <v>37</v>
      </c>
      <c r="E42" s="55"/>
      <c r="F42" s="17"/>
      <c r="G42" s="17"/>
      <c r="H42" s="17"/>
      <c r="I42" s="60"/>
      <c r="J42" s="60"/>
      <c r="K42" s="60"/>
      <c r="L42" s="76"/>
      <c r="M42" s="81"/>
      <c r="N42" s="2225" t="s">
        <v>65</v>
      </c>
      <c r="O42" s="2226"/>
      <c r="P42" s="2227">
        <f>+O7-34</f>
        <v>1366</v>
      </c>
      <c r="Q42" s="2228"/>
      <c r="R42" s="82"/>
    </row>
    <row r="43" spans="2:18" ht="26.25" customHeight="1">
      <c r="B43" s="13"/>
      <c r="C43" s="60"/>
      <c r="D43" s="60"/>
      <c r="F43" s="2232" t="s">
        <v>66</v>
      </c>
      <c r="G43" s="2233"/>
      <c r="H43" s="57">
        <f>IF(AND(ROUNDUP(Q7/(O7-150),0)&lt;2,Q7&lt;1601),2,ROUNDUP((Q7-0)/(O7-150),0))</f>
        <v>2</v>
      </c>
      <c r="I43" s="60"/>
      <c r="J43" s="60"/>
      <c r="L43" s="83"/>
      <c r="M43" s="13"/>
      <c r="N43" s="17"/>
      <c r="O43" s="17"/>
      <c r="P43" s="17"/>
      <c r="Q43" s="17"/>
      <c r="R43" s="21"/>
    </row>
    <row r="44" spans="2:18" ht="26.25" customHeight="1">
      <c r="B44" s="13"/>
      <c r="C44" s="60"/>
      <c r="D44" s="55"/>
      <c r="E44" s="55" t="s">
        <v>37</v>
      </c>
      <c r="F44" s="17"/>
      <c r="G44" s="55" t="s">
        <v>37</v>
      </c>
      <c r="H44" s="55"/>
      <c r="I44" s="60"/>
      <c r="J44" s="60"/>
      <c r="K44" s="55"/>
      <c r="L44" s="83"/>
      <c r="M44" s="13"/>
      <c r="N44" s="2225" t="s">
        <v>67</v>
      </c>
      <c r="O44" s="2226"/>
      <c r="P44" s="2227">
        <f>O7</f>
        <v>1400</v>
      </c>
      <c r="Q44" s="2228"/>
      <c r="R44" s="21"/>
    </row>
    <row r="45" spans="2:18" ht="29.25" customHeight="1">
      <c r="B45" s="13"/>
      <c r="C45" s="60"/>
      <c r="D45" s="60"/>
      <c r="E45" s="60"/>
      <c r="F45" s="60"/>
      <c r="G45" s="55"/>
      <c r="H45" s="55"/>
      <c r="I45" s="55"/>
      <c r="J45" s="55"/>
      <c r="K45" s="55"/>
      <c r="L45" s="83"/>
      <c r="M45" s="84"/>
      <c r="N45" s="29"/>
      <c r="O45" s="29"/>
      <c r="P45" s="29"/>
      <c r="Q45" s="29"/>
      <c r="R45" s="85"/>
    </row>
    <row r="46" spans="2:18" ht="26.25" customHeight="1">
      <c r="B46" s="13"/>
      <c r="C46" s="17"/>
      <c r="D46" s="55" t="s">
        <v>37</v>
      </c>
      <c r="E46" s="52" t="s">
        <v>37</v>
      </c>
      <c r="F46" s="17"/>
      <c r="G46" s="17"/>
      <c r="H46" s="17"/>
      <c r="I46" s="17"/>
      <c r="J46" s="17"/>
      <c r="K46" s="17"/>
      <c r="L46" s="21"/>
      <c r="M46" s="13"/>
      <c r="N46" s="17"/>
      <c r="O46" s="17"/>
      <c r="P46" s="17"/>
      <c r="Q46" s="17"/>
      <c r="R46" s="21"/>
    </row>
    <row r="47" spans="2:18" ht="26.25" customHeight="1" thickBot="1">
      <c r="B47" s="75"/>
      <c r="C47" s="44"/>
      <c r="D47" s="44"/>
      <c r="E47" s="44"/>
      <c r="F47" s="44"/>
      <c r="G47" s="44"/>
      <c r="H47" s="44"/>
      <c r="I47" s="44"/>
      <c r="J47" s="44"/>
      <c r="K47" s="44"/>
      <c r="L47" s="73"/>
      <c r="M47" s="13"/>
      <c r="N47" s="2222" t="s">
        <v>68</v>
      </c>
      <c r="O47" s="2223"/>
      <c r="P47" s="2223"/>
      <c r="Q47" s="2224"/>
      <c r="R47" s="21"/>
    </row>
    <row r="48" spans="2:18" ht="39.75" customHeight="1">
      <c r="B48" s="214" t="str">
        <f>+VLOOKUP(142,TRADUZIONI,DATI!$C$2-1,0)</f>
        <v>QUADRO G</v>
      </c>
      <c r="C48" s="218"/>
      <c r="D48" s="2197" t="s">
        <v>70</v>
      </c>
      <c r="E48" s="2197"/>
      <c r="F48" s="2197"/>
      <c r="G48" s="2197"/>
      <c r="H48" s="2197"/>
      <c r="I48" s="2197"/>
      <c r="J48" s="2197"/>
      <c r="K48" s="2197"/>
      <c r="L48" s="2208"/>
      <c r="M48" s="13"/>
      <c r="N48" s="17"/>
      <c r="O48" s="17"/>
      <c r="P48" s="17"/>
      <c r="Q48" s="17"/>
      <c r="R48" s="21"/>
    </row>
    <row r="49" spans="2:19" ht="26.25" customHeight="1">
      <c r="B49" s="86"/>
      <c r="C49" s="37"/>
      <c r="D49" s="37"/>
      <c r="E49" s="37"/>
      <c r="F49" s="37"/>
      <c r="G49" s="37"/>
      <c r="H49" s="37"/>
      <c r="I49" s="37"/>
      <c r="J49" s="37"/>
      <c r="K49" s="37"/>
      <c r="L49" s="82"/>
      <c r="M49" s="13"/>
      <c r="N49" s="78" t="str">
        <f>+VLOOKUP(78,TRADUZIONI,DATI!C2-1,0)</f>
        <v>PEZZI /PZ.</v>
      </c>
      <c r="O49" s="79">
        <f>1*O11</f>
        <v>1</v>
      </c>
      <c r="P49" s="80"/>
      <c r="Q49" s="80"/>
      <c r="R49" s="21"/>
    </row>
    <row r="50" spans="2:19" ht="26.25" customHeight="1">
      <c r="B50" s="86"/>
      <c r="C50" s="2212" t="s">
        <v>276</v>
      </c>
      <c r="D50" s="2229"/>
      <c r="E50" s="2234" t="str">
        <f>+IF(DATI!$C$12=1,"","RETE GRIGIA")</f>
        <v>RETE GRIGIA</v>
      </c>
      <c r="F50" s="2235"/>
      <c r="G50" s="2235"/>
      <c r="H50" s="2235"/>
      <c r="I50" s="2235"/>
      <c r="J50" s="2235"/>
      <c r="K50" s="2235"/>
      <c r="L50" s="21"/>
      <c r="M50" s="13"/>
      <c r="N50" s="17"/>
      <c r="O50" s="17"/>
      <c r="P50" s="17"/>
      <c r="Q50" s="17"/>
      <c r="R50" s="21"/>
    </row>
    <row r="51" spans="2:19" ht="26.25" customHeight="1">
      <c r="B51" s="86"/>
      <c r="C51" s="37"/>
      <c r="D51" s="17"/>
      <c r="E51" s="17"/>
      <c r="F51" s="17"/>
      <c r="G51" s="17"/>
      <c r="H51" s="17"/>
      <c r="I51" s="17"/>
      <c r="J51" s="17"/>
      <c r="K51" s="17"/>
      <c r="L51" s="21"/>
      <c r="M51" s="13"/>
      <c r="N51" s="2225" t="s">
        <v>71</v>
      </c>
      <c r="O51" s="2226"/>
      <c r="P51" s="2227">
        <f>O7-104</f>
        <v>1296</v>
      </c>
      <c r="Q51" s="2228"/>
      <c r="R51" s="21"/>
    </row>
    <row r="52" spans="2:19" ht="26.25" customHeight="1">
      <c r="B52" s="86"/>
      <c r="C52" s="2212" t="s">
        <v>72</v>
      </c>
      <c r="D52" s="2229"/>
      <c r="E52" s="87"/>
      <c r="F52" s="29"/>
      <c r="G52" s="29"/>
      <c r="H52" s="29"/>
      <c r="I52" s="29"/>
      <c r="J52" s="29"/>
      <c r="K52" s="29"/>
      <c r="L52" s="21"/>
      <c r="M52" s="13"/>
      <c r="N52" s="17"/>
      <c r="O52" s="17"/>
      <c r="P52" s="17"/>
      <c r="Q52" s="17"/>
      <c r="R52" s="21"/>
    </row>
    <row r="53" spans="2:19" ht="26.25" customHeight="1">
      <c r="B53" s="86"/>
      <c r="C53" s="37"/>
      <c r="D53" s="17"/>
      <c r="E53" s="17"/>
      <c r="F53" s="17"/>
      <c r="G53" s="17"/>
      <c r="H53" s="17"/>
      <c r="I53" s="17"/>
      <c r="J53" s="17"/>
      <c r="K53" s="17"/>
      <c r="L53" s="21"/>
      <c r="M53" s="13"/>
      <c r="N53" s="2225" t="s">
        <v>73</v>
      </c>
      <c r="O53" s="2226"/>
      <c r="P53" s="2227">
        <f>O7-32</f>
        <v>1368</v>
      </c>
      <c r="Q53" s="2228"/>
      <c r="R53" s="21"/>
    </row>
    <row r="54" spans="2:19" ht="27.75" customHeight="1">
      <c r="B54" s="86"/>
      <c r="C54" s="2212" t="s">
        <v>74</v>
      </c>
      <c r="D54" s="2229"/>
      <c r="E54" s="2230">
        <f>+DATI!C13</f>
        <v>0</v>
      </c>
      <c r="F54" s="2231"/>
      <c r="G54" s="2231"/>
      <c r="H54" s="2231"/>
      <c r="I54" s="2231"/>
      <c r="J54" s="2231"/>
      <c r="K54" s="2231"/>
      <c r="L54" s="21"/>
      <c r="M54" s="88"/>
      <c r="N54" s="89"/>
      <c r="O54" s="89"/>
      <c r="P54" s="89"/>
      <c r="Q54" s="89"/>
      <c r="R54" s="90"/>
    </row>
    <row r="55" spans="2:19" ht="24.75" customHeight="1">
      <c r="B55" s="86"/>
      <c r="C55" s="37"/>
      <c r="D55" s="17"/>
      <c r="E55" s="17"/>
      <c r="F55" s="17"/>
      <c r="G55" s="17"/>
      <c r="H55" s="17"/>
      <c r="I55" s="17"/>
      <c r="J55" s="17"/>
      <c r="K55" s="17"/>
      <c r="L55" s="21"/>
      <c r="M55" s="13"/>
      <c r="N55" s="17"/>
      <c r="O55" s="17"/>
      <c r="P55" s="17"/>
      <c r="Q55" s="17"/>
      <c r="R55" s="21"/>
      <c r="S55" s="42"/>
    </row>
    <row r="56" spans="2:19" ht="26.25" customHeight="1">
      <c r="B56" s="86"/>
      <c r="C56" s="89"/>
      <c r="D56" s="91"/>
      <c r="E56" s="29"/>
      <c r="F56" s="29"/>
      <c r="G56" s="29"/>
      <c r="H56" s="29"/>
      <c r="I56" s="29"/>
      <c r="J56" s="29"/>
      <c r="K56" s="29"/>
      <c r="L56" s="82"/>
      <c r="M56" s="13"/>
      <c r="N56" s="2222" t="s">
        <v>75</v>
      </c>
      <c r="O56" s="2223"/>
      <c r="P56" s="2223"/>
      <c r="Q56" s="2224"/>
      <c r="R56" s="21"/>
      <c r="S56" s="42"/>
    </row>
    <row r="57" spans="2:19" ht="26.25" customHeight="1">
      <c r="B57" s="86"/>
      <c r="C57" s="37"/>
      <c r="D57" s="37"/>
      <c r="E57" s="37"/>
      <c r="F57" s="37"/>
      <c r="G57" s="37"/>
      <c r="H57" s="37"/>
      <c r="I57" s="37"/>
      <c r="J57" s="37"/>
      <c r="K57" s="37"/>
      <c r="L57" s="82"/>
      <c r="M57" s="13"/>
      <c r="N57" s="17"/>
      <c r="O57" s="17"/>
      <c r="P57" s="17"/>
      <c r="Q57" s="17"/>
      <c r="R57" s="21"/>
    </row>
    <row r="58" spans="2:19" ht="27" customHeight="1">
      <c r="B58" s="86"/>
      <c r="C58" s="2212" t="s">
        <v>76</v>
      </c>
      <c r="D58" s="2229"/>
      <c r="E58" s="87"/>
      <c r="F58" s="29"/>
      <c r="G58" s="29"/>
      <c r="H58" s="29"/>
      <c r="I58" s="29"/>
      <c r="J58" s="29"/>
      <c r="K58" s="29"/>
      <c r="L58" s="82"/>
      <c r="M58" s="13"/>
      <c r="N58" s="78" t="str">
        <f>+VLOOKUP(78,TRADUZIONI,DATI!C2-1,0)</f>
        <v>PEZZI /PZ.</v>
      </c>
      <c r="O58" s="92">
        <f>2*O11</f>
        <v>2</v>
      </c>
      <c r="P58" s="80"/>
      <c r="Q58" s="80"/>
      <c r="R58" s="21"/>
    </row>
    <row r="59" spans="2:19" ht="26.25" customHeight="1">
      <c r="B59" s="86"/>
      <c r="C59" s="37"/>
      <c r="D59" s="37"/>
      <c r="E59" s="37"/>
      <c r="F59" s="37"/>
      <c r="G59" s="37"/>
      <c r="H59" s="37"/>
      <c r="I59" s="37"/>
      <c r="J59" s="37"/>
      <c r="K59" s="37"/>
      <c r="L59" s="82"/>
      <c r="M59" s="13"/>
      <c r="N59" s="17"/>
      <c r="O59" s="17"/>
      <c r="P59" s="17"/>
      <c r="Q59" s="17"/>
      <c r="R59" s="21"/>
    </row>
    <row r="60" spans="2:19" ht="24.75" customHeight="1">
      <c r="B60" s="86"/>
      <c r="C60" s="2212" t="s">
        <v>77</v>
      </c>
      <c r="D60" s="2229"/>
      <c r="E60" s="87"/>
      <c r="F60" s="29"/>
      <c r="G60" s="29"/>
      <c r="H60" s="29"/>
      <c r="I60" s="29"/>
      <c r="J60" s="29"/>
      <c r="K60" s="29"/>
      <c r="L60" s="82"/>
      <c r="M60" s="13"/>
      <c r="N60" s="2225" t="s">
        <v>116</v>
      </c>
      <c r="O60" s="2226"/>
      <c r="P60" s="2236">
        <f>+Q7-28</f>
        <v>2172</v>
      </c>
      <c r="Q60" s="2237"/>
      <c r="R60" s="21"/>
    </row>
    <row r="61" spans="2:19" ht="24" customHeight="1" thickBot="1">
      <c r="B61" s="93"/>
      <c r="C61" s="94"/>
      <c r="D61" s="94"/>
      <c r="E61" s="94"/>
      <c r="F61" s="94"/>
      <c r="G61" s="94"/>
      <c r="H61" s="94"/>
      <c r="I61" s="94"/>
      <c r="J61" s="94"/>
      <c r="K61" s="94"/>
      <c r="L61" s="95"/>
      <c r="M61" s="75"/>
      <c r="N61" s="44"/>
      <c r="O61" s="44"/>
      <c r="P61" s="44"/>
      <c r="Q61" s="44"/>
      <c r="R61" s="73"/>
    </row>
    <row r="62" spans="2:19" ht="89.25" customHeight="1"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96"/>
    </row>
    <row r="63" spans="2:19" ht="18">
      <c r="B63" s="42"/>
      <c r="C63" s="42"/>
      <c r="D63" s="42"/>
      <c r="E63" s="42"/>
      <c r="F63" s="42"/>
      <c r="G63" s="42"/>
      <c r="H63" s="42"/>
      <c r="I63" s="42"/>
      <c r="J63" s="42"/>
      <c r="L63" s="42"/>
      <c r="M63" s="42"/>
      <c r="N63" s="42"/>
      <c r="O63" s="42"/>
      <c r="P63" s="42"/>
      <c r="Q63" s="42"/>
      <c r="R63" s="42"/>
    </row>
    <row r="64" spans="2:19" ht="18">
      <c r="B64" s="42"/>
      <c r="C64" s="42"/>
      <c r="D64" s="42"/>
      <c r="E64" s="42"/>
      <c r="F64" s="42"/>
      <c r="G64" s="42"/>
      <c r="H64" s="42"/>
      <c r="I64" s="42"/>
      <c r="J64" s="42"/>
      <c r="L64" s="42"/>
      <c r="M64" s="42"/>
      <c r="N64" s="42"/>
      <c r="O64" s="42"/>
      <c r="P64" s="42"/>
      <c r="Q64" s="42"/>
      <c r="R64" s="42"/>
    </row>
    <row r="65" spans="2:18" ht="18">
      <c r="B65" s="42"/>
      <c r="C65" s="42"/>
      <c r="D65" s="42"/>
      <c r="E65" s="42"/>
      <c r="F65" s="42"/>
      <c r="G65" s="42"/>
      <c r="H65" s="42"/>
      <c r="I65" s="42"/>
      <c r="J65" s="42"/>
      <c r="L65" s="42"/>
      <c r="M65" s="42"/>
      <c r="N65" s="42"/>
      <c r="O65" s="42"/>
      <c r="P65" s="42"/>
      <c r="Q65" s="42"/>
      <c r="R65" s="42"/>
    </row>
    <row r="66" spans="2:18">
      <c r="L66" s="42"/>
      <c r="M66" s="42"/>
      <c r="N66" s="42"/>
      <c r="O66" s="42"/>
      <c r="P66" s="42"/>
      <c r="Q66" s="42"/>
      <c r="R66" s="42"/>
    </row>
    <row r="67" spans="2:18">
      <c r="L67" s="42"/>
      <c r="M67" s="42"/>
      <c r="N67" s="42"/>
      <c r="O67" s="42"/>
      <c r="P67" s="42"/>
      <c r="Q67" s="42"/>
      <c r="R67" s="42"/>
    </row>
    <row r="68" spans="2:18">
      <c r="L68" s="42"/>
      <c r="M68" s="42"/>
      <c r="N68" s="42"/>
      <c r="O68" s="42"/>
      <c r="P68" s="42"/>
      <c r="Q68" s="42"/>
      <c r="R68" s="42"/>
    </row>
    <row r="69" spans="2:18">
      <c r="L69" s="42"/>
      <c r="M69" s="42"/>
      <c r="N69" s="42"/>
      <c r="O69" s="42"/>
      <c r="P69" s="42"/>
      <c r="Q69" s="42"/>
      <c r="R69" s="42"/>
    </row>
    <row r="70" spans="2:18">
      <c r="L70" s="42"/>
      <c r="M70" s="42"/>
      <c r="N70" s="42"/>
      <c r="O70" s="42"/>
      <c r="P70" s="42"/>
      <c r="Q70" s="42"/>
      <c r="R70" s="42"/>
    </row>
    <row r="71" spans="2:18">
      <c r="L71" s="42"/>
      <c r="M71" s="42"/>
      <c r="N71" s="42"/>
      <c r="O71" s="42"/>
      <c r="P71" s="42"/>
      <c r="Q71" s="42"/>
      <c r="R71" s="42"/>
    </row>
    <row r="72" spans="2:18">
      <c r="L72" s="42"/>
      <c r="M72" s="42"/>
      <c r="N72" s="42"/>
      <c r="O72" s="42"/>
      <c r="P72" s="42"/>
      <c r="Q72" s="42"/>
      <c r="R72" s="42"/>
    </row>
    <row r="73" spans="2:18">
      <c r="L73" s="42"/>
      <c r="M73" s="42"/>
      <c r="N73" s="42"/>
      <c r="O73" s="42"/>
      <c r="P73" s="42"/>
      <c r="Q73" s="42"/>
      <c r="R73" s="42"/>
    </row>
    <row r="74" spans="2:18">
      <c r="L74" s="42"/>
      <c r="M74" s="42"/>
      <c r="N74" s="42"/>
      <c r="O74" s="42"/>
      <c r="P74" s="42"/>
      <c r="Q74" s="42"/>
      <c r="R74" s="42"/>
    </row>
    <row r="75" spans="2:18">
      <c r="L75" s="42"/>
      <c r="M75" s="42"/>
      <c r="N75" s="42"/>
      <c r="O75" s="42"/>
      <c r="P75" s="42"/>
      <c r="Q75" s="42"/>
      <c r="R75" s="42"/>
    </row>
    <row r="76" spans="2:18">
      <c r="L76" s="42"/>
      <c r="M76" s="42"/>
      <c r="N76" s="42"/>
      <c r="O76" s="42"/>
      <c r="P76" s="42"/>
      <c r="Q76" s="42"/>
      <c r="R76" s="42"/>
    </row>
    <row r="77" spans="2:18">
      <c r="L77" s="42"/>
      <c r="M77" s="42"/>
      <c r="N77" s="42"/>
      <c r="O77" s="42"/>
      <c r="P77" s="42"/>
      <c r="Q77" s="42"/>
      <c r="R77" s="42"/>
    </row>
    <row r="78" spans="2:18">
      <c r="L78" s="42"/>
      <c r="M78" s="42"/>
      <c r="N78" s="42"/>
      <c r="O78" s="42"/>
      <c r="P78" s="42"/>
      <c r="Q78" s="42"/>
      <c r="R78" s="42"/>
    </row>
    <row r="79" spans="2:18">
      <c r="L79" s="42"/>
      <c r="M79" s="42"/>
      <c r="N79" s="42"/>
      <c r="O79" s="42"/>
      <c r="P79" s="42"/>
      <c r="Q79" s="42"/>
      <c r="R79" s="42"/>
    </row>
  </sheetData>
  <mergeCells count="44">
    <mergeCell ref="N53:O53"/>
    <mergeCell ref="P53:Q53"/>
    <mergeCell ref="N56:Q56"/>
    <mergeCell ref="C58:D58"/>
    <mergeCell ref="C60:D60"/>
    <mergeCell ref="N60:O60"/>
    <mergeCell ref="P60:Q60"/>
    <mergeCell ref="N38:Q38"/>
    <mergeCell ref="D39:L39"/>
    <mergeCell ref="N42:O42"/>
    <mergeCell ref="P42:Q42"/>
    <mergeCell ref="C54:D54"/>
    <mergeCell ref="E54:K54"/>
    <mergeCell ref="F43:G43"/>
    <mergeCell ref="N44:O44"/>
    <mergeCell ref="P44:Q44"/>
    <mergeCell ref="N47:Q47"/>
    <mergeCell ref="D48:L48"/>
    <mergeCell ref="C50:D50"/>
    <mergeCell ref="E50:K50"/>
    <mergeCell ref="N51:O51"/>
    <mergeCell ref="P51:Q51"/>
    <mergeCell ref="C52:D52"/>
    <mergeCell ref="G33:H33"/>
    <mergeCell ref="H34:I34"/>
    <mergeCell ref="N34:Q34"/>
    <mergeCell ref="N36:R36"/>
    <mergeCell ref="C37:E37"/>
    <mergeCell ref="G37:K37"/>
    <mergeCell ref="F17:J21"/>
    <mergeCell ref="N17:N18"/>
    <mergeCell ref="N21:N22"/>
    <mergeCell ref="C23:E23"/>
    <mergeCell ref="O24:Q24"/>
    <mergeCell ref="O9:Q9"/>
    <mergeCell ref="D10:G10"/>
    <mergeCell ref="F12:G12"/>
    <mergeCell ref="D15:L15"/>
    <mergeCell ref="N15:R15"/>
    <mergeCell ref="B2:R2"/>
    <mergeCell ref="D4:L4"/>
    <mergeCell ref="D6:G6"/>
    <mergeCell ref="N6:N7"/>
    <mergeCell ref="D8:G8"/>
  </mergeCells>
  <conditionalFormatting sqref="F12:G12">
    <cfRule type="expression" dxfId="4" priority="3" stopIfTrue="1">
      <formula>IF(#REF!=1,1,0)</formula>
    </cfRule>
  </conditionalFormatting>
  <printOptions horizontalCentered="1" verticalCentered="1"/>
  <pageMargins left="0" right="0" top="0.19685039370078741" bottom="0.19685039370078741" header="0.19685039370078741" footer="0.19685039370078741"/>
  <pageSetup paperSize="9" scale="48" orientation="portrait" r:id="rId1"/>
  <headerFooter alignWithMargins="0">
    <oddFooter>&amp;CG.V.25/02/04&amp;RZanzar Sistem s.r.l.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tabColor theme="6" tint="-0.249977111117893"/>
    <pageSetUpPr fitToPage="1"/>
  </sheetPr>
  <dimension ref="A1:AD70"/>
  <sheetViews>
    <sheetView showGridLines="0" topLeftCell="A34" zoomScale="50" zoomScaleNormal="50" workbookViewId="0">
      <selection activeCell="F67" sqref="F67:H68"/>
    </sheetView>
  </sheetViews>
  <sheetFormatPr defaultColWidth="10.28515625" defaultRowHeight="15"/>
  <cols>
    <col min="1" max="1" width="35.85546875" style="97" customWidth="1"/>
    <col min="2" max="2" width="4.5703125" style="97" customWidth="1"/>
    <col min="3" max="3" width="18.85546875" style="97" customWidth="1"/>
    <col min="4" max="4" width="15" style="97" customWidth="1"/>
    <col min="5" max="5" width="17.28515625" style="97" customWidth="1"/>
    <col min="6" max="6" width="14.28515625" style="97" customWidth="1"/>
    <col min="7" max="7" width="13.85546875" style="97" customWidth="1"/>
    <col min="8" max="8" width="9.28515625" style="97" customWidth="1"/>
    <col min="9" max="9" width="8.140625" style="97" customWidth="1"/>
    <col min="10" max="10" width="9.28515625" style="97" customWidth="1"/>
    <col min="11" max="11" width="5.28515625" style="97" customWidth="1"/>
    <col min="12" max="13" width="5.140625" style="97" customWidth="1"/>
    <col min="14" max="14" width="3.7109375" style="97" customWidth="1"/>
    <col min="15" max="15" width="17.85546875" style="97" customWidth="1"/>
    <col min="16" max="16" width="13.85546875" style="97" customWidth="1"/>
    <col min="17" max="17" width="16.28515625" style="97" customWidth="1"/>
    <col min="18" max="18" width="9.7109375" style="97" customWidth="1"/>
    <col min="19" max="19" width="11.140625" style="97" customWidth="1"/>
    <col min="20" max="20" width="9.5703125" style="97" customWidth="1"/>
    <col min="21" max="21" width="26.140625" style="97" customWidth="1"/>
    <col min="22" max="22" width="14.42578125" style="97" customWidth="1"/>
    <col min="23" max="23" width="10.28515625" style="97"/>
    <col min="24" max="24" width="14.42578125" style="97" bestFit="1" customWidth="1"/>
    <col min="25" max="16384" width="10.28515625" style="97"/>
  </cols>
  <sheetData>
    <row r="1" spans="1:30" ht="18">
      <c r="A1" s="6"/>
    </row>
    <row r="2" spans="1:30" ht="33.75">
      <c r="A2" s="6"/>
      <c r="B2" s="2240" t="str">
        <f>+VLOOKUP(133,TRADUZIONI,DATI!$C$2-1,0)</f>
        <v>FOGLIO LAVORO GIOCONDA FRIZIONATA</v>
      </c>
      <c r="C2" s="2241"/>
      <c r="D2" s="2241"/>
      <c r="E2" s="2241"/>
      <c r="F2" s="2241"/>
      <c r="G2" s="2241"/>
      <c r="H2" s="2241"/>
      <c r="I2" s="2241"/>
      <c r="J2" s="2241"/>
      <c r="K2" s="2241"/>
      <c r="L2" s="2241"/>
      <c r="M2" s="2241"/>
      <c r="N2" s="2241"/>
      <c r="O2" s="2241"/>
      <c r="P2" s="2241"/>
      <c r="Q2" s="2241"/>
      <c r="R2" s="2241"/>
      <c r="S2" s="2241"/>
      <c r="T2" s="2241"/>
      <c r="U2" s="2241"/>
      <c r="V2" s="2241"/>
    </row>
    <row r="3" spans="1:30" ht="18.75" thickBot="1">
      <c r="A3" s="6"/>
    </row>
    <row r="4" spans="1:30" ht="44.25" customHeight="1">
      <c r="A4" s="6"/>
      <c r="B4" s="220"/>
      <c r="C4" s="219" t="str">
        <f>+VLOOKUP(108,TRADUZIONI,DATI!$C$2-1,0)</f>
        <v>QUADRO A</v>
      </c>
      <c r="D4" s="215"/>
      <c r="E4" s="2197" t="str">
        <f>+VLOOKUP(109,TRADUZIONI,DATI!$C$2-1,0)</f>
        <v>DATI ORDINE</v>
      </c>
      <c r="F4" s="2197"/>
      <c r="G4" s="2197"/>
      <c r="H4" s="2197"/>
      <c r="I4" s="2197"/>
      <c r="J4" s="2197"/>
      <c r="K4" s="2197"/>
      <c r="L4" s="2197"/>
      <c r="M4" s="2197"/>
      <c r="N4" s="2197"/>
      <c r="O4" s="2197"/>
      <c r="P4" s="2197"/>
      <c r="Q4" s="216"/>
      <c r="R4" s="215"/>
      <c r="S4" s="215"/>
      <c r="T4" s="215"/>
      <c r="U4" s="215"/>
      <c r="V4" s="217"/>
    </row>
    <row r="5" spans="1:30" ht="18">
      <c r="A5" s="6"/>
      <c r="B5" s="98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100"/>
      <c r="W5" s="6"/>
      <c r="X5" s="6"/>
      <c r="Y5" s="6"/>
      <c r="Z5" s="6"/>
      <c r="AA5" s="6"/>
      <c r="AB5" s="6"/>
      <c r="AC5" s="6"/>
      <c r="AD5" s="6"/>
    </row>
    <row r="6" spans="1:30" ht="30.75">
      <c r="A6" s="6"/>
      <c r="B6" s="98"/>
      <c r="C6" s="1432" t="str">
        <f>+VLOOKUP(22,TRADUZIONI,DATI!C2-1,0)</f>
        <v>CLIENTE</v>
      </c>
      <c r="D6" s="2198">
        <f>+DATI!C6</f>
        <v>0</v>
      </c>
      <c r="E6" s="2198"/>
      <c r="F6" s="2198"/>
      <c r="G6" s="2198"/>
      <c r="H6" s="101"/>
      <c r="I6" s="101"/>
      <c r="J6" s="101"/>
      <c r="K6" s="102"/>
      <c r="L6" s="103"/>
      <c r="M6" s="104"/>
      <c r="N6" s="99"/>
      <c r="O6" s="2242" t="str">
        <f>+VLOOKUP(115,TRADUZIONI,DATI!C2-1,0)</f>
        <v xml:space="preserve">DIMENSIONI </v>
      </c>
      <c r="P6" s="2243"/>
      <c r="Q6" s="14" t="str">
        <f>+VLOOKUP(96,TRADUZIONI,DATI!C2-1,0)</f>
        <v>BASE</v>
      </c>
      <c r="R6" s="19"/>
      <c r="S6" s="2213" t="str">
        <f>+VLOOKUP(97,TRADUZIONI,DATI!C2-1,0)</f>
        <v>ALTEZZA</v>
      </c>
      <c r="T6" s="2229"/>
      <c r="U6" s="99"/>
      <c r="V6" s="100"/>
      <c r="W6" s="17"/>
      <c r="X6" s="17"/>
      <c r="Y6" s="17"/>
      <c r="Z6" s="17"/>
      <c r="AA6" s="17"/>
      <c r="AB6" s="17"/>
      <c r="AC6" s="17"/>
      <c r="AD6" s="17"/>
    </row>
    <row r="7" spans="1:30" ht="29.25" customHeight="1">
      <c r="A7" s="6"/>
      <c r="B7" s="98"/>
      <c r="C7" s="99"/>
      <c r="D7" s="99" t="s">
        <v>37</v>
      </c>
      <c r="E7" s="99"/>
      <c r="F7" s="99"/>
      <c r="G7" s="99"/>
      <c r="H7" s="99"/>
      <c r="I7" s="99"/>
      <c r="J7" s="99"/>
      <c r="K7" s="99"/>
      <c r="L7" s="103"/>
      <c r="M7" s="104"/>
      <c r="N7" s="99"/>
      <c r="O7" s="2244"/>
      <c r="P7" s="2245"/>
      <c r="Q7" s="23">
        <f>+DATI!C7</f>
        <v>1400</v>
      </c>
      <c r="R7" s="24" t="s">
        <v>44</v>
      </c>
      <c r="S7" s="2246">
        <f>+DATI!C8</f>
        <v>2200</v>
      </c>
      <c r="T7" s="2247"/>
      <c r="U7" s="99"/>
      <c r="V7" s="100"/>
      <c r="W7" s="17"/>
      <c r="X7" s="17"/>
      <c r="Y7" s="17"/>
      <c r="Z7" s="17"/>
      <c r="AA7" s="17"/>
      <c r="AB7" s="17"/>
      <c r="AC7" s="17"/>
      <c r="AD7" s="17"/>
    </row>
    <row r="8" spans="1:30" ht="30.75">
      <c r="A8" s="6"/>
      <c r="B8" s="98"/>
      <c r="C8" s="1435" t="str">
        <f>+VLOOKUP(23,TRADUZIONI,DATI!C2-1,0)</f>
        <v>NUM. ORDINE</v>
      </c>
      <c r="D8" s="101"/>
      <c r="E8" s="105"/>
      <c r="F8" s="105">
        <f>+DATI!C4</f>
        <v>0</v>
      </c>
      <c r="G8" s="105"/>
      <c r="H8" s="101"/>
      <c r="I8" s="101"/>
      <c r="J8" s="101"/>
      <c r="K8" s="102"/>
      <c r="L8" s="103"/>
      <c r="M8" s="104"/>
      <c r="N8" s="99"/>
      <c r="O8" s="99"/>
      <c r="P8" s="99"/>
      <c r="Q8" s="106"/>
      <c r="R8" s="99"/>
      <c r="S8" s="99"/>
      <c r="T8" s="99"/>
      <c r="U8" s="99"/>
      <c r="V8" s="100"/>
      <c r="W8" s="17"/>
      <c r="X8" s="17"/>
      <c r="Y8" s="17"/>
      <c r="Z8" s="17"/>
      <c r="AA8" s="17"/>
      <c r="AB8" s="17"/>
      <c r="AC8" s="17"/>
      <c r="AD8" s="17"/>
    </row>
    <row r="9" spans="1:30" ht="30.75">
      <c r="A9" s="6"/>
      <c r="B9" s="98"/>
      <c r="C9" s="99"/>
      <c r="D9" s="99"/>
      <c r="E9" s="99"/>
      <c r="F9" s="99"/>
      <c r="G9" s="99"/>
      <c r="H9" s="99"/>
      <c r="I9" s="99"/>
      <c r="J9" s="99"/>
      <c r="K9" s="99"/>
      <c r="L9" s="103"/>
      <c r="M9" s="104"/>
      <c r="N9" s="99"/>
      <c r="O9" s="2212" t="str">
        <f>+VLOOKUP(99,TRADUZIONI,DATI!C2-1,0)</f>
        <v>COLORE</v>
      </c>
      <c r="P9" s="2229"/>
      <c r="Q9" s="2238" t="str">
        <f>+DATI!C10</f>
        <v>06.NERO</v>
      </c>
      <c r="R9" s="2203"/>
      <c r="S9" s="2203"/>
      <c r="T9" s="2204"/>
      <c r="U9" s="99"/>
      <c r="V9" s="100"/>
      <c r="W9" s="17"/>
      <c r="X9" s="17"/>
      <c r="Y9" s="17"/>
      <c r="Z9" s="17"/>
      <c r="AA9" s="17"/>
      <c r="AB9" s="17"/>
      <c r="AC9" s="17"/>
      <c r="AD9" s="17"/>
    </row>
    <row r="10" spans="1:30" ht="30.75">
      <c r="A10" s="6"/>
      <c r="B10" s="98"/>
      <c r="C10" s="1447" t="str">
        <f>+VLOOKUP(5,TRADUZIONI,DATI!C2-1,0)</f>
        <v>DATA SPEDIZIONE</v>
      </c>
      <c r="D10" s="101"/>
      <c r="E10" s="1446"/>
      <c r="F10" s="2253">
        <f>+DATI!C5</f>
        <v>42370</v>
      </c>
      <c r="G10" s="2253"/>
      <c r="H10" s="101"/>
      <c r="I10" s="101"/>
      <c r="J10" s="101"/>
      <c r="K10" s="102"/>
      <c r="L10" s="103"/>
      <c r="M10" s="104"/>
      <c r="N10" s="99"/>
      <c r="O10" s="107"/>
      <c r="P10" s="99"/>
      <c r="Q10" s="99"/>
      <c r="R10" s="99"/>
      <c r="S10" s="99"/>
      <c r="T10" s="99"/>
      <c r="U10" s="99"/>
      <c r="V10" s="100"/>
      <c r="W10" s="17"/>
      <c r="X10" s="17"/>
      <c r="Y10" s="17"/>
      <c r="Z10" s="17"/>
      <c r="AA10" s="17"/>
      <c r="AB10" s="17"/>
      <c r="AC10" s="17"/>
      <c r="AD10" s="17"/>
    </row>
    <row r="11" spans="1:30" ht="30.75">
      <c r="A11" s="6"/>
      <c r="B11" s="98"/>
      <c r="C11" s="99"/>
      <c r="D11" s="99"/>
      <c r="E11" s="99"/>
      <c r="F11" s="99"/>
      <c r="G11" s="99"/>
      <c r="H11" s="99"/>
      <c r="I11" s="99"/>
      <c r="J11" s="99"/>
      <c r="K11" s="99"/>
      <c r="L11" s="103"/>
      <c r="M11" s="104"/>
      <c r="N11" s="99"/>
      <c r="O11" s="2232" t="str">
        <f>+VLOOKUP(78,TRADUZIONI,DATI!C2-1,0)</f>
        <v>PEZZI /PZ.</v>
      </c>
      <c r="P11" s="2239"/>
      <c r="Q11" s="33" t="str">
        <f>+DATI!C11</f>
        <v>1</v>
      </c>
      <c r="R11" s="99"/>
      <c r="S11" s="99"/>
      <c r="T11" s="99"/>
      <c r="U11" s="99"/>
      <c r="V11" s="100"/>
      <c r="W11" s="99"/>
      <c r="X11" s="99"/>
      <c r="Y11" s="99"/>
      <c r="Z11" s="99"/>
      <c r="AA11" s="99"/>
      <c r="AB11" s="99"/>
      <c r="AC11" s="99"/>
      <c r="AD11" s="99"/>
    </row>
    <row r="12" spans="1:30" ht="30.75">
      <c r="A12" s="6"/>
      <c r="B12" s="98"/>
      <c r="C12" s="14" t="s">
        <v>49</v>
      </c>
      <c r="D12" s="34">
        <f>IF((Q7*S7/1000000)&lt;=1.5,1.5*Q11,IF((Q7*S7/1000000)&gt;1.5,(Q7*S7/1000000)*Q11))</f>
        <v>3.08</v>
      </c>
      <c r="E12" s="108"/>
      <c r="F12" s="2207"/>
      <c r="G12" s="2207"/>
      <c r="H12" s="99"/>
      <c r="I12" s="99"/>
      <c r="J12" s="99"/>
      <c r="K12" s="99"/>
      <c r="L12" s="103"/>
      <c r="M12" s="104"/>
      <c r="N12" s="99"/>
      <c r="O12" s="99"/>
      <c r="P12" s="99"/>
      <c r="Q12" s="109" t="s">
        <v>37</v>
      </c>
      <c r="R12" s="99"/>
      <c r="S12" s="99"/>
      <c r="T12" s="99"/>
      <c r="U12" s="110" t="s">
        <v>37</v>
      </c>
      <c r="V12" s="100"/>
      <c r="W12" s="99"/>
      <c r="X12" s="99"/>
      <c r="Y12" s="99"/>
      <c r="Z12" s="99"/>
      <c r="AA12" s="99"/>
      <c r="AB12" s="99"/>
      <c r="AC12" s="99"/>
      <c r="AD12" s="99"/>
    </row>
    <row r="13" spans="1:30" ht="15.75" thickBot="1">
      <c r="B13" s="98"/>
      <c r="C13" s="107"/>
      <c r="D13" s="99"/>
      <c r="E13" s="111"/>
      <c r="F13" s="112"/>
      <c r="G13" s="111"/>
      <c r="H13" s="113"/>
      <c r="I13" s="113"/>
      <c r="J13" s="113"/>
      <c r="K13" s="99"/>
      <c r="L13" s="99"/>
      <c r="M13" s="99"/>
      <c r="N13" s="99"/>
      <c r="O13" s="99"/>
      <c r="P13" s="99"/>
      <c r="Q13" s="99"/>
      <c r="R13" s="99"/>
      <c r="S13" s="114"/>
      <c r="T13" s="99"/>
      <c r="U13" s="115" t="s">
        <v>37</v>
      </c>
      <c r="V13" s="100"/>
    </row>
    <row r="14" spans="1:30" ht="44.25" customHeight="1">
      <c r="B14" s="220"/>
      <c r="C14" s="219" t="str">
        <f>+VLOOKUP(111,TRADUZIONI,DATI!$C$2-1,0)</f>
        <v>QUADRO B</v>
      </c>
      <c r="D14" s="2248" t="str">
        <f>+VLOOKUP(118,TRADUZIONI,DATI!$C$2-1,0)</f>
        <v>DIMENSIONE RETE E FORI</v>
      </c>
      <c r="E14" s="2248"/>
      <c r="F14" s="2248"/>
      <c r="G14" s="2248"/>
      <c r="H14" s="2248"/>
      <c r="I14" s="2248"/>
      <c r="J14" s="2248"/>
      <c r="K14" s="2248"/>
      <c r="L14" s="2249"/>
      <c r="M14" s="220"/>
      <c r="N14" s="888"/>
      <c r="O14" s="219" t="str">
        <f>+VLOOKUP(138,TRADUZIONI,DATI!$C$2-1,0)</f>
        <v>QUADRO C</v>
      </c>
      <c r="P14" s="2250" t="str">
        <f>+VLOOKUP(117,TRADUZIONI,DATI!$C$2-1,0)</f>
        <v>LUNGHEZZA E NUM. CORDINI</v>
      </c>
      <c r="Q14" s="2250"/>
      <c r="R14" s="2250"/>
      <c r="S14" s="2250"/>
      <c r="T14" s="2250"/>
      <c r="U14" s="2250"/>
      <c r="V14" s="2251"/>
    </row>
    <row r="15" spans="1:30" ht="31.5" customHeight="1">
      <c r="B15" s="116"/>
      <c r="C15" s="99"/>
      <c r="D15" s="99"/>
      <c r="E15" s="99"/>
      <c r="F15" s="2252" t="e">
        <f>IF(DATI!E13="AUTOMATICA",CONCATENATE("*",DATI!E14,"-",REPT("0",4-LEN(F22)),F22,"*"),CONCATENATE("*",DATI!$L$14,REPT("0",3-LEN(D16)),D16,REPT("0",4-LEN(F22)),F22,DATI!L13,"*"))</f>
        <v>#VALUE!</v>
      </c>
      <c r="G15" s="2252"/>
      <c r="H15" s="2252"/>
      <c r="I15" s="2252"/>
      <c r="J15" s="2252"/>
      <c r="K15" s="117"/>
      <c r="L15" s="118"/>
      <c r="M15" s="98"/>
      <c r="N15" s="99"/>
      <c r="O15" s="99"/>
      <c r="P15" s="99" t="s">
        <v>37</v>
      </c>
      <c r="Q15" s="119" t="s">
        <v>37</v>
      </c>
      <c r="R15" s="99"/>
      <c r="S15" s="99"/>
      <c r="T15" s="99"/>
      <c r="U15" s="120"/>
      <c r="V15" s="100"/>
    </row>
    <row r="16" spans="1:30" ht="30.75" customHeight="1">
      <c r="B16" s="121"/>
      <c r="C16" s="122" t="str">
        <f>+VLOOKUP(149,TRADUZIONI,DATI!C2-1,0)</f>
        <v>CORDINI</v>
      </c>
      <c r="D16" s="123">
        <f>ROUNDUP((S7-53)*0.036,0)</f>
        <v>78</v>
      </c>
      <c r="F16" s="2252"/>
      <c r="G16" s="2252"/>
      <c r="H16" s="2252"/>
      <c r="I16" s="2252"/>
      <c r="J16" s="2252"/>
      <c r="K16" s="120"/>
      <c r="L16" s="124"/>
      <c r="M16" s="121"/>
      <c r="N16" s="125"/>
      <c r="O16" s="125"/>
      <c r="P16" s="125"/>
      <c r="Q16" s="2232" t="str">
        <f>+VLOOKUP(149,TRADUZIONI,DATI!C2-1,0)</f>
        <v>CORDINI</v>
      </c>
      <c r="R16" s="2239"/>
      <c r="S16" s="126">
        <f>IF(Q7&lt;=608,2,IF(Q7&lt;1463,4,IF(Q7&lt;2363,6,8)))</f>
        <v>4</v>
      </c>
      <c r="T16" s="120"/>
      <c r="U16" s="115"/>
      <c r="V16" s="127"/>
    </row>
    <row r="17" spans="2:26" s="129" customFormat="1" ht="15" customHeight="1">
      <c r="B17" s="98"/>
      <c r="C17" s="99"/>
      <c r="D17" s="99"/>
      <c r="E17" s="99"/>
      <c r="F17" s="2252"/>
      <c r="G17" s="2252"/>
      <c r="H17" s="2252"/>
      <c r="I17" s="2252"/>
      <c r="J17" s="2252"/>
      <c r="K17" s="99"/>
      <c r="L17" s="99"/>
      <c r="M17" s="98"/>
      <c r="N17" s="99"/>
      <c r="O17" s="99"/>
      <c r="P17" s="99"/>
      <c r="Q17" s="99"/>
      <c r="R17" s="128"/>
      <c r="S17" s="99"/>
      <c r="T17" s="99"/>
      <c r="U17" s="99"/>
      <c r="V17" s="100"/>
    </row>
    <row r="18" spans="2:26" ht="49.5" customHeight="1">
      <c r="B18" s="98"/>
      <c r="C18" s="99"/>
      <c r="D18" s="109"/>
      <c r="E18" s="109"/>
      <c r="F18" s="2252"/>
      <c r="G18" s="2252"/>
      <c r="H18" s="2252"/>
      <c r="I18" s="2252"/>
      <c r="J18" s="2252"/>
      <c r="K18" s="109"/>
      <c r="L18" s="99"/>
      <c r="M18" s="98"/>
      <c r="N18" s="99"/>
      <c r="O18" s="99"/>
      <c r="P18" s="99"/>
      <c r="Q18" s="99"/>
      <c r="R18" s="128"/>
      <c r="S18" s="99"/>
      <c r="T18" s="99"/>
      <c r="U18" s="99"/>
      <c r="V18" s="100"/>
    </row>
    <row r="19" spans="2:26" ht="15" customHeight="1">
      <c r="B19" s="98"/>
      <c r="C19" s="99"/>
      <c r="D19" s="109"/>
      <c r="E19" s="109"/>
      <c r="F19" s="2252"/>
      <c r="G19" s="2252"/>
      <c r="H19" s="2252"/>
      <c r="I19" s="2252"/>
      <c r="J19" s="2252"/>
      <c r="K19" s="109"/>
      <c r="L19" s="99"/>
      <c r="M19" s="98"/>
      <c r="N19" s="99"/>
      <c r="O19" s="130"/>
      <c r="P19" s="99"/>
      <c r="Q19" s="131" t="s">
        <v>37</v>
      </c>
      <c r="R19" s="99"/>
      <c r="S19" s="132" t="s">
        <v>37</v>
      </c>
      <c r="T19" s="133"/>
      <c r="U19" s="99"/>
      <c r="V19" s="100"/>
    </row>
    <row r="20" spans="2:26">
      <c r="B20" s="98"/>
      <c r="C20" s="99"/>
      <c r="D20" s="109"/>
      <c r="E20" s="109"/>
      <c r="F20" s="2252"/>
      <c r="G20" s="2252"/>
      <c r="H20" s="2252"/>
      <c r="I20" s="2252"/>
      <c r="J20" s="2252"/>
      <c r="K20" s="109"/>
      <c r="L20" s="99"/>
      <c r="M20" s="134"/>
      <c r="N20" s="135"/>
      <c r="O20" s="99"/>
      <c r="P20" s="99"/>
      <c r="Q20" s="99"/>
      <c r="R20" s="135"/>
      <c r="S20" s="135"/>
      <c r="T20" s="99"/>
      <c r="U20" s="107"/>
      <c r="V20" s="100"/>
    </row>
    <row r="21" spans="2:26">
      <c r="B21" s="98"/>
      <c r="C21" s="99"/>
      <c r="D21" s="109"/>
      <c r="E21" s="99"/>
      <c r="F21" s="119" t="s">
        <v>37</v>
      </c>
      <c r="G21" s="99"/>
      <c r="H21" s="136"/>
      <c r="I21" s="136"/>
      <c r="J21" s="136"/>
      <c r="K21" s="109" t="s">
        <v>37</v>
      </c>
      <c r="L21" s="99"/>
      <c r="M21" s="134"/>
      <c r="N21" s="135"/>
      <c r="O21" s="99"/>
      <c r="P21" s="99"/>
      <c r="Q21" s="99"/>
      <c r="R21" s="99"/>
      <c r="S21" s="128"/>
      <c r="T21" s="99"/>
      <c r="U21" s="135"/>
      <c r="V21" s="100"/>
    </row>
    <row r="22" spans="2:26" ht="30.75">
      <c r="B22" s="98"/>
      <c r="C22" s="2212" t="str">
        <f>CONCATENATE(VLOOKUP(116,TRADUZIONI,DATI!C2-1,0),"(",VLOOKUP(96,TRADUZIONI,DATI!C2-1,0),"-34)")</f>
        <v>TAGLIO RETE(BASE-34)</v>
      </c>
      <c r="D22" s="2213"/>
      <c r="E22" s="2213"/>
      <c r="F22" s="65">
        <f>+Q7-34</f>
        <v>1366</v>
      </c>
      <c r="G22" s="66" t="s">
        <v>56</v>
      </c>
      <c r="H22" s="26"/>
      <c r="I22" s="26"/>
      <c r="J22" s="26"/>
      <c r="K22" s="25"/>
      <c r="L22" s="99"/>
      <c r="M22" s="134"/>
      <c r="N22" s="135"/>
      <c r="O22" s="99"/>
      <c r="P22" s="99"/>
      <c r="Q22" s="136" t="s">
        <v>37</v>
      </c>
      <c r="R22" s="99" t="s">
        <v>37</v>
      </c>
      <c r="S22" s="99"/>
      <c r="T22" s="99"/>
      <c r="U22" s="130"/>
      <c r="V22" s="100"/>
    </row>
    <row r="23" spans="2:26" ht="39" customHeight="1">
      <c r="B23" s="98"/>
      <c r="C23" s="99"/>
      <c r="D23" s="109"/>
      <c r="E23" s="99"/>
      <c r="F23" s="119"/>
      <c r="G23" s="120"/>
      <c r="H23" s="136"/>
      <c r="I23" s="136"/>
      <c r="J23" s="136"/>
      <c r="K23" s="109"/>
      <c r="L23" s="99"/>
      <c r="M23" s="134"/>
      <c r="N23" s="135"/>
      <c r="O23" s="99"/>
      <c r="P23" s="99"/>
      <c r="Q23" s="136"/>
      <c r="R23" s="99"/>
      <c r="S23" s="99"/>
      <c r="T23" s="99"/>
      <c r="U23" s="130"/>
      <c r="V23" s="100"/>
    </row>
    <row r="24" spans="2:26" ht="12.75" customHeight="1">
      <c r="B24" s="98"/>
      <c r="C24" s="99"/>
      <c r="D24" s="109"/>
      <c r="E24" s="99"/>
      <c r="F24" s="119"/>
      <c r="G24" s="120"/>
      <c r="H24" s="136"/>
      <c r="I24" s="136"/>
      <c r="J24" s="136"/>
      <c r="K24" s="109"/>
      <c r="L24" s="99"/>
      <c r="M24" s="134"/>
      <c r="N24" s="135"/>
      <c r="O24" s="99"/>
      <c r="P24" s="99"/>
      <c r="Q24" s="136"/>
      <c r="R24" s="99"/>
      <c r="S24" s="99"/>
      <c r="T24" s="99"/>
      <c r="U24" s="130"/>
      <c r="V24" s="100"/>
    </row>
    <row r="25" spans="2:26">
      <c r="B25" s="98"/>
      <c r="C25" s="99"/>
      <c r="D25" s="109"/>
      <c r="E25" s="99"/>
      <c r="F25" s="119"/>
      <c r="G25" s="120"/>
      <c r="H25" s="136"/>
      <c r="I25" s="136"/>
      <c r="J25" s="136"/>
      <c r="K25" s="109"/>
      <c r="L25" s="99"/>
      <c r="M25" s="98"/>
      <c r="N25" s="99"/>
      <c r="O25" s="99"/>
      <c r="P25" s="99"/>
      <c r="Q25" s="136"/>
      <c r="R25" s="99"/>
      <c r="S25" s="99"/>
      <c r="T25" s="99"/>
      <c r="U25" s="130"/>
      <c r="V25" s="100"/>
    </row>
    <row r="26" spans="2:26" ht="10.5" customHeight="1">
      <c r="B26" s="98"/>
      <c r="C26" s="99"/>
      <c r="D26" s="109"/>
      <c r="E26" s="99"/>
      <c r="F26" s="119"/>
      <c r="G26" s="120"/>
      <c r="H26" s="136"/>
      <c r="I26" s="136"/>
      <c r="J26" s="136"/>
      <c r="K26" s="109"/>
      <c r="L26" s="99"/>
      <c r="M26" s="98"/>
      <c r="N26" s="99"/>
      <c r="O26" s="99"/>
      <c r="P26" s="99"/>
      <c r="Q26" s="99"/>
      <c r="R26" s="99"/>
      <c r="S26" s="99"/>
      <c r="T26" s="109"/>
      <c r="U26" s="99"/>
      <c r="V26" s="100"/>
    </row>
    <row r="27" spans="2:26" ht="26.25" customHeight="1">
      <c r="B27" s="98"/>
      <c r="C27" s="69">
        <v>40</v>
      </c>
      <c r="D27" s="109"/>
      <c r="E27" s="99"/>
      <c r="F27" s="119"/>
      <c r="G27" s="120"/>
      <c r="H27" s="136"/>
      <c r="I27" s="136"/>
      <c r="J27" s="136"/>
      <c r="K27" s="109"/>
      <c r="L27" s="99"/>
      <c r="M27" s="98"/>
      <c r="N27" s="99"/>
      <c r="O27" s="99"/>
      <c r="P27" s="99"/>
      <c r="Q27" s="99"/>
      <c r="R27" s="99"/>
      <c r="S27" s="99"/>
      <c r="T27" s="99"/>
      <c r="U27" s="99"/>
      <c r="V27" s="100"/>
    </row>
    <row r="28" spans="2:26" ht="36.75" customHeight="1">
      <c r="B28" s="98"/>
      <c r="C28" s="70">
        <f>+C27+H37</f>
        <v>468.66666666666669</v>
      </c>
      <c r="D28" s="109"/>
      <c r="E28" s="99"/>
      <c r="F28" s="119"/>
      <c r="G28" s="120"/>
      <c r="H28" s="136"/>
      <c r="I28" s="136"/>
      <c r="J28" s="136"/>
      <c r="K28" s="109"/>
      <c r="L28" s="99"/>
      <c r="M28" s="98"/>
      <c r="N28" s="99"/>
      <c r="O28" s="99"/>
      <c r="P28" s="99"/>
      <c r="Q28" s="136" t="s">
        <v>37</v>
      </c>
      <c r="R28" s="99"/>
      <c r="S28" s="99"/>
      <c r="T28" s="109"/>
      <c r="U28" s="99"/>
      <c r="V28" s="100"/>
    </row>
    <row r="29" spans="2:26" ht="36" customHeight="1">
      <c r="B29" s="98"/>
      <c r="C29" s="99"/>
      <c r="D29" s="70">
        <f>IF(S16&gt;2,C28+H37,"")</f>
        <v>897.33333333333337</v>
      </c>
      <c r="E29" s="99"/>
      <c r="F29" s="119"/>
      <c r="G29" s="120"/>
      <c r="H29" s="136"/>
      <c r="I29" s="136"/>
      <c r="J29" s="136"/>
      <c r="K29" s="109"/>
      <c r="L29" s="99"/>
      <c r="M29" s="98"/>
      <c r="N29" s="99"/>
      <c r="O29" s="99"/>
      <c r="P29" s="99"/>
      <c r="Q29" s="99"/>
      <c r="R29" s="99"/>
      <c r="S29" s="99"/>
      <c r="T29" s="99"/>
      <c r="U29" s="99"/>
      <c r="V29" s="100"/>
    </row>
    <row r="30" spans="2:26" ht="36" customHeight="1">
      <c r="B30" s="98"/>
      <c r="C30" s="99"/>
      <c r="D30" s="109"/>
      <c r="E30" s="16">
        <f>IF(S16&gt;=4,D29+H37,"")</f>
        <v>1326</v>
      </c>
      <c r="F30" s="119"/>
      <c r="G30" s="120"/>
      <c r="H30" s="136"/>
      <c r="I30" s="136"/>
      <c r="J30" s="136"/>
      <c r="K30" s="109"/>
      <c r="L30" s="99"/>
      <c r="M30" s="98"/>
      <c r="N30" s="99"/>
      <c r="O30" s="99"/>
      <c r="P30" s="99"/>
      <c r="Q30" s="109" t="s">
        <v>37</v>
      </c>
      <c r="R30" s="99"/>
      <c r="S30" s="99"/>
      <c r="T30" s="99"/>
      <c r="U30" s="99"/>
      <c r="V30" s="100"/>
      <c r="X30" s="1138" t="str">
        <f>+VLOOKUP(149,TRADUZIONI,DATI!C2-1,0)</f>
        <v>CORDINI</v>
      </c>
    </row>
    <row r="31" spans="2:26" ht="36" customHeight="1">
      <c r="B31" s="98"/>
      <c r="C31" s="99"/>
      <c r="D31" s="109"/>
      <c r="E31" s="99"/>
      <c r="F31" s="16" t="str">
        <f>IF(S16&gt;=5,E30+H37,"")</f>
        <v/>
      </c>
      <c r="G31" s="120"/>
      <c r="H31" s="136"/>
      <c r="I31" s="136"/>
      <c r="J31" s="136"/>
      <c r="K31" s="109"/>
      <c r="L31" s="99"/>
      <c r="M31" s="98"/>
      <c r="N31" s="99"/>
      <c r="O31" s="137" t="str">
        <f>IF(S16&lt;6,"NO",IF(S16=8,CONCATENATE("N. Cord. ",IF(S16&lt;=6,"-","2")," lung. ",TEXT(IF(S16&lt;6,"NO",IF(S16=8,S7+(3*H37)+40+300)),"0")),"NO"))</f>
        <v>NO</v>
      </c>
      <c r="P31" s="99"/>
      <c r="Q31" s="99"/>
      <c r="R31" s="99"/>
      <c r="S31" s="99"/>
      <c r="T31" s="99"/>
      <c r="V31" s="100"/>
      <c r="W31" s="97">
        <v>8</v>
      </c>
      <c r="X31" s="1139">
        <f>ROUND(IF(S16&lt;6,0,S7+(3*H37)+40+300),-1)</f>
        <v>0</v>
      </c>
      <c r="Y31" s="97" t="str">
        <f>+VLOOKUP(144,TRADUZIONI,DATI!$C$2-1,0)</f>
        <v>Nr. Cord</v>
      </c>
      <c r="Z31" s="97" t="str">
        <f>+VLOOKUP(60,TRADUZIONI,DATI!$C$2-1,0)</f>
        <v>LUNGHEZZA</v>
      </c>
    </row>
    <row r="32" spans="2:26" ht="36" customHeight="1">
      <c r="B32" s="98"/>
      <c r="C32" s="99"/>
      <c r="D32" s="109"/>
      <c r="E32" s="99"/>
      <c r="F32" s="119"/>
      <c r="G32" s="70" t="str">
        <f>IF(S16&gt;=6,F31+H37,"")</f>
        <v/>
      </c>
      <c r="H32" s="136"/>
      <c r="I32" s="136"/>
      <c r="J32" s="136"/>
      <c r="K32" s="109"/>
      <c r="L32" s="99"/>
      <c r="M32" s="98"/>
      <c r="N32" s="99"/>
      <c r="O32" s="137" t="str">
        <f>IF(S16&lt;4,"NO",IF(S16&gt;=6,CONCATENATE("N. Cord. ",IF(S16&lt;=4,"NO","2")," lung. ",TEXT(IF(S16&lt;=4,"NO",IF(S16&gt;=6,S7+(2*H37)+40+300)),"0")),"NO"))</f>
        <v>NO</v>
      </c>
      <c r="P32" s="99"/>
      <c r="Q32" s="99"/>
      <c r="R32" s="99"/>
      <c r="S32" s="99"/>
      <c r="T32" s="99"/>
      <c r="V32" s="100"/>
      <c r="W32" s="97">
        <v>6</v>
      </c>
      <c r="X32" s="1139">
        <f>ROUND(IF(S16&lt;=4,0,S7+(2*H37)+40+300),-1)</f>
        <v>0</v>
      </c>
    </row>
    <row r="33" spans="2:24" ht="36" customHeight="1">
      <c r="B33" s="98"/>
      <c r="C33" s="99"/>
      <c r="D33" s="109"/>
      <c r="E33" s="99"/>
      <c r="F33" s="119"/>
      <c r="G33" s="120"/>
      <c r="H33" s="2275" t="str">
        <f>IF(S16&gt;=7,G32+H37,"")</f>
        <v/>
      </c>
      <c r="I33" s="2275"/>
      <c r="J33" s="136"/>
      <c r="K33" s="109"/>
      <c r="L33" s="99"/>
      <c r="M33" s="98"/>
      <c r="N33" s="99"/>
      <c r="O33" s="137" t="str">
        <f>IF(OR(S16=0,S16=2),"NO",IF(S16&gt;2,CONCATENATE(Y31,". ",IF(OR(S16=0,S16=2),"0",IF(S16&gt;2,"2",))," ",Z31,". ",TEXT(CEILING(IF(S16&gt;=4,S7+(1*H37)+340,"NO"),10),"0"))))</f>
        <v>Nr. Cord. 2 LUNGHEZZA. 2970</v>
      </c>
      <c r="P33" s="99"/>
      <c r="Q33" s="99"/>
      <c r="R33" s="99"/>
      <c r="S33" s="99"/>
      <c r="T33" s="99"/>
      <c r="V33" s="100"/>
      <c r="W33" s="97">
        <v>4</v>
      </c>
      <c r="X33" s="1139">
        <f>IF(S16&lt;=2,0,CEILING(S7+(1*H37)+340,10))</f>
        <v>2970</v>
      </c>
    </row>
    <row r="34" spans="2:24" ht="36" customHeight="1">
      <c r="B34" s="98"/>
      <c r="C34" s="99"/>
      <c r="D34" s="109"/>
      <c r="E34" s="99"/>
      <c r="F34" s="119"/>
      <c r="G34" s="120"/>
      <c r="H34" s="136"/>
      <c r="I34" s="136"/>
      <c r="J34" s="2215" t="str">
        <f>IF(S16=8,H33+H37,"")</f>
        <v/>
      </c>
      <c r="K34" s="2215"/>
      <c r="L34" s="99"/>
      <c r="M34" s="98"/>
      <c r="N34" s="99"/>
      <c r="O34" s="137" t="str">
        <f>CONCATENATE(Y31,". 2 ",Z31,". ",TEXT(CEILING(+S7+(Q7-40)+300,10),0))</f>
        <v>Nr. Cord. 2 LUNGHEZZA. 3860</v>
      </c>
      <c r="P34" s="99"/>
      <c r="Q34" s="136"/>
      <c r="R34" s="107"/>
      <c r="S34" s="99"/>
      <c r="T34" s="99"/>
      <c r="V34" s="100"/>
      <c r="X34" s="1139">
        <f>CEILING(+S7+(Q7-40)+300,10)</f>
        <v>3860</v>
      </c>
    </row>
    <row r="35" spans="2:24" ht="36" customHeight="1">
      <c r="B35" s="98"/>
      <c r="C35" s="99"/>
      <c r="D35" s="109"/>
      <c r="E35" s="99"/>
      <c r="F35" s="119"/>
      <c r="G35" s="120"/>
      <c r="H35" s="136"/>
      <c r="I35" s="136"/>
      <c r="J35" s="136"/>
      <c r="K35" s="109"/>
      <c r="L35" s="99"/>
      <c r="M35" s="98"/>
      <c r="N35" s="99"/>
      <c r="O35" s="99"/>
      <c r="P35" s="99"/>
      <c r="Q35" s="136" t="s">
        <v>37</v>
      </c>
      <c r="R35" s="107"/>
      <c r="S35" s="99"/>
      <c r="T35" s="99"/>
      <c r="U35" s="99"/>
      <c r="V35" s="100"/>
    </row>
    <row r="36" spans="2:24">
      <c r="B36" s="98"/>
      <c r="C36" s="99"/>
      <c r="D36" s="99"/>
      <c r="E36" s="99"/>
      <c r="F36" s="99"/>
      <c r="G36" s="99"/>
      <c r="H36" s="99"/>
      <c r="I36" s="99"/>
      <c r="J36" s="99"/>
      <c r="K36" s="99"/>
      <c r="L36" s="100"/>
      <c r="M36" s="138"/>
      <c r="N36" s="889"/>
      <c r="O36" s="99"/>
      <c r="P36" s="99"/>
      <c r="Q36" s="120" t="s">
        <v>37</v>
      </c>
      <c r="R36" s="139"/>
      <c r="S36" s="99"/>
      <c r="T36" s="99"/>
      <c r="U36" s="99"/>
      <c r="V36" s="100"/>
    </row>
    <row r="37" spans="2:24" ht="27.75">
      <c r="B37" s="98"/>
      <c r="C37" s="1440" t="str">
        <f>+VLOOKUP(41,TRADUZIONI,DATI!$C$2-1,0)</f>
        <v>DIST.STD TRA FORI RETE</v>
      </c>
      <c r="D37" s="1441"/>
      <c r="E37" s="1441"/>
      <c r="F37" s="101"/>
      <c r="G37" s="1438"/>
      <c r="H37" s="74">
        <f>(F22-80)/(S16-1)</f>
        <v>428.66666666666669</v>
      </c>
      <c r="I37" s="1438"/>
      <c r="J37" s="1438"/>
      <c r="K37" s="1439"/>
      <c r="L37" s="100"/>
      <c r="M37" s="140"/>
      <c r="N37" s="109"/>
      <c r="O37" s="107" t="s">
        <v>37</v>
      </c>
      <c r="P37" s="109"/>
      <c r="Q37" s="107"/>
      <c r="R37" s="119"/>
      <c r="S37" s="107"/>
      <c r="T37" s="109"/>
      <c r="U37" s="109"/>
      <c r="V37" s="141"/>
    </row>
    <row r="38" spans="2:24" ht="28.5">
      <c r="B38" s="98"/>
      <c r="C38" s="142"/>
      <c r="D38" s="143"/>
      <c r="E38" s="143"/>
      <c r="F38" s="22"/>
      <c r="G38" s="144"/>
      <c r="H38" s="144"/>
      <c r="I38" s="144"/>
      <c r="J38" s="144"/>
      <c r="K38" s="144"/>
      <c r="L38" s="100"/>
      <c r="M38" s="2258" t="str">
        <f>+VLOOKUP(119,TRADUZIONI,DATI!$C$2-1,0)</f>
        <v>ANNODARE SINGOLARMENTE AI PASSACORDINI SUPERIORI</v>
      </c>
      <c r="N38" s="2259"/>
      <c r="O38" s="2259"/>
      <c r="P38" s="2259"/>
      <c r="Q38" s="2259"/>
      <c r="R38" s="2259"/>
      <c r="S38" s="2259"/>
      <c r="T38" s="2259"/>
      <c r="U38" s="2259"/>
      <c r="V38" s="2260"/>
    </row>
    <row r="39" spans="2:24" ht="15.75" thickBot="1">
      <c r="B39" s="145"/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45"/>
      <c r="N39" s="114"/>
      <c r="O39" s="146"/>
      <c r="P39" s="114"/>
      <c r="Q39" s="114"/>
      <c r="R39" s="114"/>
      <c r="S39" s="114"/>
      <c r="T39" s="114"/>
      <c r="U39" s="147"/>
      <c r="V39" s="148"/>
    </row>
    <row r="40" spans="2:24" ht="44.25" customHeight="1">
      <c r="B40" s="220"/>
      <c r="C40" s="219" t="str">
        <f>+VLOOKUP(139,TRADUZIONI,DATI!$C$2-1,0)</f>
        <v>QUADRO D</v>
      </c>
      <c r="D40" s="2248" t="str">
        <f>+VLOOKUP(113,TRADUZIONI,DATI!$C$2-1,0)</f>
        <v>CONTROLLO CORDINI - POST ASSEMBLAGGIO</v>
      </c>
      <c r="E40" s="2248"/>
      <c r="F40" s="2248"/>
      <c r="G40" s="2248"/>
      <c r="H40" s="2248"/>
      <c r="I40" s="2248"/>
      <c r="J40" s="2248"/>
      <c r="K40" s="2248"/>
      <c r="L40" s="2249"/>
      <c r="M40" s="220"/>
      <c r="N40" s="888"/>
      <c r="O40" s="219" t="str">
        <f>+VLOOKUP(140,TRADUZIONI,DATI!$C$2-1,0)</f>
        <v>QUADRO E</v>
      </c>
      <c r="P40" s="2250" t="str">
        <f>+VLOOKUP(122,TRADUZIONI,DATI!$C$2-1,0)</f>
        <v>ALLUMINIO E SPAZZOLINO</v>
      </c>
      <c r="Q40" s="2250"/>
      <c r="R40" s="2250"/>
      <c r="S40" s="2250"/>
      <c r="T40" s="2250"/>
      <c r="U40" s="2250"/>
      <c r="V40" s="2251"/>
    </row>
    <row r="41" spans="2:24" ht="31.5" customHeight="1">
      <c r="B41" s="149"/>
      <c r="C41" s="150"/>
      <c r="D41" s="150"/>
      <c r="E41" s="150"/>
      <c r="F41" s="150"/>
      <c r="G41" s="150"/>
      <c r="H41" s="150"/>
      <c r="I41" s="150"/>
      <c r="J41" s="150"/>
      <c r="K41" s="150"/>
      <c r="L41" s="150"/>
      <c r="M41" s="13"/>
      <c r="N41" s="54"/>
      <c r="O41" s="17"/>
      <c r="P41" s="17"/>
      <c r="Q41" s="17"/>
      <c r="R41" s="17"/>
      <c r="S41" s="99"/>
      <c r="T41" s="113"/>
      <c r="U41" s="113"/>
      <c r="V41" s="21"/>
    </row>
    <row r="42" spans="2:24" ht="27.75">
      <c r="B42" s="149"/>
      <c r="C42" s="150"/>
      <c r="D42" s="150"/>
      <c r="E42" s="150"/>
      <c r="F42" s="150"/>
      <c r="G42" s="151" t="str">
        <f>+VLOOKUP(152,TRADUZIONI,DATI!$C$2-1,0)</f>
        <v>LUNG. Min. CORDINO</v>
      </c>
      <c r="H42" s="150"/>
      <c r="I42" s="150"/>
      <c r="J42" s="150"/>
      <c r="K42" s="150"/>
      <c r="L42" s="150"/>
      <c r="M42" s="13"/>
      <c r="N42" s="54"/>
      <c r="O42" s="2222" t="str">
        <f>+VLOOKUP(153,TRADUZIONI,DATI!$C$2-1,0)</f>
        <v>BARRA SCORREVOLE</v>
      </c>
      <c r="P42" s="2223"/>
      <c r="Q42" s="2223"/>
      <c r="R42" s="2223"/>
      <c r="S42" s="2223"/>
      <c r="T42" s="2223"/>
      <c r="U42" s="2224"/>
      <c r="V42" s="21"/>
    </row>
    <row r="43" spans="2:24" ht="31.5" customHeight="1">
      <c r="B43" s="149"/>
      <c r="C43" s="152" t="str">
        <f>+VLOOKUP(97,TRADUZIONI,DATI!$C$2-1,0)</f>
        <v>ALTEZZA</v>
      </c>
      <c r="D43" s="153">
        <f>+S7</f>
        <v>2200</v>
      </c>
      <c r="E43" s="154" t="s">
        <v>88</v>
      </c>
      <c r="F43" s="154" t="s">
        <v>89</v>
      </c>
      <c r="G43" s="155">
        <f>+D43+E43</f>
        <v>2400</v>
      </c>
      <c r="H43" s="156"/>
      <c r="I43" s="150"/>
      <c r="J43" s="150"/>
      <c r="K43" s="150"/>
      <c r="L43" s="150"/>
      <c r="M43" s="13"/>
      <c r="N43" s="54"/>
      <c r="O43" s="17"/>
      <c r="P43" s="17"/>
      <c r="Q43" s="17"/>
      <c r="R43" s="17"/>
      <c r="S43" s="99"/>
      <c r="T43" s="113"/>
      <c r="U43" s="113"/>
      <c r="V43" s="21"/>
    </row>
    <row r="44" spans="2:24" ht="31.5" thickBot="1">
      <c r="B44" s="149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77"/>
      <c r="N44" s="890"/>
      <c r="O44" s="56" t="str">
        <f>+VLOOKUP(78,TRADUZIONI,DATI!C2-1,0)</f>
        <v>PEZZI /PZ.</v>
      </c>
      <c r="P44" s="157">
        <f>1*Q11</f>
        <v>1</v>
      </c>
      <c r="Q44" s="113"/>
      <c r="R44" s="113"/>
      <c r="S44" s="99"/>
      <c r="T44" s="113"/>
      <c r="U44" s="113"/>
      <c r="V44" s="12"/>
    </row>
    <row r="45" spans="2:24" ht="18.75">
      <c r="B45" s="221"/>
      <c r="C45" s="222"/>
      <c r="D45" s="222"/>
      <c r="E45" s="222"/>
      <c r="F45" s="222"/>
      <c r="G45" s="222"/>
      <c r="H45" s="222"/>
      <c r="I45" s="222"/>
      <c r="J45" s="222"/>
      <c r="K45" s="222"/>
      <c r="L45" s="223"/>
      <c r="M45" s="13"/>
      <c r="N45" s="54"/>
      <c r="O45" s="17"/>
      <c r="P45" s="17"/>
      <c r="Q45" s="17"/>
      <c r="R45" s="17"/>
      <c r="S45" s="99"/>
      <c r="T45" s="113"/>
      <c r="U45" s="113"/>
      <c r="V45" s="21"/>
    </row>
    <row r="46" spans="2:24" ht="30.75">
      <c r="B46" s="224"/>
      <c r="C46" s="2261" t="str">
        <f>+IF(DATI!$C$12=1,"",VLOOKUP(38,TRADUZIONI,DATI!$C$2-1,0))</f>
        <v>RETE GRIGIA</v>
      </c>
      <c r="D46" s="2261"/>
      <c r="E46" s="2261"/>
      <c r="F46" s="2261"/>
      <c r="G46" s="2261"/>
      <c r="H46" s="2261"/>
      <c r="I46" s="2261"/>
      <c r="J46" s="2261"/>
      <c r="K46" s="225"/>
      <c r="L46" s="225"/>
      <c r="M46" s="81"/>
      <c r="N46" s="891"/>
      <c r="O46" s="56" t="str">
        <f>+VLOOKUP(121,TRADUZIONI,DATI!$C$2-1,0)&amp;" 104) ="</f>
        <v>LUNGH. (BASE 104) =</v>
      </c>
      <c r="P46" s="158"/>
      <c r="Q46" s="101"/>
      <c r="R46" s="101"/>
      <c r="S46" s="2227">
        <f>+Q7-104</f>
        <v>1296</v>
      </c>
      <c r="T46" s="2228"/>
      <c r="U46" s="113"/>
      <c r="V46" s="82"/>
    </row>
    <row r="47" spans="2:24" ht="18.75">
      <c r="B47" s="224"/>
      <c r="C47" s="2261"/>
      <c r="D47" s="2261"/>
      <c r="E47" s="2261"/>
      <c r="F47" s="2261"/>
      <c r="G47" s="2261"/>
      <c r="H47" s="2261"/>
      <c r="I47" s="2261"/>
      <c r="J47" s="2261"/>
      <c r="K47" s="225"/>
      <c r="L47" s="225"/>
      <c r="M47" s="13"/>
      <c r="N47" s="54"/>
      <c r="O47" s="17"/>
      <c r="P47" s="17"/>
      <c r="Q47" s="17"/>
      <c r="R47" s="17"/>
      <c r="S47" s="99"/>
      <c r="T47" s="113"/>
      <c r="U47" s="113"/>
      <c r="V47" s="21"/>
    </row>
    <row r="48" spans="2:24" ht="31.5" thickBot="1">
      <c r="B48" s="224"/>
      <c r="C48" s="225"/>
      <c r="D48" s="225"/>
      <c r="E48" s="225"/>
      <c r="F48" s="225"/>
      <c r="G48" s="225"/>
      <c r="H48" s="225"/>
      <c r="I48" s="225"/>
      <c r="J48" s="225"/>
      <c r="K48" s="225"/>
      <c r="L48" s="225"/>
      <c r="M48" s="13"/>
      <c r="N48" s="54"/>
      <c r="O48" s="56" t="str">
        <f>+VLOOKUP(120,TRADUZIONI,DATI!$C$2-1,0)</f>
        <v>LUNG. "SPAZZOLINO 6x9"</v>
      </c>
      <c r="P48" s="158"/>
      <c r="Q48" s="101"/>
      <c r="R48" s="101"/>
      <c r="S48" s="2227">
        <f>+Q7-32</f>
        <v>1368</v>
      </c>
      <c r="T48" s="2228"/>
      <c r="U48" s="113"/>
      <c r="V48" s="21"/>
    </row>
    <row r="49" spans="2:22" ht="44.25" customHeight="1">
      <c r="B49" s="220"/>
      <c r="C49" s="219" t="str">
        <f>+VLOOKUP(141,TRADUZIONI,DATI!$C$2-1,0)</f>
        <v>QUADRO F</v>
      </c>
      <c r="D49" s="2248" t="str">
        <f>+VLOOKUP(155,TRADUZIONI,DATI!$C$2-1,0)</f>
        <v>IMBALLO</v>
      </c>
      <c r="E49" s="2248"/>
      <c r="F49" s="2248"/>
      <c r="G49" s="2248"/>
      <c r="H49" s="2248"/>
      <c r="I49" s="2248"/>
      <c r="J49" s="2248"/>
      <c r="K49" s="2248"/>
      <c r="L49" s="2249"/>
      <c r="M49" s="13"/>
      <c r="N49" s="54"/>
      <c r="O49" s="159"/>
      <c r="P49" s="159"/>
      <c r="Q49" s="99"/>
      <c r="R49" s="99"/>
      <c r="S49" s="16"/>
      <c r="T49" s="16"/>
      <c r="U49" s="113"/>
      <c r="V49" s="21"/>
    </row>
    <row r="50" spans="2:22" ht="30.75">
      <c r="B50" s="98"/>
      <c r="C50" s="99"/>
      <c r="D50" s="99"/>
      <c r="E50" s="99"/>
      <c r="F50" s="99"/>
      <c r="G50" s="99"/>
      <c r="H50" s="99"/>
      <c r="I50" s="99"/>
      <c r="J50" s="99"/>
      <c r="K50" s="99"/>
      <c r="L50" s="100"/>
      <c r="M50" s="13"/>
      <c r="N50" s="54"/>
      <c r="O50" s="160" t="str">
        <f>+VLOOKUP(154,TRADUZIONI,DATI!$C$2-1,0)</f>
        <v>ATTENZIONE</v>
      </c>
      <c r="P50" s="161"/>
      <c r="Q50" s="162"/>
      <c r="R50" s="162"/>
      <c r="S50" s="163"/>
      <c r="T50" s="163"/>
      <c r="U50" s="164"/>
      <c r="V50" s="21"/>
    </row>
    <row r="51" spans="2:22" ht="28.5">
      <c r="B51" s="98"/>
      <c r="C51" s="165" t="str">
        <f>+VLOOKUP(69,TRADUZIONI,DATI!$C$2-1,0)</f>
        <v>IMBALLARE INSIEME</v>
      </c>
      <c r="D51" s="166"/>
      <c r="E51" s="167"/>
      <c r="F51" s="99"/>
      <c r="G51" s="168"/>
      <c r="H51" s="99"/>
      <c r="I51" s="99"/>
      <c r="J51" s="99"/>
      <c r="K51" s="99"/>
      <c r="L51" s="100"/>
      <c r="M51" s="13"/>
      <c r="N51" s="54"/>
      <c r="O51" s="169" t="str">
        <f>+VLOOKUP(124,TRADUZIONI,DATI!$C$2-1,0)</f>
        <v>SCANTONARE 3 mm X LATO SU SCORREVOLE</v>
      </c>
      <c r="P51" s="170"/>
      <c r="Q51" s="170"/>
      <c r="R51" s="170"/>
      <c r="S51" s="170"/>
      <c r="T51" s="170"/>
      <c r="U51" s="171"/>
      <c r="V51" s="21"/>
    </row>
    <row r="52" spans="2:22" ht="28.5">
      <c r="B52" s="98"/>
      <c r="C52" s="172"/>
      <c r="D52" s="173" t="str">
        <f>+VLOOKUP(125,TRADUZIONI,DATI!$C$2-1,0)</f>
        <v>GUIDA</v>
      </c>
      <c r="E52" s="99"/>
      <c r="F52" s="168"/>
      <c r="G52" s="168"/>
      <c r="H52" s="99"/>
      <c r="I52" s="99"/>
      <c r="J52" s="99"/>
      <c r="K52" s="99"/>
      <c r="L52" s="100"/>
      <c r="M52" s="84"/>
      <c r="N52" s="892"/>
      <c r="O52" s="29"/>
      <c r="P52" s="29"/>
      <c r="Q52" s="29"/>
      <c r="R52" s="29"/>
      <c r="S52" s="29"/>
      <c r="T52" s="29"/>
      <c r="U52" s="29"/>
      <c r="V52" s="85"/>
    </row>
    <row r="53" spans="2:22" ht="28.5">
      <c r="B53" s="98"/>
      <c r="C53" s="174"/>
      <c r="D53" s="173" t="str">
        <f>+VLOOKUP(72,TRADUZIONI,DATI!$C$2-1,0)</f>
        <v>SET ACCESSORI</v>
      </c>
      <c r="E53" s="99"/>
      <c r="F53" s="119"/>
      <c r="G53" s="107"/>
      <c r="H53" s="99"/>
      <c r="I53" s="99"/>
      <c r="J53" s="99"/>
      <c r="K53" s="99"/>
      <c r="L53" s="100"/>
      <c r="M53" s="13"/>
      <c r="N53" s="54"/>
      <c r="O53" s="17"/>
      <c r="P53" s="17"/>
      <c r="Q53" s="17"/>
      <c r="R53" s="17"/>
      <c r="S53" s="99"/>
      <c r="T53" s="113"/>
      <c r="U53" s="113"/>
      <c r="V53" s="21"/>
    </row>
    <row r="54" spans="2:22" ht="28.5">
      <c r="B54" s="98"/>
      <c r="C54" s="174"/>
      <c r="D54" s="173" t="str">
        <f>+VLOOKUP(123,TRADUZIONI,DATI!$C$2-1,0)</f>
        <v>Opuscolo gioconda</v>
      </c>
      <c r="E54" s="99"/>
      <c r="F54" s="119"/>
      <c r="G54" s="107"/>
      <c r="H54" s="99"/>
      <c r="I54" s="99"/>
      <c r="J54" s="99"/>
      <c r="K54" s="99"/>
      <c r="L54" s="100"/>
      <c r="M54" s="13"/>
      <c r="N54" s="54"/>
      <c r="O54" s="2222" t="str">
        <f>+VLOOKUP(157,TRADUZIONI,DATI!$C$2-1,0)</f>
        <v>CASSONETTO</v>
      </c>
      <c r="P54" s="2223"/>
      <c r="Q54" s="2223"/>
      <c r="R54" s="2223"/>
      <c r="S54" s="2223"/>
      <c r="T54" s="2223"/>
      <c r="U54" s="2224"/>
      <c r="V54" s="21"/>
    </row>
    <row r="55" spans="2:22" ht="18.75">
      <c r="B55" s="175"/>
      <c r="C55" s="176"/>
      <c r="D55" s="177"/>
      <c r="E55" s="177"/>
      <c r="F55" s="177"/>
      <c r="G55" s="177"/>
      <c r="H55" s="177"/>
      <c r="I55" s="177"/>
      <c r="J55" s="177"/>
      <c r="K55" s="177"/>
      <c r="L55" s="178"/>
      <c r="M55" s="13"/>
      <c r="N55" s="54"/>
      <c r="O55" s="17"/>
      <c r="P55" s="17"/>
      <c r="Q55" s="17"/>
      <c r="R55" s="17"/>
      <c r="S55" s="99"/>
      <c r="T55" s="113"/>
      <c r="U55" s="113"/>
      <c r="V55" s="21"/>
    </row>
    <row r="56" spans="2:22" ht="30.75">
      <c r="B56" s="179" t="s">
        <v>37</v>
      </c>
      <c r="C56" s="180"/>
      <c r="D56" s="180"/>
      <c r="E56" s="180"/>
      <c r="F56" s="180"/>
      <c r="G56" s="180"/>
      <c r="H56" s="180"/>
      <c r="I56" s="180"/>
      <c r="J56" s="180"/>
      <c r="K56" s="180"/>
      <c r="L56" s="181"/>
      <c r="M56" s="13"/>
      <c r="N56" s="54"/>
      <c r="O56" s="78" t="str">
        <f>+VLOOKUP(78,TRADUZIONI,DATI!C2-1,0)</f>
        <v>PEZZI /PZ.</v>
      </c>
      <c r="P56" s="157">
        <f>1*Q11</f>
        <v>1</v>
      </c>
      <c r="Q56" s="80"/>
      <c r="R56" s="80"/>
      <c r="S56" s="99"/>
      <c r="T56" s="113"/>
      <c r="U56" s="113"/>
      <c r="V56" s="21"/>
    </row>
    <row r="57" spans="2:22" ht="21">
      <c r="B57" s="182" t="s">
        <v>37</v>
      </c>
      <c r="C57" s="183"/>
      <c r="D57" s="184" t="str">
        <f>+VLOOKUP(47,TRADUZIONI,DATI!$C$2-1,0)</f>
        <v xml:space="preserve">BIANCO </v>
      </c>
      <c r="E57" s="184" t="str">
        <f>+VLOOKUP(74,TRADUZIONI,DATI!$C$2-1,0)</f>
        <v>NEUTRO</v>
      </c>
      <c r="F57" s="2262" t="str">
        <f>+VLOOKUP(83,TRADUZIONI,DATI!$C$2-1,0)</f>
        <v>PERSONALIZZATO</v>
      </c>
      <c r="G57" s="2263"/>
      <c r="H57" s="183"/>
      <c r="I57" s="183"/>
      <c r="J57" s="183"/>
      <c r="K57" s="183"/>
      <c r="L57" s="185"/>
      <c r="M57" s="13"/>
      <c r="N57" s="54"/>
      <c r="O57" s="17"/>
      <c r="P57" s="17"/>
      <c r="Q57" s="17"/>
      <c r="R57" s="17"/>
      <c r="S57" s="99"/>
      <c r="T57" s="113"/>
      <c r="U57" s="113"/>
      <c r="V57" s="21"/>
    </row>
    <row r="58" spans="2:22" ht="30.75">
      <c r="B58" s="186"/>
      <c r="C58" s="183"/>
      <c r="D58" s="187" t="s">
        <v>44</v>
      </c>
      <c r="E58" s="188"/>
      <c r="F58" s="1443"/>
      <c r="G58" s="1442"/>
      <c r="H58" s="183"/>
      <c r="I58" s="183"/>
      <c r="J58" s="183"/>
      <c r="K58" s="183"/>
      <c r="L58" s="185"/>
      <c r="M58" s="13"/>
      <c r="N58" s="54"/>
      <c r="O58" s="2212" t="str">
        <f>+VLOOKUP(121,TRADUZIONI,DATI!$C$2-1,0)&amp;" - 32+2 ) ="</f>
        <v>LUNGH. (BASE - 32+2 ) =</v>
      </c>
      <c r="P58" s="2213"/>
      <c r="Q58" s="2213"/>
      <c r="R58" s="2213"/>
      <c r="S58" s="2227">
        <f>+Q7-34</f>
        <v>1366</v>
      </c>
      <c r="T58" s="2228"/>
      <c r="U58" s="113"/>
      <c r="V58" s="21"/>
    </row>
    <row r="59" spans="2:22" ht="21">
      <c r="B59" s="190"/>
      <c r="C59" s="183"/>
      <c r="D59" s="191">
        <v>0.05</v>
      </c>
      <c r="E59" s="192">
        <v>0.17499999999999999</v>
      </c>
      <c r="F59" s="193" t="s">
        <v>102</v>
      </c>
      <c r="G59" s="192">
        <f>(S7+300)/1000</f>
        <v>2.5</v>
      </c>
      <c r="H59" s="183"/>
      <c r="I59" s="183"/>
      <c r="J59" s="183"/>
      <c r="K59" s="183"/>
      <c r="L59" s="185"/>
      <c r="M59" s="13"/>
      <c r="N59" s="54"/>
      <c r="O59" s="17"/>
      <c r="P59" s="17"/>
      <c r="Q59" s="17"/>
      <c r="R59" s="17"/>
      <c r="S59" s="99"/>
      <c r="T59" s="113"/>
      <c r="U59" s="113"/>
      <c r="V59" s="21"/>
    </row>
    <row r="60" spans="2:22" ht="30.75">
      <c r="B60" s="194"/>
      <c r="C60" s="183"/>
      <c r="D60" s="191" t="str">
        <f>+VLOOKUP(75,TRADUZIONI,DATI!$C$2-1,0)</f>
        <v>CONFEZIONE</v>
      </c>
      <c r="E60" s="191"/>
      <c r="F60" s="192" t="str">
        <f>Q11</f>
        <v>1</v>
      </c>
      <c r="G60" s="191" t="s">
        <v>104</v>
      </c>
      <c r="H60" s="183"/>
      <c r="I60" s="183"/>
      <c r="J60" s="183"/>
      <c r="K60" s="183"/>
      <c r="L60" s="185"/>
      <c r="M60" s="13"/>
      <c r="N60" s="54"/>
      <c r="O60" s="2212" t="str">
        <f>+VLOOKUP(158,TRADUZIONI,DATI!C2-1,0)</f>
        <v>LUNG. "SPAZZOLINO 6x13"</v>
      </c>
      <c r="P60" s="2213"/>
      <c r="Q60" s="2213"/>
      <c r="R60" s="2213"/>
      <c r="S60" s="2227">
        <f>+Q7-5</f>
        <v>1395</v>
      </c>
      <c r="T60" s="2228"/>
      <c r="U60" s="113"/>
      <c r="V60" s="21"/>
    </row>
    <row r="61" spans="2:22" ht="21.75" thickBot="1">
      <c r="B61" s="195"/>
      <c r="C61" s="196"/>
      <c r="D61" s="197" t="str">
        <f>+VLOOKUP(76,TRADUZIONI,DATI!$C$2-1,0)</f>
        <v>VOLUME</v>
      </c>
      <c r="E61" s="197"/>
      <c r="F61" s="198">
        <f>(D59*E59*G59)*F60</f>
        <v>2.1874999999999999E-2</v>
      </c>
      <c r="G61" s="197" t="s">
        <v>106</v>
      </c>
      <c r="H61" s="196"/>
      <c r="I61" s="196"/>
      <c r="J61" s="196"/>
      <c r="K61" s="196"/>
      <c r="L61" s="199"/>
      <c r="M61" s="88"/>
      <c r="N61" s="893"/>
      <c r="O61" s="89"/>
      <c r="P61" s="89"/>
      <c r="Q61" s="89"/>
      <c r="R61" s="89"/>
      <c r="S61" s="89"/>
      <c r="T61" s="89"/>
      <c r="U61" s="89"/>
      <c r="V61" s="90"/>
    </row>
    <row r="62" spans="2:22" ht="44.25" customHeight="1">
      <c r="B62" s="220"/>
      <c r="C62" s="219" t="str">
        <f>+VLOOKUP(142,TRADUZIONI,DATI!$C$2-1,0)</f>
        <v>QUADRO G</v>
      </c>
      <c r="D62" s="2268" t="str">
        <f>+VLOOKUP(156,TRADUZIONI,DATI!$C$2-1,0)</f>
        <v>QUALITA'</v>
      </c>
      <c r="E62" s="2268"/>
      <c r="F62" s="2268"/>
      <c r="G62" s="2268"/>
      <c r="H62" s="2268"/>
      <c r="I62" s="2268"/>
      <c r="J62" s="2268"/>
      <c r="K62" s="2268"/>
      <c r="L62" s="2269"/>
      <c r="M62" s="13"/>
      <c r="N62" s="54"/>
      <c r="O62" s="17"/>
      <c r="P62" s="17"/>
      <c r="Q62" s="17"/>
      <c r="R62" s="17"/>
      <c r="S62" s="99"/>
      <c r="T62" s="113"/>
      <c r="U62" s="113"/>
      <c r="V62" s="21"/>
    </row>
    <row r="63" spans="2:22" ht="27.75">
      <c r="B63" s="2270" t="str">
        <f>+VLOOKUP(32,TRADUZIONI,DATI!$C$2-1,0)</f>
        <v>CONTROLLATO DA</v>
      </c>
      <c r="C63" s="2271"/>
      <c r="D63" s="2271"/>
      <c r="E63" s="2272"/>
      <c r="F63" s="2273" t="str">
        <f>+VLOOKUP(35,TRADUZIONI,DATI!$C$2-1,0)</f>
        <v>NOTE</v>
      </c>
      <c r="G63" s="2271"/>
      <c r="H63" s="2271"/>
      <c r="I63" s="2271"/>
      <c r="J63" s="2271"/>
      <c r="K63" s="2271"/>
      <c r="L63" s="2274"/>
      <c r="M63" s="13"/>
      <c r="N63" s="54"/>
      <c r="O63" s="2222" t="str">
        <f>+VLOOKUP(125,TRADUZIONI,DATI!$C$2-1,0)</f>
        <v>GUIDA</v>
      </c>
      <c r="P63" s="2223"/>
      <c r="Q63" s="2223"/>
      <c r="R63" s="2223"/>
      <c r="S63" s="2223"/>
      <c r="T63" s="2223"/>
      <c r="U63" s="2224"/>
      <c r="V63" s="21"/>
    </row>
    <row r="64" spans="2:22" ht="21">
      <c r="B64" s="2264" t="str">
        <f>+VLOOKUP(33,TRADUZIONI,DATI!$C$2-1,0)</f>
        <v>OPERATORE</v>
      </c>
      <c r="C64" s="2265"/>
      <c r="D64" s="2266" t="str">
        <f>+VLOOKUP(34,TRADUZIONI,DATI!$C$2-1,0)</f>
        <v>PRODUZIONE</v>
      </c>
      <c r="E64" s="2267"/>
      <c r="F64" s="2276">
        <f>+DATI!C13</f>
        <v>0</v>
      </c>
      <c r="G64" s="2277"/>
      <c r="H64" s="2277"/>
      <c r="I64" s="2277"/>
      <c r="J64" s="2277"/>
      <c r="K64" s="2277"/>
      <c r="L64" s="2278"/>
      <c r="M64" s="13"/>
      <c r="N64" s="54"/>
      <c r="O64" s="17"/>
      <c r="P64" s="17"/>
      <c r="Q64" s="17"/>
      <c r="R64" s="17"/>
      <c r="S64" s="99"/>
      <c r="T64" s="99"/>
      <c r="U64" s="99"/>
      <c r="V64" s="21"/>
    </row>
    <row r="65" spans="2:22" ht="28.5">
      <c r="B65" s="2282"/>
      <c r="C65" s="2283"/>
      <c r="D65" s="2286"/>
      <c r="E65" s="2287"/>
      <c r="F65" s="2279"/>
      <c r="G65" s="2280"/>
      <c r="H65" s="2280"/>
      <c r="I65" s="2280"/>
      <c r="J65" s="2280"/>
      <c r="K65" s="2280"/>
      <c r="L65" s="2281"/>
      <c r="M65" s="13"/>
      <c r="N65" s="54"/>
      <c r="O65" s="78" t="str">
        <f>+VLOOKUP(78,TRADUZIONI,DATI!C2-1,0)</f>
        <v>PEZZI /PZ.</v>
      </c>
      <c r="P65" s="200">
        <f>2*Q11</f>
        <v>2</v>
      </c>
      <c r="Q65" s="80"/>
      <c r="R65" s="80"/>
      <c r="S65" s="99"/>
      <c r="T65" s="99"/>
      <c r="U65" s="99"/>
      <c r="V65" s="21"/>
    </row>
    <row r="66" spans="2:22" ht="21">
      <c r="B66" s="2282"/>
      <c r="C66" s="2283"/>
      <c r="D66" s="2286"/>
      <c r="E66" s="2287"/>
      <c r="F66" s="2273" t="str">
        <f>+VLOOKUP(36,TRADUZIONI,DATI!$C$2-1,0)</f>
        <v xml:space="preserve">RETE </v>
      </c>
      <c r="G66" s="2271"/>
      <c r="H66" s="2271"/>
      <c r="I66" s="2273" t="str">
        <f>+VLOOKUP(37,TRADUZIONI,DATI!$C$2-1,0)</f>
        <v>LOTTO NR.</v>
      </c>
      <c r="J66" s="2271"/>
      <c r="K66" s="2271"/>
      <c r="L66" s="2274"/>
      <c r="M66" s="13"/>
      <c r="N66" s="54"/>
      <c r="O66" s="17"/>
      <c r="P66" s="17"/>
      <c r="Q66" s="17"/>
      <c r="R66" s="17"/>
      <c r="S66" s="99"/>
      <c r="T66" s="99"/>
      <c r="U66" s="99"/>
      <c r="V66" s="21"/>
    </row>
    <row r="67" spans="2:22" ht="28.5">
      <c r="B67" s="2282"/>
      <c r="C67" s="2283"/>
      <c r="D67" s="2286"/>
      <c r="E67" s="2287"/>
      <c r="F67" s="2254" t="str">
        <f>+IF(DATI!$C$12=1,"",VLOOKUP(38,TRADUZIONI,DATI!$C$2-1,0))</f>
        <v>RETE GRIGIA</v>
      </c>
      <c r="G67" s="2255"/>
      <c r="H67" s="2255"/>
      <c r="I67" s="2254"/>
      <c r="J67" s="2255"/>
      <c r="K67" s="2255"/>
      <c r="L67" s="2290"/>
      <c r="M67" s="13"/>
      <c r="N67" s="54"/>
      <c r="O67" s="56" t="str">
        <f>+VLOOKUP(129,TRADUZIONI,DATI!$C$2-1,0)&amp;"- 28) ="</f>
        <v>LUNGH. (ALTEZZA- 28) =</v>
      </c>
      <c r="P67" s="158"/>
      <c r="Q67" s="101"/>
      <c r="R67" s="101"/>
      <c r="S67" s="2236">
        <f>+S7-28</f>
        <v>2172</v>
      </c>
      <c r="T67" s="2237"/>
      <c r="U67" s="99"/>
      <c r="V67" s="21"/>
    </row>
    <row r="68" spans="2:22" ht="21.75" customHeight="1" thickBot="1">
      <c r="B68" s="2284"/>
      <c r="C68" s="2285"/>
      <c r="D68" s="2288"/>
      <c r="E68" s="2289"/>
      <c r="F68" s="2256"/>
      <c r="G68" s="2257"/>
      <c r="H68" s="2257"/>
      <c r="I68" s="2256"/>
      <c r="J68" s="2257"/>
      <c r="K68" s="2257"/>
      <c r="L68" s="2291"/>
      <c r="M68" s="75"/>
      <c r="N68" s="72"/>
      <c r="O68" s="44"/>
      <c r="P68" s="44"/>
      <c r="Q68" s="44"/>
      <c r="R68" s="44"/>
      <c r="S68" s="44"/>
      <c r="T68" s="44"/>
      <c r="U68" s="44"/>
      <c r="V68" s="73"/>
    </row>
    <row r="70" spans="2:22" ht="99.75">
      <c r="V70" s="204"/>
    </row>
  </sheetData>
  <mergeCells count="46">
    <mergeCell ref="H33:I33"/>
    <mergeCell ref="J34:K34"/>
    <mergeCell ref="F64:L65"/>
    <mergeCell ref="B65:C68"/>
    <mergeCell ref="D65:E68"/>
    <mergeCell ref="F66:H66"/>
    <mergeCell ref="I67:L68"/>
    <mergeCell ref="I66:L66"/>
    <mergeCell ref="S60:T60"/>
    <mergeCell ref="D62:L62"/>
    <mergeCell ref="B63:E63"/>
    <mergeCell ref="F63:L63"/>
    <mergeCell ref="O63:U63"/>
    <mergeCell ref="O60:R60"/>
    <mergeCell ref="S67:T67"/>
    <mergeCell ref="F67:H68"/>
    <mergeCell ref="M38:V38"/>
    <mergeCell ref="D49:L49"/>
    <mergeCell ref="O54:U54"/>
    <mergeCell ref="O58:R58"/>
    <mergeCell ref="S58:T58"/>
    <mergeCell ref="S48:T48"/>
    <mergeCell ref="D40:L40"/>
    <mergeCell ref="P40:V40"/>
    <mergeCell ref="O42:U42"/>
    <mergeCell ref="C46:J47"/>
    <mergeCell ref="S46:T46"/>
    <mergeCell ref="F57:G57"/>
    <mergeCell ref="B64:C64"/>
    <mergeCell ref="D64:E64"/>
    <mergeCell ref="C22:E22"/>
    <mergeCell ref="Q9:T9"/>
    <mergeCell ref="O11:P11"/>
    <mergeCell ref="F12:G12"/>
    <mergeCell ref="B2:V2"/>
    <mergeCell ref="E4:P4"/>
    <mergeCell ref="D6:G6"/>
    <mergeCell ref="O6:P7"/>
    <mergeCell ref="S6:T6"/>
    <mergeCell ref="S7:T7"/>
    <mergeCell ref="O9:P9"/>
    <mergeCell ref="D14:L14"/>
    <mergeCell ref="P14:V14"/>
    <mergeCell ref="F15:J20"/>
    <mergeCell ref="Q16:R16"/>
    <mergeCell ref="F10:G10"/>
  </mergeCells>
  <conditionalFormatting sqref="F12:G12">
    <cfRule type="expression" dxfId="3" priority="2" stopIfTrue="1">
      <formula>IF(#REF!=1,1,0)</formula>
    </cfRule>
  </conditionalFormatting>
  <printOptions horizontalCentered="1" gridLinesSet="0"/>
  <pageMargins left="0" right="0" top="0" bottom="0" header="0" footer="0"/>
  <pageSetup paperSize="9" scale="40" orientation="portrait" horizontalDpi="1200" verticalDpi="1200" r:id="rId1"/>
  <headerFooter alignWithMargins="0">
    <oddFooter>&amp;LREV. 09/05 - VER.1&amp;R&amp;D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>
    <tabColor theme="6" tint="-0.249977111117893"/>
    <pageSetUpPr fitToPage="1"/>
  </sheetPr>
  <dimension ref="A1:Z74"/>
  <sheetViews>
    <sheetView showGridLines="0" zoomScale="50" zoomScaleNormal="50" workbookViewId="0">
      <selection activeCell="C10" sqref="C10:K10"/>
    </sheetView>
  </sheetViews>
  <sheetFormatPr defaultColWidth="10.28515625" defaultRowHeight="15"/>
  <cols>
    <col min="1" max="1" width="34.85546875" style="97" customWidth="1"/>
    <col min="2" max="2" width="4.5703125" style="97" customWidth="1"/>
    <col min="3" max="3" width="32" style="97" customWidth="1"/>
    <col min="4" max="4" width="13.28515625" style="97" customWidth="1"/>
    <col min="5" max="5" width="21.140625" style="97" customWidth="1"/>
    <col min="6" max="6" width="15" style="97" customWidth="1"/>
    <col min="7" max="7" width="17.85546875" style="97" customWidth="1"/>
    <col min="8" max="9" width="9.28515625" style="97" customWidth="1"/>
    <col min="10" max="10" width="6.42578125" style="97" customWidth="1"/>
    <col min="11" max="11" width="9.85546875" style="97" customWidth="1"/>
    <col min="12" max="12" width="4.7109375" style="97" customWidth="1"/>
    <col min="13" max="13" width="3.7109375" style="97" customWidth="1"/>
    <col min="14" max="14" width="17.85546875" style="97" customWidth="1"/>
    <col min="15" max="15" width="13.85546875" style="97" customWidth="1"/>
    <col min="16" max="16" width="16.28515625" style="97" customWidth="1"/>
    <col min="17" max="17" width="9.7109375" style="97" customWidth="1"/>
    <col min="18" max="18" width="11.140625" style="97" customWidth="1"/>
    <col min="19" max="19" width="9.5703125" style="97" customWidth="1"/>
    <col min="20" max="20" width="19" style="97" customWidth="1"/>
    <col min="21" max="21" width="11.42578125" style="97" customWidth="1"/>
    <col min="22" max="22" width="6.5703125" style="97" customWidth="1"/>
    <col min="23" max="23" width="10.28515625" style="97"/>
    <col min="24" max="24" width="14.42578125" style="97" bestFit="1" customWidth="1"/>
    <col min="25" max="16384" width="10.28515625" style="97"/>
  </cols>
  <sheetData>
    <row r="1" spans="1:22" ht="18">
      <c r="A1" s="6"/>
    </row>
    <row r="2" spans="1:22" ht="33.75">
      <c r="A2" s="6"/>
      <c r="B2" s="2240" t="str">
        <f>+VLOOKUP(135,TRADUZIONI,DATI!C2-1,0)</f>
        <v>FOGLIO LAVORO GIOCONDA LATERALE</v>
      </c>
      <c r="C2" s="2241"/>
      <c r="D2" s="2241"/>
      <c r="E2" s="2241"/>
      <c r="F2" s="2241"/>
      <c r="G2" s="2241"/>
      <c r="H2" s="2241"/>
      <c r="I2" s="2241"/>
      <c r="J2" s="2241"/>
      <c r="K2" s="2241"/>
      <c r="L2" s="2241"/>
      <c r="M2" s="2241"/>
      <c r="N2" s="2241"/>
      <c r="O2" s="2241"/>
      <c r="P2" s="2241"/>
      <c r="Q2" s="2241"/>
      <c r="R2" s="2241"/>
      <c r="S2" s="2241"/>
      <c r="T2" s="2241"/>
      <c r="U2" s="2241"/>
      <c r="V2" s="2241"/>
    </row>
    <row r="3" spans="1:22" ht="18.75" thickBot="1">
      <c r="A3" s="6"/>
    </row>
    <row r="4" spans="1:22" ht="44.25" customHeight="1">
      <c r="A4" s="6"/>
      <c r="B4" s="220"/>
      <c r="C4" s="219" t="str">
        <f>+VLOOKUP(108,TRADUZIONI,DATI!$C$2-1,0)</f>
        <v>QUADRO A</v>
      </c>
      <c r="D4" s="215"/>
      <c r="E4" s="2197" t="str">
        <f>+VLOOKUP(109,TRADUZIONI,DATI!$C$2-1,0)</f>
        <v>DATI ORDINE</v>
      </c>
      <c r="F4" s="2197"/>
      <c r="G4" s="2197"/>
      <c r="H4" s="2197"/>
      <c r="I4" s="2197"/>
      <c r="J4" s="2197"/>
      <c r="K4" s="2197"/>
      <c r="L4" s="2197"/>
      <c r="M4" s="2197"/>
      <c r="N4" s="2197"/>
      <c r="O4" s="2197"/>
      <c r="P4" s="216"/>
      <c r="Q4" s="215"/>
      <c r="R4" s="215"/>
      <c r="S4" s="215"/>
      <c r="T4" s="215"/>
      <c r="U4" s="215"/>
      <c r="V4" s="217"/>
    </row>
    <row r="5" spans="1:22" ht="18">
      <c r="A5" s="6"/>
      <c r="B5" s="98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100"/>
    </row>
    <row r="6" spans="1:22" ht="30.75">
      <c r="B6" s="98"/>
      <c r="C6" s="1432" t="str">
        <f>+VLOOKUP(22,TRADUZIONI,DATI!C2-1,0)</f>
        <v>CLIENTE</v>
      </c>
      <c r="D6" s="2198">
        <f>+DATI!C6</f>
        <v>0</v>
      </c>
      <c r="E6" s="2198"/>
      <c r="F6" s="2198"/>
      <c r="G6" s="2198"/>
      <c r="H6" s="101"/>
      <c r="I6" s="101"/>
      <c r="J6" s="101"/>
      <c r="K6" s="102"/>
      <c r="L6" s="103"/>
      <c r="M6" s="104"/>
      <c r="N6" s="2242" t="str">
        <f>+VLOOKUP(115,TRADUZIONI,DATI!C2-1,0)</f>
        <v xml:space="preserve">DIMENSIONI </v>
      </c>
      <c r="O6" s="2243"/>
      <c r="P6" s="14" t="str">
        <f>+VLOOKUP(96,TRADUZIONI,DATI!C2-1,0)</f>
        <v>BASE</v>
      </c>
      <c r="Q6" s="19"/>
      <c r="R6" s="2213" t="str">
        <f>+VLOOKUP(97,TRADUZIONI,DATI!C2-1,0)</f>
        <v>ALTEZZA</v>
      </c>
      <c r="S6" s="2229"/>
      <c r="T6" s="99"/>
      <c r="U6" s="99"/>
      <c r="V6" s="100"/>
    </row>
    <row r="7" spans="1:22" ht="29.25" customHeight="1">
      <c r="B7" s="98"/>
      <c r="C7" s="99"/>
      <c r="D7" s="99" t="s">
        <v>37</v>
      </c>
      <c r="E7" s="99"/>
      <c r="F7" s="99"/>
      <c r="G7" s="99"/>
      <c r="H7" s="99"/>
      <c r="I7" s="99"/>
      <c r="J7" s="99"/>
      <c r="K7" s="99"/>
      <c r="L7" s="103"/>
      <c r="M7" s="104"/>
      <c r="N7" s="2244"/>
      <c r="O7" s="2245"/>
      <c r="P7" s="23">
        <f>+DATI!C7</f>
        <v>1400</v>
      </c>
      <c r="Q7" s="24" t="s">
        <v>44</v>
      </c>
      <c r="R7" s="2246">
        <f>+DATI!C8</f>
        <v>2200</v>
      </c>
      <c r="S7" s="2247"/>
      <c r="T7" s="99"/>
      <c r="U7" s="99"/>
      <c r="V7" s="100"/>
    </row>
    <row r="8" spans="1:22" ht="30.75">
      <c r="B8" s="98"/>
      <c r="C8" s="14" t="str">
        <f>+VLOOKUP(23,TRADUZIONI,DATI!C2-1,0)</f>
        <v>NUM. ORDINE</v>
      </c>
      <c r="D8" s="105">
        <f>+DATI!C4</f>
        <v>0</v>
      </c>
      <c r="E8" s="105"/>
      <c r="F8" s="105"/>
      <c r="G8" s="105"/>
      <c r="H8" s="101"/>
      <c r="I8" s="101"/>
      <c r="J8" s="101"/>
      <c r="K8" s="102"/>
      <c r="L8" s="103"/>
      <c r="M8" s="104"/>
      <c r="N8" s="99"/>
      <c r="O8" s="99"/>
      <c r="P8" s="99"/>
      <c r="Q8" s="99"/>
      <c r="R8" s="106"/>
      <c r="S8" s="99"/>
      <c r="T8" s="99"/>
      <c r="U8" s="99"/>
      <c r="V8" s="100"/>
    </row>
    <row r="9" spans="1:22" ht="30.75">
      <c r="B9" s="98"/>
      <c r="C9" s="99"/>
      <c r="D9" s="99"/>
      <c r="E9" s="99"/>
      <c r="F9" s="99"/>
      <c r="G9" s="99"/>
      <c r="H9" s="99"/>
      <c r="I9" s="99"/>
      <c r="J9" s="99"/>
      <c r="K9" s="99"/>
      <c r="L9" s="103"/>
      <c r="M9" s="104"/>
      <c r="N9" s="2212" t="str">
        <f>+VLOOKUP(99,TRADUZIONI,DATI!C2-1,0)</f>
        <v>COLORE</v>
      </c>
      <c r="O9" s="2229"/>
      <c r="P9" s="2238" t="str">
        <f>+DATI!C10</f>
        <v>06.NERO</v>
      </c>
      <c r="Q9" s="2203"/>
      <c r="R9" s="2203"/>
      <c r="S9" s="2204"/>
      <c r="T9" s="99"/>
      <c r="U9" s="99"/>
      <c r="V9" s="100"/>
    </row>
    <row r="10" spans="1:22" ht="30.75">
      <c r="B10" s="98"/>
      <c r="C10" s="1447" t="str">
        <f>+VLOOKUP(5,TRADUZIONI,DATI!C2-1,0)</f>
        <v>DATA SPEDIZIONE</v>
      </c>
      <c r="D10" s="101"/>
      <c r="E10" s="1446"/>
      <c r="F10" s="2253">
        <f>+DATI!C5</f>
        <v>42370</v>
      </c>
      <c r="G10" s="2253"/>
      <c r="H10" s="101"/>
      <c r="I10" s="101"/>
      <c r="J10" s="101"/>
      <c r="K10" s="102"/>
      <c r="L10" s="103"/>
      <c r="M10" s="104"/>
      <c r="N10" s="107"/>
      <c r="O10" s="99"/>
      <c r="P10" s="99"/>
      <c r="Q10" s="99"/>
      <c r="R10" s="99"/>
      <c r="S10" s="99"/>
      <c r="T10" s="99"/>
      <c r="U10" s="99"/>
      <c r="V10" s="100"/>
    </row>
    <row r="11" spans="1:22" ht="30.75">
      <c r="B11" s="98"/>
      <c r="C11" s="99"/>
      <c r="D11" s="99"/>
      <c r="E11" s="99"/>
      <c r="F11" s="99"/>
      <c r="G11" s="99"/>
      <c r="H11" s="99"/>
      <c r="I11" s="99"/>
      <c r="J11" s="99"/>
      <c r="K11" s="99"/>
      <c r="L11" s="103"/>
      <c r="M11" s="104"/>
      <c r="N11" s="2232" t="str">
        <f>+VLOOKUP(78,TRADUZIONI,DATI!C2-1,0)</f>
        <v>PEZZI /PZ.</v>
      </c>
      <c r="O11" s="2239"/>
      <c r="P11" s="33" t="str">
        <f>+DATI!C11</f>
        <v>1</v>
      </c>
      <c r="Q11" s="99"/>
      <c r="R11" s="99"/>
      <c r="S11" s="99"/>
      <c r="T11" s="99"/>
      <c r="U11" s="99"/>
      <c r="V11" s="100"/>
    </row>
    <row r="12" spans="1:22" ht="30.75">
      <c r="B12" s="98"/>
      <c r="C12" s="14" t="s">
        <v>49</v>
      </c>
      <c r="D12" s="34">
        <f>IF((P7*R7/1000000)&lt;=2,2*P11,IF((P7*R7/1000000)&gt;2,(P7*R7/1000000)*P11))</f>
        <v>3.08</v>
      </c>
      <c r="E12" s="99"/>
      <c r="F12" s="99"/>
      <c r="G12" s="99"/>
      <c r="H12" s="99"/>
      <c r="I12" s="99"/>
      <c r="J12" s="99"/>
      <c r="K12" s="99"/>
      <c r="L12" s="103"/>
      <c r="M12" s="104"/>
      <c r="N12" s="99"/>
      <c r="O12" s="99"/>
      <c r="P12" s="109" t="s">
        <v>37</v>
      </c>
      <c r="Q12" s="99"/>
      <c r="R12" s="99"/>
      <c r="S12" s="99"/>
      <c r="T12" s="110" t="s">
        <v>37</v>
      </c>
      <c r="U12" s="110"/>
      <c r="V12" s="100"/>
    </row>
    <row r="13" spans="1:22" ht="15.75" thickBot="1">
      <c r="B13" s="98"/>
      <c r="C13" s="107"/>
      <c r="D13" s="99"/>
      <c r="E13" s="111"/>
      <c r="F13" s="112"/>
      <c r="G13" s="111"/>
      <c r="H13" s="113"/>
      <c r="I13" s="113"/>
      <c r="J13" s="113"/>
      <c r="K13" s="99"/>
      <c r="L13" s="99"/>
      <c r="M13" s="99"/>
      <c r="N13" s="99"/>
      <c r="O13" s="99"/>
      <c r="P13" s="99"/>
      <c r="Q13" s="99"/>
      <c r="R13" s="114"/>
      <c r="S13" s="99"/>
      <c r="T13" s="115" t="s">
        <v>37</v>
      </c>
      <c r="U13" s="115"/>
      <c r="V13" s="100"/>
    </row>
    <row r="14" spans="1:22" ht="44.25" customHeight="1">
      <c r="B14" s="220"/>
      <c r="C14" s="219" t="str">
        <f>+VLOOKUP(111,TRADUZIONI,DATI!$C$2-1,0)</f>
        <v>QUADRO B</v>
      </c>
      <c r="D14" s="2248" t="str">
        <f>+VLOOKUP(118,TRADUZIONI,DATI!$C$2-1,0)</f>
        <v>DIMENSIONE RETE E FORI</v>
      </c>
      <c r="E14" s="2248"/>
      <c r="F14" s="2248"/>
      <c r="G14" s="2248"/>
      <c r="H14" s="2248"/>
      <c r="I14" s="2248"/>
      <c r="J14" s="2248"/>
      <c r="K14" s="2248"/>
      <c r="L14" s="2249"/>
      <c r="M14" s="220"/>
      <c r="N14" s="219" t="str">
        <f>+VLOOKUP(138,TRADUZIONI,DATI!$C$2-1,0)</f>
        <v>QUADRO C</v>
      </c>
      <c r="O14" s="2250" t="str">
        <f>+VLOOKUP(117,TRADUZIONI,DATI!$C$2-1,0)</f>
        <v>LUNGHEZZA E NUM. CORDINI</v>
      </c>
      <c r="P14" s="2250"/>
      <c r="Q14" s="2250"/>
      <c r="R14" s="2250"/>
      <c r="S14" s="2250"/>
      <c r="T14" s="2250"/>
      <c r="U14" s="2250"/>
      <c r="V14" s="2251"/>
    </row>
    <row r="15" spans="1:22" ht="31.5" customHeight="1">
      <c r="B15" s="116"/>
      <c r="C15" s="99"/>
      <c r="D15" s="99"/>
      <c r="E15" s="99"/>
      <c r="F15" s="2298" t="e">
        <f>IF(DATI!E13="AUTOMATICA",CONCATENATE("*",DATI!E14,"-",REPT("0",4-LEN(F22)),F22,"*"),CONCATENATE("*",DATI!$L$14,REPT("0",3-LEN(D16)),D16,REPT("0",4-LEN(F22)),F22,DATI!L13,"*"))</f>
        <v>#VALUE!</v>
      </c>
      <c r="G15" s="2298"/>
      <c r="H15" s="2298"/>
      <c r="I15" s="2298"/>
      <c r="J15" s="2298"/>
      <c r="K15" s="133"/>
      <c r="L15" s="118"/>
      <c r="M15" s="98"/>
      <c r="N15" s="99"/>
      <c r="O15" s="99" t="s">
        <v>37</v>
      </c>
      <c r="P15" s="119" t="s">
        <v>37</v>
      </c>
      <c r="Q15" s="99"/>
      <c r="R15" s="99"/>
      <c r="S15" s="99"/>
      <c r="T15" s="120"/>
      <c r="U15" s="120"/>
      <c r="V15" s="100"/>
    </row>
    <row r="16" spans="1:22" ht="30.75" customHeight="1">
      <c r="B16" s="121"/>
      <c r="C16" s="122" t="str">
        <f>+VLOOKUP(19,TRADUZIONI,DATI!C2-1,0)</f>
        <v>PIEGHE</v>
      </c>
      <c r="D16" s="123">
        <f>ROUNDUP((P7-53)*0.036,0)</f>
        <v>49</v>
      </c>
      <c r="E16" s="99"/>
      <c r="F16" s="2298"/>
      <c r="G16" s="2298"/>
      <c r="H16" s="2298"/>
      <c r="I16" s="2298"/>
      <c r="J16" s="2298"/>
      <c r="K16" s="133"/>
      <c r="L16" s="124"/>
      <c r="M16" s="121"/>
      <c r="N16" s="125"/>
      <c r="O16" s="125"/>
      <c r="P16" s="2232" t="str">
        <f>+VLOOKUP(149,TRADUZIONI,DATI!C2-1,0)</f>
        <v>CORDINI</v>
      </c>
      <c r="Q16" s="2239"/>
      <c r="R16" s="126">
        <f>IF(R7&lt;=602,2,IF(R7&lt;=1456,4,IF(R7&lt;=2356,6,8)))</f>
        <v>6</v>
      </c>
      <c r="S16" s="120"/>
      <c r="T16" s="115"/>
      <c r="U16" s="115"/>
      <c r="V16" s="127"/>
    </row>
    <row r="17" spans="2:22" s="129" customFormat="1" ht="15" customHeight="1">
      <c r="B17" s="98"/>
      <c r="C17" s="99"/>
      <c r="D17" s="99"/>
      <c r="E17" s="99"/>
      <c r="F17" s="2298"/>
      <c r="G17" s="2298"/>
      <c r="H17" s="2298"/>
      <c r="I17" s="2298"/>
      <c r="J17" s="2298"/>
      <c r="K17" s="133"/>
      <c r="L17" s="99"/>
      <c r="M17" s="98"/>
      <c r="N17" s="99"/>
      <c r="O17" s="99"/>
      <c r="P17" s="99"/>
      <c r="Q17" s="128"/>
      <c r="R17" s="99"/>
      <c r="S17" s="99"/>
      <c r="T17" s="99"/>
      <c r="U17" s="99"/>
      <c r="V17" s="100"/>
    </row>
    <row r="18" spans="2:22" ht="49.5" customHeight="1">
      <c r="B18" s="98"/>
      <c r="C18" s="99"/>
      <c r="D18" s="109"/>
      <c r="E18" s="109"/>
      <c r="F18" s="2298"/>
      <c r="G18" s="2298"/>
      <c r="H18" s="2298"/>
      <c r="I18" s="2298"/>
      <c r="J18" s="2298"/>
      <c r="K18" s="133"/>
      <c r="L18" s="99"/>
      <c r="M18" s="98"/>
      <c r="N18" s="99"/>
      <c r="O18" s="99"/>
      <c r="P18" s="99"/>
      <c r="Q18" s="130"/>
      <c r="R18" s="99"/>
      <c r="S18" s="99"/>
      <c r="T18" s="99"/>
      <c r="U18" s="99"/>
      <c r="V18" s="100"/>
    </row>
    <row r="19" spans="2:22" ht="15" customHeight="1">
      <c r="B19" s="98"/>
      <c r="C19" s="99"/>
      <c r="D19" s="109"/>
      <c r="E19" s="109"/>
      <c r="F19" s="2298"/>
      <c r="G19" s="2298"/>
      <c r="H19" s="2298"/>
      <c r="I19" s="2298"/>
      <c r="J19" s="2298"/>
      <c r="K19" s="133"/>
      <c r="L19" s="99"/>
      <c r="M19" s="98"/>
      <c r="N19" s="99"/>
      <c r="O19" s="99"/>
      <c r="P19" s="131" t="s">
        <v>37</v>
      </c>
      <c r="Q19" s="99"/>
      <c r="R19" s="132" t="s">
        <v>37</v>
      </c>
      <c r="S19" s="99"/>
      <c r="T19" s="99"/>
      <c r="U19" s="99"/>
      <c r="V19" s="100"/>
    </row>
    <row r="20" spans="2:22">
      <c r="B20" s="98"/>
      <c r="C20" s="99"/>
      <c r="D20" s="109"/>
      <c r="E20" s="109"/>
      <c r="F20" s="2298"/>
      <c r="G20" s="2298"/>
      <c r="H20" s="2298"/>
      <c r="I20" s="2298"/>
      <c r="J20" s="2298"/>
      <c r="K20" s="133"/>
      <c r="L20" s="99"/>
      <c r="M20" s="134"/>
      <c r="N20" s="99"/>
      <c r="O20" s="99"/>
      <c r="P20" s="99"/>
      <c r="Q20" s="135"/>
      <c r="R20" s="135"/>
      <c r="S20" s="99"/>
      <c r="T20" s="107"/>
      <c r="U20" s="107"/>
      <c r="V20" s="100"/>
    </row>
    <row r="21" spans="2:22">
      <c r="B21" s="98"/>
      <c r="C21" s="99"/>
      <c r="D21" s="109"/>
      <c r="E21" s="99"/>
      <c r="F21" s="119" t="s">
        <v>37</v>
      </c>
      <c r="G21" s="99"/>
      <c r="H21" s="136"/>
      <c r="I21" s="136"/>
      <c r="J21" s="136"/>
      <c r="K21" s="109" t="s">
        <v>37</v>
      </c>
      <c r="L21" s="99"/>
      <c r="M21" s="134"/>
      <c r="N21" s="99"/>
      <c r="O21" s="99"/>
      <c r="P21" s="99"/>
      <c r="Q21" s="99"/>
      <c r="R21" s="128"/>
      <c r="S21" s="99"/>
      <c r="T21" s="135"/>
      <c r="U21" s="135"/>
      <c r="V21" s="100"/>
    </row>
    <row r="22" spans="2:22" ht="30.75">
      <c r="B22" s="98"/>
      <c r="C22" s="2212" t="str">
        <f>CONCATENATE(VLOOKUP(116,TRADUZIONI,DATI!C2-1,0),"(",VLOOKUP(97,TRADUZIONI,DATI!C2-1,0),"-28)")</f>
        <v>TAGLIO RETE(ALTEZZA-28)</v>
      </c>
      <c r="D22" s="2213"/>
      <c r="E22" s="2213"/>
      <c r="F22" s="65">
        <f>+R7-28</f>
        <v>2172</v>
      </c>
      <c r="G22" s="66"/>
      <c r="H22" s="26"/>
      <c r="I22" s="26"/>
      <c r="J22" s="26"/>
      <c r="K22" s="25"/>
      <c r="L22" s="99"/>
      <c r="M22" s="134"/>
      <c r="N22" s="99"/>
      <c r="O22" s="99"/>
      <c r="P22" s="136" t="s">
        <v>37</v>
      </c>
      <c r="Q22" s="99" t="s">
        <v>37</v>
      </c>
      <c r="R22" s="99"/>
      <c r="S22" s="99"/>
      <c r="T22" s="130"/>
      <c r="U22" s="130"/>
      <c r="V22" s="100"/>
    </row>
    <row r="23" spans="2:22">
      <c r="B23" s="98"/>
      <c r="C23" s="99"/>
      <c r="D23" s="109"/>
      <c r="E23" s="99"/>
      <c r="F23" s="119"/>
      <c r="G23" s="120"/>
      <c r="H23" s="136"/>
      <c r="I23" s="136"/>
      <c r="J23" s="136"/>
      <c r="K23" s="109"/>
      <c r="L23" s="99"/>
      <c r="M23" s="134"/>
      <c r="N23" s="99"/>
      <c r="O23" s="99"/>
      <c r="P23" s="136"/>
      <c r="Q23" s="99"/>
      <c r="R23" s="99"/>
      <c r="S23" s="99"/>
      <c r="T23" s="130"/>
      <c r="U23" s="130"/>
      <c r="V23" s="100"/>
    </row>
    <row r="24" spans="2:22">
      <c r="B24" s="98"/>
      <c r="C24" s="99"/>
      <c r="D24" s="109"/>
      <c r="E24" s="99"/>
      <c r="F24" s="119"/>
      <c r="G24" s="120"/>
      <c r="H24" s="136"/>
      <c r="I24" s="136"/>
      <c r="J24" s="136"/>
      <c r="K24" s="109"/>
      <c r="L24" s="99"/>
      <c r="M24" s="134"/>
      <c r="N24" s="99"/>
      <c r="O24" s="99"/>
      <c r="P24" s="136"/>
      <c r="Q24" s="99"/>
      <c r="R24" s="99"/>
      <c r="S24" s="99"/>
      <c r="T24" s="130"/>
      <c r="U24" s="130"/>
      <c r="V24" s="100"/>
    </row>
    <row r="25" spans="2:22">
      <c r="B25" s="98"/>
      <c r="C25" s="99"/>
      <c r="D25" s="109"/>
      <c r="E25" s="99"/>
      <c r="F25" s="119"/>
      <c r="G25" s="120"/>
      <c r="H25" s="136"/>
      <c r="I25" s="136"/>
      <c r="J25" s="136"/>
      <c r="K25" s="109"/>
      <c r="L25" s="99"/>
      <c r="M25" s="98"/>
      <c r="N25" s="99"/>
      <c r="O25" s="99"/>
      <c r="P25" s="136"/>
      <c r="Q25" s="99"/>
      <c r="R25" s="99"/>
      <c r="S25" s="99"/>
      <c r="T25" s="130"/>
      <c r="U25" s="130"/>
      <c r="V25" s="100"/>
    </row>
    <row r="26" spans="2:22">
      <c r="B26" s="98"/>
      <c r="C26" s="99"/>
      <c r="D26" s="109"/>
      <c r="E26" s="99"/>
      <c r="F26" s="119"/>
      <c r="G26" s="120"/>
      <c r="H26" s="136"/>
      <c r="I26" s="136"/>
      <c r="J26" s="136"/>
      <c r="K26" s="109"/>
      <c r="L26" s="99"/>
      <c r="M26" s="98"/>
      <c r="N26" s="99"/>
      <c r="O26" s="99"/>
      <c r="P26" s="99"/>
      <c r="Q26" s="99"/>
      <c r="R26" s="99"/>
      <c r="S26" s="109"/>
      <c r="T26" s="99"/>
      <c r="U26" s="99"/>
      <c r="V26" s="100"/>
    </row>
    <row r="27" spans="2:22" ht="30.75">
      <c r="B27" s="98"/>
      <c r="C27" s="69">
        <v>40</v>
      </c>
      <c r="D27" s="109"/>
      <c r="E27" s="99"/>
      <c r="F27" s="119"/>
      <c r="G27" s="120"/>
      <c r="H27" s="136"/>
      <c r="I27" s="136"/>
      <c r="J27" s="136"/>
      <c r="K27" s="109"/>
      <c r="L27" s="99"/>
      <c r="M27" s="98"/>
      <c r="N27" s="99"/>
      <c r="O27" s="99"/>
      <c r="P27" s="99"/>
      <c r="Q27" s="99"/>
      <c r="R27" s="99"/>
      <c r="S27" s="99"/>
      <c r="T27" s="99"/>
      <c r="U27" s="99"/>
      <c r="V27" s="100"/>
    </row>
    <row r="28" spans="2:22" ht="36" customHeight="1">
      <c r="B28" s="98"/>
      <c r="C28" s="16">
        <f>+C27+H40</f>
        <v>458</v>
      </c>
      <c r="D28" s="109"/>
      <c r="E28" s="99"/>
      <c r="F28" s="119"/>
      <c r="G28" s="120"/>
      <c r="H28" s="136"/>
      <c r="I28" s="136"/>
      <c r="J28" s="136"/>
      <c r="K28" s="109"/>
      <c r="L28" s="99"/>
      <c r="M28" s="98"/>
      <c r="N28" s="99"/>
      <c r="O28" s="99"/>
      <c r="P28" s="136" t="s">
        <v>37</v>
      </c>
      <c r="Q28" s="99"/>
      <c r="R28" s="99"/>
      <c r="S28" s="109"/>
      <c r="T28" s="99"/>
      <c r="U28" s="99"/>
      <c r="V28" s="100"/>
    </row>
    <row r="29" spans="2:22" ht="36" customHeight="1">
      <c r="B29" s="98"/>
      <c r="C29" s="99"/>
      <c r="D29" s="70">
        <f>IF(R16&gt;2,C28+H40,"")</f>
        <v>876</v>
      </c>
      <c r="E29" s="99"/>
      <c r="F29" s="119"/>
      <c r="G29" s="120"/>
      <c r="H29" s="136"/>
      <c r="I29" s="136"/>
      <c r="J29" s="136"/>
      <c r="K29" s="109"/>
      <c r="L29" s="99"/>
      <c r="M29" s="98"/>
      <c r="N29" s="99"/>
      <c r="O29" s="99"/>
      <c r="P29" s="99"/>
      <c r="Q29" s="99"/>
      <c r="R29" s="99"/>
      <c r="S29" s="99"/>
      <c r="T29" s="99"/>
      <c r="U29" s="99"/>
      <c r="V29" s="100"/>
    </row>
    <row r="30" spans="2:22" ht="36" customHeight="1">
      <c r="B30" s="98"/>
      <c r="C30" s="99"/>
      <c r="D30" s="109"/>
      <c r="E30" s="16">
        <f>IF(R16&gt;=4,D29+H40,"")</f>
        <v>1294</v>
      </c>
      <c r="F30" s="119"/>
      <c r="G30" s="120"/>
      <c r="H30" s="136"/>
      <c r="I30" s="136"/>
      <c r="J30" s="136"/>
      <c r="K30" s="109"/>
      <c r="L30" s="99"/>
      <c r="M30" s="98"/>
      <c r="N30" s="99"/>
      <c r="O30" s="99"/>
      <c r="P30" s="109" t="s">
        <v>37</v>
      </c>
      <c r="Q30" s="99"/>
      <c r="R30" s="99"/>
      <c r="S30" s="99"/>
      <c r="T30" s="99"/>
      <c r="U30" s="99"/>
      <c r="V30" s="100"/>
    </row>
    <row r="31" spans="2:22" ht="36" customHeight="1">
      <c r="B31" s="98"/>
      <c r="C31" s="99"/>
      <c r="D31" s="109"/>
      <c r="E31" s="99"/>
      <c r="F31" s="2215">
        <f>IF(R16&gt;=5,E30+H40,"")</f>
        <v>1712</v>
      </c>
      <c r="G31" s="2215"/>
      <c r="H31" s="136"/>
      <c r="I31" s="136"/>
      <c r="J31" s="136"/>
      <c r="K31" s="109"/>
      <c r="L31" s="99"/>
      <c r="M31" s="98"/>
      <c r="N31" s="99"/>
      <c r="O31" s="99"/>
      <c r="P31" s="99"/>
      <c r="Q31" s="99"/>
      <c r="R31" s="99"/>
      <c r="S31" s="99"/>
      <c r="T31" s="99"/>
      <c r="U31" s="99"/>
      <c r="V31" s="100"/>
    </row>
    <row r="32" spans="2:22" ht="36" customHeight="1">
      <c r="B32" s="98"/>
      <c r="C32" s="99"/>
      <c r="D32" s="109"/>
      <c r="E32" s="99"/>
      <c r="F32" s="119"/>
      <c r="G32" s="2292">
        <f>IF(R16&gt;=6,F31+H40,"")</f>
        <v>2130</v>
      </c>
      <c r="H32" s="2292"/>
      <c r="I32" s="136"/>
      <c r="J32" s="136"/>
      <c r="K32" s="109"/>
      <c r="L32" s="99"/>
      <c r="M32" s="98"/>
      <c r="N32" s="99"/>
      <c r="O32" s="99"/>
      <c r="P32" s="99"/>
      <c r="Q32" s="133"/>
      <c r="R32" s="99"/>
      <c r="S32" s="99"/>
      <c r="T32" s="99"/>
      <c r="U32" s="99"/>
      <c r="V32" s="100"/>
    </row>
    <row r="33" spans="2:26" ht="36" customHeight="1">
      <c r="B33" s="98"/>
      <c r="C33" s="99"/>
      <c r="D33" s="109"/>
      <c r="E33" s="99"/>
      <c r="F33" s="119"/>
      <c r="G33" s="120"/>
      <c r="H33" s="2275" t="str">
        <f>IF(R16&gt;=7,G32+H40,"")</f>
        <v/>
      </c>
      <c r="I33" s="2275"/>
      <c r="J33" s="136"/>
      <c r="K33" s="109"/>
      <c r="L33" s="99"/>
      <c r="M33" s="98"/>
      <c r="N33" s="99"/>
      <c r="O33" s="99"/>
      <c r="P33" s="99"/>
      <c r="Q33" s="99"/>
      <c r="R33" s="99"/>
      <c r="S33" s="99"/>
      <c r="T33" s="99"/>
      <c r="U33" s="99"/>
      <c r="V33" s="100"/>
    </row>
    <row r="34" spans="2:26" ht="36" customHeight="1">
      <c r="B34" s="98"/>
      <c r="C34" s="99"/>
      <c r="D34" s="109"/>
      <c r="E34" s="99"/>
      <c r="F34" s="119"/>
      <c r="G34" s="120"/>
      <c r="H34" s="136"/>
      <c r="I34" s="136"/>
      <c r="J34" s="2215" t="str">
        <f>IF(R16=8,H33+H40,"")</f>
        <v/>
      </c>
      <c r="K34" s="2215"/>
      <c r="L34" s="100"/>
      <c r="M34" s="99"/>
      <c r="N34" s="99"/>
      <c r="O34" s="205"/>
      <c r="P34" s="205"/>
      <c r="Q34" s="107"/>
      <c r="R34" s="99"/>
      <c r="S34" s="99"/>
      <c r="T34" s="99"/>
      <c r="U34" s="99"/>
      <c r="V34" s="100"/>
      <c r="X34" s="1138" t="str">
        <f>+VLOOKUP(149,TRADUZIONI,DATI!C2-1,0)</f>
        <v>CORDINI</v>
      </c>
    </row>
    <row r="35" spans="2:26" ht="30.75" customHeight="1">
      <c r="B35" s="98"/>
      <c r="C35" s="99"/>
      <c r="D35" s="109"/>
      <c r="E35" s="99"/>
      <c r="F35" s="119"/>
      <c r="G35" s="120"/>
      <c r="H35" s="136"/>
      <c r="I35" s="136"/>
      <c r="J35" s="136"/>
      <c r="K35" s="109"/>
      <c r="L35" s="100"/>
      <c r="M35" s="99"/>
      <c r="N35" s="206" t="str">
        <f>CONCATENATE(Y35,". 2 ",Z35,".      ",TEXT(CEILING(ROUNDUP(P7+(F22-40)+250,-1),10),0))</f>
        <v>Nr. Cord. 2 LUNGHEZZA.      3790</v>
      </c>
      <c r="O35" s="208"/>
      <c r="P35" s="208"/>
      <c r="Q35" s="107"/>
      <c r="R35" s="99"/>
      <c r="S35" s="99"/>
      <c r="T35" s="99"/>
      <c r="U35" s="99"/>
      <c r="V35" s="100"/>
      <c r="W35" s="97">
        <v>2</v>
      </c>
      <c r="X35" s="1139">
        <f>CEILING(ROUNDUP(P7+(F22-40)+250,-1),10)</f>
        <v>3790</v>
      </c>
      <c r="Y35" s="97" t="str">
        <f>+VLOOKUP(144,TRADUZIONI,DATI!$C$2-1,0)</f>
        <v>Nr. Cord</v>
      </c>
      <c r="Z35" s="97" t="str">
        <f>+VLOOKUP(60,TRADUZIONI,DATI!$C$2-1,0)</f>
        <v>LUNGHEZZA</v>
      </c>
    </row>
    <row r="36" spans="2:26" ht="30.75" customHeight="1">
      <c r="B36" s="98"/>
      <c r="C36" s="2242" t="str">
        <f>+VLOOKUP(154,TRADUZIONI,DATI!$C$2-1,0)</f>
        <v>ATTENZIONE</v>
      </c>
      <c r="D36" s="2293"/>
      <c r="E36" s="2293"/>
      <c r="F36" s="2293"/>
      <c r="G36" s="2293"/>
      <c r="H36" s="2293"/>
      <c r="I36" s="2243"/>
      <c r="J36" s="136"/>
      <c r="K36" s="109"/>
      <c r="L36" s="100"/>
      <c r="M36" s="207"/>
      <c r="N36" s="206" t="str">
        <f>IF(R16&lt;=2,"NO",CONCATENATE(Y35,". ",IF(OR(R16=0,R16=2),"0",IF(R16&gt;2,"2",))," ",Z35,".      ",TEXT(CEILING(IF(R16&lt;=2,"",ROUNDUP(P7+(H40+40)+250,-1)),10),"0")))</f>
        <v>Nr. Cord. 2 LUNGHEZZA.      2110</v>
      </c>
      <c r="O36" s="208"/>
      <c r="P36" s="208"/>
      <c r="Q36" s="139"/>
      <c r="R36" s="99"/>
      <c r="S36" s="99"/>
      <c r="T36" s="99"/>
      <c r="U36" s="99"/>
      <c r="V36" s="100"/>
      <c r="W36" s="97">
        <v>4</v>
      </c>
      <c r="X36" s="1139">
        <f>IF(R16&lt;=2,0,ROUNDUP(P7+(H40+40)+250,-1))</f>
        <v>2110</v>
      </c>
    </row>
    <row r="37" spans="2:26" ht="36" customHeight="1">
      <c r="B37" s="98"/>
      <c r="C37" s="2294" t="str">
        <f>+VLOOKUP(127,TRADUZIONI,DATI!$C$2-1,0)</f>
        <v>SCANTONARE LA  RETE DI  3 MM  LATO INFERIORE</v>
      </c>
      <c r="D37" s="2295"/>
      <c r="E37" s="2295"/>
      <c r="F37" s="2295"/>
      <c r="G37" s="2295"/>
      <c r="H37" s="2295"/>
      <c r="I37" s="2296"/>
      <c r="J37" s="99"/>
      <c r="K37" s="99"/>
      <c r="L37" s="100"/>
      <c r="M37" s="209"/>
      <c r="N37" s="210" t="str">
        <f>IF(R16&lt;=4,"NO",CONCATENATE(Y35,". ",IF(R16&lt;=4,"0","2")," ",Z35,".      ",TEXT(CEILING(IF(R16&lt;=4,"",ROUNDUP(P7+(2*H40+40)+250,-1)),10),"0")))</f>
        <v>Nr. Cord. 2 LUNGHEZZA.      2530</v>
      </c>
      <c r="O37" s="210"/>
      <c r="P37" s="210"/>
      <c r="Q37" s="119"/>
      <c r="R37" s="107"/>
      <c r="S37" s="109"/>
      <c r="T37" s="99"/>
      <c r="U37" s="99"/>
      <c r="V37" s="141"/>
      <c r="W37" s="97">
        <v>6</v>
      </c>
      <c r="X37" s="1139">
        <f>IF(R16&lt;=4,0,ROUNDUP(P7+(2*H40+40)+250,-1))</f>
        <v>2530</v>
      </c>
    </row>
    <row r="38" spans="2:26" ht="33" customHeight="1">
      <c r="B38" s="98"/>
      <c r="C38" s="2244"/>
      <c r="D38" s="2297"/>
      <c r="E38" s="2297"/>
      <c r="F38" s="2297"/>
      <c r="G38" s="2297"/>
      <c r="H38" s="2297"/>
      <c r="I38" s="2245"/>
      <c r="J38" s="99"/>
      <c r="K38" s="99"/>
      <c r="L38" s="100"/>
      <c r="M38" s="209"/>
      <c r="N38" s="210" t="str">
        <f>IF(R16&lt;=6,"",CONCATENATE(Y35," ",IF(R16&lt;=6,"","2")," ",Z35,"      ",TEXT(CEILING(IF(R16&lt;=6,"",ROUNDUP(P7+(3*H40+40)+250,-1)),10),"0")))</f>
        <v/>
      </c>
      <c r="O38" s="208"/>
      <c r="P38" s="210"/>
      <c r="Q38" s="119"/>
      <c r="R38" s="107"/>
      <c r="S38" s="109"/>
      <c r="T38" s="99"/>
      <c r="U38" s="99"/>
      <c r="V38" s="141"/>
      <c r="W38" s="97">
        <v>8</v>
      </c>
      <c r="X38" s="1139">
        <f>IF(R16&lt;=6,0,ROUNDUP(P7+(3*H40+40)+250,-1))</f>
        <v>0</v>
      </c>
    </row>
    <row r="39" spans="2:26" ht="21.75" customHeight="1">
      <c r="B39" s="98"/>
      <c r="C39" s="99"/>
      <c r="D39" s="99"/>
      <c r="E39" s="99"/>
      <c r="F39" s="99"/>
      <c r="G39" s="99"/>
      <c r="H39" s="99"/>
      <c r="I39" s="99"/>
      <c r="J39" s="99"/>
      <c r="K39" s="99"/>
      <c r="L39" s="100"/>
      <c r="M39" s="140"/>
      <c r="N39" s="107"/>
      <c r="O39" s="211"/>
      <c r="P39" s="211"/>
      <c r="Q39" s="119"/>
      <c r="R39" s="107"/>
      <c r="S39" s="109"/>
      <c r="T39" s="99"/>
      <c r="U39" s="99"/>
      <c r="V39" s="141"/>
    </row>
    <row r="40" spans="2:26" ht="28.5">
      <c r="B40" s="98"/>
      <c r="C40" s="2299" t="str">
        <f>+VLOOKUP(41,TRADUZIONI,DATI!$C$2-1,0)</f>
        <v>DIST.STD TRA FORI RETE</v>
      </c>
      <c r="D40" s="2300"/>
      <c r="E40" s="2300"/>
      <c r="F40" s="2300"/>
      <c r="G40" s="2300"/>
      <c r="H40" s="74">
        <f>ROUND((+F22-80)/(R16-1),0)</f>
        <v>418</v>
      </c>
      <c r="I40" s="1438"/>
      <c r="J40" s="1438"/>
      <c r="K40" s="1439"/>
      <c r="L40" s="100"/>
      <c r="M40" s="2258" t="str">
        <f>+VLOOKUP(128,TRADUZIONI,DATI!$C$2-1,0)</f>
        <v>INFILARE I CORDINI SENZA TAGLIARLI</v>
      </c>
      <c r="N40" s="2259"/>
      <c r="O40" s="2259"/>
      <c r="P40" s="2259"/>
      <c r="Q40" s="2259"/>
      <c r="R40" s="2259"/>
      <c r="S40" s="2259"/>
      <c r="T40" s="2259"/>
      <c r="U40" s="2259"/>
      <c r="V40" s="2260"/>
    </row>
    <row r="41" spans="2:26" ht="28.5">
      <c r="B41" s="98"/>
      <c r="C41" s="142"/>
      <c r="D41" s="143"/>
      <c r="E41" s="143"/>
      <c r="F41" s="22"/>
      <c r="G41" s="144"/>
      <c r="H41" s="144"/>
      <c r="I41" s="144"/>
      <c r="J41" s="144"/>
      <c r="K41" s="144"/>
      <c r="L41" s="99"/>
      <c r="M41" s="2258" t="str">
        <f>+VLOOKUP(119,TRADUZIONI,DATI!$C$2-1,0)</f>
        <v>ANNODARE SINGOLARMENTE AI PASSACORDINI SUPERIORI</v>
      </c>
      <c r="N41" s="2259"/>
      <c r="O41" s="2259"/>
      <c r="P41" s="2259"/>
      <c r="Q41" s="2259"/>
      <c r="R41" s="2259"/>
      <c r="S41" s="2259"/>
      <c r="T41" s="2259"/>
      <c r="U41" s="2259"/>
      <c r="V41" s="2260"/>
    </row>
    <row r="42" spans="2:26" ht="15.75" thickBot="1">
      <c r="B42" s="145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45"/>
      <c r="N42" s="146"/>
      <c r="O42" s="114"/>
      <c r="P42" s="114"/>
      <c r="Q42" s="114"/>
      <c r="R42" s="114"/>
      <c r="S42" s="114"/>
      <c r="T42" s="147"/>
      <c r="U42" s="147"/>
      <c r="V42" s="148"/>
    </row>
    <row r="43" spans="2:26" ht="44.25" customHeight="1">
      <c r="B43" s="220"/>
      <c r="C43" s="219" t="str">
        <f>+VLOOKUP(139,TRADUZIONI,DATI!$C$2-1,0)</f>
        <v>QUADRO D</v>
      </c>
      <c r="D43" s="2248" t="str">
        <f>+VLOOKUP(113,TRADUZIONI,DATI!$C$2-1,0)</f>
        <v>CONTROLLO CORDINI - POST ASSEMBLAGGIO</v>
      </c>
      <c r="E43" s="2248"/>
      <c r="F43" s="2248"/>
      <c r="G43" s="2248"/>
      <c r="H43" s="2248"/>
      <c r="I43" s="2248"/>
      <c r="J43" s="2248"/>
      <c r="K43" s="2248"/>
      <c r="L43" s="2249"/>
      <c r="M43" s="220"/>
      <c r="N43" s="219" t="str">
        <f>+VLOOKUP(140,TRADUZIONI,DATI!$C$2-1,0)</f>
        <v>QUADRO E</v>
      </c>
      <c r="O43" s="2250" t="str">
        <f>+VLOOKUP(122,TRADUZIONI,DATI!$C$2-1,0)</f>
        <v>ALLUMINIO E SPAZZOLINO</v>
      </c>
      <c r="P43" s="2250"/>
      <c r="Q43" s="2250"/>
      <c r="R43" s="2250"/>
      <c r="S43" s="2250"/>
      <c r="T43" s="2250"/>
      <c r="U43" s="2250"/>
      <c r="V43" s="2251"/>
    </row>
    <row r="44" spans="2:26" ht="31.5" customHeight="1">
      <c r="B44" s="149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13"/>
      <c r="N44" s="17"/>
      <c r="O44" s="17"/>
      <c r="P44" s="17"/>
      <c r="Q44" s="17"/>
      <c r="R44" s="99"/>
      <c r="S44" s="113"/>
      <c r="T44" s="113"/>
      <c r="U44" s="113"/>
      <c r="V44" s="21"/>
    </row>
    <row r="45" spans="2:26" ht="27.75">
      <c r="B45" s="149"/>
      <c r="C45" s="150"/>
      <c r="D45" s="150"/>
      <c r="E45" s="150"/>
      <c r="F45" s="150"/>
      <c r="G45" s="151" t="str">
        <f>+VLOOKUP(152,TRADUZIONI,DATI!$C$2-1,0)</f>
        <v>LUNG. Min. CORDINO</v>
      </c>
      <c r="H45" s="150"/>
      <c r="I45" s="150"/>
      <c r="J45" s="150"/>
      <c r="K45" s="150"/>
      <c r="L45" s="150"/>
      <c r="M45" s="13"/>
      <c r="N45" s="2222" t="str">
        <f>+VLOOKUP(153,TRADUZIONI,DATI!$C$2-1,0)</f>
        <v>BARRA SCORREVOLE</v>
      </c>
      <c r="O45" s="2223"/>
      <c r="P45" s="2223"/>
      <c r="Q45" s="2223"/>
      <c r="R45" s="2223"/>
      <c r="S45" s="2223"/>
      <c r="T45" s="2224"/>
      <c r="U45" s="212"/>
      <c r="V45" s="21"/>
    </row>
    <row r="46" spans="2:26" ht="31.5" customHeight="1">
      <c r="B46" s="149"/>
      <c r="C46" s="152" t="str">
        <f>+VLOOKUP(96,TRADUZIONI,DATI!$C$2-1,0)</f>
        <v>BASE</v>
      </c>
      <c r="D46" s="153">
        <f>+P7</f>
        <v>1400</v>
      </c>
      <c r="E46" s="154" t="s">
        <v>88</v>
      </c>
      <c r="F46" s="154" t="s">
        <v>89</v>
      </c>
      <c r="G46" s="155">
        <f>+D46+E46</f>
        <v>1600</v>
      </c>
      <c r="H46" s="156"/>
      <c r="I46" s="150"/>
      <c r="J46" s="150"/>
      <c r="K46" s="150"/>
      <c r="L46" s="150"/>
      <c r="M46" s="13"/>
      <c r="N46" s="17"/>
      <c r="O46" s="17"/>
      <c r="P46" s="17"/>
      <c r="Q46" s="17"/>
      <c r="R46" s="99"/>
      <c r="S46" s="113"/>
      <c r="T46" s="113"/>
      <c r="U46" s="113"/>
      <c r="V46" s="21"/>
    </row>
    <row r="47" spans="2:26" ht="31.5" thickBot="1">
      <c r="B47" s="149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77"/>
      <c r="N47" s="56" t="str">
        <f>+VLOOKUP(78,TRADUZIONI,DATI!C2-1,0)</f>
        <v>PEZZI /PZ.</v>
      </c>
      <c r="O47" s="157">
        <f>1*P11</f>
        <v>1</v>
      </c>
      <c r="P47" s="113"/>
      <c r="Q47" s="113"/>
      <c r="R47" s="99"/>
      <c r="S47" s="113"/>
      <c r="T47" s="113"/>
      <c r="U47" s="113"/>
      <c r="V47" s="12"/>
    </row>
    <row r="48" spans="2:26" ht="18.75">
      <c r="B48" s="221"/>
      <c r="C48" s="222"/>
      <c r="D48" s="222"/>
      <c r="E48" s="222"/>
      <c r="F48" s="222"/>
      <c r="G48" s="222"/>
      <c r="H48" s="222"/>
      <c r="I48" s="222"/>
      <c r="J48" s="222"/>
      <c r="K48" s="222"/>
      <c r="L48" s="223"/>
      <c r="M48" s="13"/>
      <c r="N48" s="17"/>
      <c r="O48" s="17"/>
      <c r="P48" s="17"/>
      <c r="Q48" s="17"/>
      <c r="R48" s="99"/>
      <c r="S48" s="113"/>
      <c r="T48" s="113"/>
      <c r="U48" s="113"/>
      <c r="V48" s="21"/>
    </row>
    <row r="49" spans="2:22" ht="30.75">
      <c r="B49" s="224"/>
      <c r="C49" s="2261" t="str">
        <f>+IF(DATI!$C$12=1,"",VLOOKUP(38,TRADUZIONI,DATI!$C$2-1,0))</f>
        <v>RETE GRIGIA</v>
      </c>
      <c r="D49" s="2261"/>
      <c r="E49" s="2261"/>
      <c r="F49" s="2261"/>
      <c r="G49" s="2261"/>
      <c r="H49" s="2261"/>
      <c r="I49" s="2261"/>
      <c r="J49" s="2261"/>
      <c r="K49" s="225"/>
      <c r="L49" s="225"/>
      <c r="M49" s="81"/>
      <c r="N49" s="56" t="str">
        <f>+VLOOKUP(129,TRADUZIONI,DATI!$C$2-1,0)&amp;"- 28) ="</f>
        <v>LUNGH. (ALTEZZA- 28) =</v>
      </c>
      <c r="O49" s="158"/>
      <c r="P49" s="101"/>
      <c r="Q49" s="101"/>
      <c r="R49" s="2227">
        <f>+R7-28</f>
        <v>2172</v>
      </c>
      <c r="S49" s="2228"/>
      <c r="T49" s="113"/>
      <c r="U49" s="113"/>
      <c r="V49" s="82"/>
    </row>
    <row r="50" spans="2:22" ht="18.75">
      <c r="B50" s="224"/>
      <c r="C50" s="2261"/>
      <c r="D50" s="2261"/>
      <c r="E50" s="2261"/>
      <c r="F50" s="2261"/>
      <c r="G50" s="2261"/>
      <c r="H50" s="2261"/>
      <c r="I50" s="2261"/>
      <c r="J50" s="2261"/>
      <c r="K50" s="225"/>
      <c r="L50" s="225"/>
      <c r="M50" s="13"/>
      <c r="N50" s="17"/>
      <c r="O50" s="17"/>
      <c r="P50" s="17"/>
      <c r="Q50" s="17"/>
      <c r="R50" s="99"/>
      <c r="S50" s="113"/>
      <c r="T50" s="113"/>
      <c r="U50" s="113"/>
      <c r="V50" s="21"/>
    </row>
    <row r="51" spans="2:22" ht="31.5" thickBot="1">
      <c r="B51" s="224"/>
      <c r="C51" s="225"/>
      <c r="D51" s="225"/>
      <c r="E51" s="225"/>
      <c r="F51" s="225"/>
      <c r="G51" s="225"/>
      <c r="H51" s="225"/>
      <c r="I51" s="225"/>
      <c r="J51" s="225"/>
      <c r="K51" s="225"/>
      <c r="L51" s="225"/>
      <c r="M51" s="13"/>
      <c r="N51" s="56" t="str">
        <f>+VLOOKUP(132,TRADUZIONI,DATI!$C$2-1,0)</f>
        <v>LUNG. MAGNETE</v>
      </c>
      <c r="O51" s="158"/>
      <c r="P51" s="101"/>
      <c r="Q51" s="101"/>
      <c r="R51" s="2227">
        <f>+R7-30</f>
        <v>2170</v>
      </c>
      <c r="S51" s="2228"/>
      <c r="T51" s="113"/>
      <c r="U51" s="113"/>
      <c r="V51" s="21"/>
    </row>
    <row r="52" spans="2:22" ht="44.25" customHeight="1">
      <c r="B52" s="220"/>
      <c r="C52" s="219" t="str">
        <f>+VLOOKUP(141,TRADUZIONI,DATI!$C$2-1,0)</f>
        <v>QUADRO F</v>
      </c>
      <c r="D52" s="2248" t="str">
        <f>+VLOOKUP(155,TRADUZIONI,DATI!$C$2-1,0)</f>
        <v>IMBALLO</v>
      </c>
      <c r="E52" s="2248"/>
      <c r="F52" s="2248"/>
      <c r="G52" s="2248"/>
      <c r="H52" s="2248"/>
      <c r="I52" s="2248"/>
      <c r="J52" s="2248"/>
      <c r="K52" s="2248"/>
      <c r="L52" s="2249"/>
      <c r="M52" s="13"/>
      <c r="N52" s="159"/>
      <c r="O52" s="159"/>
      <c r="P52" s="99"/>
      <c r="Q52" s="99"/>
      <c r="R52" s="16"/>
      <c r="S52" s="16"/>
      <c r="T52" s="113"/>
      <c r="U52" s="113"/>
      <c r="V52" s="21"/>
    </row>
    <row r="53" spans="2:22" ht="30.75">
      <c r="B53" s="98"/>
      <c r="C53" s="99"/>
      <c r="D53" s="99"/>
      <c r="E53" s="99"/>
      <c r="F53" s="99"/>
      <c r="G53" s="99"/>
      <c r="H53" s="99"/>
      <c r="I53" s="99"/>
      <c r="J53" s="99"/>
      <c r="K53" s="99"/>
      <c r="L53" s="100"/>
      <c r="M53" s="13"/>
      <c r="N53" s="159"/>
      <c r="O53" s="159"/>
      <c r="P53" s="99"/>
      <c r="Q53" s="99"/>
      <c r="R53" s="16"/>
      <c r="S53" s="16"/>
      <c r="T53" s="113"/>
      <c r="U53" s="113"/>
      <c r="V53" s="21"/>
    </row>
    <row r="54" spans="2:22" ht="28.5">
      <c r="B54" s="98"/>
      <c r="C54" s="165" t="str">
        <f>+VLOOKUP(69,TRADUZIONI,DATI!$C$2-1,0)</f>
        <v>IMBALLARE INSIEME</v>
      </c>
      <c r="D54" s="166"/>
      <c r="E54" s="167"/>
      <c r="F54" s="99"/>
      <c r="G54" s="168"/>
      <c r="H54" s="99"/>
      <c r="I54" s="99"/>
      <c r="J54" s="99"/>
      <c r="K54" s="99"/>
      <c r="L54" s="100"/>
      <c r="M54" s="84"/>
      <c r="N54" s="29"/>
      <c r="O54" s="29"/>
      <c r="P54" s="29"/>
      <c r="Q54" s="29"/>
      <c r="R54" s="29"/>
      <c r="S54" s="29"/>
      <c r="T54" s="29"/>
      <c r="U54" s="29"/>
      <c r="V54" s="85"/>
    </row>
    <row r="55" spans="2:22" ht="28.5">
      <c r="B55" s="98"/>
      <c r="C55" s="172"/>
      <c r="D55" s="173" t="str">
        <f>+VLOOKUP(125,TRADUZIONI,DATI!$C$2-1,0)</f>
        <v>GUIDA</v>
      </c>
      <c r="E55" s="99"/>
      <c r="F55" s="168"/>
      <c r="G55" s="168"/>
      <c r="H55" s="99"/>
      <c r="I55" s="99"/>
      <c r="J55" s="99"/>
      <c r="K55" s="99"/>
      <c r="L55" s="100"/>
      <c r="M55" s="13"/>
      <c r="N55" s="159"/>
      <c r="O55" s="113"/>
      <c r="P55" s="113"/>
      <c r="Q55" s="113"/>
      <c r="R55" s="113"/>
      <c r="S55" s="113"/>
      <c r="T55" s="113"/>
      <c r="U55" s="113"/>
      <c r="V55" s="21"/>
    </row>
    <row r="56" spans="2:22" ht="28.5">
      <c r="B56" s="98"/>
      <c r="C56" s="174"/>
      <c r="D56" s="173" t="str">
        <f>+VLOOKUP(72,TRADUZIONI,DATI!$C$2-1,0)</f>
        <v>SET ACCESSORI</v>
      </c>
      <c r="E56" s="99"/>
      <c r="F56" s="119"/>
      <c r="G56" s="107"/>
      <c r="H56" s="99"/>
      <c r="I56" s="99"/>
      <c r="J56" s="99"/>
      <c r="K56" s="99"/>
      <c r="L56" s="100"/>
      <c r="M56" s="99"/>
      <c r="N56" s="99"/>
      <c r="O56" s="99"/>
      <c r="P56" s="99"/>
      <c r="Q56" s="99"/>
      <c r="R56" s="99"/>
      <c r="S56" s="99"/>
      <c r="T56" s="99"/>
      <c r="U56" s="99"/>
      <c r="V56" s="141"/>
    </row>
    <row r="57" spans="2:22" ht="28.5">
      <c r="B57" s="98"/>
      <c r="C57" s="174"/>
      <c r="D57" s="173" t="str">
        <f>+VLOOKUP(123,TRADUZIONI,DATI!$C$2-1,0)</f>
        <v>Opuscolo gioconda</v>
      </c>
      <c r="E57" s="99"/>
      <c r="F57" s="119"/>
      <c r="G57" s="107"/>
      <c r="H57" s="99"/>
      <c r="I57" s="99"/>
      <c r="J57" s="99"/>
      <c r="K57" s="99"/>
      <c r="L57" s="100"/>
      <c r="M57" s="13"/>
      <c r="N57" s="2222" t="str">
        <f>+VLOOKUP(157,TRADUZIONI,DATI!$C$2-1,0)</f>
        <v>CASSONETTO</v>
      </c>
      <c r="O57" s="2223"/>
      <c r="P57" s="2223"/>
      <c r="Q57" s="2223"/>
      <c r="R57" s="2223"/>
      <c r="S57" s="2223"/>
      <c r="T57" s="2224"/>
      <c r="U57" s="113"/>
      <c r="V57" s="21"/>
    </row>
    <row r="58" spans="2:22" ht="27.75">
      <c r="B58" s="175"/>
      <c r="C58" s="176"/>
      <c r="D58" s="177"/>
      <c r="E58" s="177"/>
      <c r="F58" s="177"/>
      <c r="G58" s="177"/>
      <c r="H58" s="177"/>
      <c r="I58" s="177"/>
      <c r="J58" s="177"/>
      <c r="K58" s="177"/>
      <c r="L58" s="178"/>
      <c r="M58" s="13"/>
      <c r="N58" s="99"/>
      <c r="O58" s="99"/>
      <c r="P58" s="99"/>
      <c r="Q58" s="99"/>
      <c r="R58" s="99"/>
      <c r="S58" s="99"/>
      <c r="T58" s="99"/>
      <c r="U58" s="212"/>
      <c r="V58" s="21"/>
    </row>
    <row r="59" spans="2:22" ht="21">
      <c r="B59" s="179" t="s">
        <v>37</v>
      </c>
      <c r="C59" s="180"/>
      <c r="D59" s="180"/>
      <c r="E59" s="180"/>
      <c r="F59" s="180"/>
      <c r="G59" s="180"/>
      <c r="H59" s="180"/>
      <c r="I59" s="180"/>
      <c r="J59" s="180"/>
      <c r="K59" s="180"/>
      <c r="L59" s="181"/>
      <c r="M59" s="13"/>
      <c r="N59" s="17"/>
      <c r="O59" s="17"/>
      <c r="P59" s="17"/>
      <c r="Q59" s="17"/>
      <c r="R59" s="99"/>
      <c r="S59" s="113"/>
      <c r="T59" s="113"/>
      <c r="U59" s="113"/>
      <c r="V59" s="21"/>
    </row>
    <row r="60" spans="2:22" ht="30.75">
      <c r="B60" s="182" t="s">
        <v>37</v>
      </c>
      <c r="C60" s="183"/>
      <c r="D60" s="184" t="str">
        <f>+VLOOKUP(47,TRADUZIONI,DATI!$C$2-1,0)</f>
        <v xml:space="preserve">BIANCO </v>
      </c>
      <c r="E60" s="184" t="str">
        <f>+VLOOKUP(74,TRADUZIONI,DATI!$C$2-1,0)</f>
        <v>NEUTRO</v>
      </c>
      <c r="F60" s="2262" t="str">
        <f>+VLOOKUP(83,TRADUZIONI,DATI!$C$2-1,0)</f>
        <v>PERSONALIZZATO</v>
      </c>
      <c r="G60" s="2263"/>
      <c r="H60" s="183"/>
      <c r="I60" s="183"/>
      <c r="J60" s="183"/>
      <c r="K60" s="183"/>
      <c r="L60" s="185"/>
      <c r="M60" s="13"/>
      <c r="N60" s="78" t="str">
        <f>+VLOOKUP(78,TRADUZIONI,DATI!C2-1,0)</f>
        <v>PEZZI /PZ.</v>
      </c>
      <c r="O60" s="157">
        <f>1*P11</f>
        <v>1</v>
      </c>
      <c r="P60" s="80"/>
      <c r="Q60" s="80"/>
      <c r="R60" s="99"/>
      <c r="S60" s="113"/>
      <c r="T60" s="113"/>
      <c r="U60" s="113"/>
      <c r="V60" s="21"/>
    </row>
    <row r="61" spans="2:22" ht="21">
      <c r="B61" s="186"/>
      <c r="C61" s="183"/>
      <c r="D61" s="187" t="s">
        <v>44</v>
      </c>
      <c r="E61" s="188"/>
      <c r="F61" s="1443"/>
      <c r="G61" s="1442"/>
      <c r="H61" s="183"/>
      <c r="I61" s="183"/>
      <c r="J61" s="183"/>
      <c r="K61" s="183"/>
      <c r="L61" s="185"/>
      <c r="M61" s="13"/>
      <c r="N61" s="17"/>
      <c r="O61" s="17"/>
      <c r="P61" s="17"/>
      <c r="Q61" s="17"/>
      <c r="R61" s="99"/>
      <c r="S61" s="113"/>
      <c r="T61" s="113"/>
      <c r="U61" s="113"/>
      <c r="V61" s="21"/>
    </row>
    <row r="62" spans="2:22" ht="30.75">
      <c r="B62" s="190"/>
      <c r="C62" s="183"/>
      <c r="D62" s="191">
        <v>0.05</v>
      </c>
      <c r="E62" s="192">
        <v>0.17499999999999999</v>
      </c>
      <c r="F62" s="193" t="s">
        <v>102</v>
      </c>
      <c r="G62" s="192">
        <f>(S10+300)/1000</f>
        <v>0.3</v>
      </c>
      <c r="H62" s="183"/>
      <c r="I62" s="183"/>
      <c r="J62" s="183"/>
      <c r="K62" s="183"/>
      <c r="L62" s="185"/>
      <c r="M62" s="13"/>
      <c r="N62" s="56" t="str">
        <f>+VLOOKUP(129,TRADUZIONI,DATI!$C$2-1,0)&amp;"- 28) ="</f>
        <v>LUNGH. (ALTEZZA- 28) =</v>
      </c>
      <c r="O62" s="158"/>
      <c r="P62" s="158"/>
      <c r="Q62" s="158"/>
      <c r="R62" s="2227">
        <f>+R7-28</f>
        <v>2172</v>
      </c>
      <c r="S62" s="2228"/>
      <c r="T62" s="113"/>
      <c r="U62" s="113"/>
      <c r="V62" s="21"/>
    </row>
    <row r="63" spans="2:22" ht="21">
      <c r="B63" s="194"/>
      <c r="C63" s="183"/>
      <c r="D63" s="191" t="str">
        <f>+VLOOKUP(75,TRADUZIONI,DATI!$C$2-1,0)</f>
        <v>CONFEZIONE</v>
      </c>
      <c r="E63" s="191"/>
      <c r="F63" s="192">
        <f>Q14</f>
        <v>0</v>
      </c>
      <c r="G63" s="191" t="s">
        <v>104</v>
      </c>
      <c r="H63" s="183"/>
      <c r="I63" s="183"/>
      <c r="J63" s="183"/>
      <c r="K63" s="183"/>
      <c r="L63" s="185"/>
      <c r="M63" s="13"/>
      <c r="N63" s="17"/>
      <c r="O63" s="17"/>
      <c r="P63" s="17"/>
      <c r="Q63" s="17"/>
      <c r="R63" s="99"/>
      <c r="S63" s="113"/>
      <c r="T63" s="113"/>
      <c r="U63" s="113"/>
      <c r="V63" s="21"/>
    </row>
    <row r="64" spans="2:22" ht="30.75">
      <c r="B64" s="194"/>
      <c r="C64" s="183"/>
      <c r="D64" s="191" t="str">
        <f>+VLOOKUP(76,TRADUZIONI,DATI!$C$2-1,0)</f>
        <v>VOLUME</v>
      </c>
      <c r="E64" s="191"/>
      <c r="F64" s="1444">
        <f>(D62*E62*G62)*F63</f>
        <v>0</v>
      </c>
      <c r="G64" s="191" t="s">
        <v>106</v>
      </c>
      <c r="H64" s="183"/>
      <c r="I64" s="183"/>
      <c r="J64" s="183"/>
      <c r="K64" s="183"/>
      <c r="L64" s="185"/>
      <c r="M64" s="13"/>
      <c r="N64" s="56" t="str">
        <f>+VLOOKUP(130,TRADUZIONI,DATI!$C$2-1,0)</f>
        <v xml:space="preserve">LUNG. PORTA MAGNETE   </v>
      </c>
      <c r="O64" s="158"/>
      <c r="P64" s="158"/>
      <c r="Q64" s="158"/>
      <c r="R64" s="2227">
        <f>+R7-30</f>
        <v>2170</v>
      </c>
      <c r="S64" s="2228"/>
      <c r="T64" s="113"/>
      <c r="U64" s="113"/>
      <c r="V64" s="21"/>
    </row>
    <row r="65" spans="2:22" ht="21.75" thickBot="1">
      <c r="B65" s="195"/>
      <c r="C65" s="196"/>
      <c r="D65" s="197"/>
      <c r="E65" s="197"/>
      <c r="F65" s="198"/>
      <c r="G65" s="197"/>
      <c r="H65" s="196"/>
      <c r="I65" s="196"/>
      <c r="J65" s="196"/>
      <c r="K65" s="196"/>
      <c r="L65" s="199"/>
      <c r="M65" s="88"/>
      <c r="N65" s="89"/>
      <c r="O65" s="89"/>
      <c r="P65" s="89"/>
      <c r="Q65" s="89"/>
      <c r="R65" s="89"/>
      <c r="S65" s="89"/>
      <c r="T65" s="89"/>
      <c r="U65" s="89"/>
      <c r="V65" s="90"/>
    </row>
    <row r="66" spans="2:22" ht="44.25" customHeight="1">
      <c r="B66" s="220"/>
      <c r="C66" s="219" t="str">
        <f>+VLOOKUP(142,TRADUZIONI,DATI!$C$2-1,0)</f>
        <v>QUADRO G</v>
      </c>
      <c r="D66" s="2268" t="str">
        <f>+VLOOKUP(156,TRADUZIONI,DATI!$C$2-1,0)</f>
        <v>QUALITA'</v>
      </c>
      <c r="E66" s="2268"/>
      <c r="F66" s="2268"/>
      <c r="G66" s="2268"/>
      <c r="H66" s="2268"/>
      <c r="I66" s="2268"/>
      <c r="J66" s="2268"/>
      <c r="K66" s="2268"/>
      <c r="L66" s="2269"/>
      <c r="M66" s="13"/>
      <c r="N66" s="17"/>
      <c r="O66" s="17"/>
      <c r="P66" s="17"/>
      <c r="Q66" s="17"/>
      <c r="R66" s="99"/>
      <c r="S66" s="113"/>
      <c r="T66" s="113"/>
      <c r="U66" s="113"/>
      <c r="V66" s="21"/>
    </row>
    <row r="67" spans="2:22" ht="27.75">
      <c r="B67" s="2270" t="str">
        <f>+VLOOKUP(32,TRADUZIONI,DATI!$C$2-1,0)</f>
        <v>CONTROLLATO DA</v>
      </c>
      <c r="C67" s="2271"/>
      <c r="D67" s="2271"/>
      <c r="E67" s="2272"/>
      <c r="F67" s="2273" t="str">
        <f>+VLOOKUP(35,TRADUZIONI,DATI!$C$2-1,0)</f>
        <v>NOTE</v>
      </c>
      <c r="G67" s="2271"/>
      <c r="H67" s="2271"/>
      <c r="I67" s="2271"/>
      <c r="J67" s="2271"/>
      <c r="K67" s="2271"/>
      <c r="L67" s="2274"/>
      <c r="M67" s="13"/>
      <c r="N67" s="2222" t="str">
        <f>+VLOOKUP(125,TRADUZIONI,DATI!$C$2-1,0)</f>
        <v>GUIDA</v>
      </c>
      <c r="O67" s="2223"/>
      <c r="P67" s="2223"/>
      <c r="Q67" s="2223"/>
      <c r="R67" s="2223"/>
      <c r="S67" s="2223"/>
      <c r="T67" s="2223"/>
      <c r="U67" s="2224"/>
      <c r="V67" s="21"/>
    </row>
    <row r="68" spans="2:22" ht="21" customHeight="1">
      <c r="B68" s="2264" t="str">
        <f>+VLOOKUP(33,TRADUZIONI,DATI!$C$2-1,0)</f>
        <v>OPERATORE</v>
      </c>
      <c r="C68" s="2265"/>
      <c r="D68" s="2266" t="str">
        <f>+VLOOKUP(34,TRADUZIONI,DATI!$C$2-1,0)</f>
        <v>PRODUZIONE</v>
      </c>
      <c r="E68" s="2267"/>
      <c r="F68" s="2276">
        <f>+DATI!C13</f>
        <v>0</v>
      </c>
      <c r="G68" s="2277"/>
      <c r="H68" s="2277"/>
      <c r="I68" s="2277"/>
      <c r="J68" s="2277"/>
      <c r="K68" s="2277"/>
      <c r="L68" s="2278"/>
      <c r="M68" s="13"/>
      <c r="N68" s="17"/>
      <c r="O68" s="17"/>
      <c r="P68" s="17"/>
      <c r="Q68" s="17"/>
      <c r="R68" s="99"/>
      <c r="S68" s="99"/>
      <c r="T68" s="99"/>
      <c r="U68" s="99"/>
      <c r="V68" s="21"/>
    </row>
    <row r="69" spans="2:22" ht="28.5">
      <c r="B69" s="2282"/>
      <c r="C69" s="2283"/>
      <c r="D69" s="2286"/>
      <c r="E69" s="2287"/>
      <c r="F69" s="2279"/>
      <c r="G69" s="2280"/>
      <c r="H69" s="2280"/>
      <c r="I69" s="2280"/>
      <c r="J69" s="2280"/>
      <c r="K69" s="2280"/>
      <c r="L69" s="2281"/>
      <c r="M69" s="13"/>
      <c r="N69" s="56" t="str">
        <f>+VLOOKUP(159,TRADUZIONI,DATI!$C$2-1,0)</f>
        <v>SUP. (BASE) =</v>
      </c>
      <c r="O69" s="101"/>
      <c r="P69" s="213"/>
      <c r="Q69" s="2236">
        <f>+P7</f>
        <v>1400</v>
      </c>
      <c r="R69" s="2237"/>
      <c r="S69" s="99"/>
      <c r="T69" s="78" t="str">
        <f>+VLOOKUP(78,TRADUZIONI,DATI!C2-1,0)</f>
        <v>PEZZI /PZ.</v>
      </c>
      <c r="U69" s="200" t="s">
        <v>122</v>
      </c>
      <c r="V69" s="21"/>
    </row>
    <row r="70" spans="2:22" ht="21">
      <c r="B70" s="2282"/>
      <c r="C70" s="2283"/>
      <c r="D70" s="2286"/>
      <c r="E70" s="2287"/>
      <c r="F70" s="2273" t="str">
        <f>+VLOOKUP(36,TRADUZIONI,DATI!$C$2-1,0)</f>
        <v xml:space="preserve">RETE </v>
      </c>
      <c r="G70" s="2271"/>
      <c r="H70" s="2271"/>
      <c r="I70" s="2273" t="str">
        <f>+VLOOKUP(37,TRADUZIONI,DATI!$C$2-1,0)</f>
        <v>LOTTO NR.</v>
      </c>
      <c r="J70" s="2271"/>
      <c r="K70" s="2271"/>
      <c r="L70" s="2274"/>
      <c r="M70" s="13"/>
      <c r="N70" s="17"/>
      <c r="O70" s="17"/>
      <c r="P70" s="17"/>
      <c r="Q70" s="17"/>
      <c r="R70" s="99"/>
      <c r="S70" s="99"/>
      <c r="T70" s="99"/>
      <c r="U70" s="99"/>
      <c r="V70" s="21"/>
    </row>
    <row r="71" spans="2:22" ht="28.5">
      <c r="B71" s="2282"/>
      <c r="C71" s="2283"/>
      <c r="D71" s="2286"/>
      <c r="E71" s="2287"/>
      <c r="F71" s="2254" t="str">
        <f>+IF(DATI!$C$12=1,"",VLOOKUP(38,TRADUZIONI,DATI!$C$2-1,0))</f>
        <v>RETE GRIGIA</v>
      </c>
      <c r="G71" s="2255"/>
      <c r="H71" s="2255"/>
      <c r="I71" s="2254"/>
      <c r="J71" s="2255"/>
      <c r="K71" s="2255"/>
      <c r="L71" s="2290"/>
      <c r="M71" s="13"/>
      <c r="N71" s="56" t="str">
        <f>+VLOOKUP(160,TRADUZIONI,DATI!$C$2-1,0)</f>
        <v>INF. (BASE) =</v>
      </c>
      <c r="O71" s="158"/>
      <c r="P71" s="101"/>
      <c r="Q71" s="2236">
        <f>+P7</f>
        <v>1400</v>
      </c>
      <c r="R71" s="2237"/>
      <c r="S71" s="99"/>
      <c r="T71" s="78" t="str">
        <f>+VLOOKUP(78,TRADUZIONI,DATI!C2-1,0)</f>
        <v>PEZZI /PZ.</v>
      </c>
      <c r="U71" s="200" t="s">
        <v>122</v>
      </c>
      <c r="V71" s="21"/>
    </row>
    <row r="72" spans="2:22" ht="21.75" customHeight="1" thickBot="1">
      <c r="B72" s="2284"/>
      <c r="C72" s="2285"/>
      <c r="D72" s="2288"/>
      <c r="E72" s="2289"/>
      <c r="F72" s="2256"/>
      <c r="G72" s="2257"/>
      <c r="H72" s="2257"/>
      <c r="I72" s="2256"/>
      <c r="J72" s="2257"/>
      <c r="K72" s="2257"/>
      <c r="L72" s="2291"/>
      <c r="M72" s="75"/>
      <c r="N72" s="44"/>
      <c r="O72" s="44"/>
      <c r="P72" s="44"/>
      <c r="Q72" s="44"/>
      <c r="R72" s="44"/>
      <c r="S72" s="44"/>
      <c r="T72" s="44"/>
      <c r="U72" s="44"/>
      <c r="V72" s="73"/>
    </row>
    <row r="74" spans="2:22" ht="99.75">
      <c r="V74" s="204"/>
    </row>
  </sheetData>
  <mergeCells count="50">
    <mergeCell ref="F71:H72"/>
    <mergeCell ref="I71:L72"/>
    <mergeCell ref="C40:G40"/>
    <mergeCell ref="F10:G10"/>
    <mergeCell ref="Q71:R71"/>
    <mergeCell ref="D66:L66"/>
    <mergeCell ref="B67:E67"/>
    <mergeCell ref="F67:L67"/>
    <mergeCell ref="N67:U67"/>
    <mergeCell ref="B68:C68"/>
    <mergeCell ref="D68:E68"/>
    <mergeCell ref="F68:L69"/>
    <mergeCell ref="B69:C72"/>
    <mergeCell ref="D69:E72"/>
    <mergeCell ref="Q69:R69"/>
    <mergeCell ref="F70:H70"/>
    <mergeCell ref="I70:L70"/>
    <mergeCell ref="M40:V40"/>
    <mergeCell ref="R64:S64"/>
    <mergeCell ref="M41:V41"/>
    <mergeCell ref="D43:L43"/>
    <mergeCell ref="O43:V43"/>
    <mergeCell ref="N45:T45"/>
    <mergeCell ref="C49:J50"/>
    <mergeCell ref="R49:S49"/>
    <mergeCell ref="R51:S51"/>
    <mergeCell ref="D52:L52"/>
    <mergeCell ref="N57:T57"/>
    <mergeCell ref="R62:S62"/>
    <mergeCell ref="F60:G60"/>
    <mergeCell ref="H33:I33"/>
    <mergeCell ref="J34:K34"/>
    <mergeCell ref="C36:I36"/>
    <mergeCell ref="C37:I38"/>
    <mergeCell ref="F15:J20"/>
    <mergeCell ref="P16:Q16"/>
    <mergeCell ref="C22:E22"/>
    <mergeCell ref="F31:G31"/>
    <mergeCell ref="G32:H32"/>
    <mergeCell ref="N9:O9"/>
    <mergeCell ref="P9:S9"/>
    <mergeCell ref="N11:O11"/>
    <mergeCell ref="D14:L14"/>
    <mergeCell ref="O14:V14"/>
    <mergeCell ref="B2:V2"/>
    <mergeCell ref="E4:O4"/>
    <mergeCell ref="D6:G6"/>
    <mergeCell ref="N6:O7"/>
    <mergeCell ref="R6:S6"/>
    <mergeCell ref="R7:S7"/>
  </mergeCells>
  <printOptions horizontalCentered="1" gridLinesSet="0"/>
  <pageMargins left="0" right="0" top="0" bottom="0" header="0" footer="0"/>
  <pageSetup paperSize="9" scale="38" orientation="portrait" horizontalDpi="1200" verticalDpi="1200" r:id="rId1"/>
  <headerFooter alignWithMargins="0">
    <oddFooter>&amp;LREV. 09/05 - VER.1&amp;R&amp;D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>
    <tabColor theme="6" tint="-0.249977111117893"/>
    <pageSetUpPr fitToPage="1"/>
  </sheetPr>
  <dimension ref="A1:AA74"/>
  <sheetViews>
    <sheetView showGridLines="0" zoomScale="50" zoomScaleNormal="50" workbookViewId="0">
      <selection activeCell="C10" sqref="C10:K10"/>
    </sheetView>
  </sheetViews>
  <sheetFormatPr defaultColWidth="10.28515625" defaultRowHeight="15"/>
  <cols>
    <col min="1" max="1" width="35.85546875" style="97" customWidth="1"/>
    <col min="2" max="2" width="4.5703125" style="97" customWidth="1"/>
    <col min="3" max="3" width="23.42578125" style="97" customWidth="1"/>
    <col min="4" max="4" width="13.28515625" style="97" customWidth="1"/>
    <col min="5" max="5" width="14.28515625" style="97" customWidth="1"/>
    <col min="6" max="6" width="15" style="97" customWidth="1"/>
    <col min="7" max="7" width="12.42578125" style="97" customWidth="1"/>
    <col min="8" max="10" width="9.28515625" style="97" customWidth="1"/>
    <col min="11" max="11" width="9.85546875" style="97" customWidth="1"/>
    <col min="12" max="12" width="9.28515625" style="97" customWidth="1"/>
    <col min="13" max="13" width="4.5703125" style="97" customWidth="1"/>
    <col min="14" max="14" width="17.85546875" style="97" customWidth="1"/>
    <col min="15" max="15" width="13.85546875" style="97" customWidth="1"/>
    <col min="16" max="16" width="16.28515625" style="97" customWidth="1"/>
    <col min="17" max="17" width="9.7109375" style="97" customWidth="1"/>
    <col min="18" max="18" width="11.140625" style="97" customWidth="1"/>
    <col min="19" max="19" width="9.5703125" style="97" customWidth="1"/>
    <col min="20" max="20" width="19" style="97" customWidth="1"/>
    <col min="21" max="21" width="11.42578125" style="97" customWidth="1"/>
    <col min="22" max="22" width="6.5703125" style="97" customWidth="1"/>
    <col min="23" max="24" width="10.28515625" style="97"/>
    <col min="25" max="25" width="14.42578125" style="97" bestFit="1" customWidth="1"/>
    <col min="26" max="16384" width="10.28515625" style="97"/>
  </cols>
  <sheetData>
    <row r="1" spans="1:22" ht="18">
      <c r="A1" s="6"/>
    </row>
    <row r="2" spans="1:22" ht="33.75">
      <c r="A2" s="6"/>
      <c r="B2" s="2240" t="str">
        <f>+VLOOKUP(126,TRADUZIONI,DATI!C2-1,0)</f>
        <v>FOGLIO LAVORO GIOCONDA LATERALE 2 ANTE</v>
      </c>
      <c r="C2" s="2241"/>
      <c r="D2" s="2241"/>
      <c r="E2" s="2241"/>
      <c r="F2" s="2241"/>
      <c r="G2" s="2241"/>
      <c r="H2" s="2241"/>
      <c r="I2" s="2241"/>
      <c r="J2" s="2241"/>
      <c r="K2" s="2241"/>
      <c r="L2" s="2241"/>
      <c r="M2" s="2241"/>
      <c r="N2" s="2241"/>
      <c r="O2" s="2241"/>
      <c r="P2" s="2241"/>
      <c r="Q2" s="2241"/>
      <c r="R2" s="2241"/>
      <c r="S2" s="2241"/>
      <c r="T2" s="2241"/>
      <c r="U2" s="2241"/>
      <c r="V2" s="2241"/>
    </row>
    <row r="3" spans="1:22" ht="18.75" thickBot="1">
      <c r="A3" s="6"/>
    </row>
    <row r="4" spans="1:22" ht="44.25" customHeight="1">
      <c r="A4" s="6"/>
      <c r="B4" s="220"/>
      <c r="C4" s="219" t="str">
        <f>+VLOOKUP(108,TRADUZIONI,DATI!$C$2-1,0)</f>
        <v>QUADRO A</v>
      </c>
      <c r="D4" s="215"/>
      <c r="E4" s="2197" t="str">
        <f>+VLOOKUP(109,TRADUZIONI,DATI!$C$2-1,0)</f>
        <v>DATI ORDINE</v>
      </c>
      <c r="F4" s="2197"/>
      <c r="G4" s="2197"/>
      <c r="H4" s="2197"/>
      <c r="I4" s="2197"/>
      <c r="J4" s="2197"/>
      <c r="K4" s="2197"/>
      <c r="L4" s="2197"/>
      <c r="M4" s="2197"/>
      <c r="N4" s="2197"/>
      <c r="O4" s="2197"/>
      <c r="P4" s="216"/>
      <c r="Q4" s="215"/>
      <c r="R4" s="215"/>
      <c r="S4" s="215"/>
      <c r="T4" s="215"/>
      <c r="U4" s="215"/>
      <c r="V4" s="217"/>
    </row>
    <row r="5" spans="1:22" ht="18">
      <c r="A5" s="6"/>
      <c r="B5" s="98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100"/>
    </row>
    <row r="6" spans="1:22" ht="30.75">
      <c r="A6" s="6"/>
      <c r="B6" s="98"/>
      <c r="C6" s="1432" t="str">
        <f>+VLOOKUP(22,TRADUZIONI,DATI!C2-1,0)</f>
        <v>CLIENTE</v>
      </c>
      <c r="D6" s="2198">
        <f>+DATI!C6</f>
        <v>0</v>
      </c>
      <c r="E6" s="2198"/>
      <c r="F6" s="2198"/>
      <c r="G6" s="2198"/>
      <c r="H6" s="101"/>
      <c r="I6" s="101"/>
      <c r="J6" s="101"/>
      <c r="K6" s="102"/>
      <c r="L6" s="103"/>
      <c r="M6" s="104"/>
      <c r="N6" s="2242" t="str">
        <f>+VLOOKUP(115,TRADUZIONI,DATI!C2-1,0)</f>
        <v xml:space="preserve">DIMENSIONI </v>
      </c>
      <c r="O6" s="2243"/>
      <c r="P6" s="14" t="str">
        <f>+VLOOKUP(96,TRADUZIONI,DATI!C2-1,0)</f>
        <v>BASE</v>
      </c>
      <c r="Q6" s="19"/>
      <c r="R6" s="2213" t="str">
        <f>+VLOOKUP(97,TRADUZIONI,DATI!C2-1,0)</f>
        <v>ALTEZZA</v>
      </c>
      <c r="S6" s="2229"/>
      <c r="T6" s="99"/>
      <c r="U6" s="99"/>
      <c r="V6" s="100"/>
    </row>
    <row r="7" spans="1:22" ht="29.25" customHeight="1">
      <c r="A7" s="6"/>
      <c r="B7" s="98"/>
      <c r="C7" s="99"/>
      <c r="D7" s="99" t="s">
        <v>37</v>
      </c>
      <c r="E7" s="99"/>
      <c r="F7" s="99"/>
      <c r="G7" s="99"/>
      <c r="H7" s="99"/>
      <c r="I7" s="99"/>
      <c r="J7" s="99"/>
      <c r="K7" s="99"/>
      <c r="L7" s="103"/>
      <c r="M7" s="104"/>
      <c r="N7" s="2244"/>
      <c r="O7" s="2245"/>
      <c r="P7" s="23">
        <f>+DATI!C7</f>
        <v>1400</v>
      </c>
      <c r="Q7" s="24" t="s">
        <v>44</v>
      </c>
      <c r="R7" s="2246">
        <f>+DATI!C8</f>
        <v>2200</v>
      </c>
      <c r="S7" s="2247"/>
      <c r="T7" s="99"/>
      <c r="U7" s="99"/>
      <c r="V7" s="100"/>
    </row>
    <row r="8" spans="1:22" ht="30.75">
      <c r="A8" s="6"/>
      <c r="B8" s="98"/>
      <c r="C8" s="14" t="str">
        <f>+VLOOKUP(23,TRADUZIONI,DATI!C2-1,0)</f>
        <v>NUM. ORDINE</v>
      </c>
      <c r="D8" s="105">
        <f>+DATI!C4</f>
        <v>0</v>
      </c>
      <c r="E8" s="105"/>
      <c r="F8" s="105"/>
      <c r="G8" s="105"/>
      <c r="H8" s="101"/>
      <c r="I8" s="101"/>
      <c r="J8" s="101"/>
      <c r="K8" s="102"/>
      <c r="L8" s="103"/>
      <c r="M8" s="104"/>
      <c r="N8" s="99"/>
      <c r="O8" s="99"/>
      <c r="P8" s="99"/>
      <c r="Q8" s="99"/>
      <c r="R8" s="106"/>
      <c r="S8" s="99"/>
      <c r="T8" s="99"/>
      <c r="U8" s="99"/>
      <c r="V8" s="100"/>
    </row>
    <row r="9" spans="1:22" ht="30.75">
      <c r="A9" s="6"/>
      <c r="B9" s="98"/>
      <c r="C9" s="99"/>
      <c r="D9" s="99"/>
      <c r="E9" s="99"/>
      <c r="F9" s="99"/>
      <c r="G9" s="99"/>
      <c r="H9" s="99"/>
      <c r="I9" s="99"/>
      <c r="J9" s="99"/>
      <c r="K9" s="99"/>
      <c r="L9" s="103"/>
      <c r="M9" s="104"/>
      <c r="N9" s="2212" t="str">
        <f>+VLOOKUP(99,TRADUZIONI,DATI!C2-1,0)</f>
        <v>COLORE</v>
      </c>
      <c r="O9" s="2229"/>
      <c r="P9" s="2238" t="str">
        <f>+DATI!C10</f>
        <v>06.NERO</v>
      </c>
      <c r="Q9" s="2203"/>
      <c r="R9" s="2203"/>
      <c r="S9" s="2204"/>
      <c r="T9" s="99"/>
      <c r="U9" s="99"/>
      <c r="V9" s="100"/>
    </row>
    <row r="10" spans="1:22" ht="30.75">
      <c r="A10" s="6"/>
      <c r="B10" s="98"/>
      <c r="C10" s="1447" t="str">
        <f>+VLOOKUP(5,TRADUZIONI,DATI!C2-1,0)</f>
        <v>DATA SPEDIZIONE</v>
      </c>
      <c r="D10" s="101"/>
      <c r="E10" s="1446"/>
      <c r="F10" s="2253">
        <f>+DATI!C5</f>
        <v>42370</v>
      </c>
      <c r="G10" s="2253"/>
      <c r="H10" s="101"/>
      <c r="I10" s="101"/>
      <c r="J10" s="101"/>
      <c r="K10" s="102"/>
      <c r="L10" s="103"/>
      <c r="M10" s="104"/>
      <c r="N10" s="107"/>
      <c r="O10" s="99"/>
      <c r="P10" s="99"/>
      <c r="Q10" s="99"/>
      <c r="R10" s="99"/>
      <c r="S10" s="99"/>
      <c r="T10" s="99"/>
      <c r="U10" s="99"/>
      <c r="V10" s="100"/>
    </row>
    <row r="11" spans="1:22" ht="30.75">
      <c r="A11" s="6"/>
      <c r="B11" s="98"/>
      <c r="C11" s="99"/>
      <c r="D11" s="99"/>
      <c r="E11" s="99"/>
      <c r="F11" s="99"/>
      <c r="G11" s="99"/>
      <c r="H11" s="99"/>
      <c r="I11" s="99"/>
      <c r="J11" s="99"/>
      <c r="K11" s="99"/>
      <c r="L11" s="103"/>
      <c r="M11" s="104"/>
      <c r="N11" s="2232" t="str">
        <f>+VLOOKUP(78,TRADUZIONI,DATI!C2-1,0)</f>
        <v>PEZZI /PZ.</v>
      </c>
      <c r="O11" s="2239"/>
      <c r="P11" s="33" t="str">
        <f>+DATI!C11</f>
        <v>1</v>
      </c>
      <c r="Q11" s="99"/>
      <c r="R11" s="99"/>
      <c r="S11" s="99"/>
      <c r="T11" s="99"/>
      <c r="U11" s="99"/>
      <c r="V11" s="100"/>
    </row>
    <row r="12" spans="1:22" ht="30.75">
      <c r="A12" s="6"/>
      <c r="B12" s="98"/>
      <c r="C12" s="14" t="s">
        <v>49</v>
      </c>
      <c r="D12" s="34">
        <f>IF((P7*R7/1000000)&lt;=2,2*P11,IF((P7*R7/1000000)&gt;2,(P7*R7/1000000)*P11))</f>
        <v>3.08</v>
      </c>
      <c r="E12" s="108"/>
      <c r="F12" s="2207"/>
      <c r="G12" s="2207"/>
      <c r="H12" s="99"/>
      <c r="I12" s="99"/>
      <c r="J12" s="99"/>
      <c r="K12" s="99"/>
      <c r="L12" s="103"/>
      <c r="M12" s="104"/>
      <c r="N12" s="99"/>
      <c r="O12" s="99"/>
      <c r="P12" s="109" t="s">
        <v>37</v>
      </c>
      <c r="Q12" s="99"/>
      <c r="R12" s="99"/>
      <c r="S12" s="99"/>
      <c r="T12" s="110" t="s">
        <v>37</v>
      </c>
      <c r="U12" s="110"/>
      <c r="V12" s="100"/>
    </row>
    <row r="13" spans="1:22" ht="18.75" thickBot="1">
      <c r="A13" s="6"/>
      <c r="B13" s="98"/>
      <c r="C13" s="107"/>
      <c r="D13" s="99"/>
      <c r="E13" s="111"/>
      <c r="F13" s="112"/>
      <c r="G13" s="111"/>
      <c r="H13" s="113"/>
      <c r="I13" s="113"/>
      <c r="J13" s="113"/>
      <c r="K13" s="99"/>
      <c r="L13" s="99"/>
      <c r="M13" s="99"/>
      <c r="N13" s="99"/>
      <c r="O13" s="99"/>
      <c r="P13" s="99"/>
      <c r="Q13" s="99"/>
      <c r="R13" s="114"/>
      <c r="S13" s="99"/>
      <c r="T13" s="115" t="s">
        <v>37</v>
      </c>
      <c r="U13" s="115"/>
      <c r="V13" s="100"/>
    </row>
    <row r="14" spans="1:22" ht="44.25" customHeight="1">
      <c r="B14" s="220"/>
      <c r="C14" s="219" t="str">
        <f>+VLOOKUP(111,TRADUZIONI,DATI!$C$2-1,0)</f>
        <v>QUADRO B</v>
      </c>
      <c r="D14" s="2248" t="str">
        <f>+VLOOKUP(118,TRADUZIONI,DATI!$C$2-1,0)</f>
        <v>DIMENSIONE RETE E FORI</v>
      </c>
      <c r="E14" s="2248"/>
      <c r="F14" s="2248"/>
      <c r="G14" s="2248"/>
      <c r="H14" s="2248"/>
      <c r="I14" s="2248"/>
      <c r="J14" s="2248"/>
      <c r="K14" s="2248"/>
      <c r="L14" s="2249"/>
      <c r="M14" s="220"/>
      <c r="N14" s="219" t="str">
        <f>+VLOOKUP(138,TRADUZIONI,DATI!$C$2-1,0)</f>
        <v>QUADRO C</v>
      </c>
      <c r="O14" s="2250" t="str">
        <f>+VLOOKUP(117,TRADUZIONI,DATI!$C$2-1,0)</f>
        <v>LUNGHEZZA E NUM. CORDINI</v>
      </c>
      <c r="P14" s="2250"/>
      <c r="Q14" s="2250"/>
      <c r="R14" s="2250"/>
      <c r="S14" s="2250"/>
      <c r="T14" s="2250"/>
      <c r="U14" s="2250"/>
      <c r="V14" s="2251"/>
    </row>
    <row r="15" spans="1:22" ht="31.5" customHeight="1">
      <c r="B15" s="116"/>
      <c r="C15" s="99"/>
      <c r="D15" s="99"/>
      <c r="E15" s="99"/>
      <c r="F15" s="2298" t="e">
        <f>IF(DATI!E13="AUTOMATICA",CONCATENATE("*",DATI!E14,"-",REPT("0",4-LEN(F22)),F22,"*"),CONCATENATE("*",DATI!$L$14,REPT("0",3-LEN(D16)),D16,REPT("0",4-LEN(F22)),F22,DATI!L13,"*"))</f>
        <v>#VALUE!</v>
      </c>
      <c r="G15" s="2298"/>
      <c r="H15" s="2298"/>
      <c r="I15" s="2298"/>
      <c r="J15" s="2298"/>
      <c r="K15" s="133"/>
      <c r="L15" s="118"/>
      <c r="M15" s="98"/>
      <c r="N15" s="99"/>
      <c r="O15" s="99" t="s">
        <v>37</v>
      </c>
      <c r="P15" s="119" t="s">
        <v>37</v>
      </c>
      <c r="Q15" s="99"/>
      <c r="R15" s="99"/>
      <c r="S15" s="99"/>
      <c r="T15" s="120"/>
      <c r="U15" s="120"/>
      <c r="V15" s="100"/>
    </row>
    <row r="16" spans="1:22" ht="30.75" customHeight="1">
      <c r="B16" s="121"/>
      <c r="C16" s="122" t="str">
        <f>+VLOOKUP(19,TRADUZIONI,DATI!C2-1,0)</f>
        <v>PIEGHE</v>
      </c>
      <c r="D16" s="123">
        <f>ROUNDUP((P7-53)*0.036/2,0)</f>
        <v>25</v>
      </c>
      <c r="E16" s="99"/>
      <c r="F16" s="2298"/>
      <c r="G16" s="2298"/>
      <c r="H16" s="2298"/>
      <c r="I16" s="2298"/>
      <c r="J16" s="2298"/>
      <c r="K16" s="133"/>
      <c r="L16" s="124"/>
      <c r="M16" s="121"/>
      <c r="N16" s="125"/>
      <c r="O16" s="125"/>
      <c r="P16" s="2232" t="str">
        <f>+VLOOKUP(149,TRADUZIONI,DATI!C2-1,0)</f>
        <v>CORDINI</v>
      </c>
      <c r="Q16" s="2239"/>
      <c r="R16" s="126">
        <f>IF(R7&lt;=602,2,IF(R7&lt;=1456,4,IF(R7&lt;=2356,6,8)))</f>
        <v>6</v>
      </c>
      <c r="S16" s="120"/>
      <c r="T16" s="115"/>
      <c r="U16" s="115"/>
      <c r="V16" s="127"/>
    </row>
    <row r="17" spans="2:22" s="129" customFormat="1" ht="15" customHeight="1">
      <c r="B17" s="98"/>
      <c r="C17" s="99"/>
      <c r="D17" s="99"/>
      <c r="E17" s="99"/>
      <c r="F17" s="2298"/>
      <c r="G17" s="2298"/>
      <c r="H17" s="2298"/>
      <c r="I17" s="2298"/>
      <c r="J17" s="2298"/>
      <c r="K17" s="133"/>
      <c r="L17" s="99"/>
      <c r="M17" s="98"/>
      <c r="N17" s="99"/>
      <c r="O17" s="99"/>
      <c r="P17" s="99"/>
      <c r="Q17" s="130" t="s">
        <v>81</v>
      </c>
      <c r="R17" s="99"/>
      <c r="S17" s="99"/>
      <c r="T17" s="99"/>
      <c r="U17" s="99"/>
      <c r="V17" s="100"/>
    </row>
    <row r="18" spans="2:22" ht="49.5" customHeight="1">
      <c r="B18" s="98"/>
      <c r="C18" s="99"/>
      <c r="D18" s="109"/>
      <c r="E18" s="109"/>
      <c r="F18" s="2298"/>
      <c r="G18" s="2298"/>
      <c r="H18" s="2298"/>
      <c r="I18" s="2298"/>
      <c r="J18" s="2298"/>
      <c r="K18" s="133"/>
      <c r="L18" s="99"/>
      <c r="M18" s="98"/>
      <c r="N18" s="99"/>
      <c r="O18" s="99"/>
      <c r="P18" s="99"/>
      <c r="R18" s="99"/>
      <c r="S18" s="99"/>
      <c r="T18" s="99"/>
      <c r="U18" s="99"/>
      <c r="V18" s="100"/>
    </row>
    <row r="19" spans="2:22" ht="15" customHeight="1">
      <c r="B19" s="98"/>
      <c r="C19" s="99"/>
      <c r="D19" s="109"/>
      <c r="E19" s="109"/>
      <c r="F19" s="2298"/>
      <c r="G19" s="2298"/>
      <c r="H19" s="2298"/>
      <c r="I19" s="2298"/>
      <c r="J19" s="2298"/>
      <c r="K19" s="133"/>
      <c r="L19" s="99"/>
      <c r="M19" s="98"/>
      <c r="N19" s="99"/>
      <c r="O19" s="99"/>
      <c r="P19" s="131" t="s">
        <v>37</v>
      </c>
      <c r="Q19" s="99"/>
      <c r="R19" s="132" t="s">
        <v>37</v>
      </c>
      <c r="S19" s="99"/>
      <c r="T19" s="99"/>
      <c r="U19" s="99"/>
      <c r="V19" s="100"/>
    </row>
    <row r="20" spans="2:22">
      <c r="B20" s="98"/>
      <c r="C20" s="99"/>
      <c r="D20" s="109"/>
      <c r="E20" s="109"/>
      <c r="F20" s="2298"/>
      <c r="G20" s="2298"/>
      <c r="H20" s="2298"/>
      <c r="I20" s="2298"/>
      <c r="J20" s="2298"/>
      <c r="K20" s="133"/>
      <c r="L20" s="99"/>
      <c r="M20" s="134"/>
      <c r="N20" s="99"/>
      <c r="O20" s="99"/>
      <c r="P20" s="99"/>
      <c r="Q20" s="135"/>
      <c r="R20" s="135"/>
      <c r="S20" s="99"/>
      <c r="T20" s="107"/>
      <c r="U20" s="107"/>
      <c r="V20" s="100"/>
    </row>
    <row r="21" spans="2:22">
      <c r="B21" s="98"/>
      <c r="C21" s="99"/>
      <c r="D21" s="109"/>
      <c r="E21" s="99"/>
      <c r="F21" s="119" t="s">
        <v>37</v>
      </c>
      <c r="G21" s="99"/>
      <c r="H21" s="136"/>
      <c r="I21" s="136"/>
      <c r="J21" s="136"/>
      <c r="K21" s="109" t="s">
        <v>37</v>
      </c>
      <c r="L21" s="99"/>
      <c r="M21" s="134"/>
      <c r="N21" s="99"/>
      <c r="O21" s="99"/>
      <c r="P21" s="99"/>
      <c r="Q21" s="99"/>
      <c r="R21" s="128"/>
      <c r="S21" s="99"/>
      <c r="T21" s="135"/>
      <c r="U21" s="135"/>
      <c r="V21" s="100"/>
    </row>
    <row r="22" spans="2:22" ht="30.75">
      <c r="B22" s="98"/>
      <c r="C22" s="2212" t="str">
        <f>CONCATENATE(VLOOKUP(116,TRADUZIONI,DATI!C2-1,0),"(",VLOOKUP(97,TRADUZIONI,DATI!C2-1,0),"-28)")</f>
        <v>TAGLIO RETE(ALTEZZA-28)</v>
      </c>
      <c r="D22" s="2213"/>
      <c r="E22" s="2213"/>
      <c r="F22" s="65">
        <f>+R7-28</f>
        <v>2172</v>
      </c>
      <c r="G22" s="66"/>
      <c r="H22" s="26"/>
      <c r="I22" s="26"/>
      <c r="J22" s="26"/>
      <c r="K22" s="25"/>
      <c r="L22" s="99"/>
      <c r="M22" s="134"/>
      <c r="N22" s="99"/>
      <c r="O22" s="99"/>
      <c r="P22" s="136" t="s">
        <v>37</v>
      </c>
      <c r="Q22" s="99" t="s">
        <v>37</v>
      </c>
      <c r="R22" s="99"/>
      <c r="S22" s="99"/>
      <c r="T22" s="130"/>
      <c r="U22" s="130"/>
      <c r="V22" s="100"/>
    </row>
    <row r="23" spans="2:22">
      <c r="B23" s="98"/>
      <c r="C23" s="99"/>
      <c r="D23" s="109"/>
      <c r="E23" s="99"/>
      <c r="F23" s="119"/>
      <c r="G23" s="120"/>
      <c r="H23" s="136"/>
      <c r="I23" s="136"/>
      <c r="J23" s="136"/>
      <c r="K23" s="109"/>
      <c r="L23" s="99"/>
      <c r="M23" s="134"/>
      <c r="N23" s="99"/>
      <c r="O23" s="99"/>
      <c r="P23" s="136"/>
      <c r="Q23" s="99"/>
      <c r="R23" s="99"/>
      <c r="S23" s="99"/>
      <c r="T23" s="130"/>
      <c r="U23" s="130"/>
      <c r="V23" s="100"/>
    </row>
    <row r="24" spans="2:22">
      <c r="B24" s="98"/>
      <c r="C24" s="99"/>
      <c r="D24" s="109"/>
      <c r="E24" s="99"/>
      <c r="F24" s="119"/>
      <c r="G24" s="120"/>
      <c r="H24" s="136"/>
      <c r="I24" s="136"/>
      <c r="J24" s="136"/>
      <c r="K24" s="109"/>
      <c r="L24" s="99"/>
      <c r="M24" s="134"/>
      <c r="N24" s="99"/>
      <c r="O24" s="99"/>
      <c r="P24" s="136"/>
      <c r="Q24" s="99"/>
      <c r="R24" s="99"/>
      <c r="S24" s="99"/>
      <c r="T24" s="130"/>
      <c r="U24" s="130"/>
      <c r="V24" s="100"/>
    </row>
    <row r="25" spans="2:22">
      <c r="B25" s="98"/>
      <c r="C25" s="99"/>
      <c r="D25" s="109"/>
      <c r="E25" s="99"/>
      <c r="F25" s="119"/>
      <c r="G25" s="120"/>
      <c r="H25" s="136"/>
      <c r="I25" s="136"/>
      <c r="J25" s="136"/>
      <c r="K25" s="109"/>
      <c r="L25" s="99"/>
      <c r="M25" s="98"/>
      <c r="N25" s="99"/>
      <c r="O25" s="99"/>
      <c r="P25" s="136"/>
      <c r="Q25" s="99"/>
      <c r="R25" s="99"/>
      <c r="S25" s="99"/>
      <c r="T25" s="130"/>
      <c r="U25" s="130"/>
      <c r="V25" s="100"/>
    </row>
    <row r="26" spans="2:22">
      <c r="B26" s="98"/>
      <c r="C26" s="99"/>
      <c r="D26" s="109"/>
      <c r="E26" s="99"/>
      <c r="F26" s="119"/>
      <c r="G26" s="120"/>
      <c r="H26" s="136"/>
      <c r="I26" s="136"/>
      <c r="J26" s="136"/>
      <c r="K26" s="109"/>
      <c r="L26" s="99"/>
      <c r="M26" s="98"/>
      <c r="N26" s="99"/>
      <c r="O26" s="99"/>
      <c r="P26" s="99"/>
      <c r="Q26" s="99"/>
      <c r="R26" s="99"/>
      <c r="S26" s="109"/>
      <c r="T26" s="99"/>
      <c r="U26" s="99"/>
      <c r="V26" s="100"/>
    </row>
    <row r="27" spans="2:22" ht="30.75">
      <c r="B27" s="98"/>
      <c r="C27" s="69">
        <v>40</v>
      </c>
      <c r="D27" s="109"/>
      <c r="E27" s="99"/>
      <c r="F27" s="119"/>
      <c r="G27" s="120"/>
      <c r="H27" s="136"/>
      <c r="I27" s="136"/>
      <c r="J27" s="136"/>
      <c r="K27" s="109"/>
      <c r="L27" s="99"/>
      <c r="M27" s="98"/>
      <c r="N27" s="99"/>
      <c r="O27" s="99"/>
      <c r="P27" s="99"/>
      <c r="Q27" s="99"/>
      <c r="R27" s="99"/>
      <c r="S27" s="99"/>
      <c r="T27" s="99"/>
      <c r="U27" s="99"/>
      <c r="V27" s="100"/>
    </row>
    <row r="28" spans="2:22" ht="36" customHeight="1">
      <c r="B28" s="98"/>
      <c r="C28" s="70">
        <f>+C27+I40</f>
        <v>458</v>
      </c>
      <c r="D28" s="109"/>
      <c r="E28" s="99"/>
      <c r="F28" s="119"/>
      <c r="G28" s="120"/>
      <c r="H28" s="136"/>
      <c r="I28" s="136"/>
      <c r="J28" s="136"/>
      <c r="K28" s="109"/>
      <c r="L28" s="99"/>
      <c r="M28" s="98"/>
      <c r="N28" s="99"/>
      <c r="O28" s="99"/>
      <c r="P28" s="136" t="s">
        <v>37</v>
      </c>
      <c r="Q28" s="99"/>
      <c r="R28" s="99"/>
      <c r="S28" s="109"/>
      <c r="T28" s="99"/>
      <c r="U28" s="99"/>
      <c r="V28" s="100"/>
    </row>
    <row r="29" spans="2:22" ht="36" customHeight="1">
      <c r="B29" s="98"/>
      <c r="C29" s="99"/>
      <c r="D29" s="70">
        <f>IF(R16&gt;2,C28+I40,"")</f>
        <v>876</v>
      </c>
      <c r="E29" s="99"/>
      <c r="F29" s="119"/>
      <c r="G29" s="120"/>
      <c r="H29" s="136"/>
      <c r="I29" s="136"/>
      <c r="J29" s="136"/>
      <c r="K29" s="109"/>
      <c r="L29" s="99"/>
      <c r="M29" s="98"/>
      <c r="N29" s="99"/>
      <c r="O29" s="99"/>
      <c r="P29" s="99"/>
      <c r="Q29" s="99"/>
      <c r="R29" s="99"/>
      <c r="S29" s="99"/>
      <c r="T29" s="99"/>
      <c r="U29" s="99"/>
      <c r="V29" s="100"/>
    </row>
    <row r="30" spans="2:22" ht="36" customHeight="1">
      <c r="B30" s="98"/>
      <c r="C30" s="99"/>
      <c r="D30" s="109"/>
      <c r="E30" s="16">
        <f>IF(R16&gt;=4,D29+I40,"")</f>
        <v>1294</v>
      </c>
      <c r="F30" s="119"/>
      <c r="G30" s="120"/>
      <c r="H30" s="136"/>
      <c r="I30" s="136"/>
      <c r="J30" s="136"/>
      <c r="K30" s="109"/>
      <c r="L30" s="99"/>
      <c r="M30" s="98"/>
      <c r="N30" s="99"/>
      <c r="O30" s="99"/>
      <c r="P30" s="109" t="s">
        <v>37</v>
      </c>
      <c r="Q30" s="99"/>
      <c r="R30" s="99"/>
      <c r="S30" s="99"/>
      <c r="T30" s="99"/>
      <c r="U30" s="99"/>
      <c r="V30" s="100"/>
    </row>
    <row r="31" spans="2:22" ht="36" customHeight="1">
      <c r="B31" s="98"/>
      <c r="C31" s="99"/>
      <c r="D31" s="109"/>
      <c r="E31" s="99"/>
      <c r="F31" s="2215">
        <f>IF(R16&gt;=5,E30+I40,"")</f>
        <v>1712</v>
      </c>
      <c r="G31" s="2215"/>
      <c r="H31" s="136"/>
      <c r="I31" s="136"/>
      <c r="J31" s="136"/>
      <c r="K31" s="109"/>
      <c r="L31" s="99"/>
      <c r="M31" s="98"/>
      <c r="N31" s="99"/>
      <c r="O31" s="99"/>
      <c r="P31" s="99"/>
      <c r="Q31" s="99"/>
      <c r="R31" s="99"/>
      <c r="S31" s="99"/>
      <c r="T31" s="99"/>
      <c r="U31" s="99"/>
      <c r="V31" s="100"/>
    </row>
    <row r="32" spans="2:22" ht="36" customHeight="1">
      <c r="B32" s="98"/>
      <c r="C32" s="99"/>
      <c r="D32" s="109"/>
      <c r="E32" s="99"/>
      <c r="F32" s="119"/>
      <c r="G32" s="2292">
        <f>IF(R16&gt;=6,F31+I40,"")</f>
        <v>2130</v>
      </c>
      <c r="H32" s="2292"/>
      <c r="I32" s="136"/>
      <c r="J32" s="136"/>
      <c r="K32" s="109"/>
      <c r="L32" s="99"/>
      <c r="M32" s="98"/>
      <c r="N32" s="99"/>
      <c r="O32" s="99"/>
      <c r="P32" s="99"/>
      <c r="R32" s="99"/>
      <c r="S32" s="99"/>
      <c r="T32" s="99"/>
      <c r="U32" s="99"/>
      <c r="V32" s="100"/>
    </row>
    <row r="33" spans="2:27" ht="36" customHeight="1">
      <c r="B33" s="98"/>
      <c r="C33" s="99"/>
      <c r="D33" s="109"/>
      <c r="E33" s="99"/>
      <c r="F33" s="119"/>
      <c r="G33" s="120"/>
      <c r="H33" s="2275" t="str">
        <f>IF(R16&gt;=7,G32+I40,"")</f>
        <v/>
      </c>
      <c r="I33" s="2275"/>
      <c r="J33" s="136"/>
      <c r="K33" s="109"/>
      <c r="L33" s="99"/>
      <c r="M33" s="98"/>
      <c r="N33" s="99"/>
      <c r="O33" s="99"/>
      <c r="P33" s="99"/>
      <c r="Q33" s="133" t="s">
        <v>82</v>
      </c>
      <c r="R33" s="99"/>
      <c r="S33" s="99"/>
      <c r="T33" s="99"/>
      <c r="U33" s="99"/>
      <c r="V33" s="100"/>
    </row>
    <row r="34" spans="2:27" ht="36" customHeight="1">
      <c r="B34" s="98"/>
      <c r="C34" s="99"/>
      <c r="D34" s="109"/>
      <c r="E34" s="99"/>
      <c r="F34" s="119"/>
      <c r="G34" s="120"/>
      <c r="H34" s="136"/>
      <c r="I34" s="136"/>
      <c r="J34" s="2215" t="str">
        <f>IF(R16=8,H33+I40,"")</f>
        <v/>
      </c>
      <c r="K34" s="2215"/>
      <c r="L34" s="100"/>
      <c r="M34" s="99"/>
      <c r="N34" s="99"/>
      <c r="O34" s="205"/>
      <c r="P34" s="205"/>
      <c r="Q34" s="107"/>
      <c r="R34" s="99"/>
      <c r="S34" s="99"/>
      <c r="T34" s="99"/>
      <c r="U34" s="99"/>
      <c r="V34" s="100"/>
      <c r="Y34" s="1138" t="str">
        <f>+VLOOKUP(149,TRADUZIONI,DATI!C2-1,0)</f>
        <v>CORDINI</v>
      </c>
    </row>
    <row r="35" spans="2:27" ht="30.75" customHeight="1">
      <c r="B35" s="98"/>
      <c r="C35" s="99"/>
      <c r="D35" s="109"/>
      <c r="E35" s="99"/>
      <c r="F35" s="119"/>
      <c r="G35" s="120"/>
      <c r="H35" s="136"/>
      <c r="I35" s="136"/>
      <c r="J35" s="136"/>
      <c r="K35" s="109"/>
      <c r="L35" s="100"/>
      <c r="M35" s="99"/>
      <c r="N35" s="206" t="str">
        <f>CONCATENATE(Z35,". 2 ",AA35,".      ",TEXT(Y35,0))</f>
        <v>Nr. Cord. 2 LUNGHEZZA.      4120</v>
      </c>
      <c r="O35" s="208"/>
      <c r="P35" s="208"/>
      <c r="Q35" s="107"/>
      <c r="R35" s="99"/>
      <c r="S35" s="99"/>
      <c r="T35" s="99"/>
      <c r="U35" s="99"/>
      <c r="V35" s="100"/>
      <c r="X35" s="97">
        <v>2</v>
      </c>
      <c r="Y35" s="1140">
        <f>ROUNDUP(P7+F22+I40+150-20,-1)</f>
        <v>4120</v>
      </c>
      <c r="Z35" s="97" t="str">
        <f>+VLOOKUP(144,TRADUZIONI,DATI!$C$2-1,0)</f>
        <v>Nr. Cord</v>
      </c>
      <c r="AA35" s="97" t="str">
        <f>+VLOOKUP(60,TRADUZIONI,DATI!$C$2-1,0)</f>
        <v>LUNGHEZZA</v>
      </c>
    </row>
    <row r="36" spans="2:27" ht="30.75" customHeight="1">
      <c r="B36" s="98"/>
      <c r="C36" s="2242" t="str">
        <f>+VLOOKUP(154,TRADUZIONI,DATI!$C$2-1,0)</f>
        <v>ATTENZIONE</v>
      </c>
      <c r="D36" s="2293"/>
      <c r="E36" s="2293"/>
      <c r="F36" s="2293"/>
      <c r="G36" s="2293"/>
      <c r="H36" s="2293"/>
      <c r="I36" s="2243"/>
      <c r="J36" s="136"/>
      <c r="K36" s="109"/>
      <c r="L36" s="100"/>
      <c r="M36" s="207"/>
      <c r="N36" s="206" t="str">
        <f>IF(R16&lt;=2,"",N35)</f>
        <v>Nr. Cord. 2 LUNGHEZZA.      4120</v>
      </c>
      <c r="O36" s="208"/>
      <c r="P36" s="208"/>
      <c r="Q36" s="139"/>
      <c r="R36" s="99"/>
      <c r="S36" s="99"/>
      <c r="T36" s="99"/>
      <c r="U36" s="99"/>
      <c r="V36" s="100"/>
      <c r="X36" s="97">
        <v>4</v>
      </c>
      <c r="Y36" s="1139">
        <f>IF(R16&lt;=2,"",Y35)</f>
        <v>4120</v>
      </c>
    </row>
    <row r="37" spans="2:27" ht="36" customHeight="1">
      <c r="B37" s="98"/>
      <c r="C37" s="2294" t="str">
        <f>+VLOOKUP(127,TRADUZIONI,DATI!$C$2-1,0)</f>
        <v>SCANTONARE LA  RETE DI  3 MM  LATO INFERIORE</v>
      </c>
      <c r="D37" s="2295"/>
      <c r="E37" s="2295"/>
      <c r="F37" s="2295"/>
      <c r="G37" s="2295"/>
      <c r="H37" s="2295"/>
      <c r="I37" s="2296"/>
      <c r="J37" s="99"/>
      <c r="K37" s="99"/>
      <c r="L37" s="100"/>
      <c r="M37" s="209"/>
      <c r="N37" s="210" t="str">
        <f>IF(R16&lt;=4,"",CONCATENATE(Z35,". ",IF(R16&lt;=4,"0","2")," ",AA35,".      ",TEXT(Y37,"0")))</f>
        <v>Nr. Cord. 2 LUNGHEZZA.      3290</v>
      </c>
      <c r="O37" s="210"/>
      <c r="P37" s="210"/>
      <c r="Q37" s="119"/>
      <c r="R37" s="107"/>
      <c r="S37" s="109"/>
      <c r="T37" s="99"/>
      <c r="U37" s="99"/>
      <c r="V37" s="141"/>
      <c r="X37" s="97">
        <v>6</v>
      </c>
      <c r="Y37" s="1139">
        <f>+CEILING(IF(R16&lt;=4,"",ROUNDUP(P7+I40*4+230-20,-1)),10)</f>
        <v>3290</v>
      </c>
    </row>
    <row r="38" spans="2:27" ht="33" customHeight="1">
      <c r="B38" s="98"/>
      <c r="C38" s="2244"/>
      <c r="D38" s="2297"/>
      <c r="E38" s="2297"/>
      <c r="F38" s="2297"/>
      <c r="G38" s="2297"/>
      <c r="H38" s="2297"/>
      <c r="I38" s="2245"/>
      <c r="J38" s="99"/>
      <c r="K38" s="99"/>
      <c r="L38" s="100"/>
      <c r="M38" s="209"/>
      <c r="N38" s="210" t="str">
        <f>IF(R16&lt;=6,"",CONCATENATE(Z35," ",IF(R16&lt;=6,"0","2")," ",AA35,"      ",TEXT(Y38,"0")))</f>
        <v/>
      </c>
      <c r="O38" s="208"/>
      <c r="P38" s="210"/>
      <c r="Q38" s="119"/>
      <c r="R38" s="107"/>
      <c r="S38" s="109"/>
      <c r="T38" s="99"/>
      <c r="U38" s="99"/>
      <c r="V38" s="141"/>
      <c r="X38" s="97">
        <v>8</v>
      </c>
      <c r="Y38" s="1139">
        <f>+CEILING(IF(R16&lt;=6,0,ROUNDUP(P7+I40*6+230-20,-1)),10)</f>
        <v>0</v>
      </c>
    </row>
    <row r="39" spans="2:27" ht="21.75" customHeight="1">
      <c r="B39" s="98"/>
      <c r="C39" s="99"/>
      <c r="D39" s="99"/>
      <c r="E39" s="99"/>
      <c r="F39" s="99"/>
      <c r="G39" s="99"/>
      <c r="H39" s="99"/>
      <c r="I39" s="99"/>
      <c r="J39" s="99"/>
      <c r="K39" s="99"/>
      <c r="L39" s="100"/>
      <c r="M39" s="140"/>
      <c r="N39" s="107"/>
      <c r="O39" s="211"/>
      <c r="P39" s="211"/>
      <c r="Q39" s="119"/>
      <c r="R39" s="107"/>
      <c r="S39" s="109"/>
      <c r="T39" s="99"/>
      <c r="U39" s="99"/>
      <c r="V39" s="141"/>
    </row>
    <row r="40" spans="2:27" ht="28.5">
      <c r="B40" s="98"/>
      <c r="C40" s="2299" t="str">
        <f>+VLOOKUP(41,TRADUZIONI,DATI!$C$2-1,0)</f>
        <v>DIST.STD TRA FORI RETE</v>
      </c>
      <c r="D40" s="2300"/>
      <c r="E40" s="2300"/>
      <c r="F40" s="2300"/>
      <c r="G40" s="2300"/>
      <c r="H40" s="2300"/>
      <c r="I40" s="74">
        <f>ROUND((F22-80)/(R16-1),0)</f>
        <v>418</v>
      </c>
      <c r="J40" s="1438"/>
      <c r="K40" s="1439"/>
      <c r="L40" s="100"/>
      <c r="M40" s="2258" t="str">
        <f>+VLOOKUP(128,TRADUZIONI,DATI!$C$2-1,0)</f>
        <v>INFILARE I CORDINI SENZA TAGLIARLI</v>
      </c>
      <c r="N40" s="2259"/>
      <c r="O40" s="2259"/>
      <c r="P40" s="2259"/>
      <c r="Q40" s="2259"/>
      <c r="R40" s="2259"/>
      <c r="S40" s="2259"/>
      <c r="T40" s="2259"/>
      <c r="U40" s="2259"/>
      <c r="V40" s="2260"/>
    </row>
    <row r="41" spans="2:27" ht="28.5">
      <c r="B41" s="98"/>
      <c r="C41" s="142"/>
      <c r="D41" s="143"/>
      <c r="E41" s="143"/>
      <c r="F41" s="22"/>
      <c r="G41" s="144"/>
      <c r="H41" s="144"/>
      <c r="I41" s="144"/>
      <c r="J41" s="144"/>
      <c r="K41" s="144"/>
      <c r="L41" s="99"/>
      <c r="M41" s="2258" t="str">
        <f>+VLOOKUP(119,TRADUZIONI,DATI!$C$2-1,0)</f>
        <v>ANNODARE SINGOLARMENTE AI PASSACORDINI SUPERIORI</v>
      </c>
      <c r="N41" s="2259"/>
      <c r="O41" s="2259"/>
      <c r="P41" s="2259"/>
      <c r="Q41" s="2259"/>
      <c r="R41" s="2259"/>
      <c r="S41" s="2259"/>
      <c r="T41" s="2259"/>
      <c r="U41" s="2259"/>
      <c r="V41" s="2260"/>
    </row>
    <row r="42" spans="2:27" ht="15.75" thickBot="1">
      <c r="B42" s="145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45"/>
      <c r="N42" s="146"/>
      <c r="O42" s="114"/>
      <c r="P42" s="114"/>
      <c r="Q42" s="114"/>
      <c r="R42" s="114"/>
      <c r="S42" s="114"/>
      <c r="T42" s="147"/>
      <c r="U42" s="147"/>
      <c r="V42" s="148"/>
    </row>
    <row r="43" spans="2:27" ht="44.25" customHeight="1">
      <c r="B43" s="220"/>
      <c r="C43" s="219" t="str">
        <f>+VLOOKUP(139,TRADUZIONI,DATI!$C$2-1,0)</f>
        <v>QUADRO D</v>
      </c>
      <c r="D43" s="2248" t="str">
        <f>+VLOOKUP(113,TRADUZIONI,DATI!$C$2-1,0)</f>
        <v>CONTROLLO CORDINI - POST ASSEMBLAGGIO</v>
      </c>
      <c r="E43" s="2248"/>
      <c r="F43" s="2248"/>
      <c r="G43" s="2248"/>
      <c r="H43" s="2248"/>
      <c r="I43" s="2248"/>
      <c r="J43" s="2248"/>
      <c r="K43" s="2248"/>
      <c r="L43" s="2249"/>
      <c r="M43" s="220"/>
      <c r="N43" s="219" t="str">
        <f>+VLOOKUP(140,TRADUZIONI,DATI!$C$2-1,0)</f>
        <v>QUADRO E</v>
      </c>
      <c r="O43" s="2250" t="str">
        <f>+VLOOKUP(122,TRADUZIONI,DATI!$C$2-1,0)</f>
        <v>ALLUMINIO E SPAZZOLINO</v>
      </c>
      <c r="P43" s="2250"/>
      <c r="Q43" s="2250"/>
      <c r="R43" s="2250"/>
      <c r="S43" s="2250"/>
      <c r="T43" s="2250"/>
      <c r="U43" s="2250"/>
      <c r="V43" s="2251"/>
    </row>
    <row r="44" spans="2:27" ht="31.5" customHeight="1">
      <c r="B44" s="149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13"/>
      <c r="N44" s="17"/>
      <c r="O44" s="17"/>
      <c r="P44" s="17"/>
      <c r="Q44" s="17"/>
      <c r="R44" s="99"/>
      <c r="S44" s="113"/>
      <c r="T44" s="113"/>
      <c r="U44" s="113"/>
      <c r="V44" s="21"/>
    </row>
    <row r="45" spans="2:27" ht="27.75">
      <c r="B45" s="149"/>
      <c r="C45" s="150"/>
      <c r="D45" s="150"/>
      <c r="E45" s="150"/>
      <c r="F45" s="150"/>
      <c r="G45" s="151" t="str">
        <f>+VLOOKUP(152,TRADUZIONI,DATI!$C$2-1,0)</f>
        <v>LUNG. Min. CORDINO</v>
      </c>
      <c r="H45" s="150"/>
      <c r="I45" s="150"/>
      <c r="J45" s="150"/>
      <c r="K45" s="150"/>
      <c r="L45" s="150"/>
      <c r="M45" s="13"/>
      <c r="N45" s="2222" t="str">
        <f>+VLOOKUP(153,TRADUZIONI,DATI!$C$2-1,0)</f>
        <v>BARRA SCORREVOLE</v>
      </c>
      <c r="O45" s="2223"/>
      <c r="P45" s="2223"/>
      <c r="Q45" s="2223"/>
      <c r="R45" s="2223"/>
      <c r="S45" s="2223"/>
      <c r="T45" s="2224"/>
      <c r="U45" s="212"/>
      <c r="V45" s="21"/>
    </row>
    <row r="46" spans="2:27" ht="31.5" customHeight="1">
      <c r="B46" s="149"/>
      <c r="C46" s="152" t="str">
        <f>+VLOOKUP(96,TRADUZIONI,DATI!$C$2-1,0)</f>
        <v>BASE</v>
      </c>
      <c r="D46" s="153">
        <f>+P7</f>
        <v>1400</v>
      </c>
      <c r="E46" s="154" t="s">
        <v>88</v>
      </c>
      <c r="F46" s="154" t="s">
        <v>89</v>
      </c>
      <c r="G46" s="155">
        <f>+D46+E46</f>
        <v>1600</v>
      </c>
      <c r="H46" s="156"/>
      <c r="I46" s="150"/>
      <c r="J46" s="150"/>
      <c r="K46" s="150"/>
      <c r="L46" s="150"/>
      <c r="M46" s="13"/>
      <c r="N46" s="17"/>
      <c r="O46" s="17"/>
      <c r="P46" s="17"/>
      <c r="Q46" s="17"/>
      <c r="R46" s="99"/>
      <c r="S46" s="113"/>
      <c r="T46" s="113"/>
      <c r="U46" s="113"/>
      <c r="V46" s="21"/>
    </row>
    <row r="47" spans="2:27" ht="31.5" thickBot="1">
      <c r="B47" s="149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77"/>
      <c r="N47" s="56" t="str">
        <f>+VLOOKUP(78,TRADUZIONI,DATI!C2-1,0)</f>
        <v>PEZZI /PZ.</v>
      </c>
      <c r="O47" s="157" t="s">
        <v>125</v>
      </c>
      <c r="P47" s="113"/>
      <c r="Q47" s="113"/>
      <c r="R47" s="99"/>
      <c r="S47" s="113"/>
      <c r="T47" s="113"/>
      <c r="U47" s="113"/>
      <c r="V47" s="12"/>
    </row>
    <row r="48" spans="2:27" ht="18.75">
      <c r="B48" s="221"/>
      <c r="C48" s="222"/>
      <c r="D48" s="222"/>
      <c r="E48" s="222"/>
      <c r="F48" s="222"/>
      <c r="G48" s="222"/>
      <c r="H48" s="222"/>
      <c r="I48" s="222"/>
      <c r="J48" s="222"/>
      <c r="K48" s="222"/>
      <c r="L48" s="223"/>
      <c r="M48" s="13"/>
      <c r="N48" s="17"/>
      <c r="O48" s="17"/>
      <c r="P48" s="17"/>
      <c r="Q48" s="17"/>
      <c r="R48" s="99"/>
      <c r="S48" s="113"/>
      <c r="T48" s="113"/>
      <c r="U48" s="113"/>
      <c r="V48" s="21"/>
    </row>
    <row r="49" spans="2:22" ht="30.75">
      <c r="B49" s="224"/>
      <c r="C49" s="2261" t="str">
        <f>+IF(DATI!$C$12=1,"",VLOOKUP(38,TRADUZIONI,DATI!$C$2-1,0))</f>
        <v>RETE GRIGIA</v>
      </c>
      <c r="D49" s="2261"/>
      <c r="E49" s="2261"/>
      <c r="F49" s="2261"/>
      <c r="G49" s="2261"/>
      <c r="H49" s="2261"/>
      <c r="I49" s="2261"/>
      <c r="J49" s="2261"/>
      <c r="K49" s="225"/>
      <c r="L49" s="225"/>
      <c r="M49" s="81"/>
      <c r="N49" s="56" t="str">
        <f>+VLOOKUP(129,TRADUZIONI,DATI!$C$2-1,0)&amp;"- 28) ="</f>
        <v>LUNGH. (ALTEZZA- 28) =</v>
      </c>
      <c r="O49" s="158"/>
      <c r="P49" s="101"/>
      <c r="Q49" s="101"/>
      <c r="R49" s="2227">
        <f>+R7-28</f>
        <v>2172</v>
      </c>
      <c r="S49" s="2228"/>
      <c r="T49" s="113"/>
      <c r="U49" s="113"/>
      <c r="V49" s="82"/>
    </row>
    <row r="50" spans="2:22" ht="18.75">
      <c r="B50" s="224"/>
      <c r="C50" s="2261"/>
      <c r="D50" s="2261"/>
      <c r="E50" s="2261"/>
      <c r="F50" s="2261"/>
      <c r="G50" s="2261"/>
      <c r="H50" s="2261"/>
      <c r="I50" s="2261"/>
      <c r="J50" s="2261"/>
      <c r="K50" s="225"/>
      <c r="L50" s="225"/>
      <c r="M50" s="13"/>
      <c r="N50" s="17"/>
      <c r="O50" s="17"/>
      <c r="P50" s="17"/>
      <c r="Q50" s="17"/>
      <c r="R50" s="99"/>
      <c r="S50" s="113"/>
      <c r="T50" s="113"/>
      <c r="U50" s="113"/>
      <c r="V50" s="21"/>
    </row>
    <row r="51" spans="2:22" ht="31.5" thickBot="1">
      <c r="B51" s="224"/>
      <c r="C51" s="225"/>
      <c r="D51" s="225"/>
      <c r="E51" s="225"/>
      <c r="F51" s="225"/>
      <c r="G51" s="225"/>
      <c r="H51" s="225"/>
      <c r="I51" s="225"/>
      <c r="J51" s="225"/>
      <c r="K51" s="225"/>
      <c r="L51" s="225"/>
      <c r="M51" s="13"/>
      <c r="N51" s="56" t="str">
        <f>+VLOOKUP(132,TRADUZIONI,DATI!$C$2-1,0)</f>
        <v>LUNG. MAGNETE</v>
      </c>
      <c r="O51" s="158"/>
      <c r="P51" s="101"/>
      <c r="Q51" s="101"/>
      <c r="R51" s="2227">
        <f>+R7-30</f>
        <v>2170</v>
      </c>
      <c r="S51" s="2228"/>
      <c r="T51" s="113"/>
      <c r="U51" s="113"/>
      <c r="V51" s="21"/>
    </row>
    <row r="52" spans="2:22" ht="44.25" customHeight="1">
      <c r="B52" s="220"/>
      <c r="C52" s="219" t="str">
        <f>+VLOOKUP(141,TRADUZIONI,DATI!$C$2-1,0)</f>
        <v>QUADRO F</v>
      </c>
      <c r="D52" s="2248" t="str">
        <f>+VLOOKUP(155,TRADUZIONI,DATI!$C$2-1,0)</f>
        <v>IMBALLO</v>
      </c>
      <c r="E52" s="2248"/>
      <c r="F52" s="2248"/>
      <c r="G52" s="2248"/>
      <c r="H52" s="2248"/>
      <c r="I52" s="2248"/>
      <c r="J52" s="2248"/>
      <c r="K52" s="2248"/>
      <c r="L52" s="2249"/>
      <c r="M52" s="13"/>
      <c r="N52" s="159"/>
      <c r="O52" s="159"/>
      <c r="P52" s="99"/>
      <c r="Q52" s="99"/>
      <c r="R52" s="16"/>
      <c r="S52" s="16"/>
      <c r="T52" s="113"/>
      <c r="U52" s="113"/>
      <c r="V52" s="21"/>
    </row>
    <row r="53" spans="2:22" ht="18.75">
      <c r="B53" s="98"/>
      <c r="C53" s="99"/>
      <c r="D53" s="99"/>
      <c r="E53" s="99"/>
      <c r="F53" s="99"/>
      <c r="G53" s="99"/>
      <c r="H53" s="99"/>
      <c r="I53" s="99"/>
      <c r="J53" s="99"/>
      <c r="K53" s="99"/>
      <c r="L53" s="100"/>
      <c r="M53" s="84"/>
      <c r="N53" s="29"/>
      <c r="O53" s="29"/>
      <c r="P53" s="29"/>
      <c r="Q53" s="29"/>
      <c r="R53" s="29"/>
      <c r="S53" s="29"/>
      <c r="T53" s="29"/>
      <c r="U53" s="29"/>
      <c r="V53" s="85"/>
    </row>
    <row r="54" spans="2:22" ht="28.5">
      <c r="B54" s="98"/>
      <c r="C54" s="165" t="str">
        <f>+VLOOKUP(69,TRADUZIONI,DATI!$C$2-1,0)</f>
        <v>IMBALLARE INSIEME</v>
      </c>
      <c r="D54" s="166"/>
      <c r="E54" s="167"/>
      <c r="F54" s="99"/>
      <c r="G54" s="168"/>
      <c r="H54" s="99"/>
      <c r="I54" s="99"/>
      <c r="J54" s="99"/>
      <c r="K54" s="99"/>
      <c r="L54" s="100"/>
      <c r="M54" s="13"/>
      <c r="N54" s="159"/>
      <c r="O54" s="113"/>
      <c r="P54" s="113"/>
      <c r="Q54" s="113"/>
      <c r="R54" s="113"/>
      <c r="S54" s="113"/>
      <c r="T54" s="113"/>
      <c r="U54" s="113"/>
      <c r="V54" s="21"/>
    </row>
    <row r="55" spans="2:22" ht="28.5">
      <c r="B55" s="98"/>
      <c r="C55" s="172"/>
      <c r="D55" s="173" t="str">
        <f>+VLOOKUP(125,TRADUZIONI,DATI!$C$2-1,0)</f>
        <v>GUIDA</v>
      </c>
      <c r="E55" s="99"/>
      <c r="F55" s="168"/>
      <c r="G55" s="168"/>
      <c r="H55" s="99"/>
      <c r="I55" s="99"/>
      <c r="J55" s="99"/>
      <c r="K55" s="99"/>
      <c r="L55" s="100"/>
      <c r="M55" s="13"/>
      <c r="N55" s="159"/>
      <c r="O55" s="113"/>
      <c r="P55" s="113"/>
      <c r="Q55" s="113"/>
      <c r="R55" s="113"/>
      <c r="S55" s="113"/>
      <c r="T55" s="113"/>
      <c r="U55" s="113"/>
      <c r="V55" s="21"/>
    </row>
    <row r="56" spans="2:22" ht="28.5">
      <c r="B56" s="98"/>
      <c r="C56" s="174"/>
      <c r="D56" s="173" t="str">
        <f>+VLOOKUP(72,TRADUZIONI,DATI!$C$2-1,0)</f>
        <v>SET ACCESSORI</v>
      </c>
      <c r="E56" s="99"/>
      <c r="F56" s="119"/>
      <c r="G56" s="107"/>
      <c r="H56" s="99"/>
      <c r="I56" s="99"/>
      <c r="J56" s="99"/>
      <c r="K56" s="99"/>
      <c r="L56" s="100"/>
      <c r="M56" s="99"/>
      <c r="N56" s="99"/>
      <c r="O56" s="99"/>
      <c r="P56" s="99"/>
      <c r="Q56" s="99"/>
      <c r="R56" s="99"/>
      <c r="S56" s="99"/>
      <c r="T56" s="99"/>
      <c r="U56" s="99"/>
      <c r="V56" s="100"/>
    </row>
    <row r="57" spans="2:22" ht="28.5">
      <c r="B57" s="98"/>
      <c r="C57" s="174"/>
      <c r="D57" s="173" t="str">
        <f>+VLOOKUP(123,TRADUZIONI,DATI!$C$2-1,0)</f>
        <v>Opuscolo gioconda</v>
      </c>
      <c r="E57" s="99"/>
      <c r="F57" s="119"/>
      <c r="G57" s="107"/>
      <c r="H57" s="99"/>
      <c r="I57" s="99"/>
      <c r="J57" s="99"/>
      <c r="K57" s="99"/>
      <c r="L57" s="100"/>
      <c r="M57" s="13"/>
      <c r="N57" s="17"/>
      <c r="O57" s="17"/>
      <c r="P57" s="17"/>
      <c r="Q57" s="17"/>
      <c r="R57" s="99"/>
      <c r="S57" s="113"/>
      <c r="T57" s="113"/>
      <c r="U57" s="113"/>
      <c r="V57" s="21"/>
    </row>
    <row r="58" spans="2:22" ht="27.75">
      <c r="B58" s="175"/>
      <c r="C58" s="176"/>
      <c r="D58" s="177"/>
      <c r="E58" s="177"/>
      <c r="F58" s="177"/>
      <c r="G58" s="177"/>
      <c r="H58" s="177"/>
      <c r="I58" s="177"/>
      <c r="J58" s="177"/>
      <c r="K58" s="177"/>
      <c r="L58" s="178"/>
      <c r="M58" s="13"/>
      <c r="N58" s="2222" t="str">
        <f>+VLOOKUP(131,TRADUZIONI,DATI!$C$2-1,0)</f>
        <v xml:space="preserve">DORSO / CHIUSURA     </v>
      </c>
      <c r="O58" s="2223"/>
      <c r="P58" s="2223"/>
      <c r="Q58" s="2223"/>
      <c r="R58" s="2223"/>
      <c r="S58" s="2223"/>
      <c r="T58" s="2224"/>
      <c r="U58" s="212"/>
      <c r="V58" s="21"/>
    </row>
    <row r="59" spans="2:22" ht="21">
      <c r="B59" s="179" t="s">
        <v>37</v>
      </c>
      <c r="C59" s="180"/>
      <c r="D59" s="180"/>
      <c r="E59" s="180"/>
      <c r="F59" s="180"/>
      <c r="G59" s="180"/>
      <c r="H59" s="180"/>
      <c r="I59" s="180"/>
      <c r="J59" s="180"/>
      <c r="K59" s="180"/>
      <c r="L59" s="181"/>
      <c r="M59" s="13"/>
      <c r="N59" s="17"/>
      <c r="O59" s="17"/>
      <c r="P59" s="17"/>
      <c r="Q59" s="17"/>
      <c r="R59" s="99"/>
      <c r="S59" s="113"/>
      <c r="T59" s="113"/>
      <c r="U59" s="113"/>
      <c r="V59" s="21"/>
    </row>
    <row r="60" spans="2:22" ht="30.75">
      <c r="B60" s="182" t="s">
        <v>37</v>
      </c>
      <c r="C60" s="183"/>
      <c r="D60" s="184" t="str">
        <f>+VLOOKUP(47,TRADUZIONI,DATI!$C$2-1,0)</f>
        <v xml:space="preserve">BIANCO </v>
      </c>
      <c r="E60" s="184" t="str">
        <f>+VLOOKUP(74,TRADUZIONI,DATI!$C$2-1,0)</f>
        <v>NEUTRO</v>
      </c>
      <c r="F60" s="2262" t="str">
        <f>+VLOOKUP(83,TRADUZIONI,DATI!$C$2-1,0)</f>
        <v>PERSONALIZZATO</v>
      </c>
      <c r="G60" s="2263"/>
      <c r="H60" s="183"/>
      <c r="I60" s="183"/>
      <c r="J60" s="183"/>
      <c r="K60" s="183"/>
      <c r="L60" s="185"/>
      <c r="M60" s="13"/>
      <c r="N60" s="78" t="str">
        <f>+VLOOKUP(78,TRADUZIONI,DATI!C2-1,0)</f>
        <v>PEZZI /PZ.</v>
      </c>
      <c r="O60" s="157" t="s">
        <v>125</v>
      </c>
      <c r="P60" s="80"/>
      <c r="Q60" s="80"/>
      <c r="R60" s="99"/>
      <c r="S60" s="113"/>
      <c r="T60" s="113"/>
      <c r="U60" s="113"/>
      <c r="V60" s="21"/>
    </row>
    <row r="61" spans="2:22" ht="21">
      <c r="B61" s="186"/>
      <c r="C61" s="183"/>
      <c r="D61" s="187" t="s">
        <v>44</v>
      </c>
      <c r="E61" s="188"/>
      <c r="F61" s="1443"/>
      <c r="G61" s="1442"/>
      <c r="H61" s="183"/>
      <c r="I61" s="183"/>
      <c r="J61" s="183"/>
      <c r="K61" s="183"/>
      <c r="L61" s="185"/>
      <c r="M61" s="13"/>
      <c r="N61" s="17"/>
      <c r="O61" s="17"/>
      <c r="P61" s="17"/>
      <c r="Q61" s="17"/>
      <c r="R61" s="99"/>
      <c r="S61" s="113"/>
      <c r="T61" s="113"/>
      <c r="U61" s="113"/>
      <c r="V61" s="21"/>
    </row>
    <row r="62" spans="2:22" ht="30.75">
      <c r="B62" s="190"/>
      <c r="C62" s="183"/>
      <c r="D62" s="191">
        <v>0.05</v>
      </c>
      <c r="E62" s="192">
        <v>0.17499999999999999</v>
      </c>
      <c r="F62" s="193" t="s">
        <v>102</v>
      </c>
      <c r="G62" s="192">
        <f>(S10+300)/1000</f>
        <v>0.3</v>
      </c>
      <c r="H62" s="183"/>
      <c r="I62" s="183"/>
      <c r="J62" s="183"/>
      <c r="K62" s="183"/>
      <c r="L62" s="185"/>
      <c r="M62" s="13"/>
      <c r="N62" s="56" t="str">
        <f>+VLOOKUP(129,TRADUZIONI,DATI!$C$2-1,0)&amp;"- 28) ="</f>
        <v>LUNGH. (ALTEZZA- 28) =</v>
      </c>
      <c r="O62" s="158"/>
      <c r="P62" s="158"/>
      <c r="Q62" s="158"/>
      <c r="R62" s="2227">
        <f>+R7-28</f>
        <v>2172</v>
      </c>
      <c r="S62" s="2228"/>
      <c r="T62" s="113"/>
      <c r="U62" s="113"/>
      <c r="V62" s="21"/>
    </row>
    <row r="63" spans="2:22" ht="21">
      <c r="B63" s="194"/>
      <c r="C63" s="183"/>
      <c r="D63" s="191" t="str">
        <f>+VLOOKUP(75,TRADUZIONI,DATI!$C$2-1,0)</f>
        <v>CONFEZIONE</v>
      </c>
      <c r="E63" s="191"/>
      <c r="F63" s="192">
        <f>Q14</f>
        <v>0</v>
      </c>
      <c r="G63" s="191" t="s">
        <v>104</v>
      </c>
      <c r="H63" s="183"/>
      <c r="I63" s="183"/>
      <c r="J63" s="183"/>
      <c r="K63" s="183"/>
      <c r="L63" s="185"/>
      <c r="M63" s="13"/>
      <c r="N63" s="17"/>
      <c r="O63" s="17"/>
      <c r="P63" s="17"/>
      <c r="Q63" s="17"/>
      <c r="R63" s="99"/>
      <c r="S63" s="113"/>
      <c r="T63" s="113"/>
      <c r="U63" s="113"/>
      <c r="V63" s="21"/>
    </row>
    <row r="64" spans="2:22" ht="30.75">
      <c r="B64" s="194"/>
      <c r="C64" s="183"/>
      <c r="D64" s="191" t="str">
        <f>+VLOOKUP(76,TRADUZIONI,DATI!$C$2-1,0)</f>
        <v>VOLUME</v>
      </c>
      <c r="E64" s="191"/>
      <c r="F64" s="1444">
        <f>(D62*E62*G62)*F63</f>
        <v>0</v>
      </c>
      <c r="G64" s="191" t="s">
        <v>106</v>
      </c>
      <c r="H64" s="183"/>
      <c r="I64" s="183"/>
      <c r="J64" s="183"/>
      <c r="K64" s="183"/>
      <c r="L64" s="185"/>
      <c r="M64" s="13"/>
      <c r="N64" s="56" t="str">
        <f>+VLOOKUP(130,TRADUZIONI,DATI!$C$2-1,0)</f>
        <v xml:space="preserve">LUNG. PORTA MAGNETE   </v>
      </c>
      <c r="O64" s="158"/>
      <c r="P64" s="158"/>
      <c r="Q64" s="158"/>
      <c r="R64" s="2227">
        <f>+R7-30</f>
        <v>2170</v>
      </c>
      <c r="S64" s="2228"/>
      <c r="T64" s="113"/>
      <c r="U64" s="113"/>
      <c r="V64" s="21"/>
    </row>
    <row r="65" spans="2:22" ht="21.75" thickBot="1">
      <c r="B65" s="195"/>
      <c r="C65" s="196"/>
      <c r="D65" s="197"/>
      <c r="E65" s="197"/>
      <c r="F65" s="198"/>
      <c r="G65" s="197"/>
      <c r="H65" s="196"/>
      <c r="I65" s="196"/>
      <c r="J65" s="196"/>
      <c r="K65" s="196"/>
      <c r="L65" s="199"/>
      <c r="M65" s="88"/>
      <c r="N65" s="89"/>
      <c r="O65" s="89"/>
      <c r="P65" s="89"/>
      <c r="Q65" s="89"/>
      <c r="R65" s="89"/>
      <c r="S65" s="89"/>
      <c r="T65" s="89"/>
      <c r="U65" s="89"/>
      <c r="V65" s="90"/>
    </row>
    <row r="66" spans="2:22" ht="44.25" customHeight="1">
      <c r="B66" s="220"/>
      <c r="C66" s="219" t="str">
        <f>+VLOOKUP(142,TRADUZIONI,DATI!$C$2-1,0)</f>
        <v>QUADRO G</v>
      </c>
      <c r="D66" s="2268" t="str">
        <f>+VLOOKUP(156,TRADUZIONI,DATI!$C$2-1,0)</f>
        <v>QUALITA'</v>
      </c>
      <c r="E66" s="2268"/>
      <c r="F66" s="2268"/>
      <c r="G66" s="2268"/>
      <c r="H66" s="2268"/>
      <c r="I66" s="2268"/>
      <c r="J66" s="2268"/>
      <c r="K66" s="2268"/>
      <c r="L66" s="2269"/>
      <c r="M66" s="13"/>
      <c r="N66" s="17"/>
      <c r="O66" s="17"/>
      <c r="P66" s="17"/>
      <c r="Q66" s="17"/>
      <c r="R66" s="99"/>
      <c r="S66" s="113"/>
      <c r="T66" s="113"/>
      <c r="U66" s="113"/>
      <c r="V66" s="21"/>
    </row>
    <row r="67" spans="2:22" ht="27.75">
      <c r="B67" s="2270" t="str">
        <f>+VLOOKUP(32,TRADUZIONI,DATI!$C$2-1,0)</f>
        <v>CONTROLLATO DA</v>
      </c>
      <c r="C67" s="2271"/>
      <c r="D67" s="2271"/>
      <c r="E67" s="2272"/>
      <c r="F67" s="2273" t="str">
        <f>+VLOOKUP(35,TRADUZIONI,DATI!$C$2-1,0)</f>
        <v>NOTE</v>
      </c>
      <c r="G67" s="2271"/>
      <c r="H67" s="2271"/>
      <c r="I67" s="2271"/>
      <c r="J67" s="2271"/>
      <c r="K67" s="2271"/>
      <c r="L67" s="2274"/>
      <c r="M67" s="13"/>
      <c r="N67" s="2222" t="str">
        <f>+VLOOKUP(125,TRADUZIONI,DATI!$C$2-1,0)</f>
        <v>GUIDA</v>
      </c>
      <c r="O67" s="2223"/>
      <c r="P67" s="2223"/>
      <c r="Q67" s="2223"/>
      <c r="R67" s="2223"/>
      <c r="S67" s="2223"/>
      <c r="T67" s="2223"/>
      <c r="U67" s="2224"/>
      <c r="V67" s="21"/>
    </row>
    <row r="68" spans="2:22" ht="21">
      <c r="B68" s="2264" t="str">
        <f>+VLOOKUP(33,TRADUZIONI,DATI!$C$2-1,0)</f>
        <v>OPERATORE</v>
      </c>
      <c r="C68" s="2265"/>
      <c r="D68" s="2266" t="str">
        <f>+VLOOKUP(34,TRADUZIONI,DATI!$C$2-1,0)</f>
        <v>PRODUZIONE</v>
      </c>
      <c r="E68" s="2267"/>
      <c r="F68" s="2276">
        <f>+DATI!C13</f>
        <v>0</v>
      </c>
      <c r="G68" s="2277"/>
      <c r="H68" s="2277"/>
      <c r="I68" s="2277"/>
      <c r="J68" s="2277"/>
      <c r="K68" s="2277"/>
      <c r="L68" s="2278"/>
      <c r="M68" s="13"/>
      <c r="N68" s="17"/>
      <c r="O68" s="17"/>
      <c r="P68" s="17"/>
      <c r="Q68" s="17"/>
      <c r="R68" s="99"/>
      <c r="S68" s="99"/>
      <c r="T68" s="99"/>
      <c r="U68" s="99"/>
      <c r="V68" s="21"/>
    </row>
    <row r="69" spans="2:22" ht="28.5">
      <c r="B69" s="2282"/>
      <c r="C69" s="2283"/>
      <c r="D69" s="2286"/>
      <c r="E69" s="2287"/>
      <c r="F69" s="2279"/>
      <c r="G69" s="2280"/>
      <c r="H69" s="2280"/>
      <c r="I69" s="2280"/>
      <c r="J69" s="2280"/>
      <c r="K69" s="2280"/>
      <c r="L69" s="2281"/>
      <c r="M69" s="13"/>
      <c r="N69" s="56" t="str">
        <f>+VLOOKUP(159,TRADUZIONI,DATI!$C$2-1,0)</f>
        <v>SUP. (BASE) =</v>
      </c>
      <c r="O69" s="101"/>
      <c r="P69" s="213"/>
      <c r="Q69" s="2236">
        <f>+P7</f>
        <v>1400</v>
      </c>
      <c r="R69" s="2237"/>
      <c r="S69" s="99"/>
      <c r="T69" s="78" t="str">
        <f>+VLOOKUP(78,TRADUZIONI,DATI!C2-1,0)</f>
        <v>PEZZI /PZ.</v>
      </c>
      <c r="U69" s="200" t="s">
        <v>122</v>
      </c>
      <c r="V69" s="21"/>
    </row>
    <row r="70" spans="2:22" ht="21">
      <c r="B70" s="2282"/>
      <c r="C70" s="2283"/>
      <c r="D70" s="2286"/>
      <c r="E70" s="2287"/>
      <c r="F70" s="2273" t="str">
        <f>+VLOOKUP(36,TRADUZIONI,DATI!$C$2-1,0)</f>
        <v xml:space="preserve">RETE </v>
      </c>
      <c r="G70" s="2271"/>
      <c r="H70" s="2271"/>
      <c r="I70" s="2273" t="str">
        <f>+VLOOKUP(37,TRADUZIONI,DATI!$C$2-1,0)</f>
        <v>LOTTO NR.</v>
      </c>
      <c r="J70" s="2271"/>
      <c r="K70" s="2271"/>
      <c r="L70" s="2274"/>
      <c r="M70" s="13"/>
      <c r="N70" s="17"/>
      <c r="O70" s="17"/>
      <c r="P70" s="17"/>
      <c r="Q70" s="17"/>
      <c r="R70" s="99"/>
      <c r="S70" s="99"/>
      <c r="T70" s="99"/>
      <c r="U70" s="99"/>
      <c r="V70" s="21"/>
    </row>
    <row r="71" spans="2:22" ht="28.5">
      <c r="B71" s="2282"/>
      <c r="C71" s="2283"/>
      <c r="D71" s="2286"/>
      <c r="E71" s="2287"/>
      <c r="F71" s="2254" t="str">
        <f>+IF(DATI!$C$12=1,"",VLOOKUP(38,TRADUZIONI,DATI!$C$2-1,0))</f>
        <v>RETE GRIGIA</v>
      </c>
      <c r="G71" s="2255"/>
      <c r="H71" s="2255"/>
      <c r="I71" s="2254"/>
      <c r="J71" s="2255"/>
      <c r="K71" s="2255"/>
      <c r="L71" s="2290"/>
      <c r="M71" s="13"/>
      <c r="N71" s="56" t="str">
        <f>+VLOOKUP(160,TRADUZIONI,DATI!$C$2-1,0)</f>
        <v>INF. (BASE) =</v>
      </c>
      <c r="O71" s="158"/>
      <c r="P71" s="101"/>
      <c r="Q71" s="2236">
        <f>+P7</f>
        <v>1400</v>
      </c>
      <c r="R71" s="2237"/>
      <c r="S71" s="99"/>
      <c r="T71" s="78" t="str">
        <f>+VLOOKUP(78,TRADUZIONI,DATI!C2-1,0)</f>
        <v>PEZZI /PZ.</v>
      </c>
      <c r="U71" s="200" t="s">
        <v>122</v>
      </c>
      <c r="V71" s="21"/>
    </row>
    <row r="72" spans="2:22" ht="21.75" customHeight="1" thickBot="1">
      <c r="B72" s="2284"/>
      <c r="C72" s="2285"/>
      <c r="D72" s="2288"/>
      <c r="E72" s="2289"/>
      <c r="F72" s="2256"/>
      <c r="G72" s="2257"/>
      <c r="H72" s="2257"/>
      <c r="I72" s="2256"/>
      <c r="J72" s="2257"/>
      <c r="K72" s="2257"/>
      <c r="L72" s="2291"/>
      <c r="M72" s="75"/>
      <c r="N72" s="44"/>
      <c r="O72" s="44"/>
      <c r="P72" s="44"/>
      <c r="Q72" s="44"/>
      <c r="R72" s="44"/>
      <c r="S72" s="44"/>
      <c r="T72" s="44"/>
      <c r="U72" s="44"/>
      <c r="V72" s="73"/>
    </row>
    <row r="74" spans="2:22" ht="99.75">
      <c r="V74" s="204"/>
    </row>
  </sheetData>
  <mergeCells count="51">
    <mergeCell ref="C37:I38"/>
    <mergeCell ref="F31:G31"/>
    <mergeCell ref="G32:H32"/>
    <mergeCell ref="H33:I33"/>
    <mergeCell ref="J34:K34"/>
    <mergeCell ref="C36:I36"/>
    <mergeCell ref="F71:H72"/>
    <mergeCell ref="I71:L72"/>
    <mergeCell ref="R62:S62"/>
    <mergeCell ref="F67:L67"/>
    <mergeCell ref="N67:U67"/>
    <mergeCell ref="F68:L69"/>
    <mergeCell ref="Q69:R69"/>
    <mergeCell ref="Q71:R71"/>
    <mergeCell ref="D66:L66"/>
    <mergeCell ref="B67:E67"/>
    <mergeCell ref="F70:H70"/>
    <mergeCell ref="I70:L70"/>
    <mergeCell ref="B68:C68"/>
    <mergeCell ref="D68:E68"/>
    <mergeCell ref="B69:C72"/>
    <mergeCell ref="D69:E72"/>
    <mergeCell ref="M40:V40"/>
    <mergeCell ref="R64:S64"/>
    <mergeCell ref="M41:V41"/>
    <mergeCell ref="D43:L43"/>
    <mergeCell ref="O43:V43"/>
    <mergeCell ref="N45:T45"/>
    <mergeCell ref="C49:J50"/>
    <mergeCell ref="R49:S49"/>
    <mergeCell ref="R51:S51"/>
    <mergeCell ref="D52:L52"/>
    <mergeCell ref="N58:T58"/>
    <mergeCell ref="C40:H40"/>
    <mergeCell ref="F60:G60"/>
    <mergeCell ref="O14:V14"/>
    <mergeCell ref="F15:J20"/>
    <mergeCell ref="P16:Q16"/>
    <mergeCell ref="C22:E22"/>
    <mergeCell ref="N9:O9"/>
    <mergeCell ref="P9:S9"/>
    <mergeCell ref="N11:O11"/>
    <mergeCell ref="F12:G12"/>
    <mergeCell ref="F10:G10"/>
    <mergeCell ref="D14:L14"/>
    <mergeCell ref="B2:V2"/>
    <mergeCell ref="E4:O4"/>
    <mergeCell ref="D6:G6"/>
    <mergeCell ref="N6:O7"/>
    <mergeCell ref="R6:S6"/>
    <mergeCell ref="R7:S7"/>
  </mergeCells>
  <conditionalFormatting sqref="F12:G12">
    <cfRule type="expression" dxfId="2" priority="2" stopIfTrue="1">
      <formula>IF(#REF!&lt;&gt;0,1,0)</formula>
    </cfRule>
  </conditionalFormatting>
  <printOptions horizontalCentered="1" gridLinesSet="0"/>
  <pageMargins left="0" right="0" top="0" bottom="0" header="0" footer="0"/>
  <pageSetup paperSize="9" scale="40" orientation="portrait" horizontalDpi="1200" verticalDpi="1200" r:id="rId1"/>
  <headerFooter alignWithMargins="0">
    <oddFooter>&amp;LREV. 09/05 - VER.1&amp;R&amp;D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tabColor theme="6" tint="-0.249977111117893"/>
    <pageSetUpPr fitToPage="1"/>
  </sheetPr>
  <dimension ref="A1:AA74"/>
  <sheetViews>
    <sheetView showGridLines="0" zoomScale="50" zoomScaleNormal="50" workbookViewId="0">
      <selection activeCell="C10" sqref="C10:K10"/>
    </sheetView>
  </sheetViews>
  <sheetFormatPr defaultColWidth="10.28515625" defaultRowHeight="15"/>
  <cols>
    <col min="1" max="1" width="38" style="97" customWidth="1"/>
    <col min="2" max="2" width="4.5703125" style="97" customWidth="1"/>
    <col min="3" max="3" width="26.28515625" style="97" customWidth="1"/>
    <col min="4" max="4" width="13.28515625" style="97" customWidth="1"/>
    <col min="5" max="5" width="17.5703125" style="97" customWidth="1"/>
    <col min="6" max="6" width="13.7109375" style="97" customWidth="1"/>
    <col min="7" max="7" width="12.42578125" style="97" customWidth="1"/>
    <col min="8" max="10" width="9.28515625" style="97" customWidth="1"/>
    <col min="11" max="11" width="9.85546875" style="97" customWidth="1"/>
    <col min="12" max="12" width="4.140625" style="97" customWidth="1"/>
    <col min="13" max="13" width="3" style="97" customWidth="1"/>
    <col min="14" max="14" width="17.85546875" style="97" customWidth="1"/>
    <col min="15" max="15" width="13.85546875" style="97" customWidth="1"/>
    <col min="16" max="16" width="16.28515625" style="97" customWidth="1"/>
    <col min="17" max="17" width="9.7109375" style="97" customWidth="1"/>
    <col min="18" max="18" width="11.140625" style="97" customWidth="1"/>
    <col min="19" max="19" width="9.5703125" style="97" customWidth="1"/>
    <col min="20" max="20" width="19" style="97" customWidth="1"/>
    <col min="21" max="21" width="11.42578125" style="97" customWidth="1"/>
    <col min="22" max="22" width="6.5703125" style="97" customWidth="1"/>
    <col min="23" max="24" width="10.28515625" style="97"/>
    <col min="25" max="25" width="17" style="97" bestFit="1" customWidth="1"/>
    <col min="26" max="16384" width="10.28515625" style="97"/>
  </cols>
  <sheetData>
    <row r="1" spans="1:22" ht="18">
      <c r="A1" s="6"/>
    </row>
    <row r="2" spans="1:22" ht="33.75">
      <c r="A2" s="6"/>
      <c r="B2" s="2240" t="str">
        <f>+VLOOKUP(136,TRADUZIONI,DATI!C2-1,0)</f>
        <v>FOGLIO LAVORO GIOCONDA REVERSIBILE</v>
      </c>
      <c r="C2" s="2241"/>
      <c r="D2" s="2241"/>
      <c r="E2" s="2241"/>
      <c r="F2" s="2241"/>
      <c r="G2" s="2241"/>
      <c r="H2" s="2241"/>
      <c r="I2" s="2241"/>
      <c r="J2" s="2241"/>
      <c r="K2" s="2241"/>
      <c r="L2" s="2241"/>
      <c r="M2" s="2241"/>
      <c r="N2" s="2241"/>
      <c r="O2" s="2241"/>
      <c r="P2" s="2241"/>
      <c r="Q2" s="2241"/>
      <c r="R2" s="2241"/>
      <c r="S2" s="2241"/>
      <c r="T2" s="2241"/>
      <c r="U2" s="2241"/>
      <c r="V2" s="2241"/>
    </row>
    <row r="3" spans="1:22" ht="18.75" thickBot="1">
      <c r="A3" s="6"/>
    </row>
    <row r="4" spans="1:22" ht="44.25" customHeight="1">
      <c r="A4" s="6"/>
      <c r="B4" s="220"/>
      <c r="C4" s="219" t="str">
        <f>+VLOOKUP(108,TRADUZIONI,DATI!$C$2-1,0)</f>
        <v>QUADRO A</v>
      </c>
      <c r="D4" s="215"/>
      <c r="E4" s="2197" t="str">
        <f>+VLOOKUP(109,TRADUZIONI,DATI!$C$2-1,0)</f>
        <v>DATI ORDINE</v>
      </c>
      <c r="F4" s="2197"/>
      <c r="G4" s="2197"/>
      <c r="H4" s="2197"/>
      <c r="I4" s="2197"/>
      <c r="J4" s="2197"/>
      <c r="K4" s="2197"/>
      <c r="L4" s="2197"/>
      <c r="M4" s="2197"/>
      <c r="N4" s="2197"/>
      <c r="O4" s="2197"/>
      <c r="P4" s="216"/>
      <c r="Q4" s="215"/>
      <c r="R4" s="215"/>
      <c r="S4" s="215"/>
      <c r="T4" s="215"/>
      <c r="U4" s="215"/>
      <c r="V4" s="217"/>
    </row>
    <row r="5" spans="1:22" ht="18">
      <c r="A5" s="6"/>
      <c r="B5" s="98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100"/>
    </row>
    <row r="6" spans="1:22" ht="30.75">
      <c r="A6" s="6"/>
      <c r="B6" s="98"/>
      <c r="C6" s="1432" t="str">
        <f>+VLOOKUP(22,TRADUZIONI,DATI!C2-1,0)</f>
        <v>CLIENTE</v>
      </c>
      <c r="D6" s="2198">
        <f>+DATI!C6</f>
        <v>0</v>
      </c>
      <c r="E6" s="2198"/>
      <c r="F6" s="2198"/>
      <c r="G6" s="2198"/>
      <c r="H6" s="101"/>
      <c r="I6" s="101"/>
      <c r="J6" s="101"/>
      <c r="K6" s="102"/>
      <c r="L6" s="103"/>
      <c r="M6" s="104"/>
      <c r="N6" s="2242" t="str">
        <f>+VLOOKUP(115,TRADUZIONI,DATI!C2-1,0)</f>
        <v xml:space="preserve">DIMENSIONI </v>
      </c>
      <c r="O6" s="2243"/>
      <c r="P6" s="14" t="str">
        <f>+VLOOKUP(96,TRADUZIONI,DATI!C2-1,0)</f>
        <v>BASE</v>
      </c>
      <c r="Q6" s="19"/>
      <c r="R6" s="2213" t="str">
        <f>+VLOOKUP(97,TRADUZIONI,DATI!C2-1,0)</f>
        <v>ALTEZZA</v>
      </c>
      <c r="S6" s="2229"/>
      <c r="T6" s="99"/>
      <c r="U6" s="99"/>
      <c r="V6" s="100"/>
    </row>
    <row r="7" spans="1:22" ht="29.25" customHeight="1">
      <c r="A7" s="6"/>
      <c r="B7" s="98"/>
      <c r="C7" s="99"/>
      <c r="D7" s="99" t="s">
        <v>37</v>
      </c>
      <c r="E7" s="99"/>
      <c r="F7" s="99"/>
      <c r="G7" s="99"/>
      <c r="H7" s="99"/>
      <c r="I7" s="99"/>
      <c r="J7" s="99"/>
      <c r="K7" s="99"/>
      <c r="L7" s="103"/>
      <c r="M7" s="104"/>
      <c r="N7" s="2244"/>
      <c r="O7" s="2245"/>
      <c r="P7" s="23">
        <f>+DATI!C7</f>
        <v>1400</v>
      </c>
      <c r="Q7" s="24" t="s">
        <v>44</v>
      </c>
      <c r="R7" s="2246">
        <f>+DATI!C8</f>
        <v>2200</v>
      </c>
      <c r="S7" s="2247"/>
      <c r="T7" s="99"/>
      <c r="U7" s="99"/>
      <c r="V7" s="100"/>
    </row>
    <row r="8" spans="1:22" ht="30.75">
      <c r="A8" s="6"/>
      <c r="B8" s="98"/>
      <c r="C8" s="14" t="str">
        <f>+VLOOKUP(23,TRADUZIONI,DATI!C2-1,0)</f>
        <v>NUM. ORDINE</v>
      </c>
      <c r="D8" s="105">
        <f>+DATI!C4</f>
        <v>0</v>
      </c>
      <c r="E8" s="105"/>
      <c r="F8" s="105"/>
      <c r="G8" s="105"/>
      <c r="H8" s="101"/>
      <c r="I8" s="101"/>
      <c r="J8" s="101"/>
      <c r="K8" s="102"/>
      <c r="L8" s="103"/>
      <c r="M8" s="104"/>
      <c r="N8" s="99"/>
      <c r="O8" s="99"/>
      <c r="P8" s="99"/>
      <c r="Q8" s="99"/>
      <c r="R8" s="106"/>
      <c r="S8" s="99"/>
      <c r="T8" s="99"/>
      <c r="U8" s="99"/>
      <c r="V8" s="100"/>
    </row>
    <row r="9" spans="1:22" ht="30.75">
      <c r="A9" s="6"/>
      <c r="B9" s="98"/>
      <c r="C9" s="99"/>
      <c r="D9" s="99"/>
      <c r="E9" s="99"/>
      <c r="F9" s="99"/>
      <c r="G9" s="99"/>
      <c r="H9" s="99"/>
      <c r="I9" s="99"/>
      <c r="J9" s="99"/>
      <c r="K9" s="99"/>
      <c r="L9" s="103"/>
      <c r="M9" s="104"/>
      <c r="N9" s="2212" t="str">
        <f>+VLOOKUP(99,TRADUZIONI,DATI!C2-1,0)</f>
        <v>COLORE</v>
      </c>
      <c r="O9" s="2229"/>
      <c r="P9" s="2238" t="str">
        <f>+DATI!C10</f>
        <v>06.NERO</v>
      </c>
      <c r="Q9" s="2203"/>
      <c r="R9" s="2203"/>
      <c r="S9" s="2204"/>
      <c r="T9" s="99"/>
      <c r="U9" s="99"/>
      <c r="V9" s="100"/>
    </row>
    <row r="10" spans="1:22" ht="30.75">
      <c r="A10" s="6"/>
      <c r="B10" s="98"/>
      <c r="C10" s="1447" t="str">
        <f>+VLOOKUP(5,TRADUZIONI,DATI!C2-1,0)</f>
        <v>DATA SPEDIZIONE</v>
      </c>
      <c r="D10" s="101"/>
      <c r="E10" s="1446"/>
      <c r="F10" s="2253">
        <f>+DATI!C5</f>
        <v>42370</v>
      </c>
      <c r="G10" s="2253"/>
      <c r="H10" s="101"/>
      <c r="I10" s="101"/>
      <c r="J10" s="101"/>
      <c r="K10" s="102"/>
      <c r="L10" s="103"/>
      <c r="M10" s="104"/>
      <c r="N10" s="107"/>
      <c r="O10" s="99"/>
      <c r="P10" s="99"/>
      <c r="Q10" s="99"/>
      <c r="R10" s="99"/>
      <c r="S10" s="99"/>
      <c r="T10" s="99"/>
      <c r="U10" s="99"/>
      <c r="V10" s="100"/>
    </row>
    <row r="11" spans="1:22" ht="30.75">
      <c r="A11" s="6"/>
      <c r="B11" s="98"/>
      <c r="C11" s="99"/>
      <c r="D11" s="99"/>
      <c r="E11" s="99"/>
      <c r="F11" s="99"/>
      <c r="G11" s="99"/>
      <c r="H11" s="99"/>
      <c r="I11" s="99"/>
      <c r="J11" s="99"/>
      <c r="K11" s="99"/>
      <c r="L11" s="103"/>
      <c r="M11" s="104"/>
      <c r="N11" s="2232" t="str">
        <f>+VLOOKUP(78,TRADUZIONI,DATI!C2-1,0)</f>
        <v>PEZZI /PZ.</v>
      </c>
      <c r="O11" s="2239"/>
      <c r="P11" s="33" t="str">
        <f>+DATI!C11</f>
        <v>1</v>
      </c>
      <c r="Q11" s="99"/>
      <c r="R11" s="99"/>
      <c r="S11" s="99"/>
      <c r="T11" s="99"/>
      <c r="U11" s="99"/>
      <c r="V11" s="100"/>
    </row>
    <row r="12" spans="1:22" ht="30.75">
      <c r="A12" s="6"/>
      <c r="B12" s="98"/>
      <c r="C12" s="14" t="s">
        <v>49</v>
      </c>
      <c r="D12" s="34">
        <f>IF((P7*R7/1000000)&lt;=2,2*P11,IF((P7*R7/1000000)&gt;2,(P7*R7/1000000)*P11))</f>
        <v>3.08</v>
      </c>
      <c r="E12" s="108"/>
      <c r="F12" s="2207"/>
      <c r="G12" s="2207"/>
      <c r="H12" s="99"/>
      <c r="I12" s="99"/>
      <c r="J12" s="99"/>
      <c r="K12" s="99"/>
      <c r="L12" s="103"/>
      <c r="M12" s="104"/>
      <c r="N12" s="99"/>
      <c r="O12" s="99"/>
      <c r="P12" s="109" t="s">
        <v>37</v>
      </c>
      <c r="Q12" s="99"/>
      <c r="R12" s="99"/>
      <c r="S12" s="99"/>
      <c r="T12" s="110" t="s">
        <v>37</v>
      </c>
      <c r="U12" s="110"/>
      <c r="V12" s="100"/>
    </row>
    <row r="13" spans="1:22" ht="18.75" thickBot="1">
      <c r="A13" s="6"/>
      <c r="B13" s="98"/>
      <c r="C13" s="107"/>
      <c r="D13" s="99"/>
      <c r="E13" s="111"/>
      <c r="F13" s="112"/>
      <c r="G13" s="111"/>
      <c r="H13" s="113"/>
      <c r="I13" s="113"/>
      <c r="J13" s="113"/>
      <c r="K13" s="99"/>
      <c r="L13" s="99"/>
      <c r="M13" s="99"/>
      <c r="N13" s="99"/>
      <c r="O13" s="99"/>
      <c r="P13" s="99"/>
      <c r="Q13" s="99"/>
      <c r="R13" s="114"/>
      <c r="S13" s="99"/>
      <c r="T13" s="115" t="s">
        <v>37</v>
      </c>
      <c r="U13" s="115"/>
      <c r="V13" s="100"/>
    </row>
    <row r="14" spans="1:22" ht="44.25" customHeight="1">
      <c r="B14" s="220"/>
      <c r="C14" s="219" t="str">
        <f>+VLOOKUP(111,TRADUZIONI,DATI!$C$2-1,0)</f>
        <v>QUADRO B</v>
      </c>
      <c r="D14" s="2248" t="str">
        <f>+VLOOKUP(118,TRADUZIONI,DATI!$C$2-1,0)</f>
        <v>DIMENSIONE RETE E FORI</v>
      </c>
      <c r="E14" s="2248"/>
      <c r="F14" s="2248"/>
      <c r="G14" s="2248"/>
      <c r="H14" s="2248"/>
      <c r="I14" s="2248"/>
      <c r="J14" s="2248"/>
      <c r="K14" s="2248"/>
      <c r="L14" s="2249"/>
      <c r="M14" s="220"/>
      <c r="N14" s="219" t="str">
        <f>+VLOOKUP(138,TRADUZIONI,DATI!$C$2-1,0)</f>
        <v>QUADRO C</v>
      </c>
      <c r="O14" s="2250" t="str">
        <f>+VLOOKUP(117,TRADUZIONI,DATI!$C$2-1,0)</f>
        <v>LUNGHEZZA E NUM. CORDINI</v>
      </c>
      <c r="P14" s="2250"/>
      <c r="Q14" s="2250"/>
      <c r="R14" s="2250"/>
      <c r="S14" s="2250"/>
      <c r="T14" s="2250"/>
      <c r="U14" s="2250"/>
      <c r="V14" s="2251"/>
    </row>
    <row r="15" spans="1:22" ht="31.5" customHeight="1">
      <c r="B15" s="116"/>
      <c r="C15" s="99"/>
      <c r="D15" s="99"/>
      <c r="E15" s="99"/>
      <c r="F15" s="2298" t="e">
        <f>IF(DATI!E13="AUTOMATICA",CONCATENATE("*",DATI!E14,"-",REPT("0",4-LEN(F22)),F22,"*"),CONCATENATE("*",DATI!$L$14,REPT("0",3-LEN(D16)),D16,REPT("0",4-LEN(F22)),F22,DATI!L13,"*"))</f>
        <v>#VALUE!</v>
      </c>
      <c r="G15" s="2298"/>
      <c r="H15" s="2298"/>
      <c r="I15" s="2298"/>
      <c r="J15" s="2298"/>
      <c r="K15" s="133"/>
      <c r="L15" s="118"/>
      <c r="M15" s="98"/>
      <c r="N15" s="99"/>
      <c r="O15" s="99" t="s">
        <v>37</v>
      </c>
      <c r="P15" s="119" t="s">
        <v>37</v>
      </c>
      <c r="Q15" s="99"/>
      <c r="R15" s="99"/>
      <c r="S15" s="99"/>
      <c r="T15" s="120"/>
      <c r="U15" s="120"/>
      <c r="V15" s="100"/>
    </row>
    <row r="16" spans="1:22" ht="30.75" customHeight="1">
      <c r="B16" s="121"/>
      <c r="C16" s="122" t="str">
        <f>+VLOOKUP(19,TRADUZIONI,DATI!C2-1,0)</f>
        <v>PIEGHE</v>
      </c>
      <c r="D16" s="123">
        <f>ROUNDUP((P7-53)*0.036,0)</f>
        <v>49</v>
      </c>
      <c r="E16" s="99"/>
      <c r="F16" s="2298"/>
      <c r="G16" s="2298"/>
      <c r="H16" s="2298"/>
      <c r="I16" s="2298"/>
      <c r="J16" s="2298"/>
      <c r="K16" s="133"/>
      <c r="L16" s="124"/>
      <c r="M16" s="121"/>
      <c r="N16" s="125"/>
      <c r="O16" s="125"/>
      <c r="P16" s="2232" t="str">
        <f>+VLOOKUP(149,TRADUZIONI,DATI!C2-1,0)</f>
        <v>CORDINI</v>
      </c>
      <c r="Q16" s="2239"/>
      <c r="R16" s="126">
        <f>IF(R7&lt;=602,2,IF(R7&lt;=1456,4,IF(R7&lt;=2356,6,8)))</f>
        <v>6</v>
      </c>
      <c r="S16" s="120"/>
      <c r="T16" s="115"/>
      <c r="U16" s="115"/>
      <c r="V16" s="127"/>
    </row>
    <row r="17" spans="2:22" s="129" customFormat="1" ht="15" customHeight="1">
      <c r="B17" s="98"/>
      <c r="C17" s="99"/>
      <c r="D17" s="99"/>
      <c r="E17" s="99"/>
      <c r="F17" s="2298"/>
      <c r="G17" s="2298"/>
      <c r="H17" s="2298"/>
      <c r="I17" s="2298"/>
      <c r="J17" s="2298"/>
      <c r="K17" s="133"/>
      <c r="L17" s="99"/>
      <c r="M17" s="98"/>
      <c r="N17" s="99"/>
      <c r="O17" s="99"/>
      <c r="P17" s="99"/>
      <c r="Q17" s="128"/>
      <c r="R17" s="99"/>
      <c r="S17" s="99"/>
      <c r="T17" s="99"/>
      <c r="U17" s="99"/>
      <c r="V17" s="100"/>
    </row>
    <row r="18" spans="2:22" ht="49.5" customHeight="1">
      <c r="B18" s="98"/>
      <c r="C18" s="99"/>
      <c r="D18" s="109"/>
      <c r="E18" s="109"/>
      <c r="F18" s="2298"/>
      <c r="G18" s="2298"/>
      <c r="H18" s="2298"/>
      <c r="I18" s="2298"/>
      <c r="J18" s="2298"/>
      <c r="K18" s="133"/>
      <c r="L18" s="99"/>
      <c r="M18" s="98"/>
      <c r="N18" s="99"/>
      <c r="O18" s="99"/>
      <c r="P18" s="99"/>
      <c r="Q18" s="130" t="s">
        <v>81</v>
      </c>
      <c r="R18" s="99"/>
      <c r="S18" s="99"/>
      <c r="T18" s="99"/>
      <c r="U18" s="99"/>
      <c r="V18" s="100"/>
    </row>
    <row r="19" spans="2:22" ht="15" customHeight="1">
      <c r="B19" s="98"/>
      <c r="C19" s="99"/>
      <c r="D19" s="109"/>
      <c r="E19" s="109"/>
      <c r="F19" s="2298"/>
      <c r="G19" s="2298"/>
      <c r="H19" s="2298"/>
      <c r="I19" s="2298"/>
      <c r="J19" s="2298"/>
      <c r="K19" s="133"/>
      <c r="L19" s="99"/>
      <c r="M19" s="98"/>
      <c r="N19" s="99"/>
      <c r="O19" s="99"/>
      <c r="P19" s="131" t="s">
        <v>37</v>
      </c>
      <c r="Q19" s="99"/>
      <c r="R19" s="132" t="s">
        <v>37</v>
      </c>
      <c r="S19" s="99"/>
      <c r="T19" s="99"/>
      <c r="U19" s="99"/>
      <c r="V19" s="100"/>
    </row>
    <row r="20" spans="2:22">
      <c r="B20" s="98"/>
      <c r="C20" s="99"/>
      <c r="D20" s="109"/>
      <c r="E20" s="109"/>
      <c r="F20" s="2298"/>
      <c r="G20" s="2298"/>
      <c r="H20" s="2298"/>
      <c r="I20" s="2298"/>
      <c r="J20" s="2298"/>
      <c r="K20" s="133"/>
      <c r="L20" s="99"/>
      <c r="M20" s="134"/>
      <c r="N20" s="99"/>
      <c r="O20" s="99"/>
      <c r="P20" s="99"/>
      <c r="Q20" s="135"/>
      <c r="R20" s="135"/>
      <c r="S20" s="99"/>
      <c r="T20" s="107"/>
      <c r="U20" s="107"/>
      <c r="V20" s="100"/>
    </row>
    <row r="21" spans="2:22">
      <c r="B21" s="98"/>
      <c r="C21" s="99"/>
      <c r="D21" s="109"/>
      <c r="E21" s="99"/>
      <c r="F21" s="119" t="s">
        <v>37</v>
      </c>
      <c r="G21" s="99"/>
      <c r="H21" s="136"/>
      <c r="I21" s="136"/>
      <c r="J21" s="136"/>
      <c r="K21" s="109" t="s">
        <v>37</v>
      </c>
      <c r="L21" s="99"/>
      <c r="M21" s="134"/>
      <c r="N21" s="99"/>
      <c r="O21" s="99"/>
      <c r="P21" s="99"/>
      <c r="Q21" s="99"/>
      <c r="R21" s="128"/>
      <c r="S21" s="99"/>
      <c r="T21" s="135"/>
      <c r="U21" s="135"/>
      <c r="V21" s="100"/>
    </row>
    <row r="22" spans="2:22" ht="30.75">
      <c r="B22" s="98"/>
      <c r="C22" s="2212" t="str">
        <f>CONCATENATE(VLOOKUP(116,TRADUZIONI,DATI!C2-1,0),"(",VLOOKUP(97,TRADUZIONI,DATI!C2-1,0),"-28)")</f>
        <v>TAGLIO RETE(ALTEZZA-28)</v>
      </c>
      <c r="D22" s="2213"/>
      <c r="E22" s="2213"/>
      <c r="F22" s="65">
        <f>+R7-28</f>
        <v>2172</v>
      </c>
      <c r="G22" s="66"/>
      <c r="H22" s="26"/>
      <c r="I22" s="26"/>
      <c r="J22" s="26"/>
      <c r="K22" s="25"/>
      <c r="L22" s="99"/>
      <c r="M22" s="134"/>
      <c r="N22" s="99"/>
      <c r="O22" s="99"/>
      <c r="P22" s="136" t="s">
        <v>37</v>
      </c>
      <c r="Q22" s="99" t="s">
        <v>37</v>
      </c>
      <c r="R22" s="99"/>
      <c r="S22" s="99"/>
      <c r="T22" s="130"/>
      <c r="U22" s="130"/>
      <c r="V22" s="100"/>
    </row>
    <row r="23" spans="2:22">
      <c r="B23" s="98"/>
      <c r="C23" s="99"/>
      <c r="D23" s="109"/>
      <c r="E23" s="99"/>
      <c r="F23" s="119"/>
      <c r="G23" s="120"/>
      <c r="H23" s="136"/>
      <c r="I23" s="136"/>
      <c r="J23" s="136"/>
      <c r="K23" s="109"/>
      <c r="L23" s="99"/>
      <c r="M23" s="134"/>
      <c r="N23" s="99"/>
      <c r="O23" s="99"/>
      <c r="P23" s="136"/>
      <c r="Q23" s="99"/>
      <c r="R23" s="99"/>
      <c r="S23" s="99"/>
      <c r="T23" s="130"/>
      <c r="U23" s="130"/>
      <c r="V23" s="100"/>
    </row>
    <row r="24" spans="2:22">
      <c r="B24" s="98"/>
      <c r="C24" s="99"/>
      <c r="D24" s="109"/>
      <c r="E24" s="99"/>
      <c r="F24" s="119"/>
      <c r="G24" s="120"/>
      <c r="H24" s="136"/>
      <c r="I24" s="136"/>
      <c r="J24" s="136"/>
      <c r="K24" s="109"/>
      <c r="L24" s="99"/>
      <c r="M24" s="134"/>
      <c r="N24" s="99"/>
      <c r="O24" s="99"/>
      <c r="P24" s="136"/>
      <c r="Q24" s="99"/>
      <c r="R24" s="99"/>
      <c r="S24" s="99"/>
      <c r="T24" s="130"/>
      <c r="U24" s="130"/>
      <c r="V24" s="100"/>
    </row>
    <row r="25" spans="2:22">
      <c r="B25" s="98"/>
      <c r="C25" s="99"/>
      <c r="D25" s="109"/>
      <c r="E25" s="99"/>
      <c r="F25" s="119"/>
      <c r="G25" s="120"/>
      <c r="H25" s="136"/>
      <c r="I25" s="136"/>
      <c r="J25" s="136"/>
      <c r="K25" s="109"/>
      <c r="L25" s="99"/>
      <c r="M25" s="98"/>
      <c r="N25" s="99"/>
      <c r="O25" s="99"/>
      <c r="P25" s="136"/>
      <c r="Q25" s="99"/>
      <c r="R25" s="99"/>
      <c r="S25" s="99"/>
      <c r="T25" s="130"/>
      <c r="U25" s="130"/>
      <c r="V25" s="100"/>
    </row>
    <row r="26" spans="2:22">
      <c r="B26" s="98"/>
      <c r="C26" s="99"/>
      <c r="D26" s="109"/>
      <c r="E26" s="99"/>
      <c r="F26" s="119"/>
      <c r="G26" s="120"/>
      <c r="H26" s="136"/>
      <c r="I26" s="136"/>
      <c r="J26" s="136"/>
      <c r="K26" s="109"/>
      <c r="L26" s="99"/>
      <c r="M26" s="98"/>
      <c r="N26" s="99"/>
      <c r="O26" s="99"/>
      <c r="P26" s="99"/>
      <c r="Q26" s="99"/>
      <c r="R26" s="99"/>
      <c r="S26" s="109"/>
      <c r="T26" s="99"/>
      <c r="U26" s="99"/>
      <c r="V26" s="100"/>
    </row>
    <row r="27" spans="2:22" ht="30.75">
      <c r="B27" s="98"/>
      <c r="C27" s="69">
        <v>40</v>
      </c>
      <c r="D27" s="109"/>
      <c r="E27" s="99"/>
      <c r="F27" s="119"/>
      <c r="G27" s="120"/>
      <c r="H27" s="136"/>
      <c r="I27" s="136"/>
      <c r="J27" s="136"/>
      <c r="K27" s="109"/>
      <c r="L27" s="99"/>
      <c r="M27" s="98"/>
      <c r="N27" s="99"/>
      <c r="O27" s="99"/>
      <c r="P27" s="99"/>
      <c r="Q27" s="99"/>
      <c r="R27" s="99"/>
      <c r="S27" s="99"/>
      <c r="T27" s="99"/>
      <c r="U27" s="99"/>
      <c r="V27" s="100"/>
    </row>
    <row r="28" spans="2:22" ht="36" customHeight="1">
      <c r="B28" s="98"/>
      <c r="C28" s="70">
        <f>+C27+J40</f>
        <v>458</v>
      </c>
      <c r="D28" s="109"/>
      <c r="E28" s="99"/>
      <c r="F28" s="119"/>
      <c r="G28" s="120"/>
      <c r="H28" s="136"/>
      <c r="I28" s="136"/>
      <c r="J28" s="136"/>
      <c r="K28" s="109"/>
      <c r="L28" s="99"/>
      <c r="M28" s="98"/>
      <c r="N28" s="99"/>
      <c r="O28" s="99"/>
      <c r="P28" s="136" t="s">
        <v>37</v>
      </c>
      <c r="Q28" s="99"/>
      <c r="R28" s="99"/>
      <c r="S28" s="109"/>
      <c r="T28" s="99"/>
      <c r="U28" s="99"/>
      <c r="V28" s="100"/>
    </row>
    <row r="29" spans="2:22" ht="36" customHeight="1">
      <c r="B29" s="98"/>
      <c r="C29" s="99"/>
      <c r="D29" s="70">
        <f>IF(R16&gt;2,C28+J40,"")</f>
        <v>876</v>
      </c>
      <c r="E29" s="99"/>
      <c r="F29" s="119"/>
      <c r="G29" s="120"/>
      <c r="H29" s="136"/>
      <c r="I29" s="136"/>
      <c r="J29" s="136"/>
      <c r="K29" s="109"/>
      <c r="L29" s="99"/>
      <c r="M29" s="98"/>
      <c r="N29" s="99"/>
      <c r="O29" s="99"/>
      <c r="P29" s="99"/>
      <c r="Q29" s="99"/>
      <c r="R29" s="99"/>
      <c r="S29" s="99"/>
      <c r="T29" s="99"/>
      <c r="U29" s="99"/>
      <c r="V29" s="100"/>
    </row>
    <row r="30" spans="2:22" ht="36" customHeight="1">
      <c r="B30" s="98"/>
      <c r="C30" s="99"/>
      <c r="D30" s="109"/>
      <c r="E30" s="16">
        <f>IF(R16&gt;=4,D29+J40,"")</f>
        <v>1294</v>
      </c>
      <c r="F30" s="119"/>
      <c r="G30" s="120"/>
      <c r="H30" s="136"/>
      <c r="I30" s="136"/>
      <c r="J30" s="136"/>
      <c r="K30" s="109"/>
      <c r="L30" s="99"/>
      <c r="M30" s="98"/>
      <c r="N30" s="99"/>
      <c r="O30" s="99"/>
      <c r="P30" s="109" t="s">
        <v>37</v>
      </c>
      <c r="Q30" s="99"/>
      <c r="R30" s="99"/>
      <c r="S30" s="99"/>
      <c r="T30" s="99"/>
      <c r="U30" s="99"/>
      <c r="V30" s="100"/>
    </row>
    <row r="31" spans="2:22" ht="36" customHeight="1">
      <c r="B31" s="98"/>
      <c r="C31" s="99"/>
      <c r="D31" s="109"/>
      <c r="E31" s="99"/>
      <c r="F31" s="2215">
        <f>IF(R16&gt;=5,E30+J40,"")</f>
        <v>1712</v>
      </c>
      <c r="G31" s="2215"/>
      <c r="H31" s="136"/>
      <c r="I31" s="136"/>
      <c r="J31" s="136"/>
      <c r="K31" s="109"/>
      <c r="L31" s="99"/>
      <c r="M31" s="98"/>
      <c r="N31" s="99"/>
      <c r="O31" s="99"/>
      <c r="P31" s="99"/>
      <c r="Q31" s="99"/>
      <c r="R31" s="99"/>
      <c r="S31" s="99"/>
      <c r="T31" s="99"/>
      <c r="U31" s="99"/>
      <c r="V31" s="100"/>
    </row>
    <row r="32" spans="2:22" ht="36" customHeight="1">
      <c r="B32" s="98"/>
      <c r="C32" s="99"/>
      <c r="D32" s="109"/>
      <c r="E32" s="99"/>
      <c r="F32" s="119"/>
      <c r="G32" s="2292">
        <f>IF(R16&gt;=6,F31+J40,"")</f>
        <v>2130</v>
      </c>
      <c r="H32" s="2292"/>
      <c r="I32" s="136"/>
      <c r="J32" s="136"/>
      <c r="K32" s="109"/>
      <c r="L32" s="99"/>
      <c r="M32" s="98"/>
      <c r="N32" s="99"/>
      <c r="O32" s="99"/>
      <c r="P32" s="99"/>
      <c r="Q32" s="133" t="s">
        <v>82</v>
      </c>
      <c r="R32" s="99"/>
      <c r="S32" s="99"/>
      <c r="T32" s="99"/>
      <c r="U32" s="99"/>
      <c r="V32" s="100"/>
    </row>
    <row r="33" spans="2:27" ht="36" customHeight="1">
      <c r="B33" s="98"/>
      <c r="C33" s="99"/>
      <c r="D33" s="109"/>
      <c r="E33" s="99"/>
      <c r="F33" s="119"/>
      <c r="G33" s="120"/>
      <c r="H33" s="2275" t="str">
        <f>IF(R16&gt;=7,G32+J40,"")</f>
        <v/>
      </c>
      <c r="I33" s="2275"/>
      <c r="J33" s="136"/>
      <c r="K33" s="109"/>
      <c r="L33" s="99"/>
      <c r="M33" s="98"/>
      <c r="N33" s="99"/>
      <c r="O33" s="99"/>
      <c r="P33" s="99"/>
      <c r="Q33" s="99"/>
      <c r="R33" s="99"/>
      <c r="S33" s="99"/>
      <c r="T33" s="99"/>
      <c r="U33" s="99"/>
      <c r="V33" s="100"/>
    </row>
    <row r="34" spans="2:27" ht="36" customHeight="1">
      <c r="B34" s="98"/>
      <c r="C34" s="99"/>
      <c r="D34" s="109"/>
      <c r="E34" s="99"/>
      <c r="F34" s="119"/>
      <c r="G34" s="120"/>
      <c r="H34" s="136"/>
      <c r="I34" s="136"/>
      <c r="J34" s="2215" t="str">
        <f>IF(R16=8,H33+J40,"")</f>
        <v/>
      </c>
      <c r="K34" s="2215"/>
      <c r="L34" s="100"/>
      <c r="M34" s="99"/>
      <c r="N34" s="99"/>
      <c r="O34" s="205"/>
      <c r="P34" s="205"/>
      <c r="Q34" s="107"/>
      <c r="R34" s="99"/>
      <c r="S34" s="99"/>
      <c r="T34" s="99"/>
      <c r="U34" s="99"/>
      <c r="V34" s="100"/>
      <c r="Y34" s="1138" t="str">
        <f>+VLOOKUP(149,TRADUZIONI,DATI!C2-1,0)</f>
        <v>CORDINI</v>
      </c>
    </row>
    <row r="35" spans="2:27" ht="30.75" customHeight="1">
      <c r="B35" s="98"/>
      <c r="C35" s="99"/>
      <c r="D35" s="109"/>
      <c r="E35" s="99"/>
      <c r="F35" s="119"/>
      <c r="G35" s="120"/>
      <c r="H35" s="136"/>
      <c r="I35" s="136"/>
      <c r="J35" s="136"/>
      <c r="K35" s="109"/>
      <c r="L35" s="100"/>
      <c r="M35" s="99"/>
      <c r="N35" s="206" t="str">
        <f>CONCATENATE(Z35,". 2 ",AA35,".      ",TEXT(CEILING(ROUNDUP(P7+F22+360,-1),10),0))</f>
        <v>Nr. Cord. 2 LUNGHEZZA.      3940</v>
      </c>
      <c r="O35" s="208"/>
      <c r="P35" s="208"/>
      <c r="Q35" s="107"/>
      <c r="R35" s="99"/>
      <c r="S35" s="99"/>
      <c r="T35" s="99"/>
      <c r="U35" s="99"/>
      <c r="V35" s="100"/>
      <c r="X35" s="97">
        <v>2</v>
      </c>
      <c r="Y35" s="1140">
        <f>ROUNDUP(P7+F22+360,-1)</f>
        <v>3940</v>
      </c>
      <c r="Z35" s="97" t="str">
        <f>+VLOOKUP(144,TRADUZIONI,DATI!$C$2-1,0)</f>
        <v>Nr. Cord</v>
      </c>
      <c r="AA35" s="97" t="str">
        <f>+VLOOKUP(60,TRADUZIONI,DATI!$C$2-1,0)</f>
        <v>LUNGHEZZA</v>
      </c>
    </row>
    <row r="36" spans="2:27" ht="30.75" customHeight="1">
      <c r="B36" s="98"/>
      <c r="C36" s="2242" t="str">
        <f>+VLOOKUP(154,TRADUZIONI,DATI!$C$2-1,0)</f>
        <v>ATTENZIONE</v>
      </c>
      <c r="D36" s="2293"/>
      <c r="E36" s="2293"/>
      <c r="F36" s="2293"/>
      <c r="G36" s="2293"/>
      <c r="H36" s="2293"/>
      <c r="I36" s="2243"/>
      <c r="J36" s="136"/>
      <c r="K36" s="109"/>
      <c r="L36" s="100"/>
      <c r="M36" s="207"/>
      <c r="N36" s="206" t="str">
        <f>IF(R16&lt;=2,"NO",N35)</f>
        <v>Nr. Cord. 2 LUNGHEZZA.      3940</v>
      </c>
      <c r="O36" s="208"/>
      <c r="P36" s="208"/>
      <c r="Q36" s="139"/>
      <c r="R36" s="99"/>
      <c r="S36" s="99"/>
      <c r="T36" s="99"/>
      <c r="U36" s="99"/>
      <c r="V36" s="100"/>
      <c r="X36" s="97">
        <v>4</v>
      </c>
      <c r="Y36" s="1139">
        <f>IF(R16&lt;=2,"NO",Y35)</f>
        <v>3940</v>
      </c>
    </row>
    <row r="37" spans="2:27" ht="36" customHeight="1">
      <c r="B37" s="98"/>
      <c r="C37" s="2294" t="str">
        <f>+VLOOKUP(127,TRADUZIONI,DATI!$C$2-1,0)</f>
        <v>SCANTONARE LA  RETE DI  3 MM  LATO INFERIORE</v>
      </c>
      <c r="D37" s="2295"/>
      <c r="E37" s="2295"/>
      <c r="F37" s="2295"/>
      <c r="G37" s="2295"/>
      <c r="H37" s="2295"/>
      <c r="I37" s="2296"/>
      <c r="J37" s="99"/>
      <c r="K37" s="99"/>
      <c r="L37" s="100"/>
      <c r="M37" s="209"/>
      <c r="N37" s="210" t="str">
        <f>IF(R16&lt;=4,"NO",CONCATENATE(Z35,". ",IF(R16&lt;=4,"0","2")," ",AA35,".      ",TEXT(CEILING(IF(R16&lt;=4,"",ROUNDUP(P7+2*(40+2*J40)+350,-1)),10),"0")))</f>
        <v>Nr. Cord. 2 LUNGHEZZA.      3510</v>
      </c>
      <c r="O37" s="210"/>
      <c r="P37" s="210"/>
      <c r="Q37" s="119"/>
      <c r="R37" s="107"/>
      <c r="S37" s="109"/>
      <c r="T37" s="99"/>
      <c r="U37" s="99"/>
      <c r="V37" s="141"/>
      <c r="X37" s="97">
        <v>6</v>
      </c>
      <c r="Y37" s="1139">
        <f>IF(R16&lt;=4,0,ROUNDUP(P7+2*(40+2*J40)+350,-1))</f>
        <v>3510</v>
      </c>
    </row>
    <row r="38" spans="2:27" ht="33" customHeight="1">
      <c r="B38" s="98"/>
      <c r="C38" s="2244"/>
      <c r="D38" s="2297"/>
      <c r="E38" s="2297"/>
      <c r="F38" s="2297"/>
      <c r="G38" s="2297"/>
      <c r="H38" s="2297"/>
      <c r="I38" s="2245"/>
      <c r="J38" s="99"/>
      <c r="K38" s="99"/>
      <c r="L38" s="100"/>
      <c r="M38" s="209"/>
      <c r="N38" s="210" t="str">
        <f>IF(R16&lt;=6,"",CONCATENATE(Z35,IF(R16&lt;=6,"","2")," ",AA35,"      ",TEXT(CEILING(IF(R16&lt;=6,"",ROUNDUP(P7+2*(40+3*J40)+350,-1)),10),"0")))</f>
        <v/>
      </c>
      <c r="O38" s="208"/>
      <c r="P38" s="210"/>
      <c r="Q38" s="119"/>
      <c r="R38" s="107"/>
      <c r="S38" s="109"/>
      <c r="T38" s="99"/>
      <c r="U38" s="99"/>
      <c r="V38" s="141"/>
      <c r="X38" s="97">
        <v>8</v>
      </c>
      <c r="Y38" s="1139">
        <f>IF(R16&lt;=6,0,ROUNDUP(P7+2*(40+3*J40)+350,-1))</f>
        <v>0</v>
      </c>
    </row>
    <row r="39" spans="2:27" ht="21.75" customHeight="1">
      <c r="B39" s="98"/>
      <c r="C39" s="99"/>
      <c r="D39" s="99"/>
      <c r="E39" s="99"/>
      <c r="F39" s="99"/>
      <c r="G39" s="99"/>
      <c r="H39" s="99"/>
      <c r="I39" s="99"/>
      <c r="J39" s="99"/>
      <c r="K39" s="99"/>
      <c r="L39" s="100"/>
      <c r="M39" s="140"/>
      <c r="N39" s="107"/>
      <c r="O39" s="211"/>
      <c r="P39" s="211"/>
      <c r="Q39" s="119"/>
      <c r="R39" s="107"/>
      <c r="S39" s="109"/>
      <c r="T39" s="99"/>
      <c r="U39" s="99"/>
      <c r="V39" s="141"/>
    </row>
    <row r="40" spans="2:27" ht="28.5">
      <c r="B40" s="98"/>
      <c r="C40" s="2299" t="str">
        <f>+VLOOKUP(41,TRADUZIONI,DATI!$C$2-1,0)</f>
        <v>DIST.STD TRA FORI RETE</v>
      </c>
      <c r="D40" s="2300"/>
      <c r="E40" s="2300"/>
      <c r="F40" s="2300"/>
      <c r="G40" s="2300"/>
      <c r="H40" s="2300"/>
      <c r="I40" s="1438"/>
      <c r="J40" s="74">
        <f>ROUND((+F22-80)/(R16-1),0)</f>
        <v>418</v>
      </c>
      <c r="K40" s="1439"/>
      <c r="L40" s="100"/>
      <c r="M40" s="2258" t="str">
        <f>+VLOOKUP(128,TRADUZIONI,DATI!$C$2-1,0)</f>
        <v>INFILARE I CORDINI SENZA TAGLIARLI</v>
      </c>
      <c r="N40" s="2259"/>
      <c r="O40" s="2259"/>
      <c r="P40" s="2259"/>
      <c r="Q40" s="2259"/>
      <c r="R40" s="2259"/>
      <c r="S40" s="2259"/>
      <c r="T40" s="2259"/>
      <c r="U40" s="2259"/>
      <c r="V40" s="2260"/>
    </row>
    <row r="41" spans="2:27" ht="28.5">
      <c r="B41" s="98"/>
      <c r="C41" s="142"/>
      <c r="D41" s="143"/>
      <c r="E41" s="143"/>
      <c r="F41" s="22"/>
      <c r="G41" s="144"/>
      <c r="H41" s="144"/>
      <c r="I41" s="144"/>
      <c r="J41" s="144"/>
      <c r="K41" s="144"/>
      <c r="L41" s="99"/>
      <c r="M41" s="2258" t="str">
        <f>+VLOOKUP(119,TRADUZIONI,DATI!$C$2-1,0)</f>
        <v>ANNODARE SINGOLARMENTE AI PASSACORDINI SUPERIORI</v>
      </c>
      <c r="N41" s="2259"/>
      <c r="O41" s="2259"/>
      <c r="P41" s="2259"/>
      <c r="Q41" s="2259"/>
      <c r="R41" s="2259"/>
      <c r="S41" s="2259"/>
      <c r="T41" s="2259"/>
      <c r="U41" s="2259"/>
      <c r="V41" s="2260"/>
    </row>
    <row r="42" spans="2:27" ht="15.75" thickBot="1">
      <c r="B42" s="145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45"/>
      <c r="N42" s="146"/>
      <c r="O42" s="114"/>
      <c r="P42" s="114"/>
      <c r="Q42" s="114"/>
      <c r="R42" s="114"/>
      <c r="S42" s="114"/>
      <c r="T42" s="147"/>
      <c r="U42" s="147"/>
      <c r="V42" s="148"/>
    </row>
    <row r="43" spans="2:27" ht="44.25" customHeight="1">
      <c r="B43" s="220"/>
      <c r="C43" s="219" t="str">
        <f>+VLOOKUP(139,TRADUZIONI,DATI!$C$2-1,0)</f>
        <v>QUADRO D</v>
      </c>
      <c r="D43" s="2248" t="str">
        <f>+VLOOKUP(113,TRADUZIONI,DATI!$C$2-1,0)</f>
        <v>CONTROLLO CORDINI - POST ASSEMBLAGGIO</v>
      </c>
      <c r="E43" s="2248"/>
      <c r="F43" s="2248"/>
      <c r="G43" s="2248"/>
      <c r="H43" s="2248"/>
      <c r="I43" s="2248"/>
      <c r="J43" s="2248"/>
      <c r="K43" s="2248"/>
      <c r="L43" s="2249"/>
      <c r="M43" s="220"/>
      <c r="N43" s="219" t="str">
        <f>+VLOOKUP(140,TRADUZIONI,DATI!$C$2-1,0)</f>
        <v>QUADRO E</v>
      </c>
      <c r="O43" s="2250" t="str">
        <f>+VLOOKUP(122,TRADUZIONI,DATI!$C$2-1,0)</f>
        <v>ALLUMINIO E SPAZZOLINO</v>
      </c>
      <c r="P43" s="2250"/>
      <c r="Q43" s="2250"/>
      <c r="R43" s="2250"/>
      <c r="S43" s="2250"/>
      <c r="T43" s="2250"/>
      <c r="U43" s="2250"/>
      <c r="V43" s="2251"/>
    </row>
    <row r="44" spans="2:27" ht="31.5" customHeight="1">
      <c r="B44" s="149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13"/>
      <c r="N44" s="17"/>
      <c r="O44" s="17"/>
      <c r="P44" s="17"/>
      <c r="Q44" s="17"/>
      <c r="R44" s="99"/>
      <c r="S44" s="113"/>
      <c r="T44" s="113"/>
      <c r="U44" s="113"/>
      <c r="V44" s="21"/>
    </row>
    <row r="45" spans="2:27" ht="27.75">
      <c r="B45" s="149"/>
      <c r="C45" s="150"/>
      <c r="D45" s="150"/>
      <c r="E45" s="150"/>
      <c r="F45" s="150"/>
      <c r="G45" s="151" t="str">
        <f>+VLOOKUP(152,TRADUZIONI,DATI!$C$2-1,0)</f>
        <v>LUNG. Min. CORDINO</v>
      </c>
      <c r="H45" s="150"/>
      <c r="I45" s="150"/>
      <c r="J45" s="150"/>
      <c r="K45" s="150"/>
      <c r="L45" s="150"/>
      <c r="M45" s="13"/>
      <c r="N45" s="2222" t="str">
        <f>+VLOOKUP(153,TRADUZIONI,DATI!$C$2-1,0)</f>
        <v>BARRA SCORREVOLE</v>
      </c>
      <c r="O45" s="2223"/>
      <c r="P45" s="2223"/>
      <c r="Q45" s="2223"/>
      <c r="R45" s="2223"/>
      <c r="S45" s="2223"/>
      <c r="T45" s="2224"/>
      <c r="U45" s="212"/>
      <c r="V45" s="21"/>
    </row>
    <row r="46" spans="2:27" ht="31.5" customHeight="1">
      <c r="B46" s="149"/>
      <c r="C46" s="152" t="str">
        <f>+VLOOKUP(96,TRADUZIONI,DATI!$C$2-1,0)</f>
        <v>BASE</v>
      </c>
      <c r="D46" s="153">
        <f>+P7</f>
        <v>1400</v>
      </c>
      <c r="E46" s="154" t="s">
        <v>88</v>
      </c>
      <c r="F46" s="154" t="s">
        <v>89</v>
      </c>
      <c r="G46" s="155">
        <f>+D46+E46</f>
        <v>1600</v>
      </c>
      <c r="H46" s="156"/>
      <c r="I46" s="150"/>
      <c r="J46" s="150"/>
      <c r="K46" s="150"/>
      <c r="L46" s="150"/>
      <c r="M46" s="13"/>
      <c r="N46" s="17"/>
      <c r="O46" s="17"/>
      <c r="P46" s="17"/>
      <c r="Q46" s="17"/>
      <c r="R46" s="99"/>
      <c r="S46" s="113"/>
      <c r="T46" s="113"/>
      <c r="U46" s="113"/>
      <c r="V46" s="21"/>
    </row>
    <row r="47" spans="2:27" ht="31.5" thickBot="1">
      <c r="B47" s="149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77"/>
      <c r="N47" s="56" t="str">
        <f>+VLOOKUP(78,TRADUZIONI,DATI!C2-1,0)</f>
        <v>PEZZI /PZ.</v>
      </c>
      <c r="O47" s="157" t="s">
        <v>125</v>
      </c>
      <c r="P47" s="113"/>
      <c r="Q47" s="113"/>
      <c r="R47" s="99"/>
      <c r="S47" s="113"/>
      <c r="T47" s="113"/>
      <c r="U47" s="113"/>
      <c r="V47" s="12"/>
    </row>
    <row r="48" spans="2:27" ht="18.75">
      <c r="B48" s="221"/>
      <c r="C48" s="222"/>
      <c r="D48" s="222"/>
      <c r="E48" s="222"/>
      <c r="F48" s="222"/>
      <c r="G48" s="222"/>
      <c r="H48" s="222"/>
      <c r="I48" s="222"/>
      <c r="J48" s="222"/>
      <c r="K48" s="222"/>
      <c r="L48" s="223"/>
      <c r="M48" s="13"/>
      <c r="N48" s="17"/>
      <c r="O48" s="17"/>
      <c r="P48" s="17"/>
      <c r="Q48" s="17"/>
      <c r="R48" s="99"/>
      <c r="S48" s="113"/>
      <c r="T48" s="113"/>
      <c r="U48" s="113"/>
      <c r="V48" s="21"/>
    </row>
    <row r="49" spans="2:22" ht="30.75">
      <c r="B49" s="224"/>
      <c r="C49" s="2261" t="str">
        <f>+IF(DATI!$C$12=1,"",VLOOKUP(38,TRADUZIONI,DATI!$C$2-1,0))</f>
        <v>RETE GRIGIA</v>
      </c>
      <c r="D49" s="2261"/>
      <c r="E49" s="2261"/>
      <c r="F49" s="2261"/>
      <c r="G49" s="2261"/>
      <c r="H49" s="2261"/>
      <c r="I49" s="2261"/>
      <c r="J49" s="2261"/>
      <c r="K49" s="225"/>
      <c r="L49" s="225"/>
      <c r="M49" s="81"/>
      <c r="N49" s="56" t="str">
        <f>+VLOOKUP(129,TRADUZIONI,DATI!$C$2-1,0)&amp;"- 28) ="</f>
        <v>LUNGH. (ALTEZZA- 28) =</v>
      </c>
      <c r="O49" s="158"/>
      <c r="P49" s="101"/>
      <c r="Q49" s="101"/>
      <c r="R49" s="2227">
        <f>+R7-28</f>
        <v>2172</v>
      </c>
      <c r="S49" s="2228"/>
      <c r="T49" s="113"/>
      <c r="U49" s="113"/>
      <c r="V49" s="82"/>
    </row>
    <row r="50" spans="2:22" ht="18.75">
      <c r="B50" s="224"/>
      <c r="C50" s="2261"/>
      <c r="D50" s="2261"/>
      <c r="E50" s="2261"/>
      <c r="F50" s="2261"/>
      <c r="G50" s="2261"/>
      <c r="H50" s="2261"/>
      <c r="I50" s="2261"/>
      <c r="J50" s="2261"/>
      <c r="K50" s="225"/>
      <c r="L50" s="225"/>
      <c r="M50" s="13"/>
      <c r="N50" s="17"/>
      <c r="O50" s="17"/>
      <c r="P50" s="17"/>
      <c r="Q50" s="17"/>
      <c r="R50" s="99"/>
      <c r="S50" s="113"/>
      <c r="T50" s="113"/>
      <c r="U50" s="113"/>
      <c r="V50" s="21"/>
    </row>
    <row r="51" spans="2:22" ht="31.5" thickBot="1">
      <c r="B51" s="224"/>
      <c r="C51" s="225"/>
      <c r="D51" s="225"/>
      <c r="E51" s="225"/>
      <c r="F51" s="225"/>
      <c r="G51" s="225"/>
      <c r="H51" s="225"/>
      <c r="I51" s="225"/>
      <c r="J51" s="225"/>
      <c r="K51" s="225"/>
      <c r="L51" s="225"/>
      <c r="M51" s="13"/>
      <c r="N51" s="56" t="str">
        <f>+VLOOKUP(132,TRADUZIONI,DATI!$C$2-1,0)</f>
        <v>LUNG. MAGNETE</v>
      </c>
      <c r="O51" s="158"/>
      <c r="P51" s="101"/>
      <c r="Q51" s="101"/>
      <c r="R51" s="2227">
        <f>+R7-30</f>
        <v>2170</v>
      </c>
      <c r="S51" s="2228"/>
      <c r="T51" s="113"/>
      <c r="U51" s="113"/>
      <c r="V51" s="21"/>
    </row>
    <row r="52" spans="2:22" ht="44.25" customHeight="1">
      <c r="B52" s="220"/>
      <c r="C52" s="219" t="str">
        <f>+VLOOKUP(141,TRADUZIONI,DATI!$C$2-1,0)</f>
        <v>QUADRO F</v>
      </c>
      <c r="D52" s="2248" t="str">
        <f>+VLOOKUP(155,TRADUZIONI,DATI!$C$2-1,0)</f>
        <v>IMBALLO</v>
      </c>
      <c r="E52" s="2248"/>
      <c r="F52" s="2248"/>
      <c r="G52" s="2248"/>
      <c r="H52" s="2248"/>
      <c r="I52" s="2248"/>
      <c r="J52" s="2248"/>
      <c r="K52" s="2248"/>
      <c r="L52" s="2249"/>
      <c r="M52" s="13"/>
      <c r="N52" s="159"/>
      <c r="O52" s="159"/>
      <c r="P52" s="99"/>
      <c r="Q52" s="99"/>
      <c r="R52" s="16"/>
      <c r="S52" s="16"/>
      <c r="T52" s="113"/>
      <c r="U52" s="113"/>
      <c r="V52" s="21"/>
    </row>
    <row r="53" spans="2:22" ht="30.75">
      <c r="B53" s="98"/>
      <c r="C53" s="99"/>
      <c r="D53" s="99"/>
      <c r="E53" s="99"/>
      <c r="F53" s="99"/>
      <c r="G53" s="99"/>
      <c r="H53" s="99"/>
      <c r="I53" s="99"/>
      <c r="J53" s="99"/>
      <c r="K53" s="99"/>
      <c r="L53" s="100"/>
      <c r="M53" s="13"/>
      <c r="N53" s="159"/>
      <c r="O53" s="159"/>
      <c r="P53" s="99"/>
      <c r="Q53" s="99"/>
      <c r="R53" s="16"/>
      <c r="S53" s="16"/>
      <c r="T53" s="113"/>
      <c r="U53" s="113"/>
      <c r="V53" s="21"/>
    </row>
    <row r="54" spans="2:22" ht="28.5">
      <c r="B54" s="98"/>
      <c r="C54" s="165" t="str">
        <f>+VLOOKUP(69,TRADUZIONI,DATI!$C$2-1,0)</f>
        <v>IMBALLARE INSIEME</v>
      </c>
      <c r="D54" s="166"/>
      <c r="E54" s="167"/>
      <c r="F54" s="99"/>
      <c r="G54" s="168"/>
      <c r="H54" s="99"/>
      <c r="I54" s="99"/>
      <c r="J54" s="99"/>
      <c r="K54" s="99"/>
      <c r="L54" s="100"/>
      <c r="M54" s="84"/>
      <c r="N54" s="29"/>
      <c r="O54" s="29"/>
      <c r="P54" s="29"/>
      <c r="Q54" s="29"/>
      <c r="R54" s="29"/>
      <c r="S54" s="29"/>
      <c r="T54" s="29"/>
      <c r="U54" s="29"/>
      <c r="V54" s="85"/>
    </row>
    <row r="55" spans="2:22" ht="28.5">
      <c r="B55" s="98"/>
      <c r="C55" s="172"/>
      <c r="D55" s="173" t="str">
        <f>+VLOOKUP(125,TRADUZIONI,DATI!$C$2-1,0)</f>
        <v>GUIDA</v>
      </c>
      <c r="E55" s="99"/>
      <c r="F55" s="168"/>
      <c r="G55" s="168"/>
      <c r="H55" s="99"/>
      <c r="I55" s="99"/>
      <c r="J55" s="99"/>
      <c r="K55" s="99"/>
      <c r="L55" s="100"/>
      <c r="M55" s="13"/>
      <c r="N55" s="159"/>
      <c r="O55" s="113"/>
      <c r="P55" s="113"/>
      <c r="Q55" s="113"/>
      <c r="R55" s="113"/>
      <c r="S55" s="113"/>
      <c r="T55" s="113"/>
      <c r="U55" s="113"/>
      <c r="V55" s="21"/>
    </row>
    <row r="56" spans="2:22" ht="28.5">
      <c r="B56" s="98"/>
      <c r="C56" s="174"/>
      <c r="D56" s="173" t="str">
        <f>+VLOOKUP(72,TRADUZIONI,DATI!$C$2-1,0)</f>
        <v>SET ACCESSORI</v>
      </c>
      <c r="E56" s="99"/>
      <c r="F56" s="119"/>
      <c r="G56" s="107"/>
      <c r="H56" s="99"/>
      <c r="I56" s="99"/>
      <c r="J56" s="99"/>
      <c r="K56" s="99"/>
      <c r="L56" s="100"/>
      <c r="M56" s="99"/>
      <c r="N56" s="99"/>
      <c r="O56" s="99"/>
      <c r="P56" s="99"/>
      <c r="Q56" s="99"/>
      <c r="R56" s="99"/>
      <c r="S56" s="99"/>
      <c r="T56" s="99"/>
      <c r="U56" s="99"/>
      <c r="V56" s="100"/>
    </row>
    <row r="57" spans="2:22" ht="28.5">
      <c r="B57" s="98"/>
      <c r="C57" s="174"/>
      <c r="D57" s="173" t="str">
        <f>+VLOOKUP(123,TRADUZIONI,DATI!$C$2-1,0)</f>
        <v>Opuscolo gioconda</v>
      </c>
      <c r="E57" s="99"/>
      <c r="F57" s="119"/>
      <c r="G57" s="107"/>
      <c r="H57" s="99"/>
      <c r="I57" s="99"/>
      <c r="J57" s="99"/>
      <c r="K57" s="99"/>
      <c r="L57" s="100"/>
      <c r="M57" s="13"/>
      <c r="N57" s="17"/>
      <c r="O57" s="17"/>
      <c r="P57" s="17"/>
      <c r="Q57" s="17"/>
      <c r="R57" s="99"/>
      <c r="S57" s="113"/>
      <c r="T57" s="113"/>
      <c r="U57" s="113"/>
      <c r="V57" s="21"/>
    </row>
    <row r="58" spans="2:22" ht="27.75">
      <c r="B58" s="175"/>
      <c r="C58" s="176"/>
      <c r="D58" s="177"/>
      <c r="E58" s="177"/>
      <c r="F58" s="177"/>
      <c r="G58" s="177"/>
      <c r="H58" s="177"/>
      <c r="I58" s="177"/>
      <c r="J58" s="177"/>
      <c r="K58" s="177"/>
      <c r="L58" s="178"/>
      <c r="M58" s="13"/>
      <c r="N58" s="2222" t="str">
        <f>+VLOOKUP(20,TRADUZIONI,DATI!$C$2-1,0)</f>
        <v>BARRA SCORR/BARRA DORSO</v>
      </c>
      <c r="O58" s="2223"/>
      <c r="P58" s="2223"/>
      <c r="Q58" s="2223"/>
      <c r="R58" s="2223"/>
      <c r="S58" s="2223"/>
      <c r="T58" s="2224"/>
      <c r="U58" s="212"/>
      <c r="V58" s="21"/>
    </row>
    <row r="59" spans="2:22" ht="21">
      <c r="B59" s="179" t="s">
        <v>37</v>
      </c>
      <c r="C59" s="180"/>
      <c r="D59" s="180"/>
      <c r="E59" s="180"/>
      <c r="F59" s="180"/>
      <c r="G59" s="180"/>
      <c r="H59" s="180"/>
      <c r="I59" s="180"/>
      <c r="J59" s="180"/>
      <c r="K59" s="180"/>
      <c r="L59" s="181"/>
      <c r="M59" s="13"/>
      <c r="N59" s="17"/>
      <c r="O59" s="17"/>
      <c r="P59" s="17"/>
      <c r="Q59" s="17"/>
      <c r="R59" s="99"/>
      <c r="S59" s="113"/>
      <c r="T59" s="113"/>
      <c r="U59" s="113"/>
      <c r="V59" s="21"/>
    </row>
    <row r="60" spans="2:22" ht="30.75">
      <c r="B60" s="182" t="s">
        <v>37</v>
      </c>
      <c r="C60" s="183"/>
      <c r="D60" s="184" t="str">
        <f>+VLOOKUP(47,TRADUZIONI,DATI!$C$2-1,0)</f>
        <v xml:space="preserve">BIANCO </v>
      </c>
      <c r="E60" s="184" t="str">
        <f>+VLOOKUP(74,TRADUZIONI,DATI!$C$2-1,0)</f>
        <v>NEUTRO</v>
      </c>
      <c r="F60" s="2301" t="str">
        <f>+VLOOKUP(83,TRADUZIONI,DATI!$C$2-1,0)</f>
        <v>PERSONALIZZATO</v>
      </c>
      <c r="G60" s="2302"/>
      <c r="H60" s="183"/>
      <c r="I60" s="183"/>
      <c r="J60" s="183"/>
      <c r="K60" s="183"/>
      <c r="L60" s="185"/>
      <c r="M60" s="13"/>
      <c r="N60" s="78" t="str">
        <f>+VLOOKUP(78,TRADUZIONI,DATI!C2-1,0)</f>
        <v>PEZZI /PZ.</v>
      </c>
      <c r="O60" s="157" t="s">
        <v>125</v>
      </c>
      <c r="P60" s="80"/>
      <c r="Q60" s="80"/>
      <c r="R60" s="99"/>
      <c r="S60" s="113"/>
      <c r="T60" s="113"/>
      <c r="U60" s="113"/>
      <c r="V60" s="21"/>
    </row>
    <row r="61" spans="2:22" ht="21">
      <c r="B61" s="186"/>
      <c r="C61" s="183"/>
      <c r="D61" s="187" t="s">
        <v>44</v>
      </c>
      <c r="E61" s="188"/>
      <c r="F61" s="1443"/>
      <c r="G61" s="1442"/>
      <c r="H61" s="183"/>
      <c r="I61" s="183"/>
      <c r="J61" s="183"/>
      <c r="K61" s="183"/>
      <c r="L61" s="185"/>
      <c r="M61" s="13"/>
      <c r="N61" s="17"/>
      <c r="O61" s="17"/>
      <c r="P61" s="17"/>
      <c r="Q61" s="17"/>
      <c r="R61" s="99"/>
      <c r="S61" s="113"/>
      <c r="T61" s="113"/>
      <c r="U61" s="113"/>
      <c r="V61" s="21"/>
    </row>
    <row r="62" spans="2:22" ht="30.75">
      <c r="B62" s="190"/>
      <c r="C62" s="183"/>
      <c r="D62" s="191">
        <v>0.05</v>
      </c>
      <c r="E62" s="192">
        <v>0.17499999999999999</v>
      </c>
      <c r="F62" s="193" t="s">
        <v>102</v>
      </c>
      <c r="G62" s="192">
        <f>(S10+300)/1000</f>
        <v>0.3</v>
      </c>
      <c r="H62" s="183"/>
      <c r="I62" s="183"/>
      <c r="J62" s="183"/>
      <c r="K62" s="183"/>
      <c r="L62" s="185"/>
      <c r="M62" s="13"/>
      <c r="N62" s="56" t="str">
        <f>+VLOOKUP(129,TRADUZIONI,DATI!$C$2-1,0)&amp;"- 28) ="</f>
        <v>LUNGH. (ALTEZZA- 28) =</v>
      </c>
      <c r="O62" s="158"/>
      <c r="P62" s="158"/>
      <c r="Q62" s="158"/>
      <c r="R62" s="2227">
        <f>+R7-28</f>
        <v>2172</v>
      </c>
      <c r="S62" s="2228"/>
      <c r="T62" s="113"/>
      <c r="U62" s="113"/>
      <c r="V62" s="21"/>
    </row>
    <row r="63" spans="2:22" ht="21">
      <c r="B63" s="194"/>
      <c r="C63" s="183"/>
      <c r="D63" s="191" t="str">
        <f>+VLOOKUP(75,TRADUZIONI,DATI!$C$2-1,0)</f>
        <v>CONFEZIONE</v>
      </c>
      <c r="E63" s="191"/>
      <c r="F63" s="192">
        <f>Q14</f>
        <v>0</v>
      </c>
      <c r="G63" s="191" t="s">
        <v>104</v>
      </c>
      <c r="H63" s="183"/>
      <c r="I63" s="183"/>
      <c r="J63" s="183"/>
      <c r="K63" s="183"/>
      <c r="L63" s="185"/>
      <c r="M63" s="13"/>
      <c r="N63" s="17"/>
      <c r="O63" s="17"/>
      <c r="P63" s="17"/>
      <c r="Q63" s="17"/>
      <c r="R63" s="99"/>
      <c r="S63" s="113"/>
      <c r="T63" s="113"/>
      <c r="U63" s="113"/>
      <c r="V63" s="21"/>
    </row>
    <row r="64" spans="2:22" ht="30.75">
      <c r="B64" s="194"/>
      <c r="C64" s="183"/>
      <c r="D64" s="191" t="str">
        <f>+VLOOKUP(76,TRADUZIONI,DATI!$C$2-1,0)</f>
        <v>VOLUME</v>
      </c>
      <c r="E64" s="191"/>
      <c r="F64" s="1444">
        <f>(D62*E62*G62)*F63</f>
        <v>0</v>
      </c>
      <c r="G64" s="191" t="s">
        <v>106</v>
      </c>
      <c r="H64" s="183"/>
      <c r="I64" s="183"/>
      <c r="J64" s="183"/>
      <c r="K64" s="183"/>
      <c r="L64" s="185"/>
      <c r="M64" s="13"/>
      <c r="N64" s="56" t="str">
        <f>+VLOOKUP(130,TRADUZIONI,DATI!$C$2-1,0)</f>
        <v xml:space="preserve">LUNG. PORTA MAGNETE   </v>
      </c>
      <c r="O64" s="158"/>
      <c r="P64" s="158"/>
      <c r="Q64" s="158"/>
      <c r="R64" s="2227">
        <f>+R7-30</f>
        <v>2170</v>
      </c>
      <c r="S64" s="2228"/>
      <c r="T64" s="113"/>
      <c r="U64" s="113"/>
      <c r="V64" s="21"/>
    </row>
    <row r="65" spans="2:22" ht="21.75" thickBot="1">
      <c r="B65" s="195"/>
      <c r="C65" s="196"/>
      <c r="D65" s="197"/>
      <c r="E65" s="197"/>
      <c r="F65" s="198"/>
      <c r="G65" s="197"/>
      <c r="H65" s="196"/>
      <c r="I65" s="196"/>
      <c r="J65" s="196"/>
      <c r="K65" s="196"/>
      <c r="L65" s="199"/>
      <c r="M65" s="88"/>
      <c r="N65" s="89"/>
      <c r="O65" s="89"/>
      <c r="P65" s="89"/>
      <c r="Q65" s="89"/>
      <c r="R65" s="89"/>
      <c r="S65" s="89"/>
      <c r="T65" s="89"/>
      <c r="U65" s="89"/>
      <c r="V65" s="90"/>
    </row>
    <row r="66" spans="2:22" ht="44.25" customHeight="1">
      <c r="B66" s="220"/>
      <c r="C66" s="219" t="str">
        <f>+VLOOKUP(142,TRADUZIONI,DATI!$C$2-1,0)</f>
        <v>QUADRO G</v>
      </c>
      <c r="D66" s="2268" t="str">
        <f>+VLOOKUP(156,TRADUZIONI,DATI!$C$2-1,0)</f>
        <v>QUALITA'</v>
      </c>
      <c r="E66" s="2268"/>
      <c r="F66" s="2268"/>
      <c r="G66" s="2268"/>
      <c r="H66" s="2268"/>
      <c r="I66" s="2268"/>
      <c r="J66" s="2268"/>
      <c r="K66" s="2268"/>
      <c r="L66" s="2269"/>
      <c r="M66" s="13"/>
      <c r="N66" s="17"/>
      <c r="O66" s="17"/>
      <c r="P66" s="17"/>
      <c r="Q66" s="17"/>
      <c r="R66" s="99"/>
      <c r="S66" s="113"/>
      <c r="T66" s="113"/>
      <c r="U66" s="113"/>
      <c r="V66" s="21"/>
    </row>
    <row r="67" spans="2:22" ht="27.75">
      <c r="B67" s="2270" t="str">
        <f>+VLOOKUP(32,TRADUZIONI,DATI!$C$2-1,0)</f>
        <v>CONTROLLATO DA</v>
      </c>
      <c r="C67" s="2271"/>
      <c r="D67" s="2271"/>
      <c r="E67" s="2272"/>
      <c r="F67" s="2273" t="str">
        <f>+VLOOKUP(35,TRADUZIONI,DATI!$C$2-1,0)</f>
        <v>NOTE</v>
      </c>
      <c r="G67" s="2271"/>
      <c r="H67" s="2271"/>
      <c r="I67" s="2271"/>
      <c r="J67" s="2271"/>
      <c r="K67" s="2271"/>
      <c r="L67" s="2274"/>
      <c r="M67" s="13"/>
      <c r="N67" s="2222" t="str">
        <f>+VLOOKUP(125,TRADUZIONI,DATI!$C$2-1,0)</f>
        <v>GUIDA</v>
      </c>
      <c r="O67" s="2223"/>
      <c r="P67" s="2223"/>
      <c r="Q67" s="2223"/>
      <c r="R67" s="2223"/>
      <c r="S67" s="2223"/>
      <c r="T67" s="2223"/>
      <c r="U67" s="2224"/>
      <c r="V67" s="21"/>
    </row>
    <row r="68" spans="2:22" ht="21">
      <c r="B68" s="2264" t="str">
        <f>+VLOOKUP(33,TRADUZIONI,DATI!$C$2-1,0)</f>
        <v>OPERATORE</v>
      </c>
      <c r="C68" s="2265"/>
      <c r="D68" s="2266" t="str">
        <f>+VLOOKUP(34,TRADUZIONI,DATI!$C$2-1,0)</f>
        <v>PRODUZIONE</v>
      </c>
      <c r="E68" s="2267"/>
      <c r="F68" s="2276">
        <f>+DATI!C13</f>
        <v>0</v>
      </c>
      <c r="G68" s="2277"/>
      <c r="H68" s="2277"/>
      <c r="I68" s="2277"/>
      <c r="J68" s="2277"/>
      <c r="K68" s="2277"/>
      <c r="L68" s="2278"/>
      <c r="M68" s="13"/>
      <c r="N68" s="17"/>
      <c r="O68" s="17"/>
      <c r="P68" s="17"/>
      <c r="Q68" s="17"/>
      <c r="R68" s="99"/>
      <c r="S68" s="99"/>
      <c r="T68" s="99"/>
      <c r="U68" s="99"/>
      <c r="V68" s="21"/>
    </row>
    <row r="69" spans="2:22" ht="28.5">
      <c r="B69" s="2282"/>
      <c r="C69" s="2283"/>
      <c r="D69" s="2286"/>
      <c r="E69" s="2287"/>
      <c r="F69" s="2279"/>
      <c r="G69" s="2280"/>
      <c r="H69" s="2280"/>
      <c r="I69" s="2280"/>
      <c r="J69" s="2280"/>
      <c r="K69" s="2280"/>
      <c r="L69" s="2281"/>
      <c r="M69" s="13"/>
      <c r="N69" s="56" t="str">
        <f>+VLOOKUP(159,TRADUZIONI,DATI!$C$2-1,0)</f>
        <v>SUP. (BASE) =</v>
      </c>
      <c r="O69" s="101"/>
      <c r="P69" s="213"/>
      <c r="Q69" s="2236">
        <f>+P7</f>
        <v>1400</v>
      </c>
      <c r="R69" s="2237"/>
      <c r="S69" s="99"/>
      <c r="T69" s="78" t="str">
        <f>+VLOOKUP(78,TRADUZIONI,DATI!C2-1,0)</f>
        <v>PEZZI /PZ.</v>
      </c>
      <c r="U69" s="200" t="s">
        <v>122</v>
      </c>
      <c r="V69" s="21"/>
    </row>
    <row r="70" spans="2:22" ht="21">
      <c r="B70" s="2282"/>
      <c r="C70" s="2283"/>
      <c r="D70" s="2286"/>
      <c r="E70" s="2287"/>
      <c r="F70" s="2273" t="str">
        <f>+VLOOKUP(36,TRADUZIONI,DATI!$C$2-1,0)</f>
        <v xml:space="preserve">RETE </v>
      </c>
      <c r="G70" s="2271"/>
      <c r="H70" s="2271"/>
      <c r="I70" s="2273" t="str">
        <f>+VLOOKUP(37,TRADUZIONI,DATI!$C$2-1,0)</f>
        <v>LOTTO NR.</v>
      </c>
      <c r="J70" s="2271"/>
      <c r="K70" s="2271"/>
      <c r="L70" s="2274"/>
      <c r="M70" s="13"/>
      <c r="N70" s="17"/>
      <c r="O70" s="17"/>
      <c r="P70" s="17"/>
      <c r="Q70" s="17"/>
      <c r="R70" s="99"/>
      <c r="S70" s="99"/>
      <c r="T70" s="99"/>
      <c r="U70" s="99"/>
      <c r="V70" s="21"/>
    </row>
    <row r="71" spans="2:22" ht="28.5">
      <c r="B71" s="2282"/>
      <c r="C71" s="2283"/>
      <c r="D71" s="2286"/>
      <c r="E71" s="2287"/>
      <c r="F71" s="2254" t="str">
        <f>+IF(DATI!$C$12=1,"",VLOOKUP(38,TRADUZIONI,DATI!$C$2-1,0))</f>
        <v>RETE GRIGIA</v>
      </c>
      <c r="G71" s="2255"/>
      <c r="H71" s="2255"/>
      <c r="I71" s="2254"/>
      <c r="J71" s="2255"/>
      <c r="K71" s="2255"/>
      <c r="L71" s="2290"/>
      <c r="M71" s="13"/>
      <c r="N71" s="56" t="str">
        <f>+VLOOKUP(160,TRADUZIONI,DATI!$C$2-1,0)</f>
        <v>INF. (BASE) =</v>
      </c>
      <c r="O71" s="158"/>
      <c r="P71" s="101"/>
      <c r="Q71" s="2236">
        <f>+P7</f>
        <v>1400</v>
      </c>
      <c r="R71" s="2237"/>
      <c r="S71" s="99"/>
      <c r="T71" s="78" t="str">
        <f>+VLOOKUP(78,TRADUZIONI,DATI!C2-1,0)</f>
        <v>PEZZI /PZ.</v>
      </c>
      <c r="U71" s="200" t="s">
        <v>122</v>
      </c>
      <c r="V71" s="21"/>
    </row>
    <row r="72" spans="2:22" ht="21.75" customHeight="1" thickBot="1">
      <c r="B72" s="2284"/>
      <c r="C72" s="2285"/>
      <c r="D72" s="2288"/>
      <c r="E72" s="2289"/>
      <c r="F72" s="2256"/>
      <c r="G72" s="2257"/>
      <c r="H72" s="2257"/>
      <c r="I72" s="2256"/>
      <c r="J72" s="2257"/>
      <c r="K72" s="2257"/>
      <c r="L72" s="2291"/>
      <c r="M72" s="75"/>
      <c r="N72" s="44"/>
      <c r="O72" s="44"/>
      <c r="P72" s="44"/>
      <c r="Q72" s="44"/>
      <c r="R72" s="44"/>
      <c r="S72" s="44"/>
      <c r="T72" s="44"/>
      <c r="U72" s="44"/>
      <c r="V72" s="73"/>
    </row>
    <row r="74" spans="2:22" ht="99.75">
      <c r="V74" s="204"/>
    </row>
  </sheetData>
  <mergeCells count="51">
    <mergeCell ref="C37:I38"/>
    <mergeCell ref="F31:G31"/>
    <mergeCell ref="G32:H32"/>
    <mergeCell ref="H33:I33"/>
    <mergeCell ref="J34:K34"/>
    <mergeCell ref="C36:I36"/>
    <mergeCell ref="F71:H72"/>
    <mergeCell ref="I71:L72"/>
    <mergeCell ref="R62:S62"/>
    <mergeCell ref="F67:L67"/>
    <mergeCell ref="N67:U67"/>
    <mergeCell ref="F68:L69"/>
    <mergeCell ref="Q69:R69"/>
    <mergeCell ref="Q71:R71"/>
    <mergeCell ref="D66:L66"/>
    <mergeCell ref="B67:E67"/>
    <mergeCell ref="F70:H70"/>
    <mergeCell ref="I70:L70"/>
    <mergeCell ref="B68:C68"/>
    <mergeCell ref="D68:E68"/>
    <mergeCell ref="B69:C72"/>
    <mergeCell ref="D69:E72"/>
    <mergeCell ref="M40:V40"/>
    <mergeCell ref="R64:S64"/>
    <mergeCell ref="M41:V41"/>
    <mergeCell ref="D43:L43"/>
    <mergeCell ref="O43:V43"/>
    <mergeCell ref="N45:T45"/>
    <mergeCell ref="C49:J50"/>
    <mergeCell ref="R49:S49"/>
    <mergeCell ref="R51:S51"/>
    <mergeCell ref="D52:L52"/>
    <mergeCell ref="N58:T58"/>
    <mergeCell ref="C40:H40"/>
    <mergeCell ref="F60:G60"/>
    <mergeCell ref="O14:V14"/>
    <mergeCell ref="F15:J20"/>
    <mergeCell ref="P16:Q16"/>
    <mergeCell ref="C22:E22"/>
    <mergeCell ref="N9:O9"/>
    <mergeCell ref="P9:S9"/>
    <mergeCell ref="N11:O11"/>
    <mergeCell ref="F12:G12"/>
    <mergeCell ref="F10:G10"/>
    <mergeCell ref="D14:L14"/>
    <mergeCell ref="B2:V2"/>
    <mergeCell ref="E4:O4"/>
    <mergeCell ref="D6:G6"/>
    <mergeCell ref="N6:O7"/>
    <mergeCell ref="R6:S6"/>
    <mergeCell ref="R7:S7"/>
  </mergeCells>
  <conditionalFormatting sqref="F12:G12">
    <cfRule type="expression" dxfId="1" priority="2" stopIfTrue="1">
      <formula>IF(#REF!&lt;&gt;0,1,0)</formula>
    </cfRule>
  </conditionalFormatting>
  <printOptions horizontalCentered="1" gridLinesSet="0"/>
  <pageMargins left="0" right="0" top="0" bottom="0" header="0" footer="0"/>
  <pageSetup paperSize="9" scale="40" orientation="portrait" horizontalDpi="1200" verticalDpi="1200" r:id="rId1"/>
  <headerFooter alignWithMargins="0">
    <oddFooter>&amp;LREV. 09/05 - VER.1&amp;R&amp;D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>
    <tabColor theme="6" tint="-0.249977111117893"/>
    <pageSetUpPr fitToPage="1"/>
  </sheetPr>
  <dimension ref="A1:AA74"/>
  <sheetViews>
    <sheetView showGridLines="0" zoomScale="50" zoomScaleNormal="50" workbookViewId="0">
      <selection activeCell="C10" sqref="C10:K10"/>
    </sheetView>
  </sheetViews>
  <sheetFormatPr defaultColWidth="10.28515625" defaultRowHeight="15"/>
  <cols>
    <col min="1" max="1" width="34.85546875" style="97" customWidth="1"/>
    <col min="2" max="2" width="4.5703125" style="97" customWidth="1"/>
    <col min="3" max="3" width="32" style="97" customWidth="1"/>
    <col min="4" max="4" width="13.28515625" style="97" customWidth="1"/>
    <col min="5" max="5" width="21.140625" style="97" customWidth="1"/>
    <col min="6" max="6" width="15" style="97" customWidth="1"/>
    <col min="7" max="7" width="17.85546875" style="97" customWidth="1"/>
    <col min="8" max="9" width="9.28515625" style="97" customWidth="1"/>
    <col min="10" max="10" width="6.42578125" style="97" customWidth="1"/>
    <col min="11" max="11" width="9.85546875" style="97" customWidth="1"/>
    <col min="12" max="12" width="4.7109375" style="97" customWidth="1"/>
    <col min="13" max="13" width="3.7109375" style="97" customWidth="1"/>
    <col min="14" max="14" width="17.85546875" style="97" customWidth="1"/>
    <col min="15" max="15" width="13.85546875" style="97" customWidth="1"/>
    <col min="16" max="16" width="16.28515625" style="97" customWidth="1"/>
    <col min="17" max="17" width="9.7109375" style="97" customWidth="1"/>
    <col min="18" max="18" width="11.140625" style="97" customWidth="1"/>
    <col min="19" max="19" width="9.5703125" style="97" customWidth="1"/>
    <col min="20" max="20" width="19" style="97" customWidth="1"/>
    <col min="21" max="21" width="11.42578125" style="97" customWidth="1"/>
    <col min="22" max="22" width="6.5703125" style="97" customWidth="1"/>
    <col min="23" max="24" width="10.28515625" style="97"/>
    <col min="25" max="25" width="22.28515625" style="97" bestFit="1" customWidth="1"/>
    <col min="26" max="16384" width="10.28515625" style="97"/>
  </cols>
  <sheetData>
    <row r="1" spans="1:22" ht="18">
      <c r="A1" s="6"/>
    </row>
    <row r="2" spans="1:22" ht="33.75">
      <c r="A2" s="6"/>
      <c r="B2" s="2240" t="str">
        <f>+VLOOKUP(137,TRADUZIONI,DATI!C2-1,0)</f>
        <v>FOGLIO LAVORO GIOCONDA LATERALE MODULO</v>
      </c>
      <c r="C2" s="2241"/>
      <c r="D2" s="2241"/>
      <c r="E2" s="2241"/>
      <c r="F2" s="2241"/>
      <c r="G2" s="2241"/>
      <c r="H2" s="2241"/>
      <c r="I2" s="2241"/>
      <c r="J2" s="2241"/>
      <c r="K2" s="2241"/>
      <c r="L2" s="2241"/>
      <c r="M2" s="2241"/>
      <c r="N2" s="2241"/>
      <c r="O2" s="2241"/>
      <c r="P2" s="2241"/>
      <c r="Q2" s="2241"/>
      <c r="R2" s="2241"/>
      <c r="S2" s="2241"/>
      <c r="T2" s="2241"/>
      <c r="U2" s="2241"/>
      <c r="V2" s="2241"/>
    </row>
    <row r="3" spans="1:22" ht="18.75" thickBot="1">
      <c r="A3" s="6"/>
    </row>
    <row r="4" spans="1:22" ht="44.25" customHeight="1">
      <c r="A4" s="6"/>
      <c r="B4" s="220"/>
      <c r="C4" s="219" t="str">
        <f>+VLOOKUP(108,TRADUZIONI,DATI!$C$2-1,0)</f>
        <v>QUADRO A</v>
      </c>
      <c r="D4" s="215"/>
      <c r="E4" s="2197" t="str">
        <f>+VLOOKUP(109,TRADUZIONI,DATI!$C$2-1,0)</f>
        <v>DATI ORDINE</v>
      </c>
      <c r="F4" s="2197"/>
      <c r="G4" s="2197"/>
      <c r="H4" s="2197"/>
      <c r="I4" s="2197"/>
      <c r="J4" s="2197"/>
      <c r="K4" s="2197"/>
      <c r="L4" s="2197"/>
      <c r="M4" s="2197"/>
      <c r="N4" s="2197"/>
      <c r="O4" s="2197"/>
      <c r="P4" s="216"/>
      <c r="Q4" s="215"/>
      <c r="R4" s="215"/>
      <c r="S4" s="215"/>
      <c r="T4" s="215"/>
      <c r="U4" s="215"/>
      <c r="V4" s="217"/>
    </row>
    <row r="5" spans="1:22" ht="18">
      <c r="A5" s="6"/>
      <c r="B5" s="98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100"/>
    </row>
    <row r="6" spans="1:22" ht="30.75">
      <c r="A6" s="6"/>
      <c r="B6" s="98"/>
      <c r="C6" s="1432" t="str">
        <f>+VLOOKUP(22,TRADUZIONI,DATI!C2-1,0)</f>
        <v>CLIENTE</v>
      </c>
      <c r="D6" s="2198">
        <f>+DATI!C6</f>
        <v>0</v>
      </c>
      <c r="E6" s="2198"/>
      <c r="F6" s="2198"/>
      <c r="G6" s="2198"/>
      <c r="H6" s="101"/>
      <c r="I6" s="101"/>
      <c r="J6" s="101"/>
      <c r="K6" s="102"/>
      <c r="L6" s="103"/>
      <c r="M6" s="104"/>
      <c r="N6" s="2242" t="str">
        <f>+VLOOKUP(115,TRADUZIONI,DATI!C2-1,0)</f>
        <v xml:space="preserve">DIMENSIONI </v>
      </c>
      <c r="O6" s="2243"/>
      <c r="P6" s="14" t="str">
        <f>+VLOOKUP(96,TRADUZIONI,DATI!C2-1,0)</f>
        <v>BASE</v>
      </c>
      <c r="Q6" s="19"/>
      <c r="R6" s="2213" t="str">
        <f>+VLOOKUP(97,TRADUZIONI,DATI!C2-1,0)</f>
        <v>ALTEZZA</v>
      </c>
      <c r="S6" s="2229"/>
      <c r="T6" s="99"/>
      <c r="U6" s="99"/>
      <c r="V6" s="100"/>
    </row>
    <row r="7" spans="1:22" ht="29.25" customHeight="1">
      <c r="A7" s="6"/>
      <c r="B7" s="98"/>
      <c r="C7" s="99"/>
      <c r="D7" s="99" t="s">
        <v>37</v>
      </c>
      <c r="E7" s="99"/>
      <c r="F7" s="99"/>
      <c r="G7" s="99"/>
      <c r="H7" s="99"/>
      <c r="I7" s="99"/>
      <c r="J7" s="99"/>
      <c r="K7" s="99"/>
      <c r="L7" s="103"/>
      <c r="M7" s="104"/>
      <c r="N7" s="2244"/>
      <c r="O7" s="2245"/>
      <c r="P7" s="23">
        <f>+DATI!C7</f>
        <v>1400</v>
      </c>
      <c r="Q7" s="24" t="s">
        <v>44</v>
      </c>
      <c r="R7" s="2246">
        <f>+DATI!C8</f>
        <v>2200</v>
      </c>
      <c r="S7" s="2247"/>
      <c r="T7" s="99"/>
      <c r="U7" s="99"/>
      <c r="V7" s="100"/>
    </row>
    <row r="8" spans="1:22" ht="30.75">
      <c r="A8" s="6"/>
      <c r="B8" s="98"/>
      <c r="C8" s="14" t="str">
        <f>+VLOOKUP(23,TRADUZIONI,DATI!C2-1,0)</f>
        <v>NUM. ORDINE</v>
      </c>
      <c r="D8" s="105">
        <f>+DATI!C4</f>
        <v>0</v>
      </c>
      <c r="E8" s="105"/>
      <c r="F8" s="105"/>
      <c r="G8" s="105"/>
      <c r="H8" s="101"/>
      <c r="I8" s="101"/>
      <c r="J8" s="101"/>
      <c r="K8" s="102"/>
      <c r="L8" s="103"/>
      <c r="M8" s="104"/>
      <c r="N8" s="99"/>
      <c r="O8" s="99"/>
      <c r="P8" s="99"/>
      <c r="Q8" s="99"/>
      <c r="R8" s="106"/>
      <c r="S8" s="99"/>
      <c r="T8" s="99"/>
      <c r="U8" s="99"/>
      <c r="V8" s="100"/>
    </row>
    <row r="9" spans="1:22" ht="30.75">
      <c r="A9" s="6"/>
      <c r="B9" s="98"/>
      <c r="C9" s="99"/>
      <c r="D9" s="99"/>
      <c r="E9" s="99"/>
      <c r="F9" s="99"/>
      <c r="G9" s="99"/>
      <c r="H9" s="99"/>
      <c r="I9" s="99"/>
      <c r="J9" s="99"/>
      <c r="K9" s="99"/>
      <c r="L9" s="103"/>
      <c r="M9" s="104"/>
      <c r="N9" s="2212" t="str">
        <f>+VLOOKUP(99,TRADUZIONI,DATI!C2-1,0)</f>
        <v>COLORE</v>
      </c>
      <c r="O9" s="2229"/>
      <c r="P9" s="2238" t="str">
        <f>+DATI!C10</f>
        <v>06.NERO</v>
      </c>
      <c r="Q9" s="2203"/>
      <c r="R9" s="2203"/>
      <c r="S9" s="2204"/>
      <c r="T9" s="99"/>
      <c r="U9" s="99"/>
      <c r="V9" s="100"/>
    </row>
    <row r="10" spans="1:22" ht="30.75">
      <c r="A10" s="6"/>
      <c r="B10" s="98"/>
      <c r="C10" s="1447" t="str">
        <f>+VLOOKUP(5,TRADUZIONI,DATI!C2-1,0)</f>
        <v>DATA SPEDIZIONE</v>
      </c>
      <c r="D10" s="101"/>
      <c r="E10" s="1446"/>
      <c r="F10" s="2253">
        <f>+DATI!C5</f>
        <v>42370</v>
      </c>
      <c r="G10" s="2253"/>
      <c r="H10" s="101"/>
      <c r="I10" s="101"/>
      <c r="J10" s="101"/>
      <c r="K10" s="102"/>
      <c r="L10" s="103"/>
      <c r="M10" s="104"/>
      <c r="N10" s="107"/>
      <c r="O10" s="99"/>
      <c r="P10" s="99"/>
      <c r="Q10" s="99"/>
      <c r="R10" s="99"/>
      <c r="S10" s="99"/>
      <c r="T10" s="99"/>
      <c r="U10" s="99"/>
      <c r="V10" s="100"/>
    </row>
    <row r="11" spans="1:22" ht="30.75">
      <c r="A11" s="6"/>
      <c r="B11" s="98"/>
      <c r="C11" s="99"/>
      <c r="D11" s="99"/>
      <c r="E11" s="99"/>
      <c r="F11" s="99"/>
      <c r="G11" s="99"/>
      <c r="H11" s="99"/>
      <c r="I11" s="99"/>
      <c r="J11" s="99"/>
      <c r="K11" s="99"/>
      <c r="L11" s="103"/>
      <c r="M11" s="104"/>
      <c r="N11" s="2232" t="str">
        <f>+VLOOKUP(78,TRADUZIONI,DATI!C2-1,0)</f>
        <v>PEZZI /PZ.</v>
      </c>
      <c r="O11" s="2239"/>
      <c r="P11" s="33" t="str">
        <f>+DATI!C11</f>
        <v>1</v>
      </c>
      <c r="Q11" s="99"/>
      <c r="R11" s="99"/>
      <c r="S11" s="99"/>
      <c r="T11" s="99"/>
      <c r="U11" s="99"/>
      <c r="V11" s="100"/>
    </row>
    <row r="12" spans="1:22" ht="30.75">
      <c r="A12" s="6"/>
      <c r="B12" s="98"/>
      <c r="C12" s="14" t="s">
        <v>49</v>
      </c>
      <c r="D12" s="34">
        <f>IF((P7*R7/1000000)&lt;=2,2*P11,IF((P7*R7/1000000)&gt;2,(P7*R7/1000000)*P11))</f>
        <v>3.08</v>
      </c>
      <c r="E12" s="99"/>
      <c r="F12" s="99"/>
      <c r="G12" s="99"/>
      <c r="H12" s="99"/>
      <c r="I12" s="99"/>
      <c r="J12" s="99"/>
      <c r="K12" s="99"/>
      <c r="L12" s="103"/>
      <c r="M12" s="104"/>
      <c r="N12" s="99"/>
      <c r="O12" s="99"/>
      <c r="P12" s="109" t="s">
        <v>37</v>
      </c>
      <c r="Q12" s="99"/>
      <c r="R12" s="99"/>
      <c r="S12" s="99"/>
      <c r="T12" s="110" t="s">
        <v>37</v>
      </c>
      <c r="U12" s="110"/>
      <c r="V12" s="100"/>
    </row>
    <row r="13" spans="1:22" ht="18.75" thickBot="1">
      <c r="A13" s="6"/>
      <c r="B13" s="98"/>
      <c r="C13" s="107"/>
      <c r="D13" s="99"/>
      <c r="E13" s="111"/>
      <c r="F13" s="112"/>
      <c r="G13" s="111"/>
      <c r="H13" s="113"/>
      <c r="I13" s="113"/>
      <c r="J13" s="113"/>
      <c r="K13" s="99"/>
      <c r="L13" s="99"/>
      <c r="M13" s="99"/>
      <c r="N13" s="99"/>
      <c r="O13" s="99"/>
      <c r="P13" s="99"/>
      <c r="Q13" s="99"/>
      <c r="R13" s="114"/>
      <c r="S13" s="99"/>
      <c r="T13" s="115" t="s">
        <v>37</v>
      </c>
      <c r="U13" s="115"/>
      <c r="V13" s="100"/>
    </row>
    <row r="14" spans="1:22" ht="44.25" customHeight="1">
      <c r="B14" s="220"/>
      <c r="C14" s="219" t="str">
        <f>+VLOOKUP(111,TRADUZIONI,DATI!$C$2-1,0)</f>
        <v>QUADRO B</v>
      </c>
      <c r="D14" s="2248" t="str">
        <f>+VLOOKUP(118,TRADUZIONI,DATI!$C$2-1,0)</f>
        <v>DIMENSIONE RETE E FORI</v>
      </c>
      <c r="E14" s="2248"/>
      <c r="F14" s="2248"/>
      <c r="G14" s="2248"/>
      <c r="H14" s="2248"/>
      <c r="I14" s="2248"/>
      <c r="J14" s="2248"/>
      <c r="K14" s="2248"/>
      <c r="L14" s="2249"/>
      <c r="M14" s="220"/>
      <c r="N14" s="219" t="str">
        <f>+VLOOKUP(138,TRADUZIONI,DATI!$C$2-1,0)</f>
        <v>QUADRO C</v>
      </c>
      <c r="O14" s="2250" t="str">
        <f>+VLOOKUP(117,TRADUZIONI,DATI!$C$2-1,0)</f>
        <v>LUNGHEZZA E NUM. CORDINI</v>
      </c>
      <c r="P14" s="2250"/>
      <c r="Q14" s="2250"/>
      <c r="R14" s="2250"/>
      <c r="S14" s="2250"/>
      <c r="T14" s="2250"/>
      <c r="U14" s="2250"/>
      <c r="V14" s="2251"/>
    </row>
    <row r="15" spans="1:22" ht="31.5" customHeight="1">
      <c r="B15" s="116"/>
      <c r="C15" s="99"/>
      <c r="D15" s="99"/>
      <c r="E15" s="99"/>
      <c r="F15" s="2298" t="e">
        <f>IF(DATI!E13="AUTOMATICA",CONCATENATE("*",DATI!E14,"-",REPT("0",4-LEN(F22)),F22,"*"),CONCATENATE("*",DATI!$L$14,REPT("0",3-LEN(D16)),D16,REPT("0",4-LEN(F22)),F22,DATI!L13,"*"))</f>
        <v>#VALUE!</v>
      </c>
      <c r="G15" s="2298"/>
      <c r="H15" s="2298"/>
      <c r="I15" s="2298"/>
      <c r="J15" s="2298"/>
      <c r="K15" s="133"/>
      <c r="L15" s="118"/>
      <c r="M15" s="98"/>
      <c r="N15" s="99"/>
      <c r="O15" s="99" t="s">
        <v>37</v>
      </c>
      <c r="P15" s="119" t="s">
        <v>37</v>
      </c>
      <c r="Q15" s="99"/>
      <c r="R15" s="99"/>
      <c r="S15" s="99"/>
      <c r="T15" s="120"/>
      <c r="U15" s="120"/>
      <c r="V15" s="100"/>
    </row>
    <row r="16" spans="1:22" ht="30.75" customHeight="1">
      <c r="B16" s="121"/>
      <c r="C16" s="122" t="str">
        <f>+VLOOKUP(19,TRADUZIONI,DATI!C2-1,0)</f>
        <v>PIEGHE</v>
      </c>
      <c r="D16" s="123">
        <f>ROUNDUP((P7-53)*0.036,0)</f>
        <v>49</v>
      </c>
      <c r="E16" s="99"/>
      <c r="F16" s="2298"/>
      <c r="G16" s="2298"/>
      <c r="H16" s="2298"/>
      <c r="I16" s="2298"/>
      <c r="J16" s="2298"/>
      <c r="K16" s="133"/>
      <c r="L16" s="124"/>
      <c r="M16" s="121"/>
      <c r="N16" s="125"/>
      <c r="O16" s="125"/>
      <c r="P16" s="2232" t="str">
        <f>+VLOOKUP(149,TRADUZIONI,DATI!C2-1,0)</f>
        <v>CORDINI</v>
      </c>
      <c r="Q16" s="2239"/>
      <c r="R16" s="126">
        <f>IF(R7&lt;=848,2,IF(R7&lt;=1708,4,IF(R7&lt;=2628,6,8)))</f>
        <v>6</v>
      </c>
      <c r="S16" s="120"/>
      <c r="T16" s="115"/>
      <c r="U16" s="115"/>
      <c r="V16" s="127"/>
    </row>
    <row r="17" spans="2:22" s="129" customFormat="1" ht="15" customHeight="1">
      <c r="B17" s="98"/>
      <c r="C17" s="99"/>
      <c r="D17" s="99"/>
      <c r="E17" s="99"/>
      <c r="F17" s="2298"/>
      <c r="G17" s="2298"/>
      <c r="H17" s="2298"/>
      <c r="I17" s="2298"/>
      <c r="J17" s="2298"/>
      <c r="K17" s="133"/>
      <c r="L17" s="99"/>
      <c r="M17" s="98"/>
      <c r="N17" s="99"/>
      <c r="O17" s="99"/>
      <c r="P17" s="99"/>
      <c r="Q17" s="128"/>
      <c r="R17" s="99"/>
      <c r="S17" s="99"/>
      <c r="T17" s="99"/>
      <c r="U17" s="99"/>
      <c r="V17" s="100"/>
    </row>
    <row r="18" spans="2:22" ht="49.5" customHeight="1">
      <c r="B18" s="98"/>
      <c r="C18" s="99"/>
      <c r="D18" s="109"/>
      <c r="E18" s="109"/>
      <c r="F18" s="2298"/>
      <c r="G18" s="2298"/>
      <c r="H18" s="2298"/>
      <c r="I18" s="2298"/>
      <c r="J18" s="2298"/>
      <c r="K18" s="133"/>
      <c r="L18" s="99"/>
      <c r="M18" s="98"/>
      <c r="N18" s="99"/>
      <c r="O18" s="99"/>
      <c r="P18" s="99"/>
      <c r="Q18" s="130"/>
      <c r="R18" s="99"/>
      <c r="S18" s="99"/>
      <c r="T18" s="99"/>
      <c r="U18" s="99"/>
      <c r="V18" s="100"/>
    </row>
    <row r="19" spans="2:22" ht="15" customHeight="1">
      <c r="B19" s="98"/>
      <c r="C19" s="99"/>
      <c r="D19" s="109"/>
      <c r="E19" s="109"/>
      <c r="F19" s="2298"/>
      <c r="G19" s="2298"/>
      <c r="H19" s="2298"/>
      <c r="I19" s="2298"/>
      <c r="J19" s="2298"/>
      <c r="K19" s="133"/>
      <c r="L19" s="99"/>
      <c r="M19" s="98"/>
      <c r="N19" s="99"/>
      <c r="O19" s="99"/>
      <c r="P19" s="131" t="s">
        <v>37</v>
      </c>
      <c r="Q19" s="99"/>
      <c r="R19" s="132" t="s">
        <v>37</v>
      </c>
      <c r="S19" s="99"/>
      <c r="T19" s="99"/>
      <c r="U19" s="99"/>
      <c r="V19" s="100"/>
    </row>
    <row r="20" spans="2:22">
      <c r="B20" s="98"/>
      <c r="C20" s="99"/>
      <c r="D20" s="109"/>
      <c r="E20" s="109"/>
      <c r="F20" s="2298"/>
      <c r="G20" s="2298"/>
      <c r="H20" s="2298"/>
      <c r="I20" s="2298"/>
      <c r="J20" s="2298"/>
      <c r="K20" s="133"/>
      <c r="L20" s="99"/>
      <c r="M20" s="134"/>
      <c r="N20" s="99"/>
      <c r="O20" s="99"/>
      <c r="P20" s="99"/>
      <c r="Q20" s="135"/>
      <c r="R20" s="135"/>
      <c r="S20" s="99"/>
      <c r="T20" s="107"/>
      <c r="U20" s="107"/>
      <c r="V20" s="100"/>
    </row>
    <row r="21" spans="2:22">
      <c r="B21" s="98"/>
      <c r="C21" s="99"/>
      <c r="D21" s="109"/>
      <c r="E21" s="99"/>
      <c r="F21" s="119" t="s">
        <v>37</v>
      </c>
      <c r="G21" s="99"/>
      <c r="H21" s="136"/>
      <c r="I21" s="136"/>
      <c r="J21" s="136"/>
      <c r="K21" s="109" t="s">
        <v>37</v>
      </c>
      <c r="L21" s="99"/>
      <c r="M21" s="134"/>
      <c r="N21" s="99"/>
      <c r="O21" s="99"/>
      <c r="P21" s="99"/>
      <c r="Q21" s="99"/>
      <c r="R21" s="128"/>
      <c r="S21" s="99"/>
      <c r="T21" s="135"/>
      <c r="U21" s="135"/>
      <c r="V21" s="100"/>
    </row>
    <row r="22" spans="2:22" ht="30.75">
      <c r="B22" s="98"/>
      <c r="C22" s="2212" t="str">
        <f>CONCATENATE(VLOOKUP(116,TRADUZIONI,DATI!C2-1,0),"(",VLOOKUP(97,TRADUZIONI,DATI!C2-1,0),"-28)")</f>
        <v>TAGLIO RETE(ALTEZZA-28)</v>
      </c>
      <c r="D22" s="2213"/>
      <c r="E22" s="2213"/>
      <c r="F22" s="65">
        <f>+R7-28</f>
        <v>2172</v>
      </c>
      <c r="G22" s="66"/>
      <c r="H22" s="26"/>
      <c r="I22" s="26"/>
      <c r="J22" s="26"/>
      <c r="K22" s="25"/>
      <c r="L22" s="99"/>
      <c r="M22" s="134"/>
      <c r="N22" s="99"/>
      <c r="O22" s="99"/>
      <c r="P22" s="136" t="s">
        <v>37</v>
      </c>
      <c r="Q22" s="99" t="s">
        <v>37</v>
      </c>
      <c r="R22" s="99"/>
      <c r="S22" s="99"/>
      <c r="T22" s="130"/>
      <c r="U22" s="130"/>
      <c r="V22" s="100"/>
    </row>
    <row r="23" spans="2:22">
      <c r="B23" s="98"/>
      <c r="C23" s="99"/>
      <c r="D23" s="109"/>
      <c r="E23" s="99"/>
      <c r="F23" s="119"/>
      <c r="G23" s="120"/>
      <c r="H23" s="136"/>
      <c r="I23" s="136"/>
      <c r="J23" s="136"/>
      <c r="K23" s="109"/>
      <c r="L23" s="99"/>
      <c r="M23" s="134"/>
      <c r="N23" s="99"/>
      <c r="O23" s="99"/>
      <c r="P23" s="136"/>
      <c r="Q23" s="99"/>
      <c r="R23" s="99"/>
      <c r="S23" s="99"/>
      <c r="T23" s="130"/>
      <c r="U23" s="130"/>
      <c r="V23" s="100"/>
    </row>
    <row r="24" spans="2:22">
      <c r="B24" s="98"/>
      <c r="C24" s="99"/>
      <c r="D24" s="109"/>
      <c r="E24" s="99"/>
      <c r="F24" s="119"/>
      <c r="G24" s="120"/>
      <c r="H24" s="136"/>
      <c r="I24" s="136"/>
      <c r="J24" s="136"/>
      <c r="K24" s="109"/>
      <c r="L24" s="99"/>
      <c r="M24" s="134"/>
      <c r="N24" s="99"/>
      <c r="O24" s="99"/>
      <c r="P24" s="136"/>
      <c r="Q24" s="99"/>
      <c r="R24" s="99"/>
      <c r="S24" s="99"/>
      <c r="T24" s="130"/>
      <c r="U24" s="130"/>
      <c r="V24" s="100"/>
    </row>
    <row r="25" spans="2:22">
      <c r="B25" s="98"/>
      <c r="C25" s="99"/>
      <c r="D25" s="109"/>
      <c r="E25" s="99"/>
      <c r="F25" s="119"/>
      <c r="G25" s="120"/>
      <c r="H25" s="136"/>
      <c r="I25" s="136"/>
      <c r="J25" s="136"/>
      <c r="K25" s="109"/>
      <c r="L25" s="99"/>
      <c r="M25" s="98"/>
      <c r="N25" s="99"/>
      <c r="O25" s="99"/>
      <c r="P25" s="136"/>
      <c r="Q25" s="99"/>
      <c r="R25" s="99"/>
      <c r="S25" s="99"/>
      <c r="T25" s="130"/>
      <c r="U25" s="130"/>
      <c r="V25" s="100"/>
    </row>
    <row r="26" spans="2:22">
      <c r="B26" s="98"/>
      <c r="C26" s="99"/>
      <c r="D26" s="109"/>
      <c r="E26" s="99"/>
      <c r="F26" s="119"/>
      <c r="G26" s="120"/>
      <c r="H26" s="136"/>
      <c r="I26" s="136"/>
      <c r="J26" s="136"/>
      <c r="K26" s="109"/>
      <c r="L26" s="99"/>
      <c r="M26" s="98"/>
      <c r="N26" s="99"/>
      <c r="O26" s="99"/>
      <c r="P26" s="99"/>
      <c r="Q26" s="99"/>
      <c r="R26" s="99"/>
      <c r="S26" s="109"/>
      <c r="T26" s="99"/>
      <c r="U26" s="99"/>
      <c r="V26" s="100"/>
    </row>
    <row r="27" spans="2:22" ht="30.75">
      <c r="B27" s="98"/>
      <c r="C27" s="69">
        <v>290</v>
      </c>
      <c r="D27" s="109"/>
      <c r="E27" s="99"/>
      <c r="F27" s="119"/>
      <c r="G27" s="120"/>
      <c r="H27" s="136"/>
      <c r="I27" s="136"/>
      <c r="J27" s="136"/>
      <c r="K27" s="109"/>
      <c r="L27" s="99"/>
      <c r="M27" s="98"/>
      <c r="N27" s="99"/>
      <c r="O27" s="99"/>
      <c r="P27" s="99"/>
      <c r="Q27" s="99"/>
      <c r="R27" s="99"/>
      <c r="S27" s="99"/>
      <c r="T27" s="99"/>
      <c r="U27" s="99"/>
      <c r="V27" s="100"/>
    </row>
    <row r="28" spans="2:22" ht="36" customHeight="1">
      <c r="B28" s="98"/>
      <c r="C28" s="16">
        <f>+C27+H40</f>
        <v>658</v>
      </c>
      <c r="D28" s="109"/>
      <c r="E28" s="99"/>
      <c r="F28" s="119"/>
      <c r="G28" s="120"/>
      <c r="H28" s="136"/>
      <c r="I28" s="136"/>
      <c r="J28" s="136"/>
      <c r="K28" s="109"/>
      <c r="L28" s="99"/>
      <c r="M28" s="98"/>
      <c r="N28" s="99"/>
      <c r="O28" s="99"/>
      <c r="P28" s="136" t="s">
        <v>37</v>
      </c>
      <c r="Q28" s="99"/>
      <c r="R28" s="99"/>
      <c r="S28" s="109"/>
      <c r="T28" s="99"/>
      <c r="U28" s="99"/>
      <c r="V28" s="100"/>
    </row>
    <row r="29" spans="2:22" ht="36" customHeight="1">
      <c r="B29" s="98"/>
      <c r="C29" s="99"/>
      <c r="D29" s="70">
        <f>IF(R16&gt;2,C28+H40,"")</f>
        <v>1026</v>
      </c>
      <c r="E29" s="99"/>
      <c r="F29" s="119"/>
      <c r="G29" s="120"/>
      <c r="H29" s="136"/>
      <c r="I29" s="136"/>
      <c r="J29" s="136"/>
      <c r="K29" s="109"/>
      <c r="L29" s="99"/>
      <c r="M29" s="98"/>
      <c r="N29" s="99"/>
      <c r="O29" s="99"/>
      <c r="P29" s="99"/>
      <c r="Q29" s="99"/>
      <c r="R29" s="99"/>
      <c r="S29" s="99"/>
      <c r="T29" s="99"/>
      <c r="U29" s="99"/>
      <c r="V29" s="100"/>
    </row>
    <row r="30" spans="2:22" ht="36" customHeight="1">
      <c r="B30" s="98"/>
      <c r="C30" s="99"/>
      <c r="D30" s="109"/>
      <c r="E30" s="16">
        <f>IF(R16&gt;=4,D29+H40,"")</f>
        <v>1394</v>
      </c>
      <c r="F30" s="119"/>
      <c r="G30" s="120"/>
      <c r="H30" s="136"/>
      <c r="I30" s="136"/>
      <c r="J30" s="136"/>
      <c r="K30" s="109"/>
      <c r="L30" s="99"/>
      <c r="M30" s="98"/>
      <c r="N30" s="99"/>
      <c r="O30" s="99"/>
      <c r="P30" s="109" t="s">
        <v>37</v>
      </c>
      <c r="Q30" s="99"/>
      <c r="R30" s="99"/>
      <c r="S30" s="99"/>
      <c r="T30" s="99"/>
      <c r="U30" s="99"/>
      <c r="V30" s="100"/>
    </row>
    <row r="31" spans="2:22" ht="36" customHeight="1">
      <c r="B31" s="98"/>
      <c r="C31" s="99"/>
      <c r="D31" s="109"/>
      <c r="E31" s="99"/>
      <c r="F31" s="2215">
        <f>IF(R16&gt;=5,E30+H40,"")</f>
        <v>1762</v>
      </c>
      <c r="G31" s="2215"/>
      <c r="H31" s="136"/>
      <c r="I31" s="136"/>
      <c r="J31" s="136"/>
      <c r="K31" s="109"/>
      <c r="L31" s="99"/>
      <c r="M31" s="98"/>
      <c r="N31" s="99"/>
      <c r="O31" s="99"/>
      <c r="P31" s="99"/>
      <c r="Q31" s="99"/>
      <c r="R31" s="99"/>
      <c r="S31" s="99"/>
      <c r="T31" s="99"/>
      <c r="U31" s="99"/>
      <c r="V31" s="100"/>
    </row>
    <row r="32" spans="2:22" ht="36" customHeight="1">
      <c r="B32" s="98"/>
      <c r="C32" s="99"/>
      <c r="D32" s="109"/>
      <c r="E32" s="99"/>
      <c r="F32" s="119"/>
      <c r="G32" s="2292">
        <f>IF(R16&gt;=6,F31+H40,"")</f>
        <v>2130</v>
      </c>
      <c r="H32" s="2292"/>
      <c r="I32" s="136"/>
      <c r="J32" s="136"/>
      <c r="K32" s="109"/>
      <c r="L32" s="99"/>
      <c r="M32" s="98"/>
      <c r="N32" s="99"/>
      <c r="O32" s="99"/>
      <c r="P32" s="99"/>
      <c r="Q32" s="133"/>
      <c r="R32" s="99"/>
      <c r="S32" s="99"/>
      <c r="T32" s="99"/>
      <c r="U32" s="99"/>
      <c r="V32" s="100"/>
    </row>
    <row r="33" spans="2:27" ht="36" customHeight="1">
      <c r="B33" s="98"/>
      <c r="C33" s="99"/>
      <c r="D33" s="109"/>
      <c r="E33" s="99"/>
      <c r="F33" s="119"/>
      <c r="G33" s="120"/>
      <c r="H33" s="2275" t="str">
        <f>IF(R16&gt;=7,G32+H40,"")</f>
        <v/>
      </c>
      <c r="I33" s="2275"/>
      <c r="J33" s="136"/>
      <c r="K33" s="109"/>
      <c r="L33" s="99"/>
      <c r="M33" s="98"/>
      <c r="N33" s="99"/>
      <c r="O33" s="99"/>
      <c r="P33" s="99"/>
      <c r="Q33" s="99"/>
      <c r="R33" s="99"/>
      <c r="S33" s="99"/>
      <c r="T33" s="99"/>
      <c r="U33" s="99"/>
      <c r="V33" s="100"/>
    </row>
    <row r="34" spans="2:27" ht="36" customHeight="1">
      <c r="B34" s="98"/>
      <c r="C34" s="99"/>
      <c r="D34" s="109"/>
      <c r="E34" s="99"/>
      <c r="F34" s="119"/>
      <c r="G34" s="120"/>
      <c r="H34" s="136"/>
      <c r="I34" s="136"/>
      <c r="J34" s="2215" t="str">
        <f>IF(R16=8,H33+H40,"")</f>
        <v/>
      </c>
      <c r="K34" s="2215"/>
      <c r="L34" s="100"/>
      <c r="M34" s="99"/>
      <c r="N34" s="99"/>
      <c r="O34" s="205"/>
      <c r="P34" s="205"/>
      <c r="Q34" s="107"/>
      <c r="R34" s="99"/>
      <c r="S34" s="99"/>
      <c r="T34" s="99"/>
      <c r="U34" s="99"/>
      <c r="V34" s="100"/>
      <c r="Y34" s="1138" t="str">
        <f>+VLOOKUP(149,TRADUZIONI,DATI!C2-1,0)</f>
        <v>CORDINI</v>
      </c>
    </row>
    <row r="35" spans="2:27" ht="30.75" customHeight="1">
      <c r="B35" s="98"/>
      <c r="C35" s="99"/>
      <c r="D35" s="109"/>
      <c r="E35" s="99"/>
      <c r="F35" s="119"/>
      <c r="G35" s="120"/>
      <c r="H35" s="136"/>
      <c r="I35" s="136"/>
      <c r="J35" s="136"/>
      <c r="K35" s="109"/>
      <c r="L35" s="100"/>
      <c r="M35" s="99"/>
      <c r="N35" s="206" t="str">
        <f>CONCATENATE($Z$35," 2 ",$AA$35,"      ",TEXT(CEILING(ROUNDUP(P7+(F22-40)+500,-1),10),0))</f>
        <v>Nr. Cord 2 LUNGHEZZA      4040</v>
      </c>
      <c r="O35" s="208"/>
      <c r="P35" s="208"/>
      <c r="Q35" s="107"/>
      <c r="R35" s="99"/>
      <c r="S35" s="99"/>
      <c r="T35" s="99"/>
      <c r="U35" s="99"/>
      <c r="V35" s="100"/>
      <c r="X35" s="97">
        <v>2</v>
      </c>
      <c r="Y35" s="1140">
        <f>(ROUNDUP(P7+(F22-40)+500,-1))</f>
        <v>4040</v>
      </c>
      <c r="Z35" s="97" t="str">
        <f>+VLOOKUP(144,TRADUZIONI,DATI!$C$2-1,0)</f>
        <v>Nr. Cord</v>
      </c>
      <c r="AA35" s="97" t="str">
        <f>+VLOOKUP(60,TRADUZIONI,DATI!$C$2-1,0)</f>
        <v>LUNGHEZZA</v>
      </c>
    </row>
    <row r="36" spans="2:27" ht="30.75" customHeight="1">
      <c r="B36" s="98"/>
      <c r="C36" s="2242" t="str">
        <f>+VLOOKUP(154,TRADUZIONI,DATI!$C$2-1,0)</f>
        <v>ATTENZIONE</v>
      </c>
      <c r="D36" s="2293"/>
      <c r="E36" s="2293"/>
      <c r="F36" s="2293"/>
      <c r="G36" s="2293"/>
      <c r="H36" s="2293"/>
      <c r="I36" s="2243"/>
      <c r="J36" s="136"/>
      <c r="K36" s="109"/>
      <c r="L36" s="100"/>
      <c r="M36" s="207"/>
      <c r="N36" s="206" t="str">
        <f>IF(R16&lt;=2,"NO",CONCATENATE(Z35," ",IF(OR(R16=0,R16=2),"0",IF(R16&gt;2,"2",))," ",AA35,"      ",TEXT(CEILING(ROUNDUP(P7+(H40+40)+500,-1),10),"0")))</f>
        <v>Nr. Cord 2 LUNGHEZZA      2310</v>
      </c>
      <c r="O36" s="208"/>
      <c r="P36" s="208"/>
      <c r="Q36" s="139"/>
      <c r="R36" s="99"/>
      <c r="S36" s="99"/>
      <c r="T36" s="99"/>
      <c r="U36" s="99"/>
      <c r="V36" s="100"/>
      <c r="X36" s="97">
        <v>4</v>
      </c>
      <c r="Y36" s="1139">
        <f>IF(R16&lt;=2,0,(ROUNDUP(P7+(H40+40)+500,-1)))</f>
        <v>2310</v>
      </c>
    </row>
    <row r="37" spans="2:27" ht="36" customHeight="1">
      <c r="B37" s="98"/>
      <c r="C37" s="2294" t="str">
        <f>+VLOOKUP(127,TRADUZIONI,DATI!$C$2-1,0)</f>
        <v>SCANTONARE LA  RETE DI  3 MM  LATO INFERIORE</v>
      </c>
      <c r="D37" s="2295"/>
      <c r="E37" s="2295"/>
      <c r="F37" s="2295"/>
      <c r="G37" s="2295"/>
      <c r="H37" s="2295"/>
      <c r="I37" s="2296"/>
      <c r="J37" s="99"/>
      <c r="K37" s="99"/>
      <c r="L37" s="100"/>
      <c r="M37" s="209"/>
      <c r="N37" s="210" t="str">
        <f>IF(R16&lt;=4,"NO",CONCATENATE(Z35,IF(R16&lt;=4,"0"," 2")," ",AA35,"      ",TEXT(CEILING(ROUNDUP(P7+(2*H40+40)+500,-1),10),"0")))</f>
        <v>Nr. Cord 2 LUNGHEZZA      2680</v>
      </c>
      <c r="O37" s="210"/>
      <c r="P37" s="210"/>
      <c r="Q37" s="119"/>
      <c r="R37" s="107"/>
      <c r="S37" s="109"/>
      <c r="T37" s="99"/>
      <c r="U37" s="99"/>
      <c r="V37" s="141"/>
      <c r="X37" s="97">
        <v>6</v>
      </c>
      <c r="Y37" s="1139">
        <f>IF(R16&lt;=4,0,ROUNDUP(P7+(2*H40+40)+500,-1))</f>
        <v>2680</v>
      </c>
    </row>
    <row r="38" spans="2:27" ht="33" customHeight="1">
      <c r="B38" s="98"/>
      <c r="C38" s="2244"/>
      <c r="D38" s="2297"/>
      <c r="E38" s="2297"/>
      <c r="F38" s="2297"/>
      <c r="G38" s="2297"/>
      <c r="H38" s="2297"/>
      <c r="I38" s="2245"/>
      <c r="J38" s="99"/>
      <c r="K38" s="99"/>
      <c r="L38" s="100"/>
      <c r="M38" s="209"/>
      <c r="N38" s="210" t="str">
        <f>IF(R16&lt;=6,"",CONCATENATE(Z35," ",IF(R16&lt;=6,"","2")," ",AA35,"      ",TEXT(CEILING(ROUNDUP(P7+(3*H40+40)+500,-1),10),"0")))</f>
        <v/>
      </c>
      <c r="O38" s="208"/>
      <c r="P38" s="210"/>
      <c r="Q38" s="119"/>
      <c r="R38" s="107"/>
      <c r="S38" s="109"/>
      <c r="T38" s="99"/>
      <c r="U38" s="99"/>
      <c r="V38" s="141"/>
      <c r="X38" s="97">
        <v>8</v>
      </c>
      <c r="Y38" s="1139">
        <f>IF(R16&lt;=6,0,ROUNDUP(P7+(3*H40+40)+500,-1))</f>
        <v>0</v>
      </c>
    </row>
    <row r="39" spans="2:27" ht="21.75" customHeight="1">
      <c r="B39" s="98"/>
      <c r="C39" s="99"/>
      <c r="D39" s="99"/>
      <c r="E39" s="99"/>
      <c r="F39" s="99"/>
      <c r="G39" s="99"/>
      <c r="H39" s="99"/>
      <c r="I39" s="99"/>
      <c r="J39" s="99"/>
      <c r="K39" s="99"/>
      <c r="L39" s="100"/>
      <c r="M39" s="140"/>
      <c r="N39" s="107"/>
      <c r="O39" s="211"/>
      <c r="P39" s="211"/>
      <c r="Q39" s="119"/>
      <c r="R39" s="107"/>
      <c r="S39" s="109"/>
      <c r="T39" s="99"/>
      <c r="U39" s="99"/>
      <c r="V39" s="141"/>
    </row>
    <row r="40" spans="2:27" ht="28.5">
      <c r="B40" s="98"/>
      <c r="C40" s="2299" t="str">
        <f>+VLOOKUP(41,TRADUZIONI,DATI!$C$2-1,0)</f>
        <v>DIST.STD TRA FORI RETE</v>
      </c>
      <c r="D40" s="2300"/>
      <c r="E40" s="2300"/>
      <c r="F40" s="2300"/>
      <c r="G40" s="2300"/>
      <c r="H40" s="74">
        <f>ROUND((+F22-330)/(R16-1),0)</f>
        <v>368</v>
      </c>
      <c r="I40" s="1438"/>
      <c r="J40" s="1438"/>
      <c r="K40" s="1439"/>
      <c r="L40" s="100"/>
      <c r="M40" s="2258" t="str">
        <f>+VLOOKUP(128,TRADUZIONI,DATI!$C$2-1,0)</f>
        <v>INFILARE I CORDINI SENZA TAGLIARLI</v>
      </c>
      <c r="N40" s="2259"/>
      <c r="O40" s="2259"/>
      <c r="P40" s="2259"/>
      <c r="Q40" s="2259"/>
      <c r="R40" s="2259"/>
      <c r="S40" s="2259"/>
      <c r="T40" s="2259"/>
      <c r="U40" s="2259"/>
      <c r="V40" s="2260"/>
    </row>
    <row r="41" spans="2:27" ht="28.5">
      <c r="B41" s="98"/>
      <c r="C41" s="142"/>
      <c r="D41" s="143"/>
      <c r="E41" s="143"/>
      <c r="F41" s="22"/>
      <c r="G41" s="144"/>
      <c r="H41" s="144"/>
      <c r="I41" s="144"/>
      <c r="J41" s="144"/>
      <c r="K41" s="144"/>
      <c r="L41" s="99"/>
      <c r="M41" s="2258" t="str">
        <f>+VLOOKUP(122,TRADUZIONI,DATI!$C$2-1,0)</f>
        <v>ALLUMINIO E SPAZZOLINO</v>
      </c>
      <c r="N41" s="2259"/>
      <c r="O41" s="2259"/>
      <c r="P41" s="2259"/>
      <c r="Q41" s="2259"/>
      <c r="R41" s="2259"/>
      <c r="S41" s="2259"/>
      <c r="T41" s="2259"/>
      <c r="U41" s="2259"/>
      <c r="V41" s="2260"/>
    </row>
    <row r="42" spans="2:27" ht="15.75" thickBot="1">
      <c r="B42" s="145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45"/>
      <c r="N42" s="146"/>
      <c r="O42" s="114"/>
      <c r="P42" s="114"/>
      <c r="Q42" s="114"/>
      <c r="R42" s="114"/>
      <c r="S42" s="114"/>
      <c r="T42" s="147"/>
      <c r="U42" s="147"/>
      <c r="V42" s="148"/>
    </row>
    <row r="43" spans="2:27" ht="44.25" customHeight="1">
      <c r="B43" s="220"/>
      <c r="C43" s="219" t="str">
        <f>+VLOOKUP(139,TRADUZIONI,DATI!$C$2-1,0)</f>
        <v>QUADRO D</v>
      </c>
      <c r="D43" s="2248" t="str">
        <f>+VLOOKUP(113,TRADUZIONI,DATI!$C$2-1,0)</f>
        <v>CONTROLLO CORDINI - POST ASSEMBLAGGIO</v>
      </c>
      <c r="E43" s="2248"/>
      <c r="F43" s="2248"/>
      <c r="G43" s="2248"/>
      <c r="H43" s="2248"/>
      <c r="I43" s="2248"/>
      <c r="J43" s="2248"/>
      <c r="K43" s="2248"/>
      <c r="L43" s="2249"/>
      <c r="M43" s="220"/>
      <c r="N43" s="219" t="str">
        <f>+VLOOKUP(140,TRADUZIONI,DATI!$C$2-1,0)</f>
        <v>QUADRO E</v>
      </c>
      <c r="O43" s="2250" t="str">
        <f>+VLOOKUP(122,TRADUZIONI,DATI!$C$2-1,0)</f>
        <v>ALLUMINIO E SPAZZOLINO</v>
      </c>
      <c r="P43" s="2250"/>
      <c r="Q43" s="2250"/>
      <c r="R43" s="2250"/>
      <c r="S43" s="2250"/>
      <c r="T43" s="2250"/>
      <c r="U43" s="2250"/>
      <c r="V43" s="2251"/>
    </row>
    <row r="44" spans="2:27" ht="31.5" customHeight="1">
      <c r="B44" s="149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13"/>
      <c r="N44" s="17"/>
      <c r="O44" s="17"/>
      <c r="P44" s="17"/>
      <c r="Q44" s="17"/>
      <c r="R44" s="99"/>
      <c r="S44" s="113"/>
      <c r="T44" s="113"/>
      <c r="U44" s="113"/>
      <c r="V44" s="21"/>
    </row>
    <row r="45" spans="2:27" ht="27.75">
      <c r="B45" s="149"/>
      <c r="C45" s="150"/>
      <c r="D45" s="150"/>
      <c r="E45" s="150"/>
      <c r="F45" s="150"/>
      <c r="G45" s="151" t="str">
        <f>+VLOOKUP(152,TRADUZIONI,DATI!$C$2-1,0)</f>
        <v>LUNG. Min. CORDINO</v>
      </c>
      <c r="H45" s="150"/>
      <c r="I45" s="150"/>
      <c r="J45" s="150"/>
      <c r="K45" s="150"/>
      <c r="L45" s="150"/>
      <c r="M45" s="13"/>
      <c r="N45" s="2222" t="str">
        <f>+VLOOKUP(153,TRADUZIONI,DATI!$C$2-1,0)</f>
        <v>BARRA SCORREVOLE</v>
      </c>
      <c r="O45" s="2223"/>
      <c r="P45" s="2223"/>
      <c r="Q45" s="2223"/>
      <c r="R45" s="2223"/>
      <c r="S45" s="2223"/>
      <c r="T45" s="2224"/>
      <c r="U45" s="212"/>
      <c r="V45" s="21"/>
    </row>
    <row r="46" spans="2:27" ht="31.5" customHeight="1">
      <c r="B46" s="149"/>
      <c r="C46" s="152" t="str">
        <f>+VLOOKUP(96,TRADUZIONI,DATI!$C$2-1,0)</f>
        <v>BASE</v>
      </c>
      <c r="D46" s="153">
        <f>+P7</f>
        <v>1400</v>
      </c>
      <c r="E46" s="154" t="s">
        <v>129</v>
      </c>
      <c r="F46" s="154" t="s">
        <v>89</v>
      </c>
      <c r="G46" s="155">
        <f>+D46+E46</f>
        <v>1850</v>
      </c>
      <c r="H46" s="156"/>
      <c r="I46" s="150"/>
      <c r="J46" s="150"/>
      <c r="K46" s="150"/>
      <c r="L46" s="150"/>
      <c r="M46" s="13"/>
      <c r="N46" s="17"/>
      <c r="O46" s="17"/>
      <c r="P46" s="17"/>
      <c r="Q46" s="17"/>
      <c r="R46" s="99"/>
      <c r="S46" s="113"/>
      <c r="T46" s="113"/>
      <c r="U46" s="113"/>
      <c r="V46" s="21"/>
    </row>
    <row r="47" spans="2:27" ht="31.5" thickBot="1">
      <c r="B47" s="149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77"/>
      <c r="N47" s="56" t="str">
        <f>+VLOOKUP(78,TRADUZIONI,DATI!C2-1,0)</f>
        <v>PEZZI /PZ.</v>
      </c>
      <c r="O47" s="157">
        <f>1*P11</f>
        <v>1</v>
      </c>
      <c r="P47" s="113"/>
      <c r="Q47" s="113"/>
      <c r="R47" s="99"/>
      <c r="S47" s="113"/>
      <c r="T47" s="113"/>
      <c r="U47" s="113"/>
      <c r="V47" s="12"/>
    </row>
    <row r="48" spans="2:27" ht="18.75">
      <c r="B48" s="221"/>
      <c r="C48" s="222"/>
      <c r="D48" s="222"/>
      <c r="E48" s="222"/>
      <c r="F48" s="222"/>
      <c r="G48" s="222"/>
      <c r="H48" s="222"/>
      <c r="I48" s="222"/>
      <c r="J48" s="222"/>
      <c r="K48" s="222"/>
      <c r="L48" s="223"/>
      <c r="M48" s="13"/>
      <c r="N48" s="17"/>
      <c r="O48" s="17"/>
      <c r="P48" s="17"/>
      <c r="Q48" s="17"/>
      <c r="R48" s="99"/>
      <c r="S48" s="113"/>
      <c r="T48" s="113"/>
      <c r="U48" s="113"/>
      <c r="V48" s="21"/>
    </row>
    <row r="49" spans="2:22" ht="30.75">
      <c r="B49" s="224"/>
      <c r="C49" s="2261" t="str">
        <f>+IF(DATI!$C$12=1,"",VLOOKUP(38,TRADUZIONI,DATI!$C$2-1,0))</f>
        <v>RETE GRIGIA</v>
      </c>
      <c r="D49" s="2261"/>
      <c r="E49" s="2261"/>
      <c r="F49" s="2261"/>
      <c r="G49" s="2261"/>
      <c r="H49" s="2261"/>
      <c r="I49" s="2261"/>
      <c r="J49" s="2261"/>
      <c r="K49" s="225"/>
      <c r="L49" s="225"/>
      <c r="M49" s="81"/>
      <c r="N49" s="56" t="str">
        <f>+VLOOKUP(129,TRADUZIONI,DATI!$C$2-1,0)&amp;"- 28) ="</f>
        <v>LUNGH. (ALTEZZA- 28) =</v>
      </c>
      <c r="O49" s="158"/>
      <c r="P49" s="101"/>
      <c r="Q49" s="101"/>
      <c r="R49" s="2227">
        <f>+R7-28</f>
        <v>2172</v>
      </c>
      <c r="S49" s="2228"/>
      <c r="T49" s="113"/>
      <c r="U49" s="113"/>
      <c r="V49" s="82"/>
    </row>
    <row r="50" spans="2:22" ht="18.75" customHeight="1">
      <c r="B50" s="224"/>
      <c r="C50" s="2261"/>
      <c r="D50" s="2261"/>
      <c r="E50" s="2261"/>
      <c r="F50" s="2261"/>
      <c r="G50" s="2261"/>
      <c r="H50" s="2261"/>
      <c r="I50" s="2261"/>
      <c r="J50" s="2261"/>
      <c r="K50" s="225"/>
      <c r="L50" s="225"/>
      <c r="M50" s="13"/>
      <c r="N50" s="17"/>
      <c r="O50" s="17"/>
      <c r="P50" s="17"/>
      <c r="Q50" s="17"/>
      <c r="R50" s="99"/>
      <c r="S50" s="113"/>
      <c r="T50" s="113"/>
      <c r="U50" s="113"/>
      <c r="V50" s="21"/>
    </row>
    <row r="51" spans="2:22" ht="31.5" thickBot="1">
      <c r="B51" s="224"/>
      <c r="C51" s="225"/>
      <c r="D51" s="225"/>
      <c r="E51" s="225"/>
      <c r="F51" s="225"/>
      <c r="G51" s="225"/>
      <c r="H51" s="225"/>
      <c r="I51" s="225"/>
      <c r="J51" s="225"/>
      <c r="K51" s="225"/>
      <c r="L51" s="225"/>
      <c r="M51" s="13"/>
      <c r="N51" s="56" t="str">
        <f>+VLOOKUP(132,TRADUZIONI,DATI!$C$2-1,0)</f>
        <v>LUNG. MAGNETE</v>
      </c>
      <c r="O51" s="158"/>
      <c r="P51" s="101"/>
      <c r="Q51" s="101"/>
      <c r="R51" s="2227">
        <f>+R7-30</f>
        <v>2170</v>
      </c>
      <c r="S51" s="2228"/>
      <c r="T51" s="113"/>
      <c r="U51" s="113"/>
      <c r="V51" s="21"/>
    </row>
    <row r="52" spans="2:22" ht="44.25" customHeight="1">
      <c r="B52" s="220"/>
      <c r="C52" s="219" t="str">
        <f>+VLOOKUP(141,TRADUZIONI,DATI!$C$2-1,0)</f>
        <v>QUADRO F</v>
      </c>
      <c r="D52" s="2248" t="str">
        <f>+VLOOKUP(155,TRADUZIONI,DATI!$C$2-1,0)</f>
        <v>IMBALLO</v>
      </c>
      <c r="E52" s="2248"/>
      <c r="F52" s="2248"/>
      <c r="G52" s="2248"/>
      <c r="H52" s="2248"/>
      <c r="I52" s="2248"/>
      <c r="J52" s="2248"/>
      <c r="K52" s="2248"/>
      <c r="L52" s="2249"/>
      <c r="M52" s="13"/>
      <c r="N52" s="159"/>
      <c r="O52" s="159"/>
      <c r="P52" s="99"/>
      <c r="Q52" s="99"/>
      <c r="R52" s="16"/>
      <c r="S52" s="16"/>
      <c r="T52" s="113"/>
      <c r="U52" s="113"/>
      <c r="V52" s="21"/>
    </row>
    <row r="53" spans="2:22" ht="30.75">
      <c r="B53" s="98"/>
      <c r="C53" s="99"/>
      <c r="D53" s="99"/>
      <c r="E53" s="99"/>
      <c r="F53" s="99"/>
      <c r="G53" s="99"/>
      <c r="H53" s="99"/>
      <c r="I53" s="99"/>
      <c r="J53" s="99"/>
      <c r="K53" s="99"/>
      <c r="L53" s="100"/>
      <c r="M53" s="13"/>
      <c r="N53" s="159"/>
      <c r="O53" s="159"/>
      <c r="P53" s="99"/>
      <c r="Q53" s="99"/>
      <c r="R53" s="16"/>
      <c r="S53" s="16"/>
      <c r="T53" s="113"/>
      <c r="U53" s="113"/>
      <c r="V53" s="21"/>
    </row>
    <row r="54" spans="2:22" ht="28.5">
      <c r="B54" s="98"/>
      <c r="C54" s="165" t="str">
        <f>+VLOOKUP(69,TRADUZIONI,DATI!$C$2-1,0)</f>
        <v>IMBALLARE INSIEME</v>
      </c>
      <c r="D54" s="166"/>
      <c r="E54" s="167"/>
      <c r="F54" s="99"/>
      <c r="G54" s="168"/>
      <c r="H54" s="99"/>
      <c r="I54" s="99"/>
      <c r="J54" s="99"/>
      <c r="K54" s="99"/>
      <c r="L54" s="100"/>
      <c r="M54" s="84"/>
      <c r="N54" s="29"/>
      <c r="O54" s="29"/>
      <c r="P54" s="29"/>
      <c r="Q54" s="29"/>
      <c r="R54" s="29"/>
      <c r="S54" s="29"/>
      <c r="T54" s="29"/>
      <c r="U54" s="29"/>
      <c r="V54" s="85"/>
    </row>
    <row r="55" spans="2:22" ht="28.5">
      <c r="B55" s="98"/>
      <c r="C55" s="172"/>
      <c r="D55" s="173" t="str">
        <f>+VLOOKUP(125,TRADUZIONI,DATI!$C$2-1,0)</f>
        <v>GUIDA</v>
      </c>
      <c r="E55" s="99"/>
      <c r="F55" s="168"/>
      <c r="G55" s="168"/>
      <c r="H55" s="99"/>
      <c r="I55" s="99"/>
      <c r="J55" s="99"/>
      <c r="K55" s="99"/>
      <c r="L55" s="100"/>
      <c r="M55" s="13"/>
      <c r="N55" s="159"/>
      <c r="O55" s="113"/>
      <c r="P55" s="113"/>
      <c r="Q55" s="113"/>
      <c r="R55" s="113"/>
      <c r="S55" s="113"/>
      <c r="T55" s="113"/>
      <c r="U55" s="113"/>
      <c r="V55" s="21"/>
    </row>
    <row r="56" spans="2:22" ht="28.5">
      <c r="B56" s="98"/>
      <c r="C56" s="174"/>
      <c r="D56" s="173" t="str">
        <f>+VLOOKUP(72,TRADUZIONI,DATI!$C$2-1,0)</f>
        <v>SET ACCESSORI</v>
      </c>
      <c r="E56" s="99"/>
      <c r="F56" s="119"/>
      <c r="G56" s="107"/>
      <c r="H56" s="99"/>
      <c r="I56" s="99"/>
      <c r="J56" s="99"/>
      <c r="K56" s="99"/>
      <c r="L56" s="100"/>
      <c r="M56" s="99"/>
      <c r="N56" s="99"/>
      <c r="O56" s="99"/>
      <c r="P56" s="99"/>
      <c r="Q56" s="99"/>
      <c r="R56" s="99"/>
      <c r="S56" s="99"/>
      <c r="T56" s="99"/>
      <c r="U56" s="99"/>
      <c r="V56" s="100"/>
    </row>
    <row r="57" spans="2:22" ht="28.5">
      <c r="B57" s="98"/>
      <c r="C57" s="174"/>
      <c r="D57" s="173" t="str">
        <f>+VLOOKUP(123,TRADUZIONI,DATI!$C$2-1,0)</f>
        <v>Opuscolo gioconda</v>
      </c>
      <c r="E57" s="99"/>
      <c r="F57" s="119"/>
      <c r="G57" s="107"/>
      <c r="H57" s="99"/>
      <c r="I57" s="99"/>
      <c r="J57" s="99"/>
      <c r="K57" s="99"/>
      <c r="L57" s="100"/>
      <c r="M57" s="13"/>
      <c r="N57" s="17"/>
      <c r="O57" s="17"/>
      <c r="P57" s="17"/>
      <c r="Q57" s="17"/>
      <c r="R57" s="99"/>
      <c r="S57" s="113"/>
      <c r="T57" s="113"/>
      <c r="U57" s="113"/>
      <c r="V57" s="21"/>
    </row>
    <row r="58" spans="2:22" ht="27.75">
      <c r="B58" s="175"/>
      <c r="C58" s="176"/>
      <c r="D58" s="177"/>
      <c r="E58" s="177"/>
      <c r="F58" s="177"/>
      <c r="G58" s="177"/>
      <c r="H58" s="177"/>
      <c r="I58" s="177"/>
      <c r="J58" s="177"/>
      <c r="K58" s="177"/>
      <c r="L58" s="178"/>
      <c r="M58" s="13"/>
      <c r="N58" s="2222" t="str">
        <f>+VLOOKUP(157,TRADUZIONI,DATI!$C$2-1,0)</f>
        <v>CASSONETTO</v>
      </c>
      <c r="O58" s="2223"/>
      <c r="P58" s="2223"/>
      <c r="Q58" s="2223"/>
      <c r="R58" s="2223"/>
      <c r="S58" s="2223"/>
      <c r="T58" s="2224"/>
      <c r="U58" s="212"/>
      <c r="V58" s="21"/>
    </row>
    <row r="59" spans="2:22" ht="21">
      <c r="B59" s="179" t="s">
        <v>37</v>
      </c>
      <c r="C59" s="180"/>
      <c r="D59" s="180"/>
      <c r="E59" s="180"/>
      <c r="F59" s="180"/>
      <c r="G59" s="180"/>
      <c r="H59" s="180"/>
      <c r="I59" s="180"/>
      <c r="J59" s="180"/>
      <c r="K59" s="180"/>
      <c r="L59" s="181"/>
      <c r="M59" s="13"/>
      <c r="N59" s="17"/>
      <c r="O59" s="17"/>
      <c r="P59" s="17"/>
      <c r="Q59" s="17"/>
      <c r="R59" s="99"/>
      <c r="S59" s="113"/>
      <c r="T59" s="113"/>
      <c r="U59" s="113"/>
      <c r="V59" s="21"/>
    </row>
    <row r="60" spans="2:22" ht="30.75">
      <c r="B60" s="182" t="s">
        <v>37</v>
      </c>
      <c r="C60" s="183"/>
      <c r="D60" s="184" t="str">
        <f>+VLOOKUP(47,TRADUZIONI,DATI!$C$2-1,0)</f>
        <v xml:space="preserve">BIANCO </v>
      </c>
      <c r="E60" s="184" t="str">
        <f>+VLOOKUP(74,TRADUZIONI,DATI!$C$2-1,0)</f>
        <v>NEUTRO</v>
      </c>
      <c r="F60" s="2301" t="str">
        <f>+VLOOKUP(83,TRADUZIONI,DATI!$C$2-1,0)</f>
        <v>PERSONALIZZATO</v>
      </c>
      <c r="G60" s="2302"/>
      <c r="H60" s="183"/>
      <c r="I60" s="183"/>
      <c r="J60" s="183"/>
      <c r="K60" s="183"/>
      <c r="L60" s="185"/>
      <c r="M60" s="13"/>
      <c r="N60" s="78" t="str">
        <f>+VLOOKUP(78,TRADUZIONI,DATI!C2-1,0)</f>
        <v>PEZZI /PZ.</v>
      </c>
      <c r="O60" s="157">
        <f>1*P11</f>
        <v>1</v>
      </c>
      <c r="P60" s="80"/>
      <c r="Q60" s="80"/>
      <c r="R60" s="99"/>
      <c r="S60" s="113"/>
      <c r="T60" s="113"/>
      <c r="U60" s="113"/>
      <c r="V60" s="21"/>
    </row>
    <row r="61" spans="2:22" ht="21">
      <c r="B61" s="186"/>
      <c r="C61" s="183"/>
      <c r="D61" s="187" t="s">
        <v>44</v>
      </c>
      <c r="E61" s="188"/>
      <c r="F61" s="1443"/>
      <c r="G61" s="1442"/>
      <c r="H61" s="183"/>
      <c r="I61" s="183"/>
      <c r="J61" s="183"/>
      <c r="K61" s="183"/>
      <c r="L61" s="185"/>
      <c r="M61" s="13"/>
      <c r="N61" s="17"/>
      <c r="O61" s="17"/>
      <c r="P61" s="17"/>
      <c r="Q61" s="17"/>
      <c r="R61" s="99"/>
      <c r="S61" s="113"/>
      <c r="T61" s="113"/>
      <c r="U61" s="113"/>
      <c r="V61" s="21"/>
    </row>
    <row r="62" spans="2:22" ht="30.75">
      <c r="B62" s="190"/>
      <c r="C62" s="183"/>
      <c r="D62" s="191">
        <v>0.05</v>
      </c>
      <c r="E62" s="192">
        <v>0.17499999999999999</v>
      </c>
      <c r="F62" s="193" t="s">
        <v>102</v>
      </c>
      <c r="G62" s="192">
        <f>(S10+300)/1000</f>
        <v>0.3</v>
      </c>
      <c r="H62" s="183"/>
      <c r="I62" s="183"/>
      <c r="J62" s="183"/>
      <c r="K62" s="183"/>
      <c r="L62" s="185"/>
      <c r="M62" s="13"/>
      <c r="N62" s="56" t="str">
        <f>+VLOOKUP(129,TRADUZIONI,DATI!$C$2-1,0)&amp;"- 28) ="</f>
        <v>LUNGH. (ALTEZZA- 28) =</v>
      </c>
      <c r="O62" s="158"/>
      <c r="P62" s="158"/>
      <c r="Q62" s="158"/>
      <c r="R62" s="2227">
        <f>+R7-28</f>
        <v>2172</v>
      </c>
      <c r="S62" s="2228"/>
      <c r="T62" s="113"/>
      <c r="U62" s="113"/>
      <c r="V62" s="21"/>
    </row>
    <row r="63" spans="2:22" ht="21">
      <c r="B63" s="194"/>
      <c r="C63" s="183"/>
      <c r="D63" s="191" t="str">
        <f>+VLOOKUP(75,TRADUZIONI,DATI!$C$2-1,0)</f>
        <v>CONFEZIONE</v>
      </c>
      <c r="E63" s="191"/>
      <c r="F63" s="192">
        <f>Q14</f>
        <v>0</v>
      </c>
      <c r="G63" s="191" t="s">
        <v>104</v>
      </c>
      <c r="H63" s="183"/>
      <c r="I63" s="183"/>
      <c r="J63" s="183"/>
      <c r="K63" s="183"/>
      <c r="L63" s="185"/>
      <c r="M63" s="13"/>
      <c r="N63" s="17"/>
      <c r="O63" s="17"/>
      <c r="P63" s="17"/>
      <c r="Q63" s="17"/>
      <c r="R63" s="99"/>
      <c r="S63" s="113"/>
      <c r="T63" s="113"/>
      <c r="U63" s="113"/>
      <c r="V63" s="21"/>
    </row>
    <row r="64" spans="2:22" ht="30.75">
      <c r="B64" s="194"/>
      <c r="C64" s="183"/>
      <c r="D64" s="191" t="str">
        <f>+VLOOKUP(76,TRADUZIONI,DATI!$C$2-1,0)</f>
        <v>VOLUME</v>
      </c>
      <c r="E64" s="191"/>
      <c r="F64" s="1444">
        <f>(D62*E62*G62)*F63</f>
        <v>0</v>
      </c>
      <c r="G64" s="191" t="s">
        <v>106</v>
      </c>
      <c r="H64" s="183"/>
      <c r="I64" s="183"/>
      <c r="J64" s="183"/>
      <c r="K64" s="183"/>
      <c r="L64" s="185"/>
      <c r="M64" s="13"/>
      <c r="N64" s="56" t="str">
        <f>+VLOOKUP(130,TRADUZIONI,DATI!$C$2-1,0)</f>
        <v xml:space="preserve">LUNG. PORTA MAGNETE   </v>
      </c>
      <c r="O64" s="158"/>
      <c r="P64" s="158"/>
      <c r="Q64" s="158"/>
      <c r="R64" s="2227">
        <f>+R7-30</f>
        <v>2170</v>
      </c>
      <c r="S64" s="2228"/>
      <c r="T64" s="113"/>
      <c r="U64" s="113"/>
      <c r="V64" s="21"/>
    </row>
    <row r="65" spans="2:22" ht="21.75" thickBot="1">
      <c r="B65" s="195"/>
      <c r="C65" s="196"/>
      <c r="D65" s="197"/>
      <c r="E65" s="197"/>
      <c r="F65" s="198"/>
      <c r="G65" s="197"/>
      <c r="H65" s="196"/>
      <c r="I65" s="196"/>
      <c r="J65" s="196"/>
      <c r="K65" s="196"/>
      <c r="L65" s="199"/>
      <c r="M65" s="88"/>
      <c r="N65" s="89"/>
      <c r="O65" s="89"/>
      <c r="P65" s="89"/>
      <c r="Q65" s="89"/>
      <c r="R65" s="89"/>
      <c r="S65" s="89"/>
      <c r="T65" s="89"/>
      <c r="U65" s="89"/>
      <c r="V65" s="90"/>
    </row>
    <row r="66" spans="2:22" ht="44.25" customHeight="1">
      <c r="B66" s="220"/>
      <c r="C66" s="219" t="str">
        <f>+VLOOKUP(142,TRADUZIONI,DATI!$C$2-1,0)</f>
        <v>QUADRO G</v>
      </c>
      <c r="D66" s="2268" t="str">
        <f>+VLOOKUP(156,TRADUZIONI,DATI!$C$2-1,0)</f>
        <v>QUALITA'</v>
      </c>
      <c r="E66" s="2268"/>
      <c r="F66" s="2268"/>
      <c r="G66" s="2268"/>
      <c r="H66" s="2268"/>
      <c r="I66" s="2268"/>
      <c r="J66" s="2268"/>
      <c r="K66" s="2268"/>
      <c r="L66" s="2269"/>
      <c r="M66" s="13"/>
      <c r="N66" s="17"/>
      <c r="O66" s="17"/>
      <c r="P66" s="17"/>
      <c r="Q66" s="17"/>
      <c r="R66" s="99"/>
      <c r="S66" s="113"/>
      <c r="T66" s="113"/>
      <c r="U66" s="113"/>
      <c r="V66" s="21"/>
    </row>
    <row r="67" spans="2:22" ht="27.75">
      <c r="B67" s="2270" t="str">
        <f>+VLOOKUP(32,TRADUZIONI,DATI!$C$2-1,0)</f>
        <v>CONTROLLATO DA</v>
      </c>
      <c r="C67" s="2271"/>
      <c r="D67" s="2271"/>
      <c r="E67" s="2272"/>
      <c r="F67" s="2273" t="str">
        <f>+VLOOKUP(35,TRADUZIONI,DATI!$C$2-1,0)</f>
        <v>NOTE</v>
      </c>
      <c r="G67" s="2271"/>
      <c r="H67" s="2271"/>
      <c r="I67" s="2271"/>
      <c r="J67" s="2271"/>
      <c r="K67" s="2271"/>
      <c r="L67" s="2274"/>
      <c r="M67" s="13"/>
      <c r="N67" s="2222" t="str">
        <f>+VLOOKUP(125,TRADUZIONI,DATI!$C$2-1,0)</f>
        <v>GUIDA</v>
      </c>
      <c r="O67" s="2223"/>
      <c r="P67" s="2223"/>
      <c r="Q67" s="2223"/>
      <c r="R67" s="2223"/>
      <c r="S67" s="2223"/>
      <c r="T67" s="2223"/>
      <c r="U67" s="2224"/>
      <c r="V67" s="21"/>
    </row>
    <row r="68" spans="2:22" ht="21">
      <c r="B68" s="2264" t="str">
        <f>+VLOOKUP(33,TRADUZIONI,DATI!$C$2-1,0)</f>
        <v>OPERATORE</v>
      </c>
      <c r="C68" s="2265"/>
      <c r="D68" s="2266" t="str">
        <f>+VLOOKUP(34,TRADUZIONI,DATI!$C$2-1,0)</f>
        <v>PRODUZIONE</v>
      </c>
      <c r="E68" s="2267"/>
      <c r="F68" s="2276">
        <f>+DATI!C13</f>
        <v>0</v>
      </c>
      <c r="G68" s="2277"/>
      <c r="H68" s="2277"/>
      <c r="I68" s="2277"/>
      <c r="J68" s="2277"/>
      <c r="K68" s="2277"/>
      <c r="L68" s="2278"/>
      <c r="M68" s="13"/>
      <c r="N68" s="17"/>
      <c r="O68" s="17"/>
      <c r="P68" s="17"/>
      <c r="Q68" s="17"/>
      <c r="R68" s="99"/>
      <c r="S68" s="99"/>
      <c r="T68" s="99"/>
      <c r="U68" s="99"/>
      <c r="V68" s="21"/>
    </row>
    <row r="69" spans="2:22" ht="28.5">
      <c r="B69" s="2282"/>
      <c r="C69" s="2283"/>
      <c r="D69" s="2286"/>
      <c r="E69" s="2287"/>
      <c r="F69" s="2279"/>
      <c r="G69" s="2280"/>
      <c r="H69" s="2280"/>
      <c r="I69" s="2280"/>
      <c r="J69" s="2280"/>
      <c r="K69" s="2280"/>
      <c r="L69" s="2281"/>
      <c r="M69" s="13"/>
      <c r="N69" s="56" t="str">
        <f>+VLOOKUP(159,TRADUZIONI,DATI!$C$2-1,0)</f>
        <v>SUP. (BASE) =</v>
      </c>
      <c r="O69" s="101"/>
      <c r="P69" s="213"/>
      <c r="Q69" s="2236">
        <f>+P7</f>
        <v>1400</v>
      </c>
      <c r="R69" s="2237"/>
      <c r="S69" s="99"/>
      <c r="T69" s="78" t="str">
        <f>+VLOOKUP(78,TRADUZIONI,DATI!C2-1,0)</f>
        <v>PEZZI /PZ.</v>
      </c>
      <c r="U69" s="200" t="s">
        <v>122</v>
      </c>
      <c r="V69" s="21"/>
    </row>
    <row r="70" spans="2:22" ht="21">
      <c r="B70" s="2282"/>
      <c r="C70" s="2283"/>
      <c r="D70" s="2286"/>
      <c r="E70" s="2287"/>
      <c r="F70" s="2273" t="str">
        <f>+VLOOKUP(36,TRADUZIONI,DATI!$C$2-1,0)</f>
        <v xml:space="preserve">RETE </v>
      </c>
      <c r="G70" s="2271"/>
      <c r="H70" s="2271"/>
      <c r="I70" s="2273" t="str">
        <f>+VLOOKUP(37,TRADUZIONI,DATI!$C$2-1,0)</f>
        <v>LOTTO NR.</v>
      </c>
      <c r="J70" s="2271"/>
      <c r="K70" s="2271"/>
      <c r="L70" s="2274"/>
      <c r="M70" s="13"/>
      <c r="N70" s="17"/>
      <c r="O70" s="17"/>
      <c r="P70" s="17"/>
      <c r="Q70" s="17"/>
      <c r="R70" s="99"/>
      <c r="S70" s="99"/>
      <c r="T70" s="99"/>
      <c r="U70" s="99"/>
      <c r="V70" s="21"/>
    </row>
    <row r="71" spans="2:22" ht="28.5">
      <c r="B71" s="2282"/>
      <c r="C71" s="2283"/>
      <c r="D71" s="2286"/>
      <c r="E71" s="2287"/>
      <c r="F71" s="2254" t="str">
        <f>+IF(DATI!$C$12=1,"",VLOOKUP(38,TRADUZIONI,DATI!$C$2-1,0))</f>
        <v>RETE GRIGIA</v>
      </c>
      <c r="G71" s="2255"/>
      <c r="H71" s="2255"/>
      <c r="I71" s="2254"/>
      <c r="J71" s="2255"/>
      <c r="K71" s="2255"/>
      <c r="L71" s="2290"/>
      <c r="M71" s="13"/>
      <c r="N71" s="56" t="str">
        <f>+VLOOKUP(160,TRADUZIONI,DATI!$C$2-1,0)</f>
        <v>INF. (BASE) =</v>
      </c>
      <c r="O71" s="158"/>
      <c r="P71" s="101"/>
      <c r="Q71" s="2236">
        <f>+P7</f>
        <v>1400</v>
      </c>
      <c r="R71" s="2237"/>
      <c r="S71" s="99"/>
      <c r="T71" s="78" t="str">
        <f>+VLOOKUP(78,TRADUZIONI,DATI!C2-1,0)</f>
        <v>PEZZI /PZ.</v>
      </c>
      <c r="U71" s="200" t="s">
        <v>122</v>
      </c>
      <c r="V71" s="21"/>
    </row>
    <row r="72" spans="2:22" ht="19.5" thickBot="1">
      <c r="B72" s="2284"/>
      <c r="C72" s="2285"/>
      <c r="D72" s="2288"/>
      <c r="E72" s="2289"/>
      <c r="F72" s="2256"/>
      <c r="G72" s="2257"/>
      <c r="H72" s="2257"/>
      <c r="I72" s="2256"/>
      <c r="J72" s="2257"/>
      <c r="K72" s="2257"/>
      <c r="L72" s="2291"/>
      <c r="M72" s="75"/>
      <c r="N72" s="44"/>
      <c r="O72" s="44"/>
      <c r="P72" s="44"/>
      <c r="Q72" s="44"/>
      <c r="R72" s="44"/>
      <c r="S72" s="44"/>
      <c r="T72" s="44"/>
      <c r="U72" s="44"/>
      <c r="V72" s="73"/>
    </row>
    <row r="74" spans="2:22" ht="99.75">
      <c r="V74" s="204"/>
    </row>
  </sheetData>
  <mergeCells count="50">
    <mergeCell ref="F71:H72"/>
    <mergeCell ref="I71:L72"/>
    <mergeCell ref="C40:G40"/>
    <mergeCell ref="F10:G10"/>
    <mergeCell ref="Q71:R71"/>
    <mergeCell ref="D66:L66"/>
    <mergeCell ref="B67:E67"/>
    <mergeCell ref="F67:L67"/>
    <mergeCell ref="N67:U67"/>
    <mergeCell ref="B68:C68"/>
    <mergeCell ref="D68:E68"/>
    <mergeCell ref="F68:L69"/>
    <mergeCell ref="B69:C72"/>
    <mergeCell ref="D69:E72"/>
    <mergeCell ref="Q69:R69"/>
    <mergeCell ref="F70:H70"/>
    <mergeCell ref="I70:L70"/>
    <mergeCell ref="M40:V40"/>
    <mergeCell ref="R64:S64"/>
    <mergeCell ref="M41:V41"/>
    <mergeCell ref="D43:L43"/>
    <mergeCell ref="O43:V43"/>
    <mergeCell ref="N45:T45"/>
    <mergeCell ref="C49:J50"/>
    <mergeCell ref="R49:S49"/>
    <mergeCell ref="R51:S51"/>
    <mergeCell ref="D52:L52"/>
    <mergeCell ref="N58:T58"/>
    <mergeCell ref="R62:S62"/>
    <mergeCell ref="F60:G60"/>
    <mergeCell ref="H33:I33"/>
    <mergeCell ref="J34:K34"/>
    <mergeCell ref="C36:I36"/>
    <mergeCell ref="C37:I38"/>
    <mergeCell ref="F15:J20"/>
    <mergeCell ref="P16:Q16"/>
    <mergeCell ref="C22:E22"/>
    <mergeCell ref="F31:G31"/>
    <mergeCell ref="G32:H32"/>
    <mergeCell ref="N9:O9"/>
    <mergeCell ref="P9:S9"/>
    <mergeCell ref="N11:O11"/>
    <mergeCell ref="D14:L14"/>
    <mergeCell ref="O14:V14"/>
    <mergeCell ref="B2:V2"/>
    <mergeCell ref="E4:O4"/>
    <mergeCell ref="D6:G6"/>
    <mergeCell ref="N6:O7"/>
    <mergeCell ref="R6:S6"/>
    <mergeCell ref="R7:S7"/>
  </mergeCells>
  <printOptions horizontalCentered="1" gridLinesSet="0"/>
  <pageMargins left="0" right="0" top="0" bottom="0" header="0" footer="0"/>
  <pageSetup paperSize="9" scale="38" orientation="portrait" horizontalDpi="1200" verticalDpi="1200" r:id="rId1"/>
  <headerFooter alignWithMargins="0">
    <oddFooter>&amp;LREV. 09/05 - VER.1&amp;R&amp;D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>
    <tabColor theme="6" tint="-0.249977111117893"/>
    <pageSetUpPr fitToPage="1"/>
  </sheetPr>
  <dimension ref="A1:AD70"/>
  <sheetViews>
    <sheetView showGridLines="0" zoomScale="40" zoomScaleNormal="40" workbookViewId="0">
      <selection activeCell="A42" sqref="A42"/>
    </sheetView>
  </sheetViews>
  <sheetFormatPr defaultColWidth="10.28515625" defaultRowHeight="15"/>
  <cols>
    <col min="1" max="1" width="35.85546875" style="97" customWidth="1"/>
    <col min="2" max="2" width="4.5703125" style="97" customWidth="1"/>
    <col min="3" max="3" width="18.85546875" style="97" customWidth="1"/>
    <col min="4" max="4" width="15" style="97" customWidth="1"/>
    <col min="5" max="5" width="17.28515625" style="97" customWidth="1"/>
    <col min="6" max="6" width="14.28515625" style="97" customWidth="1"/>
    <col min="7" max="7" width="13.85546875" style="97" customWidth="1"/>
    <col min="8" max="8" width="9.28515625" style="97" customWidth="1"/>
    <col min="9" max="9" width="8.140625" style="97" customWidth="1"/>
    <col min="10" max="10" width="9.28515625" style="97" customWidth="1"/>
    <col min="11" max="11" width="5.28515625" style="97" customWidth="1"/>
    <col min="12" max="13" width="5.140625" style="97" customWidth="1"/>
    <col min="14" max="14" width="3.7109375" style="97" customWidth="1"/>
    <col min="15" max="15" width="17.85546875" style="97" customWidth="1"/>
    <col min="16" max="16" width="13.85546875" style="97" customWidth="1"/>
    <col min="17" max="17" width="16.28515625" style="97" customWidth="1"/>
    <col min="18" max="18" width="9.7109375" style="97" customWidth="1"/>
    <col min="19" max="19" width="11.140625" style="97" customWidth="1"/>
    <col min="20" max="20" width="9.5703125" style="97" customWidth="1"/>
    <col min="21" max="21" width="20.42578125" style="97" customWidth="1"/>
    <col min="22" max="22" width="24.140625" style="97" customWidth="1"/>
    <col min="23" max="24" width="10.28515625" style="97"/>
    <col min="25" max="25" width="17" style="97" bestFit="1" customWidth="1"/>
    <col min="26" max="16384" width="10.28515625" style="97"/>
  </cols>
  <sheetData>
    <row r="1" spans="1:30" ht="18">
      <c r="A1" s="6"/>
    </row>
    <row r="2" spans="1:30" ht="33.75">
      <c r="A2" s="6"/>
      <c r="B2" s="2240" t="s">
        <v>488</v>
      </c>
      <c r="C2" s="2241"/>
      <c r="D2" s="2241"/>
      <c r="E2" s="2241"/>
      <c r="F2" s="2241"/>
      <c r="G2" s="2241"/>
      <c r="H2" s="2241"/>
      <c r="I2" s="2241"/>
      <c r="J2" s="2241"/>
      <c r="K2" s="2241"/>
      <c r="L2" s="2241"/>
      <c r="M2" s="2241"/>
      <c r="N2" s="2241"/>
      <c r="O2" s="2241"/>
      <c r="P2" s="2241"/>
      <c r="Q2" s="2241"/>
      <c r="R2" s="2241"/>
      <c r="S2" s="2241"/>
      <c r="T2" s="2241"/>
      <c r="U2" s="2241"/>
      <c r="V2" s="2241"/>
    </row>
    <row r="3" spans="1:30" ht="18.75" thickBot="1">
      <c r="A3" s="6"/>
    </row>
    <row r="4" spans="1:30" ht="44.25" customHeight="1">
      <c r="A4" s="6"/>
      <c r="B4" s="220"/>
      <c r="C4" s="219" t="s">
        <v>40</v>
      </c>
      <c r="D4" s="215"/>
      <c r="E4" s="2197" t="s">
        <v>41</v>
      </c>
      <c r="F4" s="2197"/>
      <c r="G4" s="2197"/>
      <c r="H4" s="2197"/>
      <c r="I4" s="2197"/>
      <c r="J4" s="2197"/>
      <c r="K4" s="2197"/>
      <c r="L4" s="2197"/>
      <c r="M4" s="2197"/>
      <c r="N4" s="2197"/>
      <c r="O4" s="2197"/>
      <c r="P4" s="2197"/>
      <c r="Q4" s="216"/>
      <c r="R4" s="215"/>
      <c r="S4" s="215"/>
      <c r="T4" s="215"/>
      <c r="U4" s="215"/>
      <c r="V4" s="217"/>
    </row>
    <row r="5" spans="1:30" ht="18">
      <c r="A5" s="6"/>
      <c r="B5" s="98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100"/>
      <c r="W5" s="6"/>
      <c r="X5" s="6"/>
      <c r="Y5" s="6"/>
      <c r="Z5" s="6"/>
      <c r="AA5" s="6"/>
      <c r="AB5" s="6"/>
      <c r="AC5" s="6"/>
      <c r="AD5" s="6"/>
    </row>
    <row r="6" spans="1:30" ht="30.75">
      <c r="A6" s="6"/>
      <c r="B6" s="98"/>
      <c r="C6" s="14" t="s">
        <v>42</v>
      </c>
      <c r="D6" s="2198">
        <f>+DATI!C6</f>
        <v>0</v>
      </c>
      <c r="E6" s="2198"/>
      <c r="F6" s="2198"/>
      <c r="G6" s="2198"/>
      <c r="H6" s="101"/>
      <c r="I6" s="101"/>
      <c r="J6" s="101"/>
      <c r="K6" s="102"/>
      <c r="L6" s="103"/>
      <c r="M6" s="104"/>
      <c r="N6" s="99"/>
      <c r="O6" s="2242" t="s">
        <v>43</v>
      </c>
      <c r="P6" s="2243"/>
      <c r="Q6" s="14" t="s">
        <v>4</v>
      </c>
      <c r="R6" s="19"/>
      <c r="S6" s="2213" t="s">
        <v>5</v>
      </c>
      <c r="T6" s="2229"/>
      <c r="U6" s="99"/>
      <c r="V6" s="100"/>
      <c r="W6" s="17"/>
      <c r="X6" s="17"/>
      <c r="Y6" s="17"/>
      <c r="Z6" s="17"/>
      <c r="AA6" s="17"/>
      <c r="AB6" s="17"/>
      <c r="AC6" s="17"/>
      <c r="AD6" s="17"/>
    </row>
    <row r="7" spans="1:30" ht="29.25" customHeight="1">
      <c r="A7" s="6"/>
      <c r="B7" s="98"/>
      <c r="C7" s="99"/>
      <c r="D7" s="99" t="s">
        <v>37</v>
      </c>
      <c r="E7" s="99"/>
      <c r="F7" s="99"/>
      <c r="G7" s="99"/>
      <c r="H7" s="99"/>
      <c r="I7" s="99"/>
      <c r="J7" s="99"/>
      <c r="K7" s="99"/>
      <c r="L7" s="103"/>
      <c r="M7" s="104"/>
      <c r="N7" s="99"/>
      <c r="O7" s="2244"/>
      <c r="P7" s="2245"/>
      <c r="Q7" s="23">
        <f>+DATI!C7</f>
        <v>1400</v>
      </c>
      <c r="R7" s="24" t="s">
        <v>44</v>
      </c>
      <c r="S7" s="2246">
        <f>+DATI!C8</f>
        <v>2200</v>
      </c>
      <c r="T7" s="2247"/>
      <c r="U7" s="99"/>
      <c r="V7" s="100"/>
      <c r="W7" s="17"/>
      <c r="X7" s="17"/>
      <c r="Y7" s="17"/>
      <c r="Z7" s="17"/>
      <c r="AA7" s="17"/>
      <c r="AB7" s="17"/>
      <c r="AC7" s="17"/>
      <c r="AD7" s="17"/>
    </row>
    <row r="8" spans="1:30" ht="30.75">
      <c r="A8" s="6"/>
      <c r="B8" s="98"/>
      <c r="C8" s="14" t="s">
        <v>45</v>
      </c>
      <c r="D8" s="105">
        <f>+DATI!C4</f>
        <v>0</v>
      </c>
      <c r="E8" s="105"/>
      <c r="F8" s="105"/>
      <c r="G8" s="105"/>
      <c r="H8" s="101"/>
      <c r="I8" s="101"/>
      <c r="J8" s="101"/>
      <c r="K8" s="102"/>
      <c r="L8" s="103"/>
      <c r="M8" s="104"/>
      <c r="N8" s="99"/>
      <c r="O8" s="99"/>
      <c r="P8" s="99"/>
      <c r="Q8" s="106"/>
      <c r="R8" s="99"/>
      <c r="S8" s="99"/>
      <c r="T8" s="99"/>
      <c r="U8" s="99"/>
      <c r="V8" s="100"/>
      <c r="W8" s="17"/>
      <c r="X8" s="17"/>
      <c r="Y8" s="17"/>
      <c r="Z8" s="17"/>
      <c r="AA8" s="17"/>
      <c r="AB8" s="17"/>
      <c r="AC8" s="17"/>
      <c r="AD8" s="17"/>
    </row>
    <row r="9" spans="1:30" ht="30.75">
      <c r="A9" s="6"/>
      <c r="B9" s="98"/>
      <c r="C9" s="99"/>
      <c r="D9" s="99"/>
      <c r="E9" s="99"/>
      <c r="F9" s="99"/>
      <c r="G9" s="99"/>
      <c r="H9" s="99"/>
      <c r="I9" s="99"/>
      <c r="J9" s="99"/>
      <c r="K9" s="99"/>
      <c r="L9" s="103"/>
      <c r="M9" s="104"/>
      <c r="N9" s="99"/>
      <c r="O9" s="2212" t="s">
        <v>46</v>
      </c>
      <c r="P9" s="2229"/>
      <c r="Q9" s="2238" t="str">
        <f>+DATI!C10</f>
        <v>06.NERO</v>
      </c>
      <c r="R9" s="2203"/>
      <c r="S9" s="2203"/>
      <c r="T9" s="2204"/>
      <c r="U9" s="99"/>
      <c r="V9" s="100"/>
      <c r="W9" s="17"/>
      <c r="X9" s="17"/>
      <c r="Y9" s="17"/>
      <c r="Z9" s="17"/>
      <c r="AA9" s="17"/>
      <c r="AB9" s="17"/>
      <c r="AC9" s="17"/>
      <c r="AD9" s="17"/>
    </row>
    <row r="10" spans="1:30" ht="30.75">
      <c r="A10" s="6"/>
      <c r="B10" s="98"/>
      <c r="C10" s="14" t="s">
        <v>47</v>
      </c>
      <c r="D10" s="2202">
        <f>+DATI!C5</f>
        <v>42370</v>
      </c>
      <c r="E10" s="2203"/>
      <c r="F10" s="2203"/>
      <c r="G10" s="2203"/>
      <c r="H10" s="101"/>
      <c r="I10" s="101"/>
      <c r="J10" s="101"/>
      <c r="K10" s="102"/>
      <c r="L10" s="103"/>
      <c r="M10" s="104"/>
      <c r="N10" s="99"/>
      <c r="O10" s="107"/>
      <c r="P10" s="99"/>
      <c r="Q10" s="99"/>
      <c r="R10" s="99"/>
      <c r="S10" s="99"/>
      <c r="T10" s="99"/>
      <c r="U10" s="99"/>
      <c r="V10" s="100"/>
      <c r="W10" s="17"/>
      <c r="X10" s="17"/>
      <c r="Y10" s="17"/>
      <c r="Z10" s="17"/>
      <c r="AA10" s="17"/>
      <c r="AB10" s="17"/>
      <c r="AC10" s="17"/>
      <c r="AD10" s="17"/>
    </row>
    <row r="11" spans="1:30" ht="30.75">
      <c r="A11" s="6"/>
      <c r="B11" s="98"/>
      <c r="C11" s="99"/>
      <c r="D11" s="99"/>
      <c r="E11" s="99"/>
      <c r="F11" s="99"/>
      <c r="G11" s="99"/>
      <c r="H11" s="99"/>
      <c r="I11" s="99"/>
      <c r="J11" s="99"/>
      <c r="K11" s="99"/>
      <c r="L11" s="103"/>
      <c r="M11" s="104"/>
      <c r="N11" s="99"/>
      <c r="O11" s="2232" t="s">
        <v>48</v>
      </c>
      <c r="P11" s="2239"/>
      <c r="Q11" s="33" t="str">
        <f>+DATI!C11</f>
        <v>1</v>
      </c>
      <c r="R11" s="99"/>
      <c r="S11" s="99"/>
      <c r="T11" s="99"/>
      <c r="U11" s="99"/>
      <c r="V11" s="100"/>
      <c r="W11" s="99"/>
      <c r="X11" s="99"/>
      <c r="Y11" s="99"/>
      <c r="Z11" s="99"/>
      <c r="AA11" s="99"/>
      <c r="AB11" s="99"/>
      <c r="AC11" s="99"/>
      <c r="AD11" s="99"/>
    </row>
    <row r="12" spans="1:30" ht="30.75">
      <c r="A12" s="6"/>
      <c r="B12" s="98"/>
      <c r="C12" s="14" t="s">
        <v>49</v>
      </c>
      <c r="D12" s="34">
        <f>IF((Q7*S7/1000000)&lt;=1.5,1.5*Q11,IF((Q7*S7/1000000)&gt;1.5,(Q7*S7/1000000)*Q11))</f>
        <v>3.08</v>
      </c>
      <c r="E12" s="108"/>
      <c r="F12" s="2207"/>
      <c r="G12" s="2207"/>
      <c r="H12" s="99"/>
      <c r="I12" s="99"/>
      <c r="J12" s="99"/>
      <c r="K12" s="99"/>
      <c r="L12" s="103"/>
      <c r="M12" s="104"/>
      <c r="N12" s="99"/>
      <c r="O12" s="99"/>
      <c r="P12" s="99"/>
      <c r="Q12" s="109" t="s">
        <v>37</v>
      </c>
      <c r="R12" s="99"/>
      <c r="S12" s="99"/>
      <c r="T12" s="99"/>
      <c r="U12" s="110" t="s">
        <v>37</v>
      </c>
      <c r="V12" s="100"/>
      <c r="W12" s="99"/>
      <c r="X12" s="99"/>
      <c r="Y12" s="99"/>
      <c r="Z12" s="99"/>
      <c r="AA12" s="99"/>
      <c r="AB12" s="99"/>
      <c r="AC12" s="99"/>
      <c r="AD12" s="99"/>
    </row>
    <row r="13" spans="1:30" ht="15.75" thickBot="1">
      <c r="B13" s="98"/>
      <c r="C13" s="107"/>
      <c r="D13" s="99"/>
      <c r="E13" s="111"/>
      <c r="F13" s="112"/>
      <c r="G13" s="111"/>
      <c r="H13" s="113"/>
      <c r="I13" s="113"/>
      <c r="J13" s="113"/>
      <c r="K13" s="99"/>
      <c r="L13" s="99"/>
      <c r="M13" s="99"/>
      <c r="N13" s="99"/>
      <c r="O13" s="99"/>
      <c r="P13" s="99"/>
      <c r="Q13" s="99"/>
      <c r="R13" s="99"/>
      <c r="S13" s="114"/>
      <c r="T13" s="99"/>
      <c r="U13" s="115" t="s">
        <v>37</v>
      </c>
      <c r="V13" s="100"/>
    </row>
    <row r="14" spans="1:30" ht="44.25" customHeight="1">
      <c r="B14" s="220"/>
      <c r="C14" s="219" t="s">
        <v>50</v>
      </c>
      <c r="D14" s="2248" t="s">
        <v>51</v>
      </c>
      <c r="E14" s="2248"/>
      <c r="F14" s="2248"/>
      <c r="G14" s="2248"/>
      <c r="H14" s="2248"/>
      <c r="I14" s="2248"/>
      <c r="J14" s="2248"/>
      <c r="K14" s="2248"/>
      <c r="L14" s="2249"/>
      <c r="M14" s="220"/>
      <c r="N14" s="888"/>
      <c r="O14" s="219" t="s">
        <v>52</v>
      </c>
      <c r="P14" s="2250" t="s">
        <v>79</v>
      </c>
      <c r="Q14" s="2250"/>
      <c r="R14" s="2250"/>
      <c r="S14" s="2250"/>
      <c r="T14" s="2250"/>
      <c r="U14" s="2250"/>
      <c r="V14" s="2251"/>
    </row>
    <row r="15" spans="1:30" ht="31.5" customHeight="1">
      <c r="B15" s="116"/>
      <c r="C15" s="99"/>
      <c r="D15" s="99"/>
      <c r="E15" s="99"/>
      <c r="F15" s="2252" t="e">
        <f>CONCATENATE("*",DATI!$L$14,"0",D16,REPT("0",4-LEN(F22)),F22,DATI!L13,"*")</f>
        <v>#VALUE!</v>
      </c>
      <c r="G15" s="2252"/>
      <c r="H15" s="2252"/>
      <c r="I15" s="2252"/>
      <c r="J15" s="2252"/>
      <c r="K15" s="117"/>
      <c r="L15" s="118"/>
      <c r="M15" s="98"/>
      <c r="N15" s="99"/>
      <c r="O15" s="99"/>
      <c r="P15" s="99" t="s">
        <v>37</v>
      </c>
      <c r="Q15" s="119" t="s">
        <v>37</v>
      </c>
      <c r="R15" s="99"/>
      <c r="S15" s="99"/>
      <c r="T15" s="99"/>
      <c r="U15" s="120"/>
      <c r="V15" s="100"/>
    </row>
    <row r="16" spans="1:30" ht="30.75" customHeight="1">
      <c r="B16" s="121"/>
      <c r="C16" s="122" t="s">
        <v>80</v>
      </c>
      <c r="D16" s="123">
        <f>ROUNDUP((S7-53)*0.036,0)</f>
        <v>78</v>
      </c>
      <c r="F16" s="2252"/>
      <c r="G16" s="2252"/>
      <c r="H16" s="2252"/>
      <c r="I16" s="2252"/>
      <c r="J16" s="2252"/>
      <c r="K16" s="120"/>
      <c r="L16" s="124"/>
      <c r="M16" s="121"/>
      <c r="N16" s="125"/>
      <c r="O16" s="125"/>
      <c r="P16" s="125"/>
      <c r="Q16" s="2232" t="s">
        <v>54</v>
      </c>
      <c r="R16" s="2239"/>
      <c r="S16" s="126">
        <f>IF(Q7&lt;=608,2,IF(Q7&lt;1463,4,IF(Q7&lt;2363,6,8)))</f>
        <v>4</v>
      </c>
      <c r="T16" s="120"/>
      <c r="U16" s="115"/>
      <c r="V16" s="127"/>
    </row>
    <row r="17" spans="2:25" s="129" customFormat="1" ht="15" customHeight="1">
      <c r="B17" s="98"/>
      <c r="C17" s="99"/>
      <c r="D17" s="99"/>
      <c r="E17" s="99"/>
      <c r="F17" s="2252"/>
      <c r="G17" s="2252"/>
      <c r="H17" s="2252"/>
      <c r="I17" s="2252"/>
      <c r="J17" s="2252"/>
      <c r="K17" s="99"/>
      <c r="L17" s="99"/>
      <c r="M17" s="98"/>
      <c r="N17" s="99"/>
      <c r="O17" s="99"/>
      <c r="P17" s="99"/>
      <c r="Q17" s="99"/>
      <c r="R17" s="128"/>
      <c r="S17" s="99"/>
      <c r="T17" s="99"/>
      <c r="U17" s="99"/>
      <c r="V17" s="100"/>
    </row>
    <row r="18" spans="2:25" ht="49.5" customHeight="1">
      <c r="B18" s="98"/>
      <c r="C18" s="99"/>
      <c r="D18" s="109"/>
      <c r="E18" s="109"/>
      <c r="F18" s="2252"/>
      <c r="G18" s="2252"/>
      <c r="H18" s="2252"/>
      <c r="I18" s="2252"/>
      <c r="J18" s="2252"/>
      <c r="K18" s="109"/>
      <c r="L18" s="99"/>
      <c r="M18" s="98"/>
      <c r="N18" s="99"/>
      <c r="O18" s="99"/>
      <c r="P18" s="99"/>
      <c r="Q18" s="99"/>
      <c r="R18" s="128"/>
      <c r="S18" s="99"/>
      <c r="T18" s="99"/>
      <c r="U18" s="99"/>
      <c r="V18" s="100"/>
    </row>
    <row r="19" spans="2:25" ht="15" customHeight="1">
      <c r="B19" s="98"/>
      <c r="C19" s="99"/>
      <c r="D19" s="109"/>
      <c r="E19" s="109"/>
      <c r="F19" s="2252"/>
      <c r="G19" s="2252"/>
      <c r="H19" s="2252"/>
      <c r="I19" s="2252"/>
      <c r="J19" s="2252"/>
      <c r="K19" s="109"/>
      <c r="L19" s="99"/>
      <c r="M19" s="98"/>
      <c r="N19" s="99"/>
      <c r="O19" s="130" t="s">
        <v>81</v>
      </c>
      <c r="P19" s="99"/>
      <c r="Q19" s="131" t="s">
        <v>37</v>
      </c>
      <c r="R19" s="99"/>
      <c r="S19" s="132" t="s">
        <v>37</v>
      </c>
      <c r="T19" s="133" t="s">
        <v>82</v>
      </c>
      <c r="U19" s="99"/>
      <c r="V19" s="100"/>
    </row>
    <row r="20" spans="2:25">
      <c r="B20" s="98"/>
      <c r="C20" s="99"/>
      <c r="D20" s="109"/>
      <c r="E20" s="109"/>
      <c r="F20" s="2252"/>
      <c r="G20" s="2252"/>
      <c r="H20" s="2252"/>
      <c r="I20" s="2252"/>
      <c r="J20" s="2252"/>
      <c r="K20" s="109"/>
      <c r="L20" s="99"/>
      <c r="M20" s="134"/>
      <c r="N20" s="135"/>
      <c r="O20" s="99"/>
      <c r="P20" s="99"/>
      <c r="Q20" s="99"/>
      <c r="R20" s="135"/>
      <c r="S20" s="135"/>
      <c r="T20" s="99"/>
      <c r="U20" s="107"/>
      <c r="V20" s="100"/>
    </row>
    <row r="21" spans="2:25">
      <c r="B21" s="98"/>
      <c r="C21" s="99"/>
      <c r="D21" s="109"/>
      <c r="E21" s="99"/>
      <c r="F21" s="119" t="s">
        <v>37</v>
      </c>
      <c r="G21" s="99"/>
      <c r="H21" s="136"/>
      <c r="I21" s="136"/>
      <c r="J21" s="136"/>
      <c r="K21" s="109" t="s">
        <v>37</v>
      </c>
      <c r="L21" s="99"/>
      <c r="M21" s="134"/>
      <c r="N21" s="135"/>
      <c r="O21" s="99"/>
      <c r="P21" s="99"/>
      <c r="Q21" s="99"/>
      <c r="R21" s="99"/>
      <c r="S21" s="128"/>
      <c r="T21" s="99"/>
      <c r="U21" s="135"/>
      <c r="V21" s="100"/>
    </row>
    <row r="22" spans="2:25" ht="30.75">
      <c r="B22" s="98"/>
      <c r="C22" s="2212" t="s">
        <v>55</v>
      </c>
      <c r="D22" s="2213"/>
      <c r="E22" s="2213"/>
      <c r="F22" s="65">
        <f>+Q7-32</f>
        <v>1368</v>
      </c>
      <c r="G22" s="66" t="s">
        <v>56</v>
      </c>
      <c r="H22" s="26"/>
      <c r="I22" s="26"/>
      <c r="J22" s="26"/>
      <c r="K22" s="25"/>
      <c r="L22" s="99"/>
      <c r="M22" s="134"/>
      <c r="N22" s="135"/>
      <c r="O22" s="99"/>
      <c r="P22" s="99"/>
      <c r="Q22" s="136" t="s">
        <v>37</v>
      </c>
      <c r="R22" s="99" t="s">
        <v>37</v>
      </c>
      <c r="S22" s="99"/>
      <c r="T22" s="99"/>
      <c r="U22" s="130"/>
      <c r="V22" s="100"/>
    </row>
    <row r="23" spans="2:25" ht="39" customHeight="1">
      <c r="B23" s="98"/>
      <c r="C23" s="99"/>
      <c r="D23" s="109"/>
      <c r="E23" s="99"/>
      <c r="F23" s="119"/>
      <c r="G23" s="120"/>
      <c r="H23" s="136"/>
      <c r="I23" s="136"/>
      <c r="J23" s="136"/>
      <c r="K23" s="109"/>
      <c r="L23" s="99"/>
      <c r="M23" s="134"/>
      <c r="N23" s="135"/>
      <c r="O23" s="99"/>
      <c r="P23" s="99"/>
      <c r="Q23" s="136"/>
      <c r="R23" s="99"/>
      <c r="S23" s="99"/>
      <c r="T23" s="99"/>
      <c r="U23" s="130"/>
      <c r="V23" s="100"/>
    </row>
    <row r="24" spans="2:25" ht="12.75" customHeight="1">
      <c r="B24" s="98"/>
      <c r="C24" s="99"/>
      <c r="D24" s="109"/>
      <c r="E24" s="99"/>
      <c r="F24" s="119"/>
      <c r="G24" s="120"/>
      <c r="H24" s="136"/>
      <c r="I24" s="136"/>
      <c r="J24" s="136"/>
      <c r="K24" s="109"/>
      <c r="L24" s="99"/>
      <c r="M24" s="134"/>
      <c r="N24" s="135"/>
      <c r="O24" s="99"/>
      <c r="P24" s="99"/>
      <c r="Q24" s="136"/>
      <c r="R24" s="99"/>
      <c r="S24" s="99"/>
      <c r="T24" s="99"/>
      <c r="U24" s="130"/>
      <c r="V24" s="100"/>
    </row>
    <row r="25" spans="2:25">
      <c r="B25" s="98"/>
      <c r="C25" s="99"/>
      <c r="D25" s="109"/>
      <c r="E25" s="99"/>
      <c r="F25" s="119"/>
      <c r="G25" s="120"/>
      <c r="H25" s="136"/>
      <c r="I25" s="136"/>
      <c r="J25" s="136"/>
      <c r="K25" s="109"/>
      <c r="L25" s="99"/>
      <c r="M25" s="98"/>
      <c r="N25" s="99"/>
      <c r="O25" s="99"/>
      <c r="P25" s="99"/>
      <c r="Q25" s="136"/>
      <c r="R25" s="99"/>
      <c r="S25" s="99"/>
      <c r="T25" s="99"/>
      <c r="U25" s="130"/>
      <c r="V25" s="100"/>
    </row>
    <row r="26" spans="2:25" ht="10.5" customHeight="1">
      <c r="B26" s="98"/>
      <c r="C26" s="99"/>
      <c r="D26" s="109"/>
      <c r="E26" s="99"/>
      <c r="F26" s="119"/>
      <c r="G26" s="120"/>
      <c r="H26" s="136"/>
      <c r="I26" s="136"/>
      <c r="J26" s="136"/>
      <c r="K26" s="109"/>
      <c r="L26" s="99"/>
      <c r="M26" s="98"/>
      <c r="N26" s="99"/>
      <c r="O26" s="99"/>
      <c r="P26" s="99"/>
      <c r="Q26" s="99"/>
      <c r="R26" s="99"/>
      <c r="S26" s="99"/>
      <c r="T26" s="109"/>
      <c r="U26" s="99"/>
      <c r="V26" s="100"/>
    </row>
    <row r="27" spans="2:25" ht="26.25" customHeight="1">
      <c r="B27" s="98"/>
      <c r="C27" s="69">
        <v>40</v>
      </c>
      <c r="D27" s="109"/>
      <c r="E27" s="99"/>
      <c r="F27" s="119"/>
      <c r="G27" s="120"/>
      <c r="H27" s="136"/>
      <c r="I27" s="136"/>
      <c r="J27" s="136"/>
      <c r="K27" s="109"/>
      <c r="L27" s="99"/>
      <c r="M27" s="98"/>
      <c r="N27" s="99"/>
      <c r="O27" s="99"/>
      <c r="P27" s="99"/>
      <c r="Q27" s="99"/>
      <c r="R27" s="99"/>
      <c r="S27" s="99"/>
      <c r="T27" s="99"/>
      <c r="U27" s="99"/>
      <c r="V27" s="100"/>
    </row>
    <row r="28" spans="2:25" ht="36.75" customHeight="1">
      <c r="B28" s="98"/>
      <c r="C28" s="70">
        <f>+C27+F37</f>
        <v>469.33333333333331</v>
      </c>
      <c r="D28" s="109"/>
      <c r="E28" s="99"/>
      <c r="F28" s="119"/>
      <c r="G28" s="120"/>
      <c r="H28" s="136"/>
      <c r="I28" s="136"/>
      <c r="J28" s="136"/>
      <c r="K28" s="109"/>
      <c r="L28" s="99"/>
      <c r="M28" s="98"/>
      <c r="N28" s="99"/>
      <c r="O28" s="99"/>
      <c r="P28" s="99"/>
      <c r="Q28" s="136" t="s">
        <v>37</v>
      </c>
      <c r="R28" s="99"/>
      <c r="S28" s="99"/>
      <c r="T28" s="109"/>
      <c r="U28" s="99"/>
      <c r="V28" s="100"/>
    </row>
    <row r="29" spans="2:25" ht="36" customHeight="1">
      <c r="B29" s="98"/>
      <c r="C29" s="99"/>
      <c r="D29" s="70">
        <f>IF(S16&gt;2,C28+F37,"")</f>
        <v>898.66666666666663</v>
      </c>
      <c r="E29" s="99"/>
      <c r="F29" s="119"/>
      <c r="G29" s="120"/>
      <c r="H29" s="136"/>
      <c r="I29" s="136"/>
      <c r="J29" s="136"/>
      <c r="K29" s="109"/>
      <c r="L29" s="99"/>
      <c r="M29" s="98"/>
      <c r="N29" s="99"/>
      <c r="O29" s="99"/>
      <c r="P29" s="99"/>
      <c r="Q29" s="99"/>
      <c r="R29" s="99"/>
      <c r="S29" s="99"/>
      <c r="T29" s="99"/>
      <c r="U29" s="99"/>
      <c r="V29" s="100"/>
    </row>
    <row r="30" spans="2:25" ht="36" customHeight="1">
      <c r="B30" s="98"/>
      <c r="C30" s="99"/>
      <c r="D30" s="109"/>
      <c r="E30" s="16">
        <f>IF(S16&gt;=4,D29+F37,"")</f>
        <v>1328</v>
      </c>
      <c r="F30" s="119"/>
      <c r="G30" s="120"/>
      <c r="H30" s="136"/>
      <c r="I30" s="136"/>
      <c r="J30" s="136"/>
      <c r="K30" s="109"/>
      <c r="L30" s="99"/>
      <c r="M30" s="98"/>
      <c r="N30" s="99"/>
      <c r="O30" s="99"/>
      <c r="P30" s="99"/>
      <c r="Q30" s="109" t="s">
        <v>37</v>
      </c>
      <c r="R30" s="99"/>
      <c r="S30" s="99"/>
      <c r="T30" s="99"/>
      <c r="U30" s="99"/>
      <c r="V30" s="100"/>
      <c r="Y30" s="1138" t="s">
        <v>54</v>
      </c>
    </row>
    <row r="31" spans="2:25" ht="36" customHeight="1">
      <c r="B31" s="98"/>
      <c r="C31" s="99"/>
      <c r="D31" s="109"/>
      <c r="E31" s="99"/>
      <c r="F31" s="16" t="str">
        <f>IF(S16&gt;=5,E30+F37,"")</f>
        <v/>
      </c>
      <c r="G31" s="120"/>
      <c r="H31" s="136"/>
      <c r="I31" s="136"/>
      <c r="J31" s="136"/>
      <c r="K31" s="109"/>
      <c r="L31" s="99"/>
      <c r="M31" s="98"/>
      <c r="N31" s="99"/>
      <c r="O31" s="99"/>
      <c r="P31" s="99"/>
      <c r="Q31" s="99"/>
      <c r="R31" s="99"/>
      <c r="S31" s="99"/>
      <c r="T31" s="99"/>
      <c r="U31" s="137" t="str">
        <f>IF(S16&lt;6,"NO",IF(S16=8,CONCATENATE("N. Cord. ",IF(S16&lt;=6,"-","2")," lung. ",TEXT(IF(S16&lt;6,"NO",IF(S16=8,S7+(3*F37)+40+300)),"0")),"NO"))</f>
        <v>NO</v>
      </c>
      <c r="V31" s="100"/>
      <c r="X31" s="97">
        <v>8</v>
      </c>
      <c r="Y31" s="1140">
        <f>IF(S16&lt;=6,0,S7+(3*F37)+40+300)</f>
        <v>0</v>
      </c>
    </row>
    <row r="32" spans="2:25" ht="36" customHeight="1">
      <c r="B32" s="98"/>
      <c r="C32" s="99"/>
      <c r="D32" s="109"/>
      <c r="E32" s="99"/>
      <c r="F32" s="119"/>
      <c r="G32" s="70" t="str">
        <f>IF(S16&gt;=6,F31+F37,"")</f>
        <v/>
      </c>
      <c r="H32" s="136"/>
      <c r="I32" s="136"/>
      <c r="J32" s="136"/>
      <c r="K32" s="109"/>
      <c r="L32" s="99"/>
      <c r="M32" s="98"/>
      <c r="N32" s="99"/>
      <c r="O32" s="99"/>
      <c r="P32" s="99"/>
      <c r="Q32" s="99"/>
      <c r="R32" s="99"/>
      <c r="S32" s="99"/>
      <c r="T32" s="99"/>
      <c r="U32" s="137" t="str">
        <f>IF(S16&lt;4,"NO",IF(S16&gt;=6,CONCATENATE("N. Cord. ",IF(S16&lt;=4,"NO","2")," lung. ",TEXT(IF(S16&lt;=4,"NO",IF(S16&gt;=6,S7+(2*F37)+40+300)),"0")),"NO"))</f>
        <v>NO</v>
      </c>
      <c r="V32" s="100"/>
      <c r="X32" s="97">
        <v>6</v>
      </c>
      <c r="Y32" s="1139">
        <f>IF(S16&lt;=4,0,S7+(2*F37)+40+300)</f>
        <v>0</v>
      </c>
    </row>
    <row r="33" spans="2:25" ht="36" customHeight="1">
      <c r="B33" s="98"/>
      <c r="C33" s="99"/>
      <c r="D33" s="109"/>
      <c r="E33" s="99"/>
      <c r="F33" s="119"/>
      <c r="G33" s="120"/>
      <c r="H33" s="2275" t="str">
        <f>IF(S16&gt;=7,G32+F37,"")</f>
        <v/>
      </c>
      <c r="I33" s="2275"/>
      <c r="J33" s="136"/>
      <c r="K33" s="109"/>
      <c r="L33" s="99"/>
      <c r="M33" s="98"/>
      <c r="N33" s="99"/>
      <c r="O33" s="99"/>
      <c r="P33" s="99"/>
      <c r="Q33" s="99"/>
      <c r="R33" s="99"/>
      <c r="S33" s="99"/>
      <c r="T33" s="99"/>
      <c r="U33" s="137" t="str">
        <f>IF(OR(S16=0,S16=2),"NO",IF(S16&gt;2,CONCATENATE("N. Cord. ",IF(OR(S16=0,S16=2),"0",IF(S16&gt;2,"2",))," lung. ",TEXT(CEILING(IF(S16&gt;=4,S7+(1*F37)+340,"NO"),10),"0"))))</f>
        <v>N. Cord. 2 lung. 2970</v>
      </c>
      <c r="V33" s="100"/>
      <c r="X33" s="97">
        <v>4</v>
      </c>
      <c r="Y33" s="1139">
        <f>IF(S16&gt;4,0,CEILING(S7+(1*F37)+340,10))</f>
        <v>2970</v>
      </c>
    </row>
    <row r="34" spans="2:25" ht="36" customHeight="1">
      <c r="B34" s="98"/>
      <c r="C34" s="99"/>
      <c r="D34" s="109"/>
      <c r="E34" s="99"/>
      <c r="F34" s="119"/>
      <c r="G34" s="120"/>
      <c r="H34" s="136"/>
      <c r="I34" s="136"/>
      <c r="J34" s="2215" t="str">
        <f>IF(S16=8,H33+F37,"")</f>
        <v/>
      </c>
      <c r="K34" s="2215"/>
      <c r="L34" s="99"/>
      <c r="M34" s="98"/>
      <c r="N34" s="99"/>
      <c r="O34" s="99"/>
      <c r="P34" s="99"/>
      <c r="Q34" s="136" t="s">
        <v>37</v>
      </c>
      <c r="R34" s="107"/>
      <c r="S34" s="99"/>
      <c r="T34" s="99"/>
      <c r="U34" s="137" t="str">
        <f>CONCATENATE("N. Cord. 2"," lung. ",TEXT(CEILING(+S7+(Q7-40)+300,10),0))</f>
        <v>N. Cord. 2 lung. 3860</v>
      </c>
      <c r="V34" s="100"/>
      <c r="X34" s="97">
        <v>2</v>
      </c>
      <c r="Y34" s="1139">
        <f>CEILING(+S7+(Q7-40)+300,10)</f>
        <v>3860</v>
      </c>
    </row>
    <row r="35" spans="2:25" ht="36" customHeight="1">
      <c r="B35" s="98"/>
      <c r="C35" s="99"/>
      <c r="D35" s="109"/>
      <c r="E35" s="99"/>
      <c r="F35" s="119"/>
      <c r="G35" s="120"/>
      <c r="H35" s="136"/>
      <c r="I35" s="136"/>
      <c r="J35" s="136"/>
      <c r="K35" s="109"/>
      <c r="L35" s="99"/>
      <c r="M35" s="98"/>
      <c r="N35" s="99"/>
      <c r="O35" s="99"/>
      <c r="P35" s="99"/>
      <c r="Q35" s="136" t="s">
        <v>37</v>
      </c>
      <c r="R35" s="107"/>
      <c r="S35" s="99"/>
      <c r="T35" s="99"/>
      <c r="U35" s="99"/>
      <c r="V35" s="100"/>
    </row>
    <row r="36" spans="2:25">
      <c r="B36" s="98"/>
      <c r="C36" s="99"/>
      <c r="D36" s="99"/>
      <c r="E36" s="99"/>
      <c r="F36" s="99"/>
      <c r="G36" s="99"/>
      <c r="H36" s="99"/>
      <c r="I36" s="99"/>
      <c r="J36" s="99"/>
      <c r="K36" s="99"/>
      <c r="L36" s="100"/>
      <c r="M36" s="138"/>
      <c r="N36" s="889"/>
      <c r="O36" s="99"/>
      <c r="P36" s="99"/>
      <c r="Q36" s="120" t="s">
        <v>37</v>
      </c>
      <c r="R36" s="139"/>
      <c r="S36" s="99"/>
      <c r="T36" s="99"/>
      <c r="U36" s="99"/>
      <c r="V36" s="100"/>
    </row>
    <row r="37" spans="2:25" ht="27.75">
      <c r="B37" s="98"/>
      <c r="C37" s="2303" t="s">
        <v>60</v>
      </c>
      <c r="D37" s="2304"/>
      <c r="E37" s="2304"/>
      <c r="F37" s="74">
        <f>(F22-80)/(S16-1)</f>
        <v>429.33333333333331</v>
      </c>
      <c r="G37" s="2220"/>
      <c r="H37" s="2220"/>
      <c r="I37" s="2220"/>
      <c r="J37" s="2220"/>
      <c r="K37" s="2221"/>
      <c r="L37" s="100"/>
      <c r="M37" s="140"/>
      <c r="N37" s="109"/>
      <c r="O37" s="107" t="s">
        <v>37</v>
      </c>
      <c r="P37" s="109"/>
      <c r="Q37" s="107"/>
      <c r="R37" s="119"/>
      <c r="S37" s="107"/>
      <c r="T37" s="109"/>
      <c r="U37" s="109"/>
      <c r="V37" s="141"/>
    </row>
    <row r="38" spans="2:25" ht="28.5">
      <c r="B38" s="98"/>
      <c r="C38" s="142"/>
      <c r="D38" s="143"/>
      <c r="E38" s="143"/>
      <c r="F38" s="22"/>
      <c r="G38" s="144"/>
      <c r="H38" s="144"/>
      <c r="I38" s="144"/>
      <c r="J38" s="144"/>
      <c r="K38" s="144"/>
      <c r="L38" s="100"/>
      <c r="M38" s="2258" t="s">
        <v>83</v>
      </c>
      <c r="N38" s="2259"/>
      <c r="O38" s="2259"/>
      <c r="P38" s="2259"/>
      <c r="Q38" s="2259"/>
      <c r="R38" s="2259"/>
      <c r="S38" s="2259"/>
      <c r="T38" s="2259"/>
      <c r="U38" s="2259"/>
      <c r="V38" s="2260"/>
    </row>
    <row r="39" spans="2:25" ht="15.75" thickBot="1">
      <c r="B39" s="145"/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45"/>
      <c r="N39" s="114"/>
      <c r="O39" s="146"/>
      <c r="P39" s="114"/>
      <c r="Q39" s="114"/>
      <c r="R39" s="114"/>
      <c r="S39" s="114"/>
      <c r="T39" s="114"/>
      <c r="U39" s="147"/>
      <c r="V39" s="148"/>
    </row>
    <row r="40" spans="2:25" ht="44.25" customHeight="1">
      <c r="B40" s="220"/>
      <c r="C40" s="219" t="s">
        <v>63</v>
      </c>
      <c r="D40" s="2248" t="s">
        <v>84</v>
      </c>
      <c r="E40" s="2248"/>
      <c r="F40" s="2248"/>
      <c r="G40" s="2248"/>
      <c r="H40" s="2248"/>
      <c r="I40" s="2248"/>
      <c r="J40" s="2248"/>
      <c r="K40" s="2248"/>
      <c r="L40" s="2249"/>
      <c r="M40" s="220"/>
      <c r="N40" s="888"/>
      <c r="O40" s="219" t="s">
        <v>58</v>
      </c>
      <c r="P40" s="2250" t="s">
        <v>59</v>
      </c>
      <c r="Q40" s="2250"/>
      <c r="R40" s="2250"/>
      <c r="S40" s="2250"/>
      <c r="T40" s="2250"/>
      <c r="U40" s="2250"/>
      <c r="V40" s="2251"/>
    </row>
    <row r="41" spans="2:25" ht="31.5" customHeight="1">
      <c r="B41" s="149"/>
      <c r="C41" s="150"/>
      <c r="D41" s="150"/>
      <c r="E41" s="150"/>
      <c r="F41" s="150"/>
      <c r="G41" s="150"/>
      <c r="H41" s="150"/>
      <c r="I41" s="150"/>
      <c r="J41" s="150"/>
      <c r="K41" s="150"/>
      <c r="L41" s="150"/>
      <c r="M41" s="13"/>
      <c r="N41" s="54"/>
      <c r="O41" s="17"/>
      <c r="P41" s="17"/>
      <c r="Q41" s="17"/>
      <c r="R41" s="17"/>
      <c r="S41" s="99"/>
      <c r="T41" s="113"/>
      <c r="U41" s="113"/>
      <c r="V41" s="21"/>
    </row>
    <row r="42" spans="2:25" ht="27.75">
      <c r="B42" s="149"/>
      <c r="C42" s="150"/>
      <c r="D42" s="150"/>
      <c r="E42" s="150"/>
      <c r="F42" s="150"/>
      <c r="G42" s="151" t="s">
        <v>85</v>
      </c>
      <c r="H42" s="150"/>
      <c r="I42" s="150"/>
      <c r="J42" s="150"/>
      <c r="K42" s="150"/>
      <c r="L42" s="150"/>
      <c r="M42" s="13"/>
      <c r="N42" s="54"/>
      <c r="O42" s="2222" t="s">
        <v>86</v>
      </c>
      <c r="P42" s="2223"/>
      <c r="Q42" s="2223"/>
      <c r="R42" s="2223"/>
      <c r="S42" s="2223"/>
      <c r="T42" s="2223"/>
      <c r="U42" s="2224"/>
      <c r="V42" s="21"/>
    </row>
    <row r="43" spans="2:25" ht="31.5" customHeight="1">
      <c r="B43" s="149"/>
      <c r="C43" s="152" t="s">
        <v>87</v>
      </c>
      <c r="D43" s="153">
        <f>+S7</f>
        <v>2200</v>
      </c>
      <c r="E43" s="154" t="s">
        <v>88</v>
      </c>
      <c r="F43" s="154" t="s">
        <v>89</v>
      </c>
      <c r="G43" s="155">
        <f>+D43+E43</f>
        <v>2400</v>
      </c>
      <c r="H43" s="156"/>
      <c r="I43" s="150"/>
      <c r="J43" s="150"/>
      <c r="K43" s="150"/>
      <c r="L43" s="150"/>
      <c r="M43" s="13"/>
      <c r="N43" s="54"/>
      <c r="O43" s="17"/>
      <c r="P43" s="17"/>
      <c r="Q43" s="17"/>
      <c r="R43" s="17"/>
      <c r="S43" s="99"/>
      <c r="T43" s="113"/>
      <c r="U43" s="113"/>
      <c r="V43" s="21"/>
    </row>
    <row r="44" spans="2:25" ht="31.5" thickBot="1">
      <c r="B44" s="149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77"/>
      <c r="N44" s="890"/>
      <c r="O44" s="56" t="s">
        <v>48</v>
      </c>
      <c r="P44" s="157">
        <f>1*Q11</f>
        <v>1</v>
      </c>
      <c r="Q44" s="113"/>
      <c r="R44" s="113"/>
      <c r="S44" s="99"/>
      <c r="T44" s="113"/>
      <c r="U44" s="113"/>
      <c r="V44" s="12"/>
    </row>
    <row r="45" spans="2:25" ht="18.75">
      <c r="B45" s="221"/>
      <c r="C45" s="222"/>
      <c r="D45" s="222"/>
      <c r="E45" s="222"/>
      <c r="F45" s="222"/>
      <c r="G45" s="222"/>
      <c r="H45" s="222"/>
      <c r="I45" s="222"/>
      <c r="J45" s="222"/>
      <c r="K45" s="222"/>
      <c r="L45" s="223"/>
      <c r="M45" s="13"/>
      <c r="N45" s="54"/>
      <c r="O45" s="17"/>
      <c r="P45" s="17"/>
      <c r="Q45" s="17"/>
      <c r="R45" s="17"/>
      <c r="S45" s="99"/>
      <c r="T45" s="113"/>
      <c r="U45" s="113"/>
      <c r="V45" s="21"/>
    </row>
    <row r="46" spans="2:25" ht="30.75">
      <c r="B46" s="224"/>
      <c r="C46" s="2261" t="str">
        <f>+IF(DATI!$C$12=1,"","RETE GRIGIA")</f>
        <v>RETE GRIGIA</v>
      </c>
      <c r="D46" s="2261"/>
      <c r="E46" s="2261"/>
      <c r="F46" s="2261"/>
      <c r="G46" s="2261"/>
      <c r="H46" s="2261"/>
      <c r="I46" s="2261"/>
      <c r="J46" s="2261"/>
      <c r="K46" s="225"/>
      <c r="L46" s="225"/>
      <c r="M46" s="81"/>
      <c r="N46" s="891"/>
      <c r="O46" s="56" t="s">
        <v>71</v>
      </c>
      <c r="P46" s="158"/>
      <c r="Q46" s="101"/>
      <c r="R46" s="101"/>
      <c r="S46" s="2227">
        <f>+Q7-104</f>
        <v>1296</v>
      </c>
      <c r="T46" s="2228"/>
      <c r="U46" s="113"/>
      <c r="V46" s="82"/>
    </row>
    <row r="47" spans="2:25" ht="18.75">
      <c r="B47" s="224"/>
      <c r="C47" s="2261"/>
      <c r="D47" s="2261"/>
      <c r="E47" s="2261"/>
      <c r="F47" s="2261"/>
      <c r="G47" s="2261"/>
      <c r="H47" s="2261"/>
      <c r="I47" s="2261"/>
      <c r="J47" s="2261"/>
      <c r="K47" s="225"/>
      <c r="L47" s="225"/>
      <c r="M47" s="13"/>
      <c r="N47" s="54"/>
      <c r="O47" s="17"/>
      <c r="P47" s="17"/>
      <c r="Q47" s="17"/>
      <c r="R47" s="17"/>
      <c r="S47" s="99"/>
      <c r="T47" s="113"/>
      <c r="U47" s="113"/>
      <c r="V47" s="21"/>
    </row>
    <row r="48" spans="2:25" ht="31.5" thickBot="1">
      <c r="B48" s="224"/>
      <c r="C48" s="225"/>
      <c r="D48" s="225"/>
      <c r="E48" s="225"/>
      <c r="F48" s="225"/>
      <c r="G48" s="225"/>
      <c r="H48" s="225"/>
      <c r="I48" s="225"/>
      <c r="J48" s="225"/>
      <c r="K48" s="225"/>
      <c r="L48" s="225"/>
      <c r="M48" s="13"/>
      <c r="N48" s="54"/>
      <c r="O48" s="56" t="s">
        <v>67</v>
      </c>
      <c r="P48" s="158"/>
      <c r="Q48" s="101"/>
      <c r="R48" s="101"/>
      <c r="S48" s="2227">
        <f>+Q7-32</f>
        <v>1368</v>
      </c>
      <c r="T48" s="2228"/>
      <c r="U48" s="113"/>
      <c r="V48" s="21"/>
    </row>
    <row r="49" spans="2:22" ht="44.25" customHeight="1">
      <c r="B49" s="220"/>
      <c r="C49" s="219" t="s">
        <v>69</v>
      </c>
      <c r="D49" s="2248" t="s">
        <v>90</v>
      </c>
      <c r="E49" s="2248"/>
      <c r="F49" s="2248"/>
      <c r="G49" s="2248"/>
      <c r="H49" s="2248"/>
      <c r="I49" s="2248"/>
      <c r="J49" s="2248"/>
      <c r="K49" s="2248"/>
      <c r="L49" s="2249"/>
      <c r="M49" s="13"/>
      <c r="N49" s="54"/>
      <c r="O49" s="159"/>
      <c r="P49" s="159"/>
      <c r="Q49" s="99"/>
      <c r="R49" s="99"/>
      <c r="S49" s="16"/>
      <c r="T49" s="16"/>
      <c r="U49" s="113"/>
      <c r="V49" s="21"/>
    </row>
    <row r="50" spans="2:22" ht="30.75">
      <c r="B50" s="98"/>
      <c r="C50" s="99"/>
      <c r="D50" s="99"/>
      <c r="E50" s="99"/>
      <c r="F50" s="99"/>
      <c r="G50" s="99"/>
      <c r="H50" s="99"/>
      <c r="I50" s="99"/>
      <c r="J50" s="99"/>
      <c r="K50" s="99"/>
      <c r="L50" s="100"/>
      <c r="M50" s="13"/>
      <c r="N50" s="54"/>
      <c r="O50" s="160" t="s">
        <v>91</v>
      </c>
      <c r="P50" s="161"/>
      <c r="Q50" s="162"/>
      <c r="R50" s="162"/>
      <c r="S50" s="163"/>
      <c r="T50" s="163"/>
      <c r="U50" s="164"/>
      <c r="V50" s="21"/>
    </row>
    <row r="51" spans="2:22" ht="28.5">
      <c r="B51" s="98"/>
      <c r="C51" s="165" t="s">
        <v>92</v>
      </c>
      <c r="D51" s="166"/>
      <c r="E51" s="167"/>
      <c r="F51" s="99"/>
      <c r="G51" s="168"/>
      <c r="H51" s="99"/>
      <c r="I51" s="99"/>
      <c r="J51" s="99"/>
      <c r="K51" s="99"/>
      <c r="L51" s="100"/>
      <c r="M51" s="13"/>
      <c r="N51" s="54"/>
      <c r="O51" s="169" t="s">
        <v>93</v>
      </c>
      <c r="P51" s="170"/>
      <c r="Q51" s="170"/>
      <c r="R51" s="170"/>
      <c r="S51" s="170"/>
      <c r="T51" s="170"/>
      <c r="U51" s="171"/>
      <c r="V51" s="21"/>
    </row>
    <row r="52" spans="2:22" ht="28.5">
      <c r="B52" s="98"/>
      <c r="C52" s="172"/>
      <c r="D52" s="173" t="s">
        <v>94</v>
      </c>
      <c r="E52" s="99"/>
      <c r="F52" s="168"/>
      <c r="G52" s="168"/>
      <c r="H52" s="99"/>
      <c r="I52" s="99"/>
      <c r="J52" s="99"/>
      <c r="K52" s="99"/>
      <c r="L52" s="100"/>
      <c r="M52" s="84"/>
      <c r="N52" s="892"/>
      <c r="O52" s="29"/>
      <c r="P52" s="29"/>
      <c r="Q52" s="29"/>
      <c r="R52" s="29"/>
      <c r="S52" s="29"/>
      <c r="T52" s="29"/>
      <c r="U52" s="29"/>
      <c r="V52" s="85"/>
    </row>
    <row r="53" spans="2:22" ht="28.5">
      <c r="B53" s="98"/>
      <c r="C53" s="174"/>
      <c r="D53" s="173" t="s">
        <v>95</v>
      </c>
      <c r="E53" s="99"/>
      <c r="F53" s="119"/>
      <c r="G53" s="107"/>
      <c r="H53" s="99"/>
      <c r="I53" s="99"/>
      <c r="J53" s="99"/>
      <c r="K53" s="99"/>
      <c r="L53" s="100"/>
      <c r="M53" s="13"/>
      <c r="N53" s="54"/>
      <c r="O53" s="17"/>
      <c r="P53" s="17"/>
      <c r="Q53" s="17"/>
      <c r="R53" s="17"/>
      <c r="S53" s="99"/>
      <c r="T53" s="113"/>
      <c r="U53" s="113"/>
      <c r="V53" s="21"/>
    </row>
    <row r="54" spans="2:22" ht="28.5">
      <c r="B54" s="98"/>
      <c r="C54" s="174"/>
      <c r="D54" s="173" t="s">
        <v>96</v>
      </c>
      <c r="E54" s="99"/>
      <c r="F54" s="119"/>
      <c r="G54" s="107"/>
      <c r="H54" s="99"/>
      <c r="I54" s="99"/>
      <c r="J54" s="99"/>
      <c r="K54" s="99"/>
      <c r="L54" s="100"/>
      <c r="M54" s="13"/>
      <c r="N54" s="54"/>
      <c r="O54" s="2222" t="s">
        <v>97</v>
      </c>
      <c r="P54" s="2223"/>
      <c r="Q54" s="2223"/>
      <c r="R54" s="2223"/>
      <c r="S54" s="2223"/>
      <c r="T54" s="2223"/>
      <c r="U54" s="2224"/>
      <c r="V54" s="21"/>
    </row>
    <row r="55" spans="2:22" ht="18.75">
      <c r="B55" s="175"/>
      <c r="C55" s="176"/>
      <c r="D55" s="177"/>
      <c r="E55" s="177"/>
      <c r="F55" s="177"/>
      <c r="G55" s="177"/>
      <c r="H55" s="177"/>
      <c r="I55" s="177"/>
      <c r="J55" s="177"/>
      <c r="K55" s="177"/>
      <c r="L55" s="178"/>
      <c r="M55" s="13"/>
      <c r="N55" s="54"/>
      <c r="O55" s="17"/>
      <c r="P55" s="17"/>
      <c r="Q55" s="17"/>
      <c r="R55" s="17"/>
      <c r="S55" s="99"/>
      <c r="T55" s="113"/>
      <c r="U55" s="113"/>
      <c r="V55" s="21"/>
    </row>
    <row r="56" spans="2:22" ht="30.75">
      <c r="B56" s="179" t="s">
        <v>37</v>
      </c>
      <c r="C56" s="180"/>
      <c r="D56" s="180"/>
      <c r="E56" s="180"/>
      <c r="F56" s="180"/>
      <c r="G56" s="180"/>
      <c r="H56" s="180"/>
      <c r="I56" s="180"/>
      <c r="J56" s="180"/>
      <c r="K56" s="180"/>
      <c r="L56" s="181"/>
      <c r="M56" s="13"/>
      <c r="N56" s="54"/>
      <c r="O56" s="78" t="s">
        <v>48</v>
      </c>
      <c r="P56" s="157">
        <f>1*Q11</f>
        <v>1</v>
      </c>
      <c r="Q56" s="80"/>
      <c r="R56" s="80"/>
      <c r="S56" s="99"/>
      <c r="T56" s="113"/>
      <c r="U56" s="113"/>
      <c r="V56" s="21"/>
    </row>
    <row r="57" spans="2:22" ht="21">
      <c r="B57" s="182" t="s">
        <v>37</v>
      </c>
      <c r="C57" s="183"/>
      <c r="D57" s="184" t="s">
        <v>98</v>
      </c>
      <c r="E57" s="184" t="s">
        <v>99</v>
      </c>
      <c r="F57" s="184" t="s">
        <v>100</v>
      </c>
      <c r="G57" s="183"/>
      <c r="H57" s="183"/>
      <c r="I57" s="183"/>
      <c r="J57" s="183"/>
      <c r="K57" s="183"/>
      <c r="L57" s="185"/>
      <c r="M57" s="13"/>
      <c r="N57" s="54"/>
      <c r="O57" s="17"/>
      <c r="P57" s="17"/>
      <c r="Q57" s="17"/>
      <c r="R57" s="17"/>
      <c r="S57" s="99"/>
      <c r="T57" s="113"/>
      <c r="U57" s="113"/>
      <c r="V57" s="21"/>
    </row>
    <row r="58" spans="2:22" ht="30.75">
      <c r="B58" s="186"/>
      <c r="C58" s="183"/>
      <c r="D58" s="187" t="s">
        <v>44</v>
      </c>
      <c r="E58" s="188"/>
      <c r="F58" s="188"/>
      <c r="G58" s="189"/>
      <c r="H58" s="183"/>
      <c r="I58" s="183"/>
      <c r="J58" s="183"/>
      <c r="K58" s="183"/>
      <c r="L58" s="185"/>
      <c r="M58" s="13"/>
      <c r="N58" s="54"/>
      <c r="O58" s="2212" t="s">
        <v>101</v>
      </c>
      <c r="P58" s="2213"/>
      <c r="Q58" s="2213"/>
      <c r="R58" s="2213"/>
      <c r="S58" s="2227">
        <f>+Q7-34</f>
        <v>1366</v>
      </c>
      <c r="T58" s="2228"/>
      <c r="U58" s="113"/>
      <c r="V58" s="21"/>
    </row>
    <row r="59" spans="2:22" ht="21">
      <c r="B59" s="190"/>
      <c r="C59" s="183"/>
      <c r="D59" s="191">
        <v>0.05</v>
      </c>
      <c r="E59" s="192">
        <v>0.17499999999999999</v>
      </c>
      <c r="F59" s="193" t="s">
        <v>102</v>
      </c>
      <c r="G59" s="192">
        <f>(S7+300)/1000</f>
        <v>2.5</v>
      </c>
      <c r="H59" s="183"/>
      <c r="I59" s="183"/>
      <c r="J59" s="183"/>
      <c r="K59" s="183"/>
      <c r="L59" s="185"/>
      <c r="M59" s="13"/>
      <c r="N59" s="54"/>
      <c r="O59" s="17"/>
      <c r="P59" s="17"/>
      <c r="Q59" s="17"/>
      <c r="R59" s="17"/>
      <c r="S59" s="99"/>
      <c r="T59" s="113"/>
      <c r="U59" s="113"/>
      <c r="V59" s="21"/>
    </row>
    <row r="60" spans="2:22" ht="30.75">
      <c r="B60" s="194"/>
      <c r="C60" s="183"/>
      <c r="D60" s="191" t="s">
        <v>103</v>
      </c>
      <c r="E60" s="191"/>
      <c r="F60" s="192" t="str">
        <f>Q11</f>
        <v>1</v>
      </c>
      <c r="G60" s="191" t="s">
        <v>104</v>
      </c>
      <c r="H60" s="183"/>
      <c r="I60" s="183"/>
      <c r="J60" s="183"/>
      <c r="K60" s="183"/>
      <c r="L60" s="185"/>
      <c r="M60" s="13"/>
      <c r="N60" s="54"/>
      <c r="O60" s="2212" t="s">
        <v>73</v>
      </c>
      <c r="P60" s="2213"/>
      <c r="Q60" s="2213"/>
      <c r="R60" s="2213"/>
      <c r="S60" s="2227">
        <f>+Q7-5</f>
        <v>1395</v>
      </c>
      <c r="T60" s="2228"/>
      <c r="U60" s="113"/>
      <c r="V60" s="21"/>
    </row>
    <row r="61" spans="2:22" ht="21.75" thickBot="1">
      <c r="B61" s="195"/>
      <c r="C61" s="196"/>
      <c r="D61" s="197" t="s">
        <v>105</v>
      </c>
      <c r="E61" s="197"/>
      <c r="F61" s="198">
        <f>(D59*E59*G59)*F60</f>
        <v>2.1874999999999999E-2</v>
      </c>
      <c r="G61" s="197" t="s">
        <v>106</v>
      </c>
      <c r="H61" s="196"/>
      <c r="I61" s="196"/>
      <c r="J61" s="196"/>
      <c r="K61" s="196"/>
      <c r="L61" s="199"/>
      <c r="M61" s="88"/>
      <c r="N61" s="893"/>
      <c r="O61" s="89"/>
      <c r="P61" s="89"/>
      <c r="Q61" s="89"/>
      <c r="R61" s="89"/>
      <c r="S61" s="89"/>
      <c r="T61" s="89"/>
      <c r="U61" s="89"/>
      <c r="V61" s="90"/>
    </row>
    <row r="62" spans="2:22" ht="44.25" customHeight="1">
      <c r="B62" s="220"/>
      <c r="C62" s="219" t="s">
        <v>107</v>
      </c>
      <c r="D62" s="2268" t="s">
        <v>108</v>
      </c>
      <c r="E62" s="2268"/>
      <c r="F62" s="2268"/>
      <c r="G62" s="2268"/>
      <c r="H62" s="2268"/>
      <c r="I62" s="2268"/>
      <c r="J62" s="2268"/>
      <c r="K62" s="2268"/>
      <c r="L62" s="2269"/>
      <c r="M62" s="13"/>
      <c r="N62" s="54"/>
      <c r="O62" s="17"/>
      <c r="P62" s="17"/>
      <c r="Q62" s="17"/>
      <c r="R62" s="17"/>
      <c r="S62" s="99"/>
      <c r="T62" s="113"/>
      <c r="U62" s="113"/>
      <c r="V62" s="21"/>
    </row>
    <row r="63" spans="2:22" ht="27.75">
      <c r="B63" s="2270" t="s">
        <v>109</v>
      </c>
      <c r="C63" s="2271"/>
      <c r="D63" s="2271"/>
      <c r="E63" s="2272"/>
      <c r="F63" s="2273" t="s">
        <v>110</v>
      </c>
      <c r="G63" s="2271"/>
      <c r="H63" s="2271"/>
      <c r="I63" s="2271"/>
      <c r="J63" s="2271"/>
      <c r="K63" s="2271"/>
      <c r="L63" s="2274"/>
      <c r="M63" s="13"/>
      <c r="N63" s="54"/>
      <c r="O63" s="2222" t="s">
        <v>111</v>
      </c>
      <c r="P63" s="2223"/>
      <c r="Q63" s="2223"/>
      <c r="R63" s="2223"/>
      <c r="S63" s="2223"/>
      <c r="T63" s="2223"/>
      <c r="U63" s="2224"/>
      <c r="V63" s="21"/>
    </row>
    <row r="64" spans="2:22" ht="21">
      <c r="B64" s="2264" t="s">
        <v>112</v>
      </c>
      <c r="C64" s="2265"/>
      <c r="D64" s="2266" t="s">
        <v>113</v>
      </c>
      <c r="E64" s="2267"/>
      <c r="F64" s="2276">
        <f>+DATI!C13</f>
        <v>0</v>
      </c>
      <c r="G64" s="2277"/>
      <c r="H64" s="2277"/>
      <c r="I64" s="2277"/>
      <c r="J64" s="2277"/>
      <c r="K64" s="2277"/>
      <c r="L64" s="2278"/>
      <c r="M64" s="13"/>
      <c r="N64" s="54"/>
      <c r="O64" s="17"/>
      <c r="P64" s="17"/>
      <c r="Q64" s="17"/>
      <c r="R64" s="17"/>
      <c r="S64" s="99"/>
      <c r="T64" s="99"/>
      <c r="U64" s="99"/>
      <c r="V64" s="21"/>
    </row>
    <row r="65" spans="2:22" ht="28.5">
      <c r="B65" s="2282"/>
      <c r="C65" s="2283"/>
      <c r="D65" s="2286"/>
      <c r="E65" s="2287"/>
      <c r="F65" s="2279"/>
      <c r="G65" s="2280"/>
      <c r="H65" s="2280"/>
      <c r="I65" s="2280"/>
      <c r="J65" s="2280"/>
      <c r="K65" s="2280"/>
      <c r="L65" s="2281"/>
      <c r="M65" s="13"/>
      <c r="N65" s="54"/>
      <c r="O65" s="78" t="s">
        <v>48</v>
      </c>
      <c r="P65" s="200">
        <f>2*Q11</f>
        <v>2</v>
      </c>
      <c r="Q65" s="80"/>
      <c r="R65" s="80"/>
      <c r="S65" s="99"/>
      <c r="T65" s="99"/>
      <c r="U65" s="99"/>
      <c r="V65" s="21"/>
    </row>
    <row r="66" spans="2:22" ht="21">
      <c r="B66" s="2282"/>
      <c r="C66" s="2283"/>
      <c r="D66" s="2286"/>
      <c r="E66" s="2287"/>
      <c r="F66" s="2273" t="s">
        <v>114</v>
      </c>
      <c r="G66" s="2271"/>
      <c r="H66" s="2271"/>
      <c r="I66" s="2271"/>
      <c r="J66" s="2271"/>
      <c r="K66" s="2273" t="s">
        <v>115</v>
      </c>
      <c r="L66" s="2274"/>
      <c r="M66" s="13"/>
      <c r="N66" s="54"/>
      <c r="O66" s="17"/>
      <c r="P66" s="17"/>
      <c r="Q66" s="17"/>
      <c r="R66" s="17"/>
      <c r="S66" s="99"/>
      <c r="T66" s="99"/>
      <c r="U66" s="99"/>
      <c r="V66" s="21"/>
    </row>
    <row r="67" spans="2:22" ht="28.5">
      <c r="B67" s="2282"/>
      <c r="C67" s="2283"/>
      <c r="D67" s="2286"/>
      <c r="E67" s="2287"/>
      <c r="F67" s="2254" t="str">
        <f>+IF(DATI!$C$12=1,"","RETE GRIGIA")</f>
        <v>RETE GRIGIA</v>
      </c>
      <c r="G67" s="2255"/>
      <c r="H67" s="2255"/>
      <c r="I67" s="2255"/>
      <c r="J67" s="2255"/>
      <c r="K67" s="201"/>
      <c r="L67" s="185"/>
      <c r="M67" s="13"/>
      <c r="N67" s="54"/>
      <c r="O67" s="56" t="s">
        <v>116</v>
      </c>
      <c r="P67" s="158"/>
      <c r="Q67" s="101"/>
      <c r="R67" s="101"/>
      <c r="S67" s="2236">
        <f>+S7-28</f>
        <v>2172</v>
      </c>
      <c r="T67" s="2237"/>
      <c r="U67" s="99"/>
      <c r="V67" s="21"/>
    </row>
    <row r="68" spans="2:22" ht="21.75" thickBot="1">
      <c r="B68" s="2284"/>
      <c r="C68" s="2285"/>
      <c r="D68" s="2288"/>
      <c r="E68" s="2289"/>
      <c r="F68" s="2256"/>
      <c r="G68" s="2257"/>
      <c r="H68" s="2257"/>
      <c r="I68" s="2257"/>
      <c r="J68" s="2257"/>
      <c r="K68" s="202"/>
      <c r="L68" s="203"/>
      <c r="M68" s="75"/>
      <c r="N68" s="72"/>
      <c r="O68" s="44"/>
      <c r="P68" s="44"/>
      <c r="Q68" s="44"/>
      <c r="R68" s="44"/>
      <c r="S68" s="44"/>
      <c r="T68" s="44"/>
      <c r="U68" s="44"/>
      <c r="V68" s="73"/>
    </row>
    <row r="70" spans="2:22" ht="99.75">
      <c r="V70" s="204"/>
    </row>
  </sheetData>
  <mergeCells count="46">
    <mergeCell ref="B2:V2"/>
    <mergeCell ref="E4:P4"/>
    <mergeCell ref="D6:G6"/>
    <mergeCell ref="O6:P7"/>
    <mergeCell ref="S6:T6"/>
    <mergeCell ref="S7:T7"/>
    <mergeCell ref="C37:E37"/>
    <mergeCell ref="G37:K37"/>
    <mergeCell ref="O9:P9"/>
    <mergeCell ref="Q9:T9"/>
    <mergeCell ref="D10:G10"/>
    <mergeCell ref="O11:P11"/>
    <mergeCell ref="F12:G12"/>
    <mergeCell ref="D14:L14"/>
    <mergeCell ref="P14:V14"/>
    <mergeCell ref="F15:J20"/>
    <mergeCell ref="Q16:R16"/>
    <mergeCell ref="C22:E22"/>
    <mergeCell ref="H33:I33"/>
    <mergeCell ref="J34:K34"/>
    <mergeCell ref="O60:R60"/>
    <mergeCell ref="S60:T60"/>
    <mergeCell ref="M38:V38"/>
    <mergeCell ref="D40:L40"/>
    <mergeCell ref="P40:V40"/>
    <mergeCell ref="O42:U42"/>
    <mergeCell ref="C46:J47"/>
    <mergeCell ref="S46:T46"/>
    <mergeCell ref="S48:T48"/>
    <mergeCell ref="D49:L49"/>
    <mergeCell ref="O54:U54"/>
    <mergeCell ref="O58:R58"/>
    <mergeCell ref="S58:T58"/>
    <mergeCell ref="K66:L66"/>
    <mergeCell ref="F67:J68"/>
    <mergeCell ref="S67:T67"/>
    <mergeCell ref="D62:L62"/>
    <mergeCell ref="B63:E63"/>
    <mergeCell ref="F63:L63"/>
    <mergeCell ref="O63:U63"/>
    <mergeCell ref="B64:C64"/>
    <mergeCell ref="D64:E64"/>
    <mergeCell ref="F64:L65"/>
    <mergeCell ref="B65:C68"/>
    <mergeCell ref="D65:E68"/>
    <mergeCell ref="F66:J66"/>
  </mergeCells>
  <conditionalFormatting sqref="F12:G12">
    <cfRule type="expression" dxfId="0" priority="1" stopIfTrue="1">
      <formula>IF(#REF!=1,1,0)</formula>
    </cfRule>
  </conditionalFormatting>
  <printOptions horizontalCentered="1" gridLinesSet="0"/>
  <pageMargins left="0" right="0" top="0" bottom="0" header="0" footer="0"/>
  <pageSetup paperSize="9" scale="39" orientation="portrait" horizontalDpi="1200" verticalDpi="1200" r:id="rId1"/>
  <headerFooter alignWithMargins="0">
    <oddFooter>&amp;LREV. 09/05 - VER.1&amp;R&amp;D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>
    <tabColor theme="2" tint="-0.249977111117893"/>
    <pageSetUpPr fitToPage="1"/>
  </sheetPr>
  <dimension ref="A1:AA74"/>
  <sheetViews>
    <sheetView showGridLines="0" zoomScale="40" zoomScaleNormal="40" workbookViewId="0">
      <selection activeCell="N66" sqref="N66:T66"/>
    </sheetView>
  </sheetViews>
  <sheetFormatPr defaultColWidth="10.28515625" defaultRowHeight="15"/>
  <cols>
    <col min="1" max="1" width="34.85546875" style="918" customWidth="1"/>
    <col min="2" max="2" width="4.5703125" style="918" customWidth="1"/>
    <col min="3" max="3" width="32" style="918" customWidth="1"/>
    <col min="4" max="4" width="13.28515625" style="918" customWidth="1"/>
    <col min="5" max="5" width="21.140625" style="918" customWidth="1"/>
    <col min="6" max="6" width="15" style="918" customWidth="1"/>
    <col min="7" max="7" width="17.85546875" style="918" customWidth="1"/>
    <col min="8" max="9" width="9.28515625" style="918" customWidth="1"/>
    <col min="10" max="10" width="6.42578125" style="918" customWidth="1"/>
    <col min="11" max="11" width="9.85546875" style="918" customWidth="1"/>
    <col min="12" max="12" width="4.7109375" style="918" customWidth="1"/>
    <col min="13" max="13" width="3.7109375" style="918" customWidth="1"/>
    <col min="14" max="14" width="17.85546875" style="918" customWidth="1"/>
    <col min="15" max="15" width="13.85546875" style="918" customWidth="1"/>
    <col min="16" max="16" width="16.28515625" style="918" customWidth="1"/>
    <col min="17" max="17" width="9.7109375" style="918" customWidth="1"/>
    <col min="18" max="18" width="11.140625" style="918" customWidth="1"/>
    <col min="19" max="19" width="9.5703125" style="918" customWidth="1"/>
    <col min="20" max="20" width="19" style="918" customWidth="1"/>
    <col min="21" max="21" width="11.42578125" style="918" customWidth="1"/>
    <col min="22" max="22" width="6.5703125" style="918" customWidth="1"/>
    <col min="23" max="24" width="10.28515625" style="918"/>
    <col min="25" max="25" width="17" style="918" bestFit="1" customWidth="1"/>
    <col min="26" max="16384" width="10.28515625" style="918"/>
  </cols>
  <sheetData>
    <row r="1" spans="1:22" ht="18">
      <c r="A1" s="917"/>
    </row>
    <row r="2" spans="1:22" ht="33.75">
      <c r="A2" s="917"/>
      <c r="B2" s="2305" t="str">
        <f>+VLOOKUP(110,TRADUZIONI,DATI!C2-1,0)</f>
        <v>FOGLIO LAVORO GIOCONDA FRIZIONATA .22</v>
      </c>
      <c r="C2" s="2306"/>
      <c r="D2" s="2306"/>
      <c r="E2" s="2306"/>
      <c r="F2" s="2306"/>
      <c r="G2" s="2306"/>
      <c r="H2" s="2306"/>
      <c r="I2" s="2306"/>
      <c r="J2" s="2306"/>
      <c r="K2" s="2306"/>
      <c r="L2" s="2306"/>
      <c r="M2" s="2306"/>
      <c r="N2" s="2306"/>
      <c r="O2" s="2306"/>
      <c r="P2" s="2306"/>
      <c r="Q2" s="2306"/>
      <c r="R2" s="2306"/>
      <c r="S2" s="2306"/>
      <c r="T2" s="2306"/>
      <c r="U2" s="2306"/>
      <c r="V2" s="2306"/>
    </row>
    <row r="3" spans="1:22" ht="18.75" thickBot="1">
      <c r="A3" s="917"/>
    </row>
    <row r="4" spans="1:22" ht="44.25" customHeight="1">
      <c r="A4" s="917"/>
      <c r="B4" s="919"/>
      <c r="C4" s="920" t="str">
        <f>+VLOOKUP(108,TRADUZIONI,DATI!$C$2-1,0)</f>
        <v>QUADRO A</v>
      </c>
      <c r="D4" s="921"/>
      <c r="E4" s="2307" t="str">
        <f>+VLOOKUP(109,TRADUZIONI,DATI!$C$2-1,0)</f>
        <v>DATI ORDINE</v>
      </c>
      <c r="F4" s="2307"/>
      <c r="G4" s="2307"/>
      <c r="H4" s="2307"/>
      <c r="I4" s="2307"/>
      <c r="J4" s="2307"/>
      <c r="K4" s="2307"/>
      <c r="L4" s="2307"/>
      <c r="M4" s="2307"/>
      <c r="N4" s="2307"/>
      <c r="O4" s="2307"/>
      <c r="P4" s="922"/>
      <c r="Q4" s="921"/>
      <c r="R4" s="921"/>
      <c r="S4" s="921"/>
      <c r="T4" s="921"/>
      <c r="U4" s="921"/>
      <c r="V4" s="923"/>
    </row>
    <row r="5" spans="1:22" ht="18">
      <c r="A5" s="917"/>
      <c r="B5" s="924"/>
      <c r="C5" s="925"/>
      <c r="D5" s="925"/>
      <c r="E5" s="925"/>
      <c r="F5" s="925"/>
      <c r="G5" s="925"/>
      <c r="H5" s="925"/>
      <c r="I5" s="925"/>
      <c r="J5" s="925"/>
      <c r="K5" s="925"/>
      <c r="L5" s="925"/>
      <c r="M5" s="925"/>
      <c r="N5" s="925"/>
      <c r="O5" s="925"/>
      <c r="P5" s="925"/>
      <c r="Q5" s="925"/>
      <c r="R5" s="925"/>
      <c r="S5" s="925"/>
      <c r="T5" s="925"/>
      <c r="U5" s="925"/>
      <c r="V5" s="926"/>
    </row>
    <row r="6" spans="1:22" ht="30.75">
      <c r="A6" s="917"/>
      <c r="B6" s="924"/>
      <c r="C6" s="1432" t="str">
        <f>+VLOOKUP(22,TRADUZIONI,DATI!C2-1,0)</f>
        <v>CLIENTE</v>
      </c>
      <c r="D6" s="2308">
        <f>+DATI!C6</f>
        <v>0</v>
      </c>
      <c r="E6" s="2308"/>
      <c r="F6" s="2308"/>
      <c r="G6" s="2308"/>
      <c r="H6" s="928"/>
      <c r="I6" s="928"/>
      <c r="J6" s="928"/>
      <c r="K6" s="929"/>
      <c r="L6" s="930"/>
      <c r="M6" s="931"/>
      <c r="N6" s="2309" t="str">
        <f>+VLOOKUP(115,TRADUZIONI,DATI!C2-1,0)</f>
        <v xml:space="preserve">DIMENSIONI </v>
      </c>
      <c r="O6" s="2310"/>
      <c r="P6" s="927" t="str">
        <f>+VLOOKUP(96,TRADUZIONI,DATI!C2-1,0)</f>
        <v>BASE</v>
      </c>
      <c r="Q6" s="932"/>
      <c r="R6" s="2313" t="str">
        <f>+VLOOKUP(97,TRADUZIONI,DATI!C2-1,0)</f>
        <v>ALTEZZA</v>
      </c>
      <c r="S6" s="2314"/>
      <c r="T6" s="925"/>
      <c r="U6" s="925"/>
      <c r="V6" s="926"/>
    </row>
    <row r="7" spans="1:22" ht="29.25" customHeight="1">
      <c r="A7" s="917"/>
      <c r="B7" s="924"/>
      <c r="C7" s="925"/>
      <c r="D7" s="925" t="s">
        <v>37</v>
      </c>
      <c r="E7" s="925"/>
      <c r="F7" s="925"/>
      <c r="G7" s="925"/>
      <c r="H7" s="925"/>
      <c r="I7" s="925"/>
      <c r="J7" s="925"/>
      <c r="K7" s="925"/>
      <c r="L7" s="930"/>
      <c r="M7" s="931"/>
      <c r="N7" s="2311"/>
      <c r="O7" s="2312"/>
      <c r="P7" s="933">
        <f>+DATI!C7</f>
        <v>1400</v>
      </c>
      <c r="Q7" s="934" t="s">
        <v>44</v>
      </c>
      <c r="R7" s="2315">
        <f>+DATI!C8</f>
        <v>2200</v>
      </c>
      <c r="S7" s="2316"/>
      <c r="T7" s="925"/>
      <c r="U7" s="925"/>
      <c r="V7" s="926"/>
    </row>
    <row r="8" spans="1:22" ht="30.75">
      <c r="A8" s="917"/>
      <c r="B8" s="924"/>
      <c r="C8" s="927" t="str">
        <f>+VLOOKUP(23,TRADUZIONI,DATI!C2-1,0)</f>
        <v>NUM. ORDINE</v>
      </c>
      <c r="D8" s="935">
        <f>+DATI!C4</f>
        <v>0</v>
      </c>
      <c r="E8" s="935"/>
      <c r="F8" s="935"/>
      <c r="G8" s="935"/>
      <c r="H8" s="928"/>
      <c r="I8" s="928"/>
      <c r="J8" s="928"/>
      <c r="K8" s="929"/>
      <c r="L8" s="930"/>
      <c r="M8" s="931"/>
      <c r="N8" s="925"/>
      <c r="O8" s="925"/>
      <c r="P8" s="925"/>
      <c r="Q8" s="925"/>
      <c r="R8" s="936"/>
      <c r="S8" s="925"/>
      <c r="T8" s="925"/>
      <c r="U8" s="925"/>
      <c r="V8" s="926"/>
    </row>
    <row r="9" spans="1:22" ht="30.75">
      <c r="A9" s="917"/>
      <c r="B9" s="924"/>
      <c r="C9" s="925"/>
      <c r="D9" s="925"/>
      <c r="E9" s="925"/>
      <c r="F9" s="925"/>
      <c r="G9" s="925"/>
      <c r="H9" s="925"/>
      <c r="I9" s="925"/>
      <c r="J9" s="925"/>
      <c r="K9" s="925"/>
      <c r="L9" s="930"/>
      <c r="M9" s="931"/>
      <c r="N9" s="2318" t="str">
        <f>+VLOOKUP(99,TRADUZIONI,DATI!C2-1,0)</f>
        <v>COLORE</v>
      </c>
      <c r="O9" s="2314"/>
      <c r="P9" s="2319" t="str">
        <f>+DATI!C10</f>
        <v>06.NERO</v>
      </c>
      <c r="Q9" s="2320"/>
      <c r="R9" s="2320"/>
      <c r="S9" s="2321"/>
      <c r="T9" s="925"/>
      <c r="U9" s="925"/>
      <c r="V9" s="926"/>
    </row>
    <row r="10" spans="1:22" ht="30.75">
      <c r="A10" s="917"/>
      <c r="B10" s="924"/>
      <c r="C10" s="1434" t="str">
        <f>+VLOOKUP(5,TRADUZIONI,DATI!C2-1,0)</f>
        <v>DATA SPEDIZIONE</v>
      </c>
      <c r="D10" s="2322">
        <f>+DATI!C5</f>
        <v>42370</v>
      </c>
      <c r="E10" s="2320"/>
      <c r="F10" s="2320"/>
      <c r="G10" s="2320"/>
      <c r="H10" s="928"/>
      <c r="I10" s="928"/>
      <c r="J10" s="928"/>
      <c r="K10" s="929"/>
      <c r="L10" s="930"/>
      <c r="M10" s="931"/>
      <c r="N10" s="937"/>
      <c r="O10" s="925"/>
      <c r="P10" s="925"/>
      <c r="Q10" s="925"/>
      <c r="R10" s="925"/>
      <c r="S10" s="925"/>
      <c r="T10" s="925"/>
      <c r="U10" s="925"/>
      <c r="V10" s="926"/>
    </row>
    <row r="11" spans="1:22" ht="30.75">
      <c r="A11" s="917"/>
      <c r="B11" s="924"/>
      <c r="C11" s="925"/>
      <c r="D11" s="925"/>
      <c r="E11" s="925"/>
      <c r="F11" s="925"/>
      <c r="G11" s="925"/>
      <c r="H11" s="925"/>
      <c r="I11" s="925"/>
      <c r="J11" s="925"/>
      <c r="K11" s="925"/>
      <c r="L11" s="930"/>
      <c r="M11" s="931"/>
      <c r="N11" s="2323" t="str">
        <f>+VLOOKUP(78,TRADUZIONI,DATI!C2-1,0)</f>
        <v>PEZZI /PZ.</v>
      </c>
      <c r="O11" s="2324"/>
      <c r="P11" s="938" t="str">
        <f>+DATI!C11</f>
        <v>1</v>
      </c>
      <c r="Q11" s="925"/>
      <c r="R11" s="925"/>
      <c r="S11" s="925"/>
      <c r="T11" s="925"/>
      <c r="U11" s="925"/>
      <c r="V11" s="926"/>
    </row>
    <row r="12" spans="1:22" ht="30.75">
      <c r="A12" s="917"/>
      <c r="B12" s="924"/>
      <c r="C12" s="927" t="s">
        <v>49</v>
      </c>
      <c r="D12" s="939">
        <f>IF((P7*R7/1000000)&lt;=2,2*P11,IF((P7*R7/1000000)&gt;2,(P7*R7/1000000)*P11))</f>
        <v>3.08</v>
      </c>
      <c r="E12" s="925"/>
      <c r="F12" s="925"/>
      <c r="G12" s="925"/>
      <c r="H12" s="925"/>
      <c r="I12" s="925"/>
      <c r="J12" s="925"/>
      <c r="K12" s="925"/>
      <c r="L12" s="930"/>
      <c r="M12" s="931"/>
      <c r="N12" s="925"/>
      <c r="O12" s="925"/>
      <c r="P12" s="940" t="s">
        <v>37</v>
      </c>
      <c r="Q12" s="925"/>
      <c r="R12" s="925"/>
      <c r="S12" s="925"/>
      <c r="T12" s="941" t="s">
        <v>37</v>
      </c>
      <c r="U12" s="941"/>
      <c r="V12" s="926"/>
    </row>
    <row r="13" spans="1:22" ht="18.75" thickBot="1">
      <c r="A13" s="917"/>
      <c r="B13" s="924"/>
      <c r="C13" s="937"/>
      <c r="D13" s="925"/>
      <c r="E13" s="942"/>
      <c r="F13" s="943"/>
      <c r="G13" s="942"/>
      <c r="H13" s="944"/>
      <c r="I13" s="944"/>
      <c r="J13" s="944"/>
      <c r="K13" s="925"/>
      <c r="L13" s="925"/>
      <c r="M13" s="925"/>
      <c r="N13" s="925"/>
      <c r="O13" s="925"/>
      <c r="P13" s="925"/>
      <c r="Q13" s="925"/>
      <c r="R13" s="945"/>
      <c r="S13" s="925"/>
      <c r="T13" s="946" t="s">
        <v>37</v>
      </c>
      <c r="U13" s="946"/>
      <c r="V13" s="926"/>
    </row>
    <row r="14" spans="1:22" ht="44.25" customHeight="1">
      <c r="B14" s="919"/>
      <c r="C14" s="920" t="str">
        <f>+VLOOKUP(111,TRADUZIONI,DATI!$C$2-1,0)</f>
        <v>QUADRO B</v>
      </c>
      <c r="D14" s="2325" t="str">
        <f>+VLOOKUP(118,TRADUZIONI,DATI!$C$2-1,0)</f>
        <v>DIMENSIONE RETE E FORI</v>
      </c>
      <c r="E14" s="2325"/>
      <c r="F14" s="2325"/>
      <c r="G14" s="2325"/>
      <c r="H14" s="2325"/>
      <c r="I14" s="2325"/>
      <c r="J14" s="2325"/>
      <c r="K14" s="2325"/>
      <c r="L14" s="2326"/>
      <c r="M14" s="919"/>
      <c r="N14" s="920" t="str">
        <f>+VLOOKUP(138,TRADUZIONI,DATI!$C$2-1,0)</f>
        <v>QUADRO C</v>
      </c>
      <c r="O14" s="2327" t="str">
        <f>+VLOOKUP(117,TRADUZIONI,DATI!$C$2-1,0)</f>
        <v>LUNGHEZZA E NUM. CORDINI</v>
      </c>
      <c r="P14" s="2327"/>
      <c r="Q14" s="2327"/>
      <c r="R14" s="2327"/>
      <c r="S14" s="2327"/>
      <c r="T14" s="2327"/>
      <c r="U14" s="2327"/>
      <c r="V14" s="2328"/>
    </row>
    <row r="15" spans="1:22" ht="31.5" customHeight="1">
      <c r="B15" s="947"/>
      <c r="C15" s="925"/>
      <c r="D15" s="925"/>
      <c r="E15" s="925"/>
      <c r="F15" s="2329" t="e">
        <f>IF(DATI!E13="AUTOMATICA",CONCATENATE("*",DATI!E14,"-",REPT("0",4-LEN(F22)),F22,"*"),CONCATENATE("*",DATI!$L$14,REPT("0",3-LEN(D16)),D16,REPT("0",4-LEN(F22)),F22,DATI!L13,"*"))</f>
        <v>#VALUE!</v>
      </c>
      <c r="G15" s="2329"/>
      <c r="H15" s="2329"/>
      <c r="I15" s="2329"/>
      <c r="J15" s="2329"/>
      <c r="K15" s="948"/>
      <c r="L15" s="949"/>
      <c r="M15" s="924"/>
      <c r="N15" s="925"/>
      <c r="O15" s="925" t="s">
        <v>37</v>
      </c>
      <c r="P15" s="950" t="s">
        <v>37</v>
      </c>
      <c r="Q15" s="925"/>
      <c r="R15" s="925"/>
      <c r="S15" s="925"/>
      <c r="T15" s="951"/>
      <c r="U15" s="951"/>
      <c r="V15" s="926"/>
    </row>
    <row r="16" spans="1:22" ht="30.75" customHeight="1">
      <c r="B16" s="952"/>
      <c r="C16" s="953" t="str">
        <f>+VLOOKUP(19,TRADUZIONI,DATI!C2-1,0)</f>
        <v>PIEGHE</v>
      </c>
      <c r="D16" s="954">
        <f>2+ROUNDUP((R7-60)*0.0471,0)</f>
        <v>103</v>
      </c>
      <c r="E16" s="925"/>
      <c r="F16" s="2329"/>
      <c r="G16" s="2329"/>
      <c r="H16" s="2329"/>
      <c r="I16" s="2329"/>
      <c r="J16" s="2329"/>
      <c r="K16" s="948"/>
      <c r="L16" s="955"/>
      <c r="M16" s="952"/>
      <c r="N16" s="956"/>
      <c r="O16" s="956"/>
      <c r="P16" s="2323" t="str">
        <f>+VLOOKUP(149,TRADUZIONI,DATI!C2-1,0)</f>
        <v>CORDINI</v>
      </c>
      <c r="Q16" s="2324"/>
      <c r="R16" s="957">
        <f>IF(F22&lt;=574,2,IF(F22&lt;=1428,4,IF(F22&lt;=2328,6,8)))</f>
        <v>4</v>
      </c>
      <c r="S16" s="951"/>
      <c r="T16" s="946"/>
      <c r="U16" s="946"/>
      <c r="V16" s="958"/>
    </row>
    <row r="17" spans="2:27" s="960" customFormat="1" ht="15" customHeight="1">
      <c r="B17" s="924"/>
      <c r="C17" s="925"/>
      <c r="D17" s="925"/>
      <c r="E17" s="925"/>
      <c r="F17" s="2329"/>
      <c r="G17" s="2329"/>
      <c r="H17" s="2329"/>
      <c r="I17" s="2329"/>
      <c r="J17" s="2329"/>
      <c r="K17" s="948"/>
      <c r="L17" s="925"/>
      <c r="M17" s="924"/>
      <c r="N17" s="925"/>
      <c r="O17" s="925"/>
      <c r="P17" s="925"/>
      <c r="Q17" s="959"/>
      <c r="R17" s="925"/>
      <c r="S17" s="925"/>
      <c r="T17" s="925"/>
      <c r="U17" s="925"/>
      <c r="V17" s="926"/>
      <c r="X17" s="918"/>
      <c r="Y17" s="918"/>
      <c r="Z17" s="918"/>
      <c r="AA17" s="918"/>
    </row>
    <row r="18" spans="2:27" ht="49.5" customHeight="1">
      <c r="B18" s="924"/>
      <c r="C18" s="925"/>
      <c r="D18" s="940"/>
      <c r="E18" s="940"/>
      <c r="F18" s="2329"/>
      <c r="G18" s="2329"/>
      <c r="H18" s="2329"/>
      <c r="I18" s="2329"/>
      <c r="J18" s="2329"/>
      <c r="K18" s="948"/>
      <c r="L18" s="925"/>
      <c r="M18" s="924"/>
      <c r="N18" s="925"/>
      <c r="O18" s="925"/>
      <c r="P18" s="925"/>
      <c r="Q18" s="961"/>
      <c r="R18" s="925"/>
      <c r="S18" s="925"/>
      <c r="T18" s="925"/>
      <c r="U18" s="925"/>
      <c r="V18" s="926"/>
    </row>
    <row r="19" spans="2:27" ht="15" customHeight="1">
      <c r="B19" s="924"/>
      <c r="C19" s="925"/>
      <c r="D19" s="940"/>
      <c r="E19" s="940"/>
      <c r="F19" s="2329"/>
      <c r="G19" s="2329"/>
      <c r="H19" s="2329"/>
      <c r="I19" s="2329"/>
      <c r="J19" s="2329"/>
      <c r="K19" s="948"/>
      <c r="L19" s="925"/>
      <c r="M19" s="924"/>
      <c r="N19" s="925"/>
      <c r="O19" s="925"/>
      <c r="P19" s="962" t="s">
        <v>37</v>
      </c>
      <c r="Q19" s="925"/>
      <c r="R19" s="963" t="s">
        <v>37</v>
      </c>
      <c r="S19" s="925"/>
      <c r="T19" s="925"/>
      <c r="U19" s="925"/>
      <c r="V19" s="926"/>
    </row>
    <row r="20" spans="2:27">
      <c r="B20" s="924"/>
      <c r="C20" s="925"/>
      <c r="D20" s="940"/>
      <c r="E20" s="940"/>
      <c r="F20" s="2329"/>
      <c r="G20" s="2329"/>
      <c r="H20" s="2329"/>
      <c r="I20" s="2329"/>
      <c r="J20" s="2329"/>
      <c r="K20" s="948"/>
      <c r="L20" s="925"/>
      <c r="M20" s="964"/>
      <c r="N20" s="925"/>
      <c r="O20" s="925"/>
      <c r="P20" s="925"/>
      <c r="Q20" s="965"/>
      <c r="R20" s="965"/>
      <c r="S20" s="925"/>
      <c r="T20" s="937"/>
      <c r="U20" s="937"/>
      <c r="V20" s="926"/>
    </row>
    <row r="21" spans="2:27">
      <c r="B21" s="924"/>
      <c r="C21" s="925"/>
      <c r="D21" s="940"/>
      <c r="E21" s="925"/>
      <c r="F21" s="950" t="s">
        <v>37</v>
      </c>
      <c r="G21" s="925"/>
      <c r="H21" s="966"/>
      <c r="I21" s="966"/>
      <c r="J21" s="966"/>
      <c r="K21" s="940" t="s">
        <v>37</v>
      </c>
      <c r="L21" s="925"/>
      <c r="M21" s="964"/>
      <c r="N21" s="925"/>
      <c r="O21" s="925"/>
      <c r="P21" s="925"/>
      <c r="Q21" s="925"/>
      <c r="R21" s="959"/>
      <c r="S21" s="925"/>
      <c r="T21" s="965"/>
      <c r="U21" s="965"/>
      <c r="V21" s="926"/>
    </row>
    <row r="22" spans="2:27" ht="30.75">
      <c r="B22" s="924"/>
      <c r="C22" s="2318" t="str">
        <f>CONCATENATE(VLOOKUP(116,TRADUZIONI,DATI!C2-1,0),"(",VLOOKUP(97,TRADUZIONI,DATI!C2-1,0),"-30)")</f>
        <v>TAGLIO RETE(ALTEZZA-30)</v>
      </c>
      <c r="D22" s="2313"/>
      <c r="E22" s="2313"/>
      <c r="F22" s="967">
        <f>+P7-30</f>
        <v>1370</v>
      </c>
      <c r="G22" s="968"/>
      <c r="H22" s="969"/>
      <c r="I22" s="969"/>
      <c r="J22" s="969"/>
      <c r="K22" s="970"/>
      <c r="L22" s="925"/>
      <c r="M22" s="964"/>
      <c r="N22" s="925"/>
      <c r="O22" s="925"/>
      <c r="P22" s="966" t="s">
        <v>37</v>
      </c>
      <c r="Q22" s="925" t="s">
        <v>37</v>
      </c>
      <c r="R22" s="925"/>
      <c r="S22" s="925"/>
      <c r="T22" s="961"/>
      <c r="U22" s="961"/>
      <c r="V22" s="926"/>
    </row>
    <row r="23" spans="2:27">
      <c r="B23" s="924"/>
      <c r="C23" s="925"/>
      <c r="D23" s="940"/>
      <c r="E23" s="925"/>
      <c r="F23" s="950"/>
      <c r="G23" s="951"/>
      <c r="H23" s="966"/>
      <c r="I23" s="966"/>
      <c r="J23" s="966"/>
      <c r="K23" s="940"/>
      <c r="L23" s="925"/>
      <c r="M23" s="964"/>
      <c r="N23" s="925"/>
      <c r="O23" s="925"/>
      <c r="P23" s="966"/>
      <c r="Q23" s="925"/>
      <c r="R23" s="925"/>
      <c r="S23" s="925"/>
      <c r="T23" s="961"/>
      <c r="U23" s="961"/>
      <c r="V23" s="926"/>
    </row>
    <row r="24" spans="2:27">
      <c r="B24" s="924"/>
      <c r="C24" s="925"/>
      <c r="D24" s="940"/>
      <c r="E24" s="925"/>
      <c r="F24" s="950"/>
      <c r="G24" s="951"/>
      <c r="H24" s="966"/>
      <c r="I24" s="966"/>
      <c r="J24" s="966"/>
      <c r="K24" s="940"/>
      <c r="L24" s="925"/>
      <c r="M24" s="964"/>
      <c r="N24" s="925"/>
      <c r="O24" s="925"/>
      <c r="P24" s="966"/>
      <c r="Q24" s="925"/>
      <c r="R24" s="925"/>
      <c r="S24" s="925"/>
      <c r="T24" s="961"/>
      <c r="U24" s="961"/>
      <c r="V24" s="926"/>
    </row>
    <row r="25" spans="2:27">
      <c r="B25" s="924"/>
      <c r="C25" s="925"/>
      <c r="D25" s="940"/>
      <c r="E25" s="925"/>
      <c r="F25" s="950"/>
      <c r="G25" s="951"/>
      <c r="H25" s="966"/>
      <c r="I25" s="966"/>
      <c r="J25" s="966"/>
      <c r="K25" s="940"/>
      <c r="L25" s="925"/>
      <c r="M25" s="924"/>
      <c r="N25" s="925"/>
      <c r="O25" s="925"/>
      <c r="P25" s="966"/>
      <c r="Q25" s="925"/>
      <c r="R25" s="925"/>
      <c r="S25" s="925"/>
      <c r="T25" s="961"/>
      <c r="U25" s="961"/>
      <c r="V25" s="926"/>
    </row>
    <row r="26" spans="2:27">
      <c r="B26" s="924"/>
      <c r="C26" s="925"/>
      <c r="D26" s="940"/>
      <c r="E26" s="925"/>
      <c r="F26" s="950"/>
      <c r="G26" s="951"/>
      <c r="H26" s="966"/>
      <c r="I26" s="966"/>
      <c r="J26" s="966"/>
      <c r="K26" s="940"/>
      <c r="L26" s="925"/>
      <c r="M26" s="924"/>
      <c r="N26" s="925"/>
      <c r="O26" s="925"/>
      <c r="P26" s="925"/>
      <c r="Q26" s="925"/>
      <c r="R26" s="925"/>
      <c r="S26" s="940"/>
      <c r="T26" s="925"/>
      <c r="U26" s="925"/>
      <c r="V26" s="926"/>
    </row>
    <row r="27" spans="2:27" ht="30.75">
      <c r="B27" s="924"/>
      <c r="C27" s="971">
        <v>50</v>
      </c>
      <c r="D27" s="940"/>
      <c r="E27" s="925"/>
      <c r="F27" s="950"/>
      <c r="G27" s="951"/>
      <c r="H27" s="966"/>
      <c r="I27" s="966"/>
      <c r="J27" s="966"/>
      <c r="K27" s="940"/>
      <c r="L27" s="925"/>
      <c r="M27" s="924"/>
      <c r="N27" s="925"/>
      <c r="O27" s="925"/>
      <c r="P27" s="925"/>
      <c r="Q27" s="925"/>
      <c r="R27" s="925"/>
      <c r="S27" s="925"/>
      <c r="T27" s="925"/>
      <c r="U27" s="925"/>
      <c r="V27" s="926"/>
    </row>
    <row r="28" spans="2:27" ht="36" customHeight="1">
      <c r="B28" s="924"/>
      <c r="C28" s="972">
        <f>+C27+F40</f>
        <v>473</v>
      </c>
      <c r="D28" s="940"/>
      <c r="E28" s="925"/>
      <c r="F28" s="950"/>
      <c r="G28" s="951"/>
      <c r="H28" s="966"/>
      <c r="I28" s="966"/>
      <c r="J28" s="966"/>
      <c r="K28" s="940"/>
      <c r="L28" s="925"/>
      <c r="M28" s="924"/>
      <c r="N28" s="925"/>
      <c r="O28" s="925"/>
      <c r="P28" s="966" t="s">
        <v>37</v>
      </c>
      <c r="Q28" s="925"/>
      <c r="R28" s="925"/>
      <c r="S28" s="940"/>
      <c r="T28" s="925"/>
      <c r="U28" s="925"/>
      <c r="V28" s="926"/>
    </row>
    <row r="29" spans="2:27" ht="36" customHeight="1">
      <c r="B29" s="924"/>
      <c r="C29" s="925"/>
      <c r="D29" s="973">
        <f>IF(R16&gt;2,C28+F40,"")</f>
        <v>896</v>
      </c>
      <c r="E29" s="925"/>
      <c r="F29" s="950"/>
      <c r="G29" s="951"/>
      <c r="H29" s="966"/>
      <c r="I29" s="966"/>
      <c r="J29" s="966"/>
      <c r="K29" s="940"/>
      <c r="L29" s="925"/>
      <c r="M29" s="924"/>
      <c r="N29" s="925"/>
      <c r="O29" s="925"/>
      <c r="P29" s="925"/>
      <c r="Q29" s="925"/>
      <c r="R29" s="925"/>
      <c r="S29" s="925"/>
      <c r="T29" s="925"/>
      <c r="U29" s="925"/>
      <c r="V29" s="926"/>
    </row>
    <row r="30" spans="2:27" ht="36" customHeight="1">
      <c r="B30" s="924"/>
      <c r="C30" s="925"/>
      <c r="D30" s="940"/>
      <c r="E30" s="972">
        <f>IF(R16&gt;=4,D29+F40,"")</f>
        <v>1319</v>
      </c>
      <c r="F30" s="950"/>
      <c r="G30" s="951"/>
      <c r="H30" s="966"/>
      <c r="I30" s="966"/>
      <c r="J30" s="966"/>
      <c r="K30" s="940"/>
      <c r="L30" s="925"/>
      <c r="M30" s="924"/>
      <c r="N30" s="925"/>
      <c r="O30" s="925"/>
      <c r="P30" s="940" t="s">
        <v>37</v>
      </c>
      <c r="Q30" s="925"/>
      <c r="R30" s="925"/>
      <c r="S30" s="925"/>
      <c r="T30" s="925"/>
      <c r="U30" s="925"/>
      <c r="V30" s="926"/>
    </row>
    <row r="31" spans="2:27" ht="36" customHeight="1">
      <c r="B31" s="924"/>
      <c r="C31" s="925"/>
      <c r="D31" s="940"/>
      <c r="E31" s="925"/>
      <c r="F31" s="2330" t="str">
        <f>IF(R16&gt;=5,E30+F40,"")</f>
        <v/>
      </c>
      <c r="G31" s="2330"/>
      <c r="H31" s="966"/>
      <c r="I31" s="966"/>
      <c r="J31" s="966"/>
      <c r="K31" s="940"/>
      <c r="L31" s="925"/>
      <c r="M31" s="924"/>
      <c r="N31" s="925"/>
      <c r="O31" s="925"/>
      <c r="P31" s="925"/>
      <c r="Q31" s="925"/>
      <c r="R31" s="925"/>
      <c r="S31" s="925"/>
      <c r="T31" s="925"/>
      <c r="U31" s="925"/>
      <c r="V31" s="926"/>
    </row>
    <row r="32" spans="2:27" ht="36" customHeight="1">
      <c r="B32" s="924"/>
      <c r="C32" s="925"/>
      <c r="D32" s="940"/>
      <c r="E32" s="925"/>
      <c r="F32" s="950"/>
      <c r="G32" s="2331" t="str">
        <f>IF(R16&gt;=6,F31+F40,"")</f>
        <v/>
      </c>
      <c r="H32" s="2331"/>
      <c r="I32" s="966"/>
      <c r="J32" s="966"/>
      <c r="K32" s="940"/>
      <c r="L32" s="925"/>
      <c r="M32" s="924"/>
      <c r="N32" s="925"/>
      <c r="O32" s="925"/>
      <c r="P32" s="925"/>
      <c r="Q32" s="948"/>
      <c r="R32" s="925"/>
      <c r="S32" s="925"/>
      <c r="T32" s="925"/>
      <c r="U32" s="925"/>
      <c r="V32" s="926"/>
    </row>
    <row r="33" spans="2:27" ht="36" customHeight="1">
      <c r="B33" s="924"/>
      <c r="C33" s="925"/>
      <c r="D33" s="940"/>
      <c r="E33" s="925"/>
      <c r="F33" s="950"/>
      <c r="G33" s="951"/>
      <c r="H33" s="2317" t="str">
        <f>IF(R16&gt;=7,G32+F40,"")</f>
        <v/>
      </c>
      <c r="I33" s="2317"/>
      <c r="J33" s="966"/>
      <c r="K33" s="940"/>
      <c r="L33" s="925"/>
      <c r="M33" s="924"/>
      <c r="N33" s="925"/>
      <c r="O33" s="925"/>
      <c r="P33" s="925"/>
      <c r="Q33" s="925"/>
      <c r="R33" s="925"/>
      <c r="S33" s="925"/>
      <c r="T33" s="925"/>
      <c r="U33" s="925"/>
      <c r="V33" s="926"/>
    </row>
    <row r="34" spans="2:27" ht="36" customHeight="1">
      <c r="B34" s="924"/>
      <c r="C34" s="925"/>
      <c r="D34" s="940"/>
      <c r="E34" s="925"/>
      <c r="F34" s="950"/>
      <c r="G34" s="951"/>
      <c r="H34" s="966"/>
      <c r="I34" s="966"/>
      <c r="J34" s="2330" t="str">
        <f>IF(R16=8,H33+F40,"")</f>
        <v/>
      </c>
      <c r="K34" s="2330"/>
      <c r="L34" s="926"/>
      <c r="M34" s="925"/>
      <c r="N34" s="925"/>
      <c r="O34" s="974"/>
      <c r="P34" s="974"/>
      <c r="Q34" s="937"/>
      <c r="R34" s="925"/>
      <c r="S34" s="925"/>
      <c r="T34" s="925"/>
      <c r="U34" s="925"/>
      <c r="V34" s="926"/>
      <c r="X34" s="97"/>
      <c r="Y34" s="1369" t="str">
        <f>+VLOOKUP(149,TRADUZIONI,DATI!C2-1,0)</f>
        <v>CORDINI</v>
      </c>
    </row>
    <row r="35" spans="2:27" ht="30.75" customHeight="1">
      <c r="B35" s="924"/>
      <c r="C35" s="925"/>
      <c r="D35" s="940"/>
      <c r="E35" s="925"/>
      <c r="F35" s="950"/>
      <c r="G35" s="951"/>
      <c r="H35" s="966"/>
      <c r="I35" s="966"/>
      <c r="J35" s="966"/>
      <c r="K35" s="940"/>
      <c r="L35" s="926"/>
      <c r="M35" s="925"/>
      <c r="N35" s="975" t="str">
        <f>CONCATENATE(Z35," 1-2"," ",AA35,"      ",TEXT(ROUND((60*2+P7-60+R7+37-C27+60+150-20),-1),0))</f>
        <v>Nr. Cord 1-2 LUNGHEZZA      3840</v>
      </c>
      <c r="O35" s="975"/>
      <c r="P35" s="975"/>
      <c r="Q35" s="1080"/>
      <c r="R35" s="975"/>
      <c r="S35" s="975"/>
      <c r="T35" s="975"/>
      <c r="U35" s="975"/>
      <c r="V35" s="926"/>
      <c r="X35" s="1380">
        <v>2</v>
      </c>
      <c r="Y35" s="1371">
        <f>ROUND((60*2+P7-60+R7+37-C27+60+150-20),-1)</f>
        <v>3840</v>
      </c>
      <c r="Z35" s="97" t="str">
        <f>+VLOOKUP(144,TRADUZIONI,DATI!$C$2-1,0)</f>
        <v>Nr. Cord</v>
      </c>
      <c r="AA35" s="97" t="str">
        <f>+VLOOKUP(60,TRADUZIONI,DATI!$C$2-1,0)</f>
        <v>LUNGHEZZA</v>
      </c>
    </row>
    <row r="36" spans="2:27" ht="30.75" customHeight="1">
      <c r="B36" s="924"/>
      <c r="C36" s="2309" t="s">
        <v>91</v>
      </c>
      <c r="D36" s="2334"/>
      <c r="E36" s="2334"/>
      <c r="F36" s="2334"/>
      <c r="G36" s="2334"/>
      <c r="H36" s="2334"/>
      <c r="I36" s="2310"/>
      <c r="J36" s="966"/>
      <c r="K36" s="940"/>
      <c r="L36" s="926"/>
      <c r="M36" s="976"/>
      <c r="N36" s="977" t="str">
        <f>IF(R16&lt;=2,"NO",CONCATENATE(Z35," 3-4 ",AA35,"      ",TEXT(ROUND((60*2+R7-60+F40+C27+30+150-20),-1),"0")))</f>
        <v>Nr. Cord 3-4 LUNGHEZZA      2890</v>
      </c>
      <c r="O36" s="978"/>
      <c r="P36" s="978"/>
      <c r="Q36" s="1078"/>
      <c r="R36" s="925"/>
      <c r="S36" s="925"/>
      <c r="T36" s="925"/>
      <c r="U36" s="925"/>
      <c r="V36" s="926"/>
      <c r="X36" s="1380">
        <v>4</v>
      </c>
      <c r="Y36" s="1372">
        <f>IF(R16&lt;=2,0,(ROUND((60*2+R7-60+F40+C27+30+150-20),-1)))</f>
        <v>2890</v>
      </c>
    </row>
    <row r="37" spans="2:27" ht="36" customHeight="1">
      <c r="B37" s="924"/>
      <c r="C37" s="2335" t="s">
        <v>118</v>
      </c>
      <c r="D37" s="2336"/>
      <c r="E37" s="2336"/>
      <c r="F37" s="2336"/>
      <c r="G37" s="2336"/>
      <c r="H37" s="2336"/>
      <c r="I37" s="2337"/>
      <c r="J37" s="925"/>
      <c r="K37" s="925"/>
      <c r="L37" s="926"/>
      <c r="M37" s="980"/>
      <c r="N37" s="975" t="str">
        <f>IF(R16&lt;=4,"",CONCATENATE(Z35," 5-6 ",AA35,"      ",TEXT(ROUND((60*2+R7-60+2*F40+C27+30+150-20),-1),"0")))</f>
        <v/>
      </c>
      <c r="O37" s="975"/>
      <c r="P37" s="975"/>
      <c r="Q37" s="1079"/>
      <c r="R37" s="937"/>
      <c r="S37" s="940"/>
      <c r="T37" s="925"/>
      <c r="U37" s="925"/>
      <c r="V37" s="981"/>
      <c r="X37" s="1380">
        <v>6</v>
      </c>
      <c r="Y37" s="1372">
        <f>IF(R16&lt;=4,0,ROUND((60*2+R7-60+2*F40+C27+30+150-20),-1))</f>
        <v>0</v>
      </c>
    </row>
    <row r="38" spans="2:27" ht="33" customHeight="1">
      <c r="B38" s="924"/>
      <c r="C38" s="2311"/>
      <c r="D38" s="2338"/>
      <c r="E38" s="2338"/>
      <c r="F38" s="2338"/>
      <c r="G38" s="2338"/>
      <c r="H38" s="2338"/>
      <c r="I38" s="2312"/>
      <c r="J38" s="925"/>
      <c r="K38" s="925"/>
      <c r="L38" s="926"/>
      <c r="M38" s="980"/>
      <c r="N38" s="975" t="str">
        <f>IF(R16&lt;=6,"",CONCATENATE(Z35," 7-8 ",AA35,"      ",TEXT(ROUND((60*2+R7-60+3*F40+C27+30+150-20),-1),"0")))</f>
        <v/>
      </c>
      <c r="O38" s="978"/>
      <c r="P38" s="975"/>
      <c r="Q38" s="950"/>
      <c r="R38" s="937"/>
      <c r="S38" s="940"/>
      <c r="T38" s="925"/>
      <c r="U38" s="925"/>
      <c r="V38" s="981"/>
      <c r="X38" s="1380">
        <v>8</v>
      </c>
      <c r="Y38" s="1372">
        <f>IF(R16&lt;=6,0,ROUND((60*2+R7-60+3*F40+C27+30+150-20),-1))</f>
        <v>0</v>
      </c>
    </row>
    <row r="39" spans="2:27" ht="21.75" customHeight="1">
      <c r="B39" s="924"/>
      <c r="C39" s="925"/>
      <c r="D39" s="925"/>
      <c r="E39" s="925"/>
      <c r="F39" s="925"/>
      <c r="G39" s="925"/>
      <c r="H39" s="925"/>
      <c r="I39" s="925"/>
      <c r="J39" s="925"/>
      <c r="K39" s="925"/>
      <c r="L39" s="926"/>
      <c r="M39" s="982"/>
      <c r="N39" s="937"/>
      <c r="O39" s="983"/>
      <c r="P39" s="983"/>
      <c r="Q39" s="950"/>
      <c r="R39" s="937"/>
      <c r="S39" s="940"/>
      <c r="T39" s="925"/>
      <c r="U39" s="925"/>
      <c r="V39" s="981"/>
    </row>
    <row r="40" spans="2:27" ht="28.5">
      <c r="B40" s="924"/>
      <c r="C40" s="2318" t="str">
        <f>+VLOOKUP(41,TRADUZIONI,DATI!$C$2-1,0)</f>
        <v>DIST.STD TRA FORI RETE</v>
      </c>
      <c r="D40" s="2339"/>
      <c r="E40" s="2339"/>
      <c r="F40" s="984">
        <f>ROUND((F22-50*2)/(R16-1),0)</f>
        <v>423</v>
      </c>
      <c r="G40" s="2340"/>
      <c r="H40" s="2340"/>
      <c r="I40" s="2340"/>
      <c r="J40" s="2340"/>
      <c r="K40" s="2341"/>
      <c r="L40" s="926"/>
      <c r="M40" s="2258" t="str">
        <f>+VLOOKUP(128,TRADUZIONI,DATI!$C$2-1,0)</f>
        <v>INFILARE I CORDINI SENZA TAGLIARLI</v>
      </c>
      <c r="N40" s="2259"/>
      <c r="O40" s="2259"/>
      <c r="P40" s="2259"/>
      <c r="Q40" s="2259"/>
      <c r="R40" s="2259"/>
      <c r="S40" s="2259"/>
      <c r="T40" s="2259"/>
      <c r="U40" s="2259"/>
      <c r="V40" s="2260"/>
    </row>
    <row r="41" spans="2:27" ht="28.5">
      <c r="B41" s="924"/>
      <c r="C41" s="979"/>
      <c r="D41" s="985"/>
      <c r="E41" s="985"/>
      <c r="F41" s="986"/>
      <c r="G41" s="987"/>
      <c r="H41" s="987"/>
      <c r="I41" s="987"/>
      <c r="J41" s="987"/>
      <c r="K41" s="987"/>
      <c r="L41" s="925"/>
      <c r="M41" s="2342" t="s">
        <v>83</v>
      </c>
      <c r="N41" s="2343"/>
      <c r="O41" s="2343"/>
      <c r="P41" s="2343"/>
      <c r="Q41" s="2343"/>
      <c r="R41" s="2343"/>
      <c r="S41" s="2343"/>
      <c r="T41" s="2343"/>
      <c r="U41" s="2343"/>
      <c r="V41" s="2344"/>
    </row>
    <row r="42" spans="2:27" ht="15.75" thickBot="1">
      <c r="B42" s="988"/>
      <c r="C42" s="945"/>
      <c r="D42" s="945"/>
      <c r="E42" s="945"/>
      <c r="F42" s="945"/>
      <c r="G42" s="945"/>
      <c r="H42" s="945"/>
      <c r="I42" s="945"/>
      <c r="J42" s="945"/>
      <c r="K42" s="945"/>
      <c r="L42" s="945"/>
      <c r="M42" s="988"/>
      <c r="N42" s="989"/>
      <c r="O42" s="945"/>
      <c r="P42" s="945"/>
      <c r="Q42" s="945"/>
      <c r="R42" s="945"/>
      <c r="S42" s="945"/>
      <c r="T42" s="990"/>
      <c r="U42" s="990"/>
      <c r="V42" s="991"/>
    </row>
    <row r="43" spans="2:27" ht="44.25" customHeight="1">
      <c r="B43" s="919"/>
      <c r="C43" s="920" t="str">
        <f>+VLOOKUP(139,TRADUZIONI,DATI!$C$2-1,0)</f>
        <v>QUADRO D</v>
      </c>
      <c r="D43" s="2325" t="str">
        <f>+VLOOKUP(113,TRADUZIONI,DATI!$C$2-1,0)</f>
        <v>CONTROLLO CORDINI - POST ASSEMBLAGGIO</v>
      </c>
      <c r="E43" s="2325"/>
      <c r="F43" s="2325"/>
      <c r="G43" s="2325"/>
      <c r="H43" s="2325"/>
      <c r="I43" s="2325"/>
      <c r="J43" s="2325"/>
      <c r="K43" s="2325"/>
      <c r="L43" s="2326"/>
      <c r="M43" s="919"/>
      <c r="N43" s="920" t="str">
        <f>+VLOOKUP(140,TRADUZIONI,DATI!$C$2-1,0)</f>
        <v>QUADRO E</v>
      </c>
      <c r="O43" s="2327" t="s">
        <v>59</v>
      </c>
      <c r="P43" s="2327"/>
      <c r="Q43" s="2327"/>
      <c r="R43" s="2327"/>
      <c r="S43" s="2327"/>
      <c r="T43" s="2327"/>
      <c r="U43" s="2327"/>
      <c r="V43" s="2328"/>
    </row>
    <row r="44" spans="2:27" ht="31.5" customHeight="1">
      <c r="B44" s="992"/>
      <c r="C44" s="993"/>
      <c r="D44" s="993"/>
      <c r="E44" s="993"/>
      <c r="F44" s="993"/>
      <c r="G44" s="993"/>
      <c r="H44" s="993"/>
      <c r="I44" s="993"/>
      <c r="J44" s="993"/>
      <c r="K44" s="993"/>
      <c r="L44" s="993"/>
      <c r="M44" s="994"/>
      <c r="N44" s="995"/>
      <c r="O44" s="996"/>
      <c r="P44" s="996"/>
      <c r="Q44" s="996"/>
      <c r="R44" s="996"/>
      <c r="S44" s="925"/>
      <c r="T44" s="944"/>
      <c r="U44" s="944"/>
      <c r="V44" s="997"/>
    </row>
    <row r="45" spans="2:27" ht="27.75">
      <c r="B45" s="992"/>
      <c r="C45" s="993"/>
      <c r="D45" s="993"/>
      <c r="E45" s="993"/>
      <c r="F45" s="993"/>
      <c r="G45" s="998" t="s">
        <v>85</v>
      </c>
      <c r="H45" s="993"/>
      <c r="I45" s="993"/>
      <c r="J45" s="993"/>
      <c r="K45" s="993"/>
      <c r="L45" s="993"/>
      <c r="M45" s="994"/>
      <c r="N45" s="2345" t="s">
        <v>498</v>
      </c>
      <c r="O45" s="2346"/>
      <c r="P45" s="2346"/>
      <c r="Q45" s="2346"/>
      <c r="R45" s="2346"/>
      <c r="S45" s="2346"/>
      <c r="T45" s="2347"/>
      <c r="V45" s="997"/>
    </row>
    <row r="46" spans="2:27" ht="31.5" customHeight="1">
      <c r="B46" s="992"/>
      <c r="C46" s="999" t="s">
        <v>119</v>
      </c>
      <c r="D46" s="1000">
        <f>+R7</f>
        <v>2200</v>
      </c>
      <c r="E46" s="1001" t="s">
        <v>129</v>
      </c>
      <c r="F46" s="1001" t="s">
        <v>89</v>
      </c>
      <c r="G46" s="1002">
        <f>+D46+E46</f>
        <v>2650</v>
      </c>
      <c r="H46" s="1003"/>
      <c r="I46" s="993"/>
      <c r="J46" s="993"/>
      <c r="K46" s="993"/>
      <c r="L46" s="993"/>
      <c r="M46" s="994"/>
      <c r="N46" s="995"/>
      <c r="V46" s="997"/>
    </row>
    <row r="47" spans="2:27" ht="31.5" thickBot="1">
      <c r="B47" s="992"/>
      <c r="C47" s="993"/>
      <c r="D47" s="993"/>
      <c r="E47" s="993"/>
      <c r="F47" s="993"/>
      <c r="G47" s="993"/>
      <c r="H47" s="993"/>
      <c r="I47" s="993"/>
      <c r="J47" s="993"/>
      <c r="K47" s="993"/>
      <c r="L47" s="993"/>
      <c r="M47" s="1004"/>
      <c r="N47" s="1005" t="str">
        <f>+VLOOKUP(78,TRADUZIONI,DATI!C2-1,0)</f>
        <v>PEZZI /PZ.</v>
      </c>
      <c r="O47" s="967">
        <f>1*P11</f>
        <v>1</v>
      </c>
      <c r="P47" s="2348" t="s">
        <v>333</v>
      </c>
      <c r="Q47" s="2348"/>
      <c r="R47" s="2348"/>
      <c r="S47" s="2348"/>
      <c r="T47" s="2349"/>
      <c r="U47" s="944"/>
      <c r="V47" s="1006"/>
    </row>
    <row r="48" spans="2:27" ht="18.75">
      <c r="B48" s="1007"/>
      <c r="C48" s="1008"/>
      <c r="D48" s="1008"/>
      <c r="E48" s="1008"/>
      <c r="F48" s="1008"/>
      <c r="G48" s="1008"/>
      <c r="H48" s="1008"/>
      <c r="I48" s="1008"/>
      <c r="J48" s="1008"/>
      <c r="K48" s="1008"/>
      <c r="L48" s="1009"/>
      <c r="M48" s="994"/>
      <c r="N48" s="996"/>
      <c r="O48" s="996"/>
      <c r="P48" s="996"/>
      <c r="Q48" s="996"/>
      <c r="R48" s="925"/>
      <c r="S48" s="944"/>
      <c r="T48" s="944"/>
      <c r="U48" s="944"/>
      <c r="V48" s="997"/>
    </row>
    <row r="49" spans="2:22" ht="30.75">
      <c r="B49" s="1010"/>
      <c r="C49" s="2350" t="str">
        <f>+IF(DATI!$C$11=1,"","RETE GRIGIA")</f>
        <v>RETE GRIGIA</v>
      </c>
      <c r="D49" s="2350"/>
      <c r="E49" s="2350"/>
      <c r="F49" s="2350"/>
      <c r="G49" s="2350"/>
      <c r="H49" s="2350"/>
      <c r="I49" s="2350"/>
      <c r="J49" s="2350"/>
      <c r="K49" s="1011"/>
      <c r="L49" s="1011"/>
      <c r="M49" s="1012"/>
      <c r="N49" s="1005" t="s">
        <v>761</v>
      </c>
      <c r="O49" s="1013"/>
      <c r="P49" s="928"/>
      <c r="Q49" s="928"/>
      <c r="R49" s="2332">
        <f>+P7-30</f>
        <v>1370</v>
      </c>
      <c r="S49" s="2333"/>
      <c r="T49" s="944"/>
      <c r="U49" s="944"/>
      <c r="V49" s="1015"/>
    </row>
    <row r="50" spans="2:22" ht="18.75">
      <c r="B50" s="1010"/>
      <c r="C50" s="2350"/>
      <c r="D50" s="2350"/>
      <c r="E50" s="2350"/>
      <c r="F50" s="2350"/>
      <c r="G50" s="2350"/>
      <c r="H50" s="2350"/>
      <c r="I50" s="2350"/>
      <c r="J50" s="2350"/>
      <c r="K50" s="1011"/>
      <c r="L50" s="1011"/>
      <c r="M50" s="994"/>
      <c r="N50" s="996"/>
      <c r="O50" s="996"/>
      <c r="P50" s="996"/>
      <c r="Q50" s="996"/>
      <c r="R50" s="925"/>
      <c r="S50" s="944"/>
      <c r="T50" s="944"/>
      <c r="U50" s="944"/>
      <c r="V50" s="997"/>
    </row>
    <row r="51" spans="2:22" ht="31.5" thickBot="1">
      <c r="B51" s="1010"/>
      <c r="C51" s="1011"/>
      <c r="D51" s="1011"/>
      <c r="E51" s="1011"/>
      <c r="F51" s="1011"/>
      <c r="G51" s="1011"/>
      <c r="H51" s="1011"/>
      <c r="I51" s="1011"/>
      <c r="J51" s="1011"/>
      <c r="K51" s="1011"/>
      <c r="L51" s="1011"/>
      <c r="M51" s="994"/>
      <c r="N51" s="1005" t="s">
        <v>67</v>
      </c>
      <c r="O51" s="1013"/>
      <c r="P51" s="928"/>
      <c r="Q51" s="928"/>
      <c r="R51" s="2332">
        <f>+P7-30</f>
        <v>1370</v>
      </c>
      <c r="S51" s="2333"/>
      <c r="T51" s="944"/>
      <c r="U51" s="944"/>
      <c r="V51" s="997"/>
    </row>
    <row r="52" spans="2:22" ht="44.25" customHeight="1">
      <c r="B52" s="919"/>
      <c r="C52" s="920" t="str">
        <f>+VLOOKUP(141,TRADUZIONI,DATI!$C$2-1,0)</f>
        <v>QUADRO F</v>
      </c>
      <c r="D52" s="2325" t="s">
        <v>90</v>
      </c>
      <c r="E52" s="2325"/>
      <c r="F52" s="2325"/>
      <c r="G52" s="2325"/>
      <c r="H52" s="2325"/>
      <c r="I52" s="2325"/>
      <c r="J52" s="2325"/>
      <c r="K52" s="2325"/>
      <c r="L52" s="2326"/>
      <c r="M52" s="994"/>
      <c r="N52" s="1016"/>
      <c r="O52" s="1016"/>
      <c r="P52" s="925"/>
      <c r="Q52" s="925"/>
      <c r="R52" s="972"/>
      <c r="S52" s="972"/>
      <c r="T52" s="944"/>
      <c r="U52" s="944"/>
      <c r="V52" s="997"/>
    </row>
    <row r="53" spans="2:22" ht="30.75">
      <c r="B53" s="924"/>
      <c r="C53" s="925"/>
      <c r="D53" s="925"/>
      <c r="E53" s="925"/>
      <c r="F53" s="925"/>
      <c r="G53" s="925"/>
      <c r="H53" s="925"/>
      <c r="I53" s="925"/>
      <c r="J53" s="925"/>
      <c r="K53" s="925"/>
      <c r="L53" s="926"/>
      <c r="M53" s="994"/>
      <c r="N53" s="1016"/>
      <c r="O53" s="1016"/>
      <c r="P53" s="925"/>
      <c r="Q53" s="925"/>
      <c r="R53" s="972"/>
      <c r="S53" s="972"/>
      <c r="T53" s="944"/>
      <c r="U53" s="944"/>
      <c r="V53" s="997"/>
    </row>
    <row r="54" spans="2:22" ht="30.75">
      <c r="B54" s="924"/>
      <c r="C54" s="1017" t="s">
        <v>92</v>
      </c>
      <c r="D54" s="1018"/>
      <c r="E54" s="1019"/>
      <c r="F54" s="925"/>
      <c r="G54" s="1020"/>
      <c r="H54" s="925"/>
      <c r="I54" s="925"/>
      <c r="J54" s="925"/>
      <c r="K54" s="925"/>
      <c r="L54" s="926"/>
      <c r="M54" s="994"/>
      <c r="N54" s="1016"/>
      <c r="O54" s="1016"/>
      <c r="P54" s="925"/>
      <c r="Q54" s="925"/>
      <c r="R54" s="972"/>
      <c r="S54" s="972"/>
      <c r="T54" s="944"/>
      <c r="U54" s="944"/>
      <c r="V54" s="997"/>
    </row>
    <row r="55" spans="2:22" ht="28.5">
      <c r="B55" s="924"/>
      <c r="C55" s="1017"/>
      <c r="D55" s="1018"/>
      <c r="E55" s="1019"/>
      <c r="F55" s="925"/>
      <c r="G55" s="1020"/>
      <c r="H55" s="925"/>
      <c r="I55" s="925"/>
      <c r="J55" s="925"/>
      <c r="K55" s="925"/>
      <c r="L55" s="926"/>
      <c r="M55" s="1021"/>
      <c r="N55" s="1022"/>
      <c r="O55" s="1023"/>
      <c r="P55" s="1023"/>
      <c r="Q55" s="1023"/>
      <c r="R55" s="1023"/>
      <c r="S55" s="1023"/>
      <c r="T55" s="1023"/>
      <c r="U55" s="1023"/>
      <c r="V55" s="1024"/>
    </row>
    <row r="56" spans="2:22" ht="28.5">
      <c r="B56" s="924"/>
      <c r="C56" s="1025"/>
      <c r="D56" s="1026" t="s">
        <v>94</v>
      </c>
      <c r="E56" s="925"/>
      <c r="F56" s="1020"/>
      <c r="G56" s="1020"/>
      <c r="H56" s="925"/>
      <c r="I56" s="925"/>
      <c r="J56" s="925"/>
      <c r="K56" s="925"/>
      <c r="L56" s="926"/>
      <c r="M56" s="994"/>
      <c r="N56" s="995"/>
      <c r="O56" s="996"/>
      <c r="P56" s="996"/>
      <c r="Q56" s="996"/>
      <c r="R56" s="996"/>
      <c r="S56" s="925"/>
      <c r="T56" s="944"/>
      <c r="U56" s="944"/>
      <c r="V56" s="997"/>
    </row>
    <row r="57" spans="2:22" ht="28.5">
      <c r="B57" s="924"/>
      <c r="C57" s="1027"/>
      <c r="D57" s="1026" t="s">
        <v>95</v>
      </c>
      <c r="E57" s="925"/>
      <c r="F57" s="950"/>
      <c r="G57" s="937"/>
      <c r="H57" s="925"/>
      <c r="I57" s="925"/>
      <c r="J57" s="925"/>
      <c r="K57" s="925"/>
      <c r="L57" s="926"/>
      <c r="M57" s="994"/>
      <c r="N57" s="2345" t="s">
        <v>483</v>
      </c>
      <c r="O57" s="2346"/>
      <c r="P57" s="2346"/>
      <c r="Q57" s="2346"/>
      <c r="R57" s="2346"/>
      <c r="S57" s="2346"/>
      <c r="T57" s="2347"/>
      <c r="U57" s="1028"/>
      <c r="V57" s="997"/>
    </row>
    <row r="58" spans="2:22" ht="28.5">
      <c r="B58" s="924"/>
      <c r="C58" s="1027"/>
      <c r="D58" s="1026" t="s">
        <v>96</v>
      </c>
      <c r="E58" s="925"/>
      <c r="F58" s="950"/>
      <c r="G58" s="937"/>
      <c r="H58" s="925"/>
      <c r="I58" s="925"/>
      <c r="J58" s="925"/>
      <c r="K58" s="925"/>
      <c r="L58" s="926"/>
      <c r="M58" s="994"/>
      <c r="N58" s="996"/>
      <c r="O58" s="996"/>
      <c r="P58" s="996"/>
      <c r="Q58" s="996"/>
      <c r="R58" s="925"/>
      <c r="S58" s="944"/>
      <c r="T58" s="944"/>
      <c r="U58" s="944"/>
      <c r="V58" s="997"/>
    </row>
    <row r="59" spans="2:22" ht="30.75">
      <c r="B59" s="1029"/>
      <c r="C59" s="1030"/>
      <c r="D59" s="1031"/>
      <c r="E59" s="1031"/>
      <c r="F59" s="1031"/>
      <c r="G59" s="1031"/>
      <c r="H59" s="1031"/>
      <c r="I59" s="1031"/>
      <c r="J59" s="1031"/>
      <c r="K59" s="1031"/>
      <c r="L59" s="1032"/>
      <c r="M59" s="994"/>
      <c r="N59" s="1033" t="str">
        <f>+VLOOKUP(78,TRADUZIONI,DATI!C2-1,0)</f>
        <v>PEZZI /PZ.</v>
      </c>
      <c r="O59" s="1014" t="str">
        <f>+P11</f>
        <v>1</v>
      </c>
      <c r="P59" s="1034"/>
      <c r="Q59" s="1034"/>
      <c r="R59" s="925"/>
      <c r="S59" s="944"/>
      <c r="T59" s="944"/>
      <c r="U59" s="944"/>
      <c r="V59" s="997"/>
    </row>
    <row r="60" spans="2:22" ht="21">
      <c r="B60" s="1035" t="s">
        <v>37</v>
      </c>
      <c r="C60" s="1036"/>
      <c r="D60" s="1036"/>
      <c r="E60" s="1036"/>
      <c r="F60" s="1036"/>
      <c r="G60" s="1036"/>
      <c r="H60" s="1036"/>
      <c r="I60" s="1036"/>
      <c r="J60" s="1036"/>
      <c r="K60" s="1036"/>
      <c r="L60" s="1037"/>
      <c r="M60" s="994"/>
      <c r="N60" s="996"/>
      <c r="O60" s="996"/>
      <c r="P60" s="996"/>
      <c r="Q60" s="996"/>
      <c r="R60" s="925"/>
      <c r="S60" s="944"/>
      <c r="T60" s="944"/>
      <c r="U60" s="944"/>
      <c r="V60" s="997"/>
    </row>
    <row r="61" spans="2:22" ht="30.75">
      <c r="B61" s="1038" t="s">
        <v>37</v>
      </c>
      <c r="C61" s="1039"/>
      <c r="D61" s="1040" t="s">
        <v>98</v>
      </c>
      <c r="E61" s="1040" t="s">
        <v>99</v>
      </c>
      <c r="F61" s="1040" t="s">
        <v>100</v>
      </c>
      <c r="G61" s="1039"/>
      <c r="H61" s="1039"/>
      <c r="I61" s="1039"/>
      <c r="J61" s="1039"/>
      <c r="K61" s="1039"/>
      <c r="L61" s="1041"/>
      <c r="M61" s="994"/>
      <c r="N61" s="2318" t="s">
        <v>485</v>
      </c>
      <c r="O61" s="2313"/>
      <c r="P61" s="2313"/>
      <c r="Q61" s="2313"/>
      <c r="R61" s="2332">
        <f>+P7-47</f>
        <v>1353</v>
      </c>
      <c r="S61" s="2333"/>
      <c r="T61" s="944"/>
      <c r="U61" s="944"/>
      <c r="V61" s="997"/>
    </row>
    <row r="62" spans="2:22" ht="21">
      <c r="B62" s="1042"/>
      <c r="C62" s="1039"/>
      <c r="D62" s="1043" t="s">
        <v>44</v>
      </c>
      <c r="E62" s="1044"/>
      <c r="F62" s="1044"/>
      <c r="G62" s="1045"/>
      <c r="H62" s="1039"/>
      <c r="I62" s="1039"/>
      <c r="J62" s="1039"/>
      <c r="K62" s="1039"/>
      <c r="L62" s="1041"/>
      <c r="M62" s="994"/>
      <c r="N62" s="996"/>
      <c r="O62" s="996"/>
      <c r="P62" s="996"/>
      <c r="Q62" s="996"/>
      <c r="R62" s="925"/>
      <c r="S62" s="944"/>
      <c r="T62" s="944"/>
      <c r="U62" s="944"/>
      <c r="V62" s="997"/>
    </row>
    <row r="63" spans="2:22" ht="21">
      <c r="B63" s="1046"/>
      <c r="C63" s="1039"/>
      <c r="D63" s="1047">
        <v>0.05</v>
      </c>
      <c r="E63" s="1048">
        <v>0.17499999999999999</v>
      </c>
      <c r="F63" s="1049" t="s">
        <v>102</v>
      </c>
      <c r="G63" s="1048">
        <f>(R7+300)/1000</f>
        <v>2.5</v>
      </c>
      <c r="H63" s="1039"/>
      <c r="I63" s="1039"/>
      <c r="J63" s="1039"/>
      <c r="K63" s="1039"/>
      <c r="L63" s="1041"/>
      <c r="M63" s="994"/>
      <c r="N63" s="996"/>
      <c r="O63" s="996"/>
      <c r="P63" s="996"/>
      <c r="Q63" s="996"/>
      <c r="R63" s="925"/>
      <c r="S63" s="944"/>
      <c r="T63" s="944"/>
      <c r="U63" s="944"/>
      <c r="V63" s="997"/>
    </row>
    <row r="64" spans="2:22" ht="21">
      <c r="B64" s="1050"/>
      <c r="C64" s="1039"/>
      <c r="D64" s="1047" t="s">
        <v>103</v>
      </c>
      <c r="E64" s="1047"/>
      <c r="F64" s="1048" t="str">
        <f>P11</f>
        <v>1</v>
      </c>
      <c r="G64" s="1047" t="s">
        <v>104</v>
      </c>
      <c r="H64" s="1039"/>
      <c r="I64" s="1039"/>
      <c r="J64" s="1039"/>
      <c r="K64" s="1039"/>
      <c r="L64" s="1041"/>
      <c r="M64" s="1051"/>
      <c r="N64" s="1052"/>
      <c r="O64" s="1053"/>
      <c r="P64" s="1053"/>
      <c r="Q64" s="1053"/>
      <c r="R64" s="1053"/>
      <c r="S64" s="1053"/>
      <c r="T64" s="1053"/>
      <c r="U64" s="1053"/>
      <c r="V64" s="1054"/>
    </row>
    <row r="65" spans="2:22" ht="21.75" thickBot="1">
      <c r="B65" s="1055"/>
      <c r="C65" s="1056"/>
      <c r="D65" s="1057" t="s">
        <v>105</v>
      </c>
      <c r="E65" s="1057"/>
      <c r="F65" s="1058">
        <f>(D63*E63*G63)*F64</f>
        <v>2.1874999999999999E-2</v>
      </c>
      <c r="G65" s="1057" t="s">
        <v>106</v>
      </c>
      <c r="H65" s="1056"/>
      <c r="I65" s="1056"/>
      <c r="J65" s="1056"/>
      <c r="K65" s="1056"/>
      <c r="L65" s="1059"/>
      <c r="M65" s="994"/>
      <c r="N65" s="995"/>
      <c r="O65" s="996"/>
      <c r="P65" s="996"/>
      <c r="Q65" s="996"/>
      <c r="R65" s="996"/>
      <c r="S65" s="925"/>
      <c r="T65" s="944"/>
      <c r="U65" s="944"/>
      <c r="V65" s="997"/>
    </row>
    <row r="66" spans="2:22" ht="44.25" customHeight="1">
      <c r="B66" s="919"/>
      <c r="C66" s="920" t="str">
        <f>+VLOOKUP(142,TRADUZIONI,DATI!$C$2-1,0)</f>
        <v>QUADRO G</v>
      </c>
      <c r="D66" s="2355" t="s">
        <v>108</v>
      </c>
      <c r="E66" s="2355"/>
      <c r="F66" s="2355"/>
      <c r="G66" s="2355"/>
      <c r="H66" s="2355"/>
      <c r="I66" s="2355"/>
      <c r="J66" s="2355"/>
      <c r="K66" s="2355"/>
      <c r="L66" s="2356"/>
      <c r="M66" s="994"/>
      <c r="N66" s="2345" t="s">
        <v>111</v>
      </c>
      <c r="O66" s="2346"/>
      <c r="P66" s="2346"/>
      <c r="Q66" s="2346"/>
      <c r="R66" s="2346"/>
      <c r="S66" s="2346"/>
      <c r="T66" s="2347"/>
      <c r="U66" s="1028"/>
      <c r="V66" s="997"/>
    </row>
    <row r="67" spans="2:22" ht="21">
      <c r="B67" s="2363" t="s">
        <v>109</v>
      </c>
      <c r="C67" s="2364"/>
      <c r="D67" s="2364"/>
      <c r="E67" s="2365"/>
      <c r="F67" s="2366" t="s">
        <v>110</v>
      </c>
      <c r="G67" s="2364"/>
      <c r="H67" s="2364"/>
      <c r="I67" s="2364"/>
      <c r="J67" s="2364"/>
      <c r="K67" s="2364"/>
      <c r="L67" s="2367"/>
      <c r="M67" s="994"/>
      <c r="N67" s="996"/>
      <c r="O67" s="996"/>
      <c r="P67" s="996"/>
      <c r="Q67" s="996"/>
      <c r="R67" s="925"/>
      <c r="S67" s="925"/>
      <c r="T67" s="925"/>
      <c r="U67" s="925"/>
      <c r="V67" s="997"/>
    </row>
    <row r="68" spans="2:22" ht="30.75">
      <c r="B68" s="2368" t="s">
        <v>112</v>
      </c>
      <c r="C68" s="2369"/>
      <c r="D68" s="2353" t="s">
        <v>113</v>
      </c>
      <c r="E68" s="2354"/>
      <c r="F68" s="2357">
        <f>+DATI!C12</f>
        <v>0</v>
      </c>
      <c r="G68" s="2358"/>
      <c r="H68" s="2358"/>
      <c r="I68" s="2358"/>
      <c r="J68" s="2358"/>
      <c r="K68" s="2358"/>
      <c r="L68" s="2359"/>
      <c r="M68" s="994"/>
      <c r="N68" s="1033" t="str">
        <f>+VLOOKUP(78,TRADUZIONI,DATI!C2-1,0)</f>
        <v>PEZZI /PZ.</v>
      </c>
      <c r="O68" s="1014">
        <f>2*P11</f>
        <v>2</v>
      </c>
      <c r="P68" s="1034"/>
      <c r="Q68" s="1034"/>
      <c r="R68" s="925"/>
      <c r="S68" s="925"/>
      <c r="T68" s="925"/>
      <c r="U68" s="925"/>
      <c r="V68" s="997"/>
    </row>
    <row r="69" spans="2:22" ht="18.75">
      <c r="B69" s="2370"/>
      <c r="C69" s="2371"/>
      <c r="D69" s="2374"/>
      <c r="E69" s="2375"/>
      <c r="F69" s="2360"/>
      <c r="G69" s="2361"/>
      <c r="H69" s="2361"/>
      <c r="I69" s="2361"/>
      <c r="J69" s="2361"/>
      <c r="K69" s="2361"/>
      <c r="L69" s="2362"/>
      <c r="M69" s="994"/>
      <c r="N69" s="996"/>
      <c r="O69" s="996"/>
      <c r="P69" s="996"/>
      <c r="Q69" s="996"/>
      <c r="R69" s="925"/>
      <c r="S69" s="925"/>
      <c r="T69" s="925"/>
      <c r="U69" s="925"/>
      <c r="V69" s="997"/>
    </row>
    <row r="70" spans="2:22" ht="28.5">
      <c r="B70" s="2370"/>
      <c r="C70" s="2371"/>
      <c r="D70" s="2374"/>
      <c r="E70" s="2375"/>
      <c r="F70" s="2366" t="s">
        <v>114</v>
      </c>
      <c r="G70" s="2364"/>
      <c r="H70" s="2364"/>
      <c r="I70" s="2364"/>
      <c r="J70" s="2364"/>
      <c r="K70" s="2366" t="s">
        <v>115</v>
      </c>
      <c r="L70" s="2367"/>
      <c r="M70" s="994"/>
      <c r="N70" s="1005" t="s">
        <v>942</v>
      </c>
      <c r="O70" s="1013"/>
      <c r="P70" s="928"/>
      <c r="Q70" s="928"/>
      <c r="R70" s="2351">
        <f>+R7-3</f>
        <v>2197</v>
      </c>
      <c r="S70" s="2352"/>
      <c r="T70" s="925"/>
      <c r="U70" s="925"/>
      <c r="V70" s="997"/>
    </row>
    <row r="71" spans="2:22" ht="21">
      <c r="B71" s="2370"/>
      <c r="C71" s="2371"/>
      <c r="D71" s="2374"/>
      <c r="E71" s="2375"/>
      <c r="F71" s="2357" t="str">
        <f>+IF(DATI!$C$11=1,"","RETE GRIGIA")</f>
        <v>RETE GRIGIA</v>
      </c>
      <c r="G71" s="2358"/>
      <c r="H71" s="2358"/>
      <c r="I71" s="2358"/>
      <c r="J71" s="2358"/>
      <c r="K71" s="1060"/>
      <c r="L71" s="1041"/>
      <c r="M71" s="994"/>
      <c r="N71" s="995"/>
      <c r="O71" s="996"/>
      <c r="P71" s="996"/>
      <c r="Q71" s="996"/>
      <c r="R71" s="996"/>
      <c r="S71" s="996"/>
      <c r="T71" s="996"/>
      <c r="U71" s="996"/>
      <c r="V71" s="997"/>
    </row>
    <row r="72" spans="2:22" ht="21.75" thickBot="1">
      <c r="B72" s="2372"/>
      <c r="C72" s="2373"/>
      <c r="D72" s="2376"/>
      <c r="E72" s="2377"/>
      <c r="F72" s="2376"/>
      <c r="G72" s="2373"/>
      <c r="H72" s="2373"/>
      <c r="I72" s="2373"/>
      <c r="J72" s="2373"/>
      <c r="K72" s="1061"/>
      <c r="L72" s="1062"/>
      <c r="M72" s="1063"/>
      <c r="N72" s="1064"/>
      <c r="O72" s="1064"/>
      <c r="P72" s="1064"/>
      <c r="Q72" s="1064"/>
      <c r="R72" s="1064"/>
      <c r="S72" s="1064"/>
      <c r="T72" s="1064"/>
      <c r="U72" s="1064"/>
      <c r="V72" s="1065"/>
    </row>
    <row r="74" spans="2:22" ht="99.75">
      <c r="V74" s="1066"/>
    </row>
  </sheetData>
  <mergeCells count="49">
    <mergeCell ref="R70:S70"/>
    <mergeCell ref="D68:E68"/>
    <mergeCell ref="N57:T57"/>
    <mergeCell ref="N61:Q61"/>
    <mergeCell ref="R61:S61"/>
    <mergeCell ref="D66:L66"/>
    <mergeCell ref="N66:T66"/>
    <mergeCell ref="F68:L69"/>
    <mergeCell ref="B67:E67"/>
    <mergeCell ref="F67:L67"/>
    <mergeCell ref="B68:C68"/>
    <mergeCell ref="B69:C72"/>
    <mergeCell ref="D69:E72"/>
    <mergeCell ref="F70:J70"/>
    <mergeCell ref="K70:L70"/>
    <mergeCell ref="F71:J72"/>
    <mergeCell ref="R51:S51"/>
    <mergeCell ref="D52:L52"/>
    <mergeCell ref="J34:K34"/>
    <mergeCell ref="C36:I36"/>
    <mergeCell ref="C37:I38"/>
    <mergeCell ref="C40:E40"/>
    <mergeCell ref="G40:K40"/>
    <mergeCell ref="M40:V40"/>
    <mergeCell ref="M41:V41"/>
    <mergeCell ref="O43:V43"/>
    <mergeCell ref="N45:T45"/>
    <mergeCell ref="P47:T47"/>
    <mergeCell ref="C49:J50"/>
    <mergeCell ref="R49:S49"/>
    <mergeCell ref="D43:L43"/>
    <mergeCell ref="H33:I33"/>
    <mergeCell ref="N9:O9"/>
    <mergeCell ref="P9:S9"/>
    <mergeCell ref="D10:G10"/>
    <mergeCell ref="N11:O11"/>
    <mergeCell ref="D14:L14"/>
    <mergeCell ref="O14:V14"/>
    <mergeCell ref="F15:J20"/>
    <mergeCell ref="P16:Q16"/>
    <mergeCell ref="C22:E22"/>
    <mergeCell ref="F31:G31"/>
    <mergeCell ref="G32:H32"/>
    <mergeCell ref="B2:V2"/>
    <mergeCell ref="E4:O4"/>
    <mergeCell ref="D6:G6"/>
    <mergeCell ref="N6:O7"/>
    <mergeCell ref="R6:S6"/>
    <mergeCell ref="R7:S7"/>
  </mergeCells>
  <printOptions horizontalCentered="1"/>
  <pageMargins left="0" right="0" top="0" bottom="0" header="0" footer="0"/>
  <pageSetup paperSize="9" scale="38" orientation="portrait" horizontalDpi="1200" verticalDpi="1200" r:id="rId1"/>
  <headerFooter alignWithMargins="0">
    <oddFooter>&amp;LREV. 09/05 - VER.1&amp;R&amp;D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4">
    <tabColor theme="2" tint="-0.249977111117893"/>
    <pageSetUpPr fitToPage="1"/>
  </sheetPr>
  <dimension ref="A1:AG74"/>
  <sheetViews>
    <sheetView showGridLines="0" zoomScale="40" zoomScaleNormal="40" workbookViewId="0">
      <selection activeCell="Y35" sqref="Y35"/>
    </sheetView>
  </sheetViews>
  <sheetFormatPr defaultColWidth="10.28515625" defaultRowHeight="15"/>
  <cols>
    <col min="1" max="1" width="34.85546875" style="918" customWidth="1"/>
    <col min="2" max="2" width="4.5703125" style="918" customWidth="1"/>
    <col min="3" max="3" width="32" style="918" customWidth="1"/>
    <col min="4" max="4" width="13.28515625" style="918" customWidth="1"/>
    <col min="5" max="5" width="21.140625" style="918" customWidth="1"/>
    <col min="6" max="6" width="15" style="918" customWidth="1"/>
    <col min="7" max="7" width="17.85546875" style="918" customWidth="1"/>
    <col min="8" max="9" width="9.28515625" style="918" customWidth="1"/>
    <col min="10" max="10" width="6.42578125" style="918" customWidth="1"/>
    <col min="11" max="11" width="9.85546875" style="918" customWidth="1"/>
    <col min="12" max="12" width="4.7109375" style="918" customWidth="1"/>
    <col min="13" max="13" width="3.7109375" style="918" customWidth="1"/>
    <col min="14" max="14" width="17.85546875" style="918" customWidth="1"/>
    <col min="15" max="15" width="13.85546875" style="918" customWidth="1"/>
    <col min="16" max="16" width="16.28515625" style="918" customWidth="1"/>
    <col min="17" max="17" width="9.7109375" style="918" customWidth="1"/>
    <col min="18" max="18" width="11.140625" style="918" customWidth="1"/>
    <col min="19" max="19" width="9.5703125" style="918" customWidth="1"/>
    <col min="20" max="20" width="19" style="918" customWidth="1"/>
    <col min="21" max="21" width="11.42578125" style="918" customWidth="1"/>
    <col min="22" max="22" width="6.5703125" style="918" customWidth="1"/>
    <col min="23" max="24" width="10.28515625" style="918"/>
    <col min="25" max="25" width="17" style="918" bestFit="1" customWidth="1"/>
    <col min="26" max="16384" width="10.28515625" style="918"/>
  </cols>
  <sheetData>
    <row r="1" spans="1:33" ht="18">
      <c r="A1" s="917"/>
    </row>
    <row r="2" spans="1:33" ht="33.75">
      <c r="A2" s="917"/>
      <c r="B2" s="2305" t="str">
        <f>CONCATENATE(VLOOKUP(135,TRADUZIONI,DATI!C2-1,0)," .22")</f>
        <v>FOGLIO LAVORO GIOCONDA LATERALE .22</v>
      </c>
      <c r="C2" s="2306"/>
      <c r="D2" s="2306"/>
      <c r="E2" s="2306"/>
      <c r="F2" s="2306"/>
      <c r="G2" s="2306"/>
      <c r="H2" s="2306"/>
      <c r="I2" s="2306"/>
      <c r="J2" s="2306"/>
      <c r="K2" s="2306"/>
      <c r="L2" s="2306"/>
      <c r="M2" s="2306"/>
      <c r="N2" s="2306"/>
      <c r="O2" s="2306"/>
      <c r="P2" s="2306"/>
      <c r="Q2" s="2306"/>
      <c r="R2" s="2306"/>
      <c r="S2" s="2306"/>
      <c r="T2" s="2306"/>
      <c r="U2" s="2306"/>
      <c r="V2" s="2306"/>
      <c r="AG2" s="918" t="s">
        <v>37</v>
      </c>
    </row>
    <row r="3" spans="1:33" ht="18.75" thickBot="1">
      <c r="A3" s="917"/>
    </row>
    <row r="4" spans="1:33" ht="44.25" customHeight="1">
      <c r="A4" s="917"/>
      <c r="B4" s="919"/>
      <c r="C4" s="920" t="str">
        <f>+VLOOKUP(108,TRADUZIONI,DATI!$C$2-1,0)</f>
        <v>QUADRO A</v>
      </c>
      <c r="D4" s="921"/>
      <c r="E4" s="2307" t="str">
        <f>+VLOOKUP(109,TRADUZIONI,DATI!$C$2-1,0)</f>
        <v>DATI ORDINE</v>
      </c>
      <c r="F4" s="2307"/>
      <c r="G4" s="2307"/>
      <c r="H4" s="2307"/>
      <c r="I4" s="2307"/>
      <c r="J4" s="2307"/>
      <c r="K4" s="2307"/>
      <c r="L4" s="2307"/>
      <c r="M4" s="2307"/>
      <c r="N4" s="2307"/>
      <c r="O4" s="2307"/>
      <c r="P4" s="922"/>
      <c r="Q4" s="921"/>
      <c r="R4" s="921"/>
      <c r="S4" s="921"/>
      <c r="T4" s="921"/>
      <c r="U4" s="921"/>
      <c r="V4" s="923"/>
    </row>
    <row r="5" spans="1:33" ht="18">
      <c r="A5" s="917"/>
      <c r="B5" s="924"/>
      <c r="C5" s="925"/>
      <c r="D5" s="925"/>
      <c r="E5" s="925"/>
      <c r="F5" s="925"/>
      <c r="G5" s="925"/>
      <c r="H5" s="925"/>
      <c r="I5" s="925"/>
      <c r="J5" s="925"/>
      <c r="K5" s="925"/>
      <c r="L5" s="925"/>
      <c r="M5" s="925"/>
      <c r="N5" s="925"/>
      <c r="O5" s="925"/>
      <c r="P5" s="925"/>
      <c r="Q5" s="925"/>
      <c r="R5" s="925"/>
      <c r="S5" s="925"/>
      <c r="T5" s="925"/>
      <c r="U5" s="925"/>
      <c r="V5" s="926"/>
    </row>
    <row r="6" spans="1:33" ht="30.75">
      <c r="B6" s="924"/>
      <c r="C6" s="1432" t="str">
        <f>+VLOOKUP(22,TRADUZIONI,DATI!C2-1,0)</f>
        <v>CLIENTE</v>
      </c>
      <c r="D6" s="2308">
        <f>+DATI!C6</f>
        <v>0</v>
      </c>
      <c r="E6" s="2308"/>
      <c r="F6" s="2308"/>
      <c r="G6" s="2308"/>
      <c r="H6" s="928"/>
      <c r="I6" s="928"/>
      <c r="J6" s="928"/>
      <c r="K6" s="929"/>
      <c r="L6" s="930"/>
      <c r="M6" s="931"/>
      <c r="N6" s="2309" t="str">
        <f>+VLOOKUP(115,TRADUZIONI,DATI!C2-1,0)</f>
        <v xml:space="preserve">DIMENSIONI </v>
      </c>
      <c r="O6" s="2310"/>
      <c r="P6" s="1434" t="str">
        <f>+VLOOKUP(96,TRADUZIONI,DATI!C2-1,0)</f>
        <v>BASE</v>
      </c>
      <c r="Q6" s="932"/>
      <c r="R6" s="2313" t="str">
        <f>+VLOOKUP(97,TRADUZIONI,DATI!C2-1,0)</f>
        <v>ALTEZZA</v>
      </c>
      <c r="S6" s="2314"/>
      <c r="T6" s="925"/>
      <c r="U6" s="925"/>
      <c r="V6" s="926"/>
    </row>
    <row r="7" spans="1:33" ht="29.25" customHeight="1">
      <c r="B7" s="924"/>
      <c r="C7" s="925"/>
      <c r="D7" s="925" t="s">
        <v>37</v>
      </c>
      <c r="E7" s="925"/>
      <c r="F7" s="925"/>
      <c r="G7" s="925"/>
      <c r="H7" s="925"/>
      <c r="I7" s="925"/>
      <c r="J7" s="925"/>
      <c r="K7" s="925"/>
      <c r="L7" s="930"/>
      <c r="M7" s="931"/>
      <c r="N7" s="2311"/>
      <c r="O7" s="2312"/>
      <c r="P7" s="933">
        <f>+DATI!C7</f>
        <v>1400</v>
      </c>
      <c r="Q7" s="934" t="s">
        <v>44</v>
      </c>
      <c r="R7" s="2315">
        <f>+DATI!C8</f>
        <v>2200</v>
      </c>
      <c r="S7" s="2316"/>
      <c r="T7" s="925"/>
      <c r="U7" s="925"/>
      <c r="V7" s="926"/>
    </row>
    <row r="8" spans="1:33" ht="30.75">
      <c r="B8" s="924"/>
      <c r="C8" s="927" t="str">
        <f>+VLOOKUP(23,TRADUZIONI,DATI!C2-1,0)</f>
        <v>NUM. ORDINE</v>
      </c>
      <c r="D8" s="935">
        <f>+DATI!C4</f>
        <v>0</v>
      </c>
      <c r="E8" s="935"/>
      <c r="F8" s="935"/>
      <c r="G8" s="935"/>
      <c r="H8" s="928"/>
      <c r="I8" s="928"/>
      <c r="J8" s="928"/>
      <c r="K8" s="929"/>
      <c r="L8" s="930"/>
      <c r="M8" s="931"/>
      <c r="N8" s="925"/>
      <c r="O8" s="925"/>
      <c r="P8" s="925"/>
      <c r="Q8" s="925"/>
      <c r="R8" s="936"/>
      <c r="S8" s="925"/>
      <c r="T8" s="925"/>
      <c r="U8" s="925"/>
      <c r="V8" s="926"/>
    </row>
    <row r="9" spans="1:33" ht="30.75">
      <c r="B9" s="924"/>
      <c r="C9" s="925"/>
      <c r="D9" s="925"/>
      <c r="E9" s="925"/>
      <c r="F9" s="925"/>
      <c r="G9" s="925"/>
      <c r="H9" s="925"/>
      <c r="I9" s="925"/>
      <c r="J9" s="925"/>
      <c r="K9" s="925"/>
      <c r="L9" s="930"/>
      <c r="M9" s="931"/>
      <c r="N9" s="2318" t="str">
        <f>+VLOOKUP(99,TRADUZIONI,DATI!C2-1,0)</f>
        <v>COLORE</v>
      </c>
      <c r="O9" s="2314"/>
      <c r="P9" s="2319" t="str">
        <f>+DATI!C10</f>
        <v>06.NERO</v>
      </c>
      <c r="Q9" s="2320"/>
      <c r="R9" s="2320"/>
      <c r="S9" s="2321"/>
      <c r="T9" s="925"/>
      <c r="U9" s="925"/>
      <c r="V9" s="926"/>
    </row>
    <row r="10" spans="1:33" ht="30.75">
      <c r="B10" s="924"/>
      <c r="C10" s="1434" t="str">
        <f>+VLOOKUP(5,TRADUZIONI,DATI!C2-1,0)</f>
        <v>DATA SPEDIZIONE</v>
      </c>
      <c r="D10" s="2322">
        <f>+DATI!C5</f>
        <v>42370</v>
      </c>
      <c r="E10" s="2320"/>
      <c r="F10" s="2320"/>
      <c r="G10" s="2320"/>
      <c r="H10" s="928"/>
      <c r="I10" s="928"/>
      <c r="J10" s="928"/>
      <c r="K10" s="929"/>
      <c r="L10" s="930"/>
      <c r="M10" s="931"/>
      <c r="N10" s="937"/>
      <c r="O10" s="925"/>
      <c r="P10" s="925"/>
      <c r="Q10" s="925"/>
      <c r="R10" s="925"/>
      <c r="S10" s="925"/>
      <c r="T10" s="925"/>
      <c r="U10" s="925"/>
      <c r="V10" s="926"/>
    </row>
    <row r="11" spans="1:33" ht="30.75">
      <c r="B11" s="924"/>
      <c r="C11" s="925"/>
      <c r="D11" s="925"/>
      <c r="E11" s="925"/>
      <c r="F11" s="925"/>
      <c r="G11" s="925"/>
      <c r="H11" s="925"/>
      <c r="I11" s="925"/>
      <c r="J11" s="925"/>
      <c r="K11" s="925"/>
      <c r="L11" s="930"/>
      <c r="M11" s="931"/>
      <c r="N11" s="2323" t="str">
        <f>+VLOOKUP(78,TRADUZIONI,DATI!C2-1,0)</f>
        <v>PEZZI /PZ.</v>
      </c>
      <c r="O11" s="2324"/>
      <c r="P11" s="938" t="str">
        <f>+DATI!C11</f>
        <v>1</v>
      </c>
      <c r="Q11" s="925"/>
      <c r="R11" s="925"/>
      <c r="S11" s="925"/>
      <c r="T11" s="925"/>
      <c r="U11" s="925"/>
      <c r="V11" s="926"/>
    </row>
    <row r="12" spans="1:33" ht="30.75">
      <c r="B12" s="924"/>
      <c r="C12" s="927" t="s">
        <v>49</v>
      </c>
      <c r="D12" s="939">
        <f>IF((P7*R7/1000000)&lt;=2,2*P11,IF((P7*R7/1000000)&gt;2,(P7*R7/1000000)*P11))</f>
        <v>3.08</v>
      </c>
      <c r="E12" s="925"/>
      <c r="F12" s="925"/>
      <c r="G12" s="925"/>
      <c r="H12" s="925"/>
      <c r="I12" s="925"/>
      <c r="J12" s="925"/>
      <c r="K12" s="925"/>
      <c r="L12" s="930"/>
      <c r="M12" s="931"/>
      <c r="N12" s="925"/>
      <c r="O12" s="925"/>
      <c r="P12" s="940" t="s">
        <v>37</v>
      </c>
      <c r="Q12" s="925"/>
      <c r="R12" s="925"/>
      <c r="S12" s="925"/>
      <c r="T12" s="941" t="s">
        <v>37</v>
      </c>
      <c r="U12" s="941"/>
      <c r="V12" s="926"/>
    </row>
    <row r="13" spans="1:33" ht="15.75" thickBot="1">
      <c r="B13" s="924"/>
      <c r="C13" s="937"/>
      <c r="D13" s="925"/>
      <c r="E13" s="942"/>
      <c r="F13" s="943"/>
      <c r="G13" s="942"/>
      <c r="H13" s="944"/>
      <c r="I13" s="944"/>
      <c r="J13" s="944"/>
      <c r="K13" s="925"/>
      <c r="L13" s="925"/>
      <c r="M13" s="925"/>
      <c r="N13" s="925"/>
      <c r="O13" s="925"/>
      <c r="P13" s="925"/>
      <c r="Q13" s="925"/>
      <c r="R13" s="945"/>
      <c r="S13" s="925"/>
      <c r="T13" s="946" t="s">
        <v>37</v>
      </c>
      <c r="U13" s="946"/>
      <c r="V13" s="926"/>
    </row>
    <row r="14" spans="1:33" ht="44.25" customHeight="1">
      <c r="B14" s="919"/>
      <c r="C14" s="920" t="str">
        <f>+VLOOKUP(111,TRADUZIONI,DATI!$C$2-1,0)</f>
        <v>QUADRO B</v>
      </c>
      <c r="D14" s="2325" t="str">
        <f>+VLOOKUP(118,TRADUZIONI,DATI!$C$2-1,0)</f>
        <v>DIMENSIONE RETE E FORI</v>
      </c>
      <c r="E14" s="2325"/>
      <c r="F14" s="2325"/>
      <c r="G14" s="2325"/>
      <c r="H14" s="2325"/>
      <c r="I14" s="2325"/>
      <c r="J14" s="2325"/>
      <c r="K14" s="2325"/>
      <c r="L14" s="2326"/>
      <c r="M14" s="919"/>
      <c r="N14" s="920" t="str">
        <f>+VLOOKUP(138,TRADUZIONI,DATI!$C$2-1,0)</f>
        <v>QUADRO C</v>
      </c>
      <c r="O14" s="2327" t="str">
        <f>+VLOOKUP(117,TRADUZIONI,DATI!$C$2-1,0)</f>
        <v>LUNGHEZZA E NUM. CORDINI</v>
      </c>
      <c r="P14" s="2327"/>
      <c r="Q14" s="2327"/>
      <c r="R14" s="2327"/>
      <c r="S14" s="2327"/>
      <c r="T14" s="2327"/>
      <c r="U14" s="2327"/>
      <c r="V14" s="2328"/>
    </row>
    <row r="15" spans="1:33" ht="31.5" customHeight="1">
      <c r="B15" s="947"/>
      <c r="C15" s="925"/>
      <c r="D15" s="925"/>
      <c r="E15" s="925"/>
      <c r="F15" s="2329" t="e">
        <f>IF(DATI!E13="AUTOMATICA",CONCATENATE("*",DATI!E14,"-",REPT("0",4-LEN(F22)),F22,"*"),CONCATENATE("*",DATI!$L$14,REPT("0",3-LEN(D16)),D16,REPT("0",4-LEN(F22)),F22,DATI!L13,"*"))</f>
        <v>#VALUE!</v>
      </c>
      <c r="G15" s="2329"/>
      <c r="H15" s="2329"/>
      <c r="I15" s="2329"/>
      <c r="J15" s="2329"/>
      <c r="K15" s="948"/>
      <c r="L15" s="949"/>
      <c r="M15" s="924"/>
      <c r="N15" s="925"/>
      <c r="O15" s="925" t="s">
        <v>37</v>
      </c>
      <c r="P15" s="950" t="s">
        <v>37</v>
      </c>
      <c r="Q15" s="925"/>
      <c r="R15" s="925"/>
      <c r="S15" s="925"/>
      <c r="T15" s="951"/>
      <c r="U15" s="951"/>
      <c r="V15" s="926"/>
    </row>
    <row r="16" spans="1:33" ht="30.75" customHeight="1">
      <c r="B16" s="952"/>
      <c r="C16" s="953" t="str">
        <f>+VLOOKUP(19,TRADUZIONI,DATI!C2-1,0)</f>
        <v>PIEGHE</v>
      </c>
      <c r="D16" s="954">
        <f>2+ROUNDUP((P7-80)*0.0471,0)</f>
        <v>65</v>
      </c>
      <c r="E16" s="925"/>
      <c r="F16" s="2329"/>
      <c r="G16" s="2329"/>
      <c r="H16" s="2329"/>
      <c r="I16" s="2329"/>
      <c r="J16" s="2329"/>
      <c r="K16" s="948"/>
      <c r="L16" s="955"/>
      <c r="M16" s="952"/>
      <c r="N16" s="956"/>
      <c r="O16" s="956"/>
      <c r="P16" s="2323" t="str">
        <f>+VLOOKUP(149,TRADUZIONI,DATI!C2-1,0)</f>
        <v>CORDINI</v>
      </c>
      <c r="Q16" s="2324"/>
      <c r="R16" s="957">
        <f>IF(F22&lt;=576,2,IF(F22&lt;=1430,4,IF(F22&lt;=2330,6,8)))</f>
        <v>6</v>
      </c>
      <c r="S16" s="951"/>
      <c r="T16" s="946"/>
      <c r="U16" s="946"/>
      <c r="V16" s="958"/>
    </row>
    <row r="17" spans="2:22" s="960" customFormat="1" ht="15" customHeight="1">
      <c r="B17" s="924"/>
      <c r="C17" s="925"/>
      <c r="D17" s="925"/>
      <c r="E17" s="925"/>
      <c r="F17" s="2329"/>
      <c r="G17" s="2329"/>
      <c r="H17" s="2329"/>
      <c r="I17" s="2329"/>
      <c r="J17" s="2329"/>
      <c r="K17" s="948"/>
      <c r="L17" s="925"/>
      <c r="M17" s="924"/>
      <c r="N17" s="925"/>
      <c r="O17" s="925"/>
      <c r="P17" s="925"/>
      <c r="Q17" s="959"/>
      <c r="R17" s="925"/>
      <c r="S17" s="925"/>
      <c r="T17" s="925"/>
      <c r="U17" s="925"/>
      <c r="V17" s="926"/>
    </row>
    <row r="18" spans="2:22" ht="49.5" customHeight="1">
      <c r="B18" s="924"/>
      <c r="C18" s="925"/>
      <c r="D18" s="940"/>
      <c r="E18" s="940"/>
      <c r="F18" s="2329"/>
      <c r="G18" s="2329"/>
      <c r="H18" s="2329"/>
      <c r="I18" s="2329"/>
      <c r="J18" s="2329"/>
      <c r="K18" s="948"/>
      <c r="L18" s="925"/>
      <c r="M18" s="924"/>
      <c r="N18" s="925"/>
      <c r="O18" s="925"/>
      <c r="P18" s="925"/>
      <c r="Q18" s="961"/>
      <c r="R18" s="925"/>
      <c r="S18" s="925"/>
      <c r="T18" s="925"/>
      <c r="U18" s="925"/>
      <c r="V18" s="926"/>
    </row>
    <row r="19" spans="2:22" ht="15" customHeight="1">
      <c r="B19" s="924"/>
      <c r="C19" s="925"/>
      <c r="D19" s="940"/>
      <c r="E19" s="940"/>
      <c r="F19" s="2329"/>
      <c r="G19" s="2329"/>
      <c r="H19" s="2329"/>
      <c r="I19" s="2329"/>
      <c r="J19" s="2329"/>
      <c r="K19" s="948"/>
      <c r="L19" s="925"/>
      <c r="M19" s="924"/>
      <c r="N19" s="925"/>
      <c r="O19" s="925"/>
      <c r="P19" s="962" t="s">
        <v>37</v>
      </c>
      <c r="Q19" s="925"/>
      <c r="R19" s="963" t="s">
        <v>37</v>
      </c>
      <c r="S19" s="925"/>
      <c r="T19" s="925"/>
      <c r="U19" s="925"/>
      <c r="V19" s="926"/>
    </row>
    <row r="20" spans="2:22">
      <c r="B20" s="924"/>
      <c r="C20" s="925"/>
      <c r="D20" s="940"/>
      <c r="E20" s="940"/>
      <c r="F20" s="2329"/>
      <c r="G20" s="2329"/>
      <c r="H20" s="2329"/>
      <c r="I20" s="2329"/>
      <c r="J20" s="2329"/>
      <c r="K20" s="948"/>
      <c r="L20" s="925"/>
      <c r="M20" s="964"/>
      <c r="N20" s="925"/>
      <c r="O20" s="925"/>
      <c r="P20" s="925"/>
      <c r="Q20" s="965"/>
      <c r="R20" s="965"/>
      <c r="S20" s="925"/>
      <c r="T20" s="937"/>
      <c r="U20" s="937"/>
      <c r="V20" s="926"/>
    </row>
    <row r="21" spans="2:22">
      <c r="B21" s="924"/>
      <c r="C21" s="925"/>
      <c r="D21" s="940"/>
      <c r="E21" s="925"/>
      <c r="F21" s="950" t="s">
        <v>37</v>
      </c>
      <c r="G21" s="925"/>
      <c r="H21" s="966"/>
      <c r="I21" s="966"/>
      <c r="J21" s="966"/>
      <c r="K21" s="940" t="s">
        <v>37</v>
      </c>
      <c r="L21" s="925"/>
      <c r="M21" s="964"/>
      <c r="N21" s="925"/>
      <c r="O21" s="925"/>
      <c r="P21" s="925"/>
      <c r="Q21" s="925"/>
      <c r="R21" s="959"/>
      <c r="S21" s="925"/>
      <c r="T21" s="965"/>
      <c r="U21" s="965"/>
      <c r="V21" s="926"/>
    </row>
    <row r="22" spans="2:22" ht="30.75">
      <c r="B22" s="924"/>
      <c r="C22" s="2318" t="str">
        <f>CONCATENATE(VLOOKUP(116,TRADUZIONI,DATI!C2-1,0),"(",VLOOKUP(97,TRADUZIONI,DATI!C2-1,0),"-24*)")</f>
        <v>TAGLIO RETE(ALTEZZA-24*)</v>
      </c>
      <c r="D22" s="2313"/>
      <c r="E22" s="2313"/>
      <c r="F22" s="967">
        <f>+R7-24</f>
        <v>2176</v>
      </c>
      <c r="G22" s="968"/>
      <c r="H22" s="969"/>
      <c r="I22" s="969"/>
      <c r="J22" s="969"/>
      <c r="K22" s="970"/>
      <c r="L22" s="925"/>
      <c r="M22" s="964"/>
      <c r="N22" s="925"/>
      <c r="O22" s="925"/>
      <c r="P22" s="966" t="s">
        <v>37</v>
      </c>
      <c r="Q22" s="925" t="s">
        <v>37</v>
      </c>
      <c r="R22" s="925"/>
      <c r="S22" s="925"/>
      <c r="T22" s="961"/>
      <c r="U22" s="961"/>
      <c r="V22" s="926"/>
    </row>
    <row r="23" spans="2:22">
      <c r="B23" s="924"/>
      <c r="C23" s="925"/>
      <c r="D23" s="940"/>
      <c r="E23" s="925"/>
      <c r="F23" s="950"/>
      <c r="G23" s="951"/>
      <c r="H23" s="966"/>
      <c r="I23" s="966"/>
      <c r="J23" s="966"/>
      <c r="K23" s="940"/>
      <c r="L23" s="925"/>
      <c r="M23" s="964"/>
      <c r="N23" s="925"/>
      <c r="O23" s="925"/>
      <c r="P23" s="966"/>
      <c r="Q23" s="925"/>
      <c r="R23" s="925"/>
      <c r="S23" s="925"/>
      <c r="T23" s="961"/>
      <c r="U23" s="961"/>
      <c r="V23" s="926"/>
    </row>
    <row r="24" spans="2:22">
      <c r="B24" s="924"/>
      <c r="C24" s="925"/>
      <c r="D24" s="940"/>
      <c r="E24" s="925"/>
      <c r="F24" s="950"/>
      <c r="G24" s="951"/>
      <c r="H24" s="966"/>
      <c r="I24" s="966"/>
      <c r="J24" s="966"/>
      <c r="K24" s="940"/>
      <c r="L24" s="925"/>
      <c r="M24" s="964"/>
      <c r="N24" s="925"/>
      <c r="O24" s="925"/>
      <c r="P24" s="966"/>
      <c r="Q24" s="925"/>
      <c r="R24" s="925"/>
      <c r="S24" s="925"/>
      <c r="T24" s="961"/>
      <c r="U24" s="961"/>
      <c r="V24" s="926"/>
    </row>
    <row r="25" spans="2:22">
      <c r="B25" s="924"/>
      <c r="C25" s="925"/>
      <c r="D25" s="940"/>
      <c r="E25" s="925"/>
      <c r="F25" s="950"/>
      <c r="G25" s="951"/>
      <c r="H25" s="966"/>
      <c r="I25" s="966"/>
      <c r="J25" s="966"/>
      <c r="K25" s="940"/>
      <c r="L25" s="925"/>
      <c r="M25" s="924"/>
      <c r="N25" s="925"/>
      <c r="O25" s="925"/>
      <c r="P25" s="966"/>
      <c r="Q25" s="925"/>
      <c r="R25" s="925"/>
      <c r="S25" s="925"/>
      <c r="T25" s="961"/>
      <c r="U25" s="961"/>
      <c r="V25" s="926"/>
    </row>
    <row r="26" spans="2:22">
      <c r="B26" s="924"/>
      <c r="C26" s="925"/>
      <c r="D26" s="940"/>
      <c r="E26" s="925"/>
      <c r="F26" s="950"/>
      <c r="G26" s="951"/>
      <c r="H26" s="966"/>
      <c r="I26" s="966"/>
      <c r="J26" s="966"/>
      <c r="K26" s="940"/>
      <c r="L26" s="925"/>
      <c r="M26" s="924"/>
      <c r="N26" s="925"/>
      <c r="O26" s="925"/>
      <c r="P26" s="925"/>
      <c r="Q26" s="925"/>
      <c r="R26" s="925"/>
      <c r="S26" s="940"/>
      <c r="T26" s="925"/>
      <c r="U26" s="925"/>
      <c r="V26" s="926"/>
    </row>
    <row r="27" spans="2:22" ht="30.75">
      <c r="B27" s="924"/>
      <c r="C27" s="971">
        <v>40</v>
      </c>
      <c r="D27" s="940"/>
      <c r="E27" s="925"/>
      <c r="F27" s="950"/>
      <c r="G27" s="951"/>
      <c r="H27" s="966"/>
      <c r="I27" s="966"/>
      <c r="J27" s="966"/>
      <c r="K27" s="940"/>
      <c r="L27" s="925"/>
      <c r="M27" s="924"/>
      <c r="N27" s="925"/>
      <c r="O27" s="925"/>
      <c r="P27" s="925"/>
      <c r="Q27" s="925"/>
      <c r="R27" s="925"/>
      <c r="S27" s="925"/>
      <c r="T27" s="925"/>
      <c r="U27" s="925"/>
      <c r="V27" s="926"/>
    </row>
    <row r="28" spans="2:22" ht="36" customHeight="1">
      <c r="B28" s="924"/>
      <c r="C28" s="972">
        <f>+C27+F40</f>
        <v>459</v>
      </c>
      <c r="D28" s="940"/>
      <c r="E28" s="925"/>
      <c r="F28" s="950"/>
      <c r="G28" s="951"/>
      <c r="H28" s="966"/>
      <c r="I28" s="966"/>
      <c r="J28" s="966"/>
      <c r="K28" s="940"/>
      <c r="L28" s="925"/>
      <c r="M28" s="924"/>
      <c r="N28" s="925"/>
      <c r="O28" s="925"/>
      <c r="P28" s="966" t="s">
        <v>37</v>
      </c>
      <c r="Q28" s="925"/>
      <c r="R28" s="925"/>
      <c r="S28" s="940"/>
      <c r="T28" s="925"/>
      <c r="U28" s="925"/>
      <c r="V28" s="926"/>
    </row>
    <row r="29" spans="2:22" ht="36" customHeight="1">
      <c r="B29" s="924"/>
      <c r="C29" s="925"/>
      <c r="D29" s="973">
        <f>IF(R16&gt;2,C28+F40,"")</f>
        <v>878</v>
      </c>
      <c r="E29" s="925"/>
      <c r="F29" s="950"/>
      <c r="G29" s="951"/>
      <c r="H29" s="966"/>
      <c r="I29" s="966"/>
      <c r="J29" s="966"/>
      <c r="K29" s="940"/>
      <c r="L29" s="925"/>
      <c r="M29" s="924"/>
      <c r="N29" s="925"/>
      <c r="O29" s="925"/>
      <c r="P29" s="925"/>
      <c r="Q29" s="925"/>
      <c r="R29" s="925"/>
      <c r="S29" s="925"/>
      <c r="T29" s="925"/>
      <c r="U29" s="925"/>
      <c r="V29" s="926"/>
    </row>
    <row r="30" spans="2:22" ht="36" customHeight="1">
      <c r="B30" s="924"/>
      <c r="C30" s="925"/>
      <c r="D30" s="940"/>
      <c r="E30" s="972">
        <f>IF(R16&gt;=4,D29+F40,"")</f>
        <v>1297</v>
      </c>
      <c r="F30" s="950"/>
      <c r="G30" s="951"/>
      <c r="H30" s="966"/>
      <c r="I30" s="966"/>
      <c r="J30" s="966"/>
      <c r="K30" s="940"/>
      <c r="L30" s="925"/>
      <c r="M30" s="924"/>
      <c r="N30" s="925"/>
      <c r="O30" s="925"/>
      <c r="P30" s="940" t="s">
        <v>37</v>
      </c>
      <c r="Q30" s="925"/>
      <c r="R30" s="925"/>
      <c r="S30" s="925"/>
      <c r="T30" s="925"/>
      <c r="U30" s="925"/>
      <c r="V30" s="926"/>
    </row>
    <row r="31" spans="2:22" ht="36" customHeight="1">
      <c r="B31" s="924"/>
      <c r="C31" s="925"/>
      <c r="D31" s="940"/>
      <c r="E31" s="925"/>
      <c r="F31" s="2330">
        <f>IF(R16&gt;=5,E30+F40,"")</f>
        <v>1716</v>
      </c>
      <c r="G31" s="2330"/>
      <c r="H31" s="966"/>
      <c r="I31" s="966"/>
      <c r="J31" s="966"/>
      <c r="K31" s="940"/>
      <c r="L31" s="925"/>
      <c r="M31" s="924"/>
      <c r="N31" s="925"/>
      <c r="O31" s="925"/>
      <c r="P31" s="925"/>
      <c r="Q31" s="925"/>
      <c r="R31" s="925"/>
      <c r="S31" s="925"/>
      <c r="T31" s="925"/>
      <c r="U31" s="925"/>
      <c r="V31" s="926"/>
    </row>
    <row r="32" spans="2:22" ht="36" customHeight="1">
      <c r="B32" s="924"/>
      <c r="C32" s="925"/>
      <c r="D32" s="940"/>
      <c r="E32" s="925"/>
      <c r="F32" s="950"/>
      <c r="G32" s="2331">
        <f>IF(R16&gt;=6,F31+F40,"")</f>
        <v>2135</v>
      </c>
      <c r="H32" s="2331"/>
      <c r="I32" s="966"/>
      <c r="J32" s="966"/>
      <c r="K32" s="940"/>
      <c r="L32" s="925"/>
      <c r="M32" s="924"/>
      <c r="N32" s="925"/>
      <c r="O32" s="925"/>
      <c r="P32" s="925"/>
      <c r="Q32" s="948"/>
      <c r="R32" s="925"/>
      <c r="S32" s="925"/>
      <c r="T32" s="925"/>
      <c r="U32" s="925"/>
      <c r="V32" s="926"/>
    </row>
    <row r="33" spans="2:27" ht="36" customHeight="1">
      <c r="B33" s="924"/>
      <c r="C33" s="925"/>
      <c r="D33" s="940"/>
      <c r="E33" s="925"/>
      <c r="F33" s="950"/>
      <c r="G33" s="951"/>
      <c r="H33" s="2317" t="str">
        <f>IF(R16&gt;=7,G32+F40,"")</f>
        <v/>
      </c>
      <c r="I33" s="2317"/>
      <c r="J33" s="966"/>
      <c r="K33" s="940"/>
      <c r="L33" s="925"/>
      <c r="M33" s="924"/>
      <c r="N33" s="925"/>
      <c r="O33" s="925"/>
      <c r="P33" s="925"/>
      <c r="Q33" s="925"/>
      <c r="R33" s="925"/>
      <c r="S33" s="925"/>
      <c r="T33" s="925"/>
      <c r="U33" s="925"/>
      <c r="V33" s="926"/>
    </row>
    <row r="34" spans="2:27" ht="36" customHeight="1">
      <c r="B34" s="924"/>
      <c r="C34" s="925"/>
      <c r="D34" s="940"/>
      <c r="E34" s="925"/>
      <c r="F34" s="950"/>
      <c r="G34" s="951"/>
      <c r="H34" s="966"/>
      <c r="I34" s="966"/>
      <c r="J34" s="2330" t="str">
        <f>IF(R16=8,H33+F40,"")</f>
        <v/>
      </c>
      <c r="K34" s="2330"/>
      <c r="L34" s="926"/>
      <c r="M34" s="925"/>
      <c r="N34" s="925"/>
      <c r="O34" s="974"/>
      <c r="P34" s="974"/>
      <c r="Q34" s="937"/>
      <c r="R34" s="925"/>
      <c r="S34" s="925"/>
      <c r="T34" s="925"/>
      <c r="U34" s="925"/>
      <c r="V34" s="926"/>
      <c r="X34" s="97"/>
      <c r="Y34" s="1138" t="str">
        <f>+VLOOKUP(149,TRADUZIONI,DATI!C2-1,0)</f>
        <v>CORDINI</v>
      </c>
    </row>
    <row r="35" spans="2:27" ht="57" customHeight="1">
      <c r="B35" s="924"/>
      <c r="C35" s="925"/>
      <c r="D35" s="940"/>
      <c r="E35" s="925"/>
      <c r="F35" s="950"/>
      <c r="G35" s="951"/>
      <c r="H35" s="966"/>
      <c r="I35" s="966"/>
      <c r="J35" s="966"/>
      <c r="K35" s="940"/>
      <c r="L35" s="926"/>
      <c r="M35" s="925"/>
      <c r="N35" s="977" t="str">
        <f>CONCATENATE(Z35," 1-2"," ",AA35,"      ",TEXT(ROUND((60*2+P7-80+R7+29-C27+60+150),-1),0))</f>
        <v>Nr. Cord 1-2 LUNGHEZZA      3840</v>
      </c>
      <c r="O35" s="978"/>
      <c r="P35" s="978"/>
      <c r="Q35" s="1074"/>
      <c r="R35" s="925"/>
      <c r="S35" s="925"/>
      <c r="T35" s="925"/>
      <c r="U35" s="925"/>
      <c r="V35" s="926"/>
      <c r="X35" s="1381">
        <v>2</v>
      </c>
      <c r="Y35" s="1361">
        <f>ROUND((60*2+P7-80+R7+29-C27+60+150),-1)</f>
        <v>3840</v>
      </c>
      <c r="Z35" s="97" t="str">
        <f>+VLOOKUP(144,TRADUZIONI,DATI!$C$2-1,0)</f>
        <v>Nr. Cord</v>
      </c>
      <c r="AA35" s="97" t="str">
        <f>+VLOOKUP(60,TRADUZIONI,DATI!$C$2-1,0)</f>
        <v>LUNGHEZZA</v>
      </c>
    </row>
    <row r="36" spans="2:27" ht="30.75" customHeight="1">
      <c r="B36" s="924"/>
      <c r="C36" s="2309" t="s">
        <v>91</v>
      </c>
      <c r="D36" s="2334"/>
      <c r="E36" s="2334"/>
      <c r="F36" s="2334"/>
      <c r="G36" s="2334"/>
      <c r="H36" s="2334"/>
      <c r="I36" s="2310"/>
      <c r="J36" s="966"/>
      <c r="K36" s="940"/>
      <c r="L36" s="926"/>
      <c r="M36" s="976"/>
      <c r="N36" s="977" t="str">
        <f>IF(R16&lt;=2,"NO",CONCATENATE(Z35," 3-4 ",AA35,"      ",TEXT(ROUND((60*2+P7-80+F40+C27+30+150+50),-1),0)))</f>
        <v>Nr. Cord 3-4 LUNGHEZZA      2130</v>
      </c>
      <c r="O36" s="978"/>
      <c r="P36" s="978"/>
      <c r="Q36" s="1078"/>
      <c r="R36" s="925"/>
      <c r="S36" s="925"/>
      <c r="T36" s="925"/>
      <c r="U36" s="925"/>
      <c r="V36" s="926"/>
      <c r="X36" s="1381">
        <v>4</v>
      </c>
      <c r="Y36" s="1362">
        <f>IF(R16&lt;=2,0,(ROUND((60*2+P7-80+F40+C27+30+150+50),-1)))</f>
        <v>2130</v>
      </c>
    </row>
    <row r="37" spans="2:27" ht="36" customHeight="1">
      <c r="B37" s="924"/>
      <c r="C37" s="2335" t="s">
        <v>118</v>
      </c>
      <c r="D37" s="2336"/>
      <c r="E37" s="2336"/>
      <c r="F37" s="2336"/>
      <c r="G37" s="2336"/>
      <c r="H37" s="2336"/>
      <c r="I37" s="2337"/>
      <c r="J37" s="925"/>
      <c r="K37" s="925"/>
      <c r="L37" s="926"/>
      <c r="M37" s="980"/>
      <c r="N37" s="975" t="str">
        <f>IF(R16&lt;=4,"NO",CONCATENATE(Z35," 5-6 ",AA35,"      ",TEXT(ROUND((60*2+P7-80+2*F40+C27+30+150+50),-1),"0")))</f>
        <v>Nr. Cord 5-6 LUNGHEZZA      2550</v>
      </c>
      <c r="O37" s="975"/>
      <c r="P37" s="975"/>
      <c r="Q37" s="1079"/>
      <c r="R37" s="937"/>
      <c r="S37" s="940"/>
      <c r="T37" s="925"/>
      <c r="U37" s="925"/>
      <c r="V37" s="981"/>
      <c r="X37" s="1381">
        <v>6</v>
      </c>
      <c r="Y37" s="1362">
        <f>IF(R16&lt;=4,0,ROUND((60*2+P7-80+2*F40+C27+30+150+50),-1))</f>
        <v>2550</v>
      </c>
    </row>
    <row r="38" spans="2:27" ht="33" customHeight="1">
      <c r="B38" s="924"/>
      <c r="C38" s="2311"/>
      <c r="D38" s="2338"/>
      <c r="E38" s="2338"/>
      <c r="F38" s="2338"/>
      <c r="G38" s="2338"/>
      <c r="H38" s="2338"/>
      <c r="I38" s="2312"/>
      <c r="J38" s="925"/>
      <c r="K38" s="925"/>
      <c r="L38" s="926"/>
      <c r="M38" s="980"/>
      <c r="N38" s="975" t="str">
        <f>IF(R16&lt;=6,"",CONCATENATE(Z35," 7-8 ",AA35,"      ",TEXT(ROUND((60*2+P7-80+3*F40+C27+30+150+50),-1),"0")))</f>
        <v/>
      </c>
      <c r="O38" s="978"/>
      <c r="P38" s="975"/>
      <c r="Q38" s="1079"/>
      <c r="R38" s="937"/>
      <c r="S38" s="940"/>
      <c r="T38" s="925"/>
      <c r="U38" s="925"/>
      <c r="V38" s="981"/>
      <c r="X38" s="1381">
        <v>8</v>
      </c>
      <c r="Y38" s="1362">
        <f>IF(R16&lt;=6,0,ROUND((60*2+P7-80+3*F40+C27+30+150+50),-1))</f>
        <v>0</v>
      </c>
    </row>
    <row r="39" spans="2:27" ht="21.75" customHeight="1">
      <c r="B39" s="924"/>
      <c r="C39" s="925"/>
      <c r="D39" s="925"/>
      <c r="E39" s="925"/>
      <c r="F39" s="925"/>
      <c r="G39" s="925"/>
      <c r="H39" s="925"/>
      <c r="I39" s="925"/>
      <c r="J39" s="925"/>
      <c r="K39" s="925"/>
      <c r="L39" s="926"/>
      <c r="M39" s="982"/>
      <c r="N39" s="937"/>
      <c r="O39" s="983"/>
      <c r="P39" s="983"/>
      <c r="Q39" s="950"/>
      <c r="R39" s="937"/>
      <c r="S39" s="940"/>
      <c r="T39" s="925"/>
      <c r="U39" s="925"/>
      <c r="V39" s="981"/>
    </row>
    <row r="40" spans="2:27" ht="28.5">
      <c r="B40" s="924"/>
      <c r="C40" s="2318" t="str">
        <f>+VLOOKUP(41,TRADUZIONI,DATI!$C$2-1,0)</f>
        <v>DIST.STD TRA FORI RETE</v>
      </c>
      <c r="D40" s="2339"/>
      <c r="E40" s="2339"/>
      <c r="F40" s="984">
        <f>ROUND((+F22-80)/(R16-1),0)</f>
        <v>419</v>
      </c>
      <c r="G40" s="2340"/>
      <c r="H40" s="2340"/>
      <c r="I40" s="2340"/>
      <c r="J40" s="2340"/>
      <c r="K40" s="2341"/>
      <c r="L40" s="926"/>
      <c r="M40" s="2258" t="str">
        <f>+VLOOKUP(128,TRADUZIONI,DATI!$C$2-1,0)</f>
        <v>INFILARE I CORDINI SENZA TAGLIARLI</v>
      </c>
      <c r="N40" s="2259"/>
      <c r="O40" s="2259"/>
      <c r="P40" s="2259"/>
      <c r="Q40" s="2259"/>
      <c r="R40" s="2259"/>
      <c r="S40" s="2259"/>
      <c r="T40" s="2259"/>
      <c r="U40" s="2259"/>
      <c r="V40" s="2260"/>
    </row>
    <row r="41" spans="2:27" ht="28.5">
      <c r="B41" s="924"/>
      <c r="C41" s="979"/>
      <c r="D41" s="985"/>
      <c r="E41" s="985"/>
      <c r="F41" s="986"/>
      <c r="G41" s="987"/>
      <c r="H41" s="987"/>
      <c r="I41" s="987"/>
      <c r="J41" s="987"/>
      <c r="K41" s="987"/>
      <c r="L41" s="925"/>
      <c r="M41" s="2342" t="s">
        <v>83</v>
      </c>
      <c r="N41" s="2343"/>
      <c r="O41" s="2343"/>
      <c r="P41" s="2343"/>
      <c r="Q41" s="2343"/>
      <c r="R41" s="2343"/>
      <c r="S41" s="2343"/>
      <c r="T41" s="2343"/>
      <c r="U41" s="2343"/>
      <c r="V41" s="2344"/>
    </row>
    <row r="42" spans="2:27" ht="15.75" thickBot="1">
      <c r="B42" s="988"/>
      <c r="C42" s="945"/>
      <c r="D42" s="945"/>
      <c r="E42" s="945"/>
      <c r="F42" s="945"/>
      <c r="G42" s="945"/>
      <c r="H42" s="945"/>
      <c r="I42" s="945"/>
      <c r="J42" s="945"/>
      <c r="K42" s="945"/>
      <c r="L42" s="945"/>
      <c r="M42" s="988"/>
      <c r="N42" s="989"/>
      <c r="O42" s="945"/>
      <c r="P42" s="945"/>
      <c r="Q42" s="945"/>
      <c r="R42" s="945"/>
      <c r="S42" s="945"/>
      <c r="T42" s="990"/>
      <c r="U42" s="990"/>
      <c r="V42" s="991"/>
    </row>
    <row r="43" spans="2:27" ht="44.25" customHeight="1">
      <c r="B43" s="919"/>
      <c r="C43" s="920" t="str">
        <f>+VLOOKUP(139,TRADUZIONI,DATI!$C$2-1,0)</f>
        <v>QUADRO D</v>
      </c>
      <c r="D43" s="2325" t="str">
        <f>+VLOOKUP(113,TRADUZIONI,DATI!$C$2-1,0)</f>
        <v>CONTROLLO CORDINI - POST ASSEMBLAGGIO</v>
      </c>
      <c r="E43" s="2325"/>
      <c r="F43" s="2325"/>
      <c r="G43" s="2325"/>
      <c r="H43" s="2325"/>
      <c r="I43" s="2325"/>
      <c r="J43" s="2325"/>
      <c r="K43" s="2325"/>
      <c r="L43" s="2326"/>
      <c r="M43" s="919"/>
      <c r="N43" s="920" t="str">
        <f>+VLOOKUP(140,TRADUZIONI,DATI!$C$2-1,0)</f>
        <v>QUADRO E</v>
      </c>
      <c r="O43" s="2327" t="s">
        <v>500</v>
      </c>
      <c r="P43" s="2327"/>
      <c r="Q43" s="2327"/>
      <c r="R43" s="2327"/>
      <c r="S43" s="2327"/>
      <c r="T43" s="2327"/>
      <c r="U43" s="2327"/>
      <c r="V43" s="2328"/>
    </row>
    <row r="44" spans="2:27" ht="31.5" customHeight="1">
      <c r="B44" s="992"/>
      <c r="C44" s="993"/>
      <c r="D44" s="993"/>
      <c r="E44" s="993"/>
      <c r="F44" s="993"/>
      <c r="G44" s="993"/>
      <c r="H44" s="993"/>
      <c r="I44" s="993"/>
      <c r="J44" s="993"/>
      <c r="K44" s="993"/>
      <c r="L44" s="993"/>
      <c r="M44" s="994"/>
      <c r="N44" s="996"/>
      <c r="O44" s="996"/>
      <c r="P44" s="996"/>
      <c r="Q44" s="996"/>
      <c r="R44" s="925"/>
      <c r="S44" s="944"/>
      <c r="T44" s="944"/>
      <c r="U44" s="944"/>
      <c r="V44" s="997"/>
    </row>
    <row r="45" spans="2:27" ht="27.75">
      <c r="B45" s="992"/>
      <c r="C45" s="993"/>
      <c r="D45" s="993"/>
      <c r="E45" s="993"/>
      <c r="F45" s="993"/>
      <c r="G45" s="998" t="s">
        <v>85</v>
      </c>
      <c r="H45" s="993"/>
      <c r="I45" s="993"/>
      <c r="J45" s="993"/>
      <c r="K45" s="993"/>
      <c r="L45" s="993"/>
      <c r="M45" s="994"/>
      <c r="N45" s="2345" t="s">
        <v>487</v>
      </c>
      <c r="O45" s="2346"/>
      <c r="P45" s="2346"/>
      <c r="Q45" s="2346"/>
      <c r="R45" s="2346"/>
      <c r="S45" s="2346"/>
      <c r="T45" s="2347"/>
      <c r="U45" s="1028"/>
      <c r="V45" s="997"/>
    </row>
    <row r="46" spans="2:27" ht="31.5" customHeight="1">
      <c r="B46" s="992"/>
      <c r="C46" s="999" t="s">
        <v>119</v>
      </c>
      <c r="D46" s="1000">
        <f>+P7</f>
        <v>1400</v>
      </c>
      <c r="E46" s="1001" t="s">
        <v>88</v>
      </c>
      <c r="F46" s="1001" t="s">
        <v>89</v>
      </c>
      <c r="G46" s="1002">
        <f>+D46+E46</f>
        <v>1600</v>
      </c>
      <c r="H46" s="1003"/>
      <c r="I46" s="993"/>
      <c r="J46" s="993"/>
      <c r="K46" s="993"/>
      <c r="L46" s="993"/>
      <c r="M46" s="994"/>
      <c r="N46" s="996"/>
      <c r="O46" s="996"/>
      <c r="P46" s="996"/>
      <c r="Q46" s="996"/>
      <c r="R46" s="925"/>
      <c r="S46" s="944"/>
      <c r="T46" s="944"/>
      <c r="U46" s="944"/>
      <c r="V46" s="997"/>
    </row>
    <row r="47" spans="2:27" ht="31.5" thickBot="1">
      <c r="B47" s="992"/>
      <c r="C47" s="993"/>
      <c r="D47" s="993"/>
      <c r="E47" s="993"/>
      <c r="F47" s="993"/>
      <c r="G47" s="993"/>
      <c r="H47" s="993"/>
      <c r="I47" s="993"/>
      <c r="J47" s="993"/>
      <c r="K47" s="993"/>
      <c r="L47" s="993"/>
      <c r="M47" s="1004"/>
      <c r="N47" s="1005" t="str">
        <f>+VLOOKUP(78,TRADUZIONI,DATI!C2-1,0)</f>
        <v>PEZZI /PZ.</v>
      </c>
      <c r="O47" s="967">
        <f>1*P11</f>
        <v>1</v>
      </c>
      <c r="P47" s="1067" t="str">
        <f>CONCATENATE("/   ",TEXT(2*1,1))</f>
        <v>/   1</v>
      </c>
      <c r="Q47" s="2378" t="str">
        <f>CONCATENATE("/   ",TEXT(2*1,1))</f>
        <v>/   1</v>
      </c>
      <c r="R47" s="2379"/>
      <c r="S47" s="944"/>
      <c r="T47" s="944"/>
      <c r="U47" s="944"/>
      <c r="V47" s="1006"/>
    </row>
    <row r="48" spans="2:27" ht="18.75">
      <c r="B48" s="1007"/>
      <c r="C48" s="1008"/>
      <c r="D48" s="1008"/>
      <c r="E48" s="1008"/>
      <c r="F48" s="1008"/>
      <c r="G48" s="1008"/>
      <c r="H48" s="1008"/>
      <c r="I48" s="1008"/>
      <c r="J48" s="1008"/>
      <c r="K48" s="1008"/>
      <c r="L48" s="1009"/>
      <c r="M48" s="994"/>
      <c r="N48" s="996"/>
      <c r="O48" s="996"/>
      <c r="P48" s="996"/>
      <c r="Q48" s="996"/>
      <c r="R48" s="925"/>
      <c r="S48" s="944"/>
      <c r="T48" s="944"/>
      <c r="U48" s="944"/>
      <c r="V48" s="997"/>
    </row>
    <row r="49" spans="2:22" ht="30.75">
      <c r="B49" s="1010"/>
      <c r="C49" s="2350" t="str">
        <f>+IF(DATI!$C$11=1,"","RETE GRIGIA")</f>
        <v>RETE GRIGIA</v>
      </c>
      <c r="D49" s="2350"/>
      <c r="E49" s="2350"/>
      <c r="F49" s="2350"/>
      <c r="G49" s="2350"/>
      <c r="H49" s="2350"/>
      <c r="I49" s="2350"/>
      <c r="J49" s="2350"/>
      <c r="K49" s="1011"/>
      <c r="L49" s="1011"/>
      <c r="M49" s="1012"/>
      <c r="N49" s="1005" t="s">
        <v>702</v>
      </c>
      <c r="O49" s="1013"/>
      <c r="P49" s="928"/>
      <c r="Q49" s="928"/>
      <c r="R49" s="2332">
        <f>+R7-30</f>
        <v>2170</v>
      </c>
      <c r="S49" s="2333"/>
      <c r="T49" s="944"/>
      <c r="U49" s="944"/>
      <c r="V49" s="1015"/>
    </row>
    <row r="50" spans="2:22" ht="18.75">
      <c r="B50" s="1010"/>
      <c r="C50" s="2350"/>
      <c r="D50" s="2350"/>
      <c r="E50" s="2350"/>
      <c r="F50" s="2350"/>
      <c r="G50" s="2350"/>
      <c r="H50" s="2350"/>
      <c r="I50" s="2350"/>
      <c r="J50" s="2350"/>
      <c r="K50" s="1011"/>
      <c r="L50" s="1011"/>
      <c r="M50" s="994"/>
      <c r="N50" s="996"/>
      <c r="O50" s="996"/>
      <c r="P50" s="996"/>
      <c r="Q50" s="996"/>
      <c r="R50" s="925"/>
      <c r="S50" s="944"/>
      <c r="T50" s="944"/>
      <c r="U50" s="944"/>
      <c r="V50" s="997"/>
    </row>
    <row r="51" spans="2:22" ht="31.5" thickBot="1">
      <c r="B51" s="1010"/>
      <c r="C51" s="1011"/>
      <c r="D51" s="1011"/>
      <c r="E51" s="1011"/>
      <c r="F51" s="1011"/>
      <c r="G51" s="1011"/>
      <c r="H51" s="1011"/>
      <c r="I51" s="1011"/>
      <c r="J51" s="1011"/>
      <c r="K51" s="1011"/>
      <c r="L51" s="1011"/>
      <c r="M51" s="994"/>
      <c r="N51" s="1005" t="s">
        <v>703</v>
      </c>
      <c r="O51" s="1013"/>
      <c r="P51" s="928"/>
      <c r="Q51" s="928"/>
      <c r="R51" s="2332">
        <f>+R7-25</f>
        <v>2175</v>
      </c>
      <c r="S51" s="2333"/>
      <c r="T51" s="944"/>
      <c r="U51" s="944"/>
      <c r="V51" s="997"/>
    </row>
    <row r="52" spans="2:22" ht="44.25" customHeight="1">
      <c r="B52" s="919"/>
      <c r="C52" s="920" t="str">
        <f>+VLOOKUP(141,TRADUZIONI,DATI!$C$2-1,0)</f>
        <v>QUADRO F</v>
      </c>
      <c r="D52" s="2325" t="s">
        <v>90</v>
      </c>
      <c r="E52" s="2325"/>
      <c r="F52" s="2325"/>
      <c r="G52" s="2325"/>
      <c r="H52" s="2325"/>
      <c r="I52" s="2325"/>
      <c r="J52" s="2325"/>
      <c r="K52" s="2325"/>
      <c r="L52" s="2326"/>
      <c r="M52" s="994"/>
      <c r="N52" s="1016"/>
      <c r="O52" s="1016"/>
      <c r="P52" s="925"/>
      <c r="Q52" s="925"/>
      <c r="R52" s="972"/>
      <c r="S52" s="972"/>
      <c r="T52" s="944"/>
      <c r="U52" s="944"/>
      <c r="V52" s="997"/>
    </row>
    <row r="53" spans="2:22" ht="30.75">
      <c r="B53" s="924"/>
      <c r="C53" s="925"/>
      <c r="D53" s="925"/>
      <c r="E53" s="925"/>
      <c r="F53" s="925"/>
      <c r="G53" s="925"/>
      <c r="H53" s="925"/>
      <c r="I53" s="925"/>
      <c r="J53" s="925"/>
      <c r="K53" s="925"/>
      <c r="L53" s="926"/>
      <c r="M53" s="994"/>
      <c r="N53" s="2318" t="s">
        <v>704</v>
      </c>
      <c r="O53" s="2313"/>
      <c r="P53" s="2313"/>
      <c r="Q53" s="2313"/>
      <c r="R53" s="2332">
        <f>+R7-30</f>
        <v>2170</v>
      </c>
      <c r="S53" s="2333"/>
      <c r="T53" s="944"/>
      <c r="U53" s="944"/>
      <c r="V53" s="997"/>
    </row>
    <row r="54" spans="2:22" ht="28.5">
      <c r="B54" s="924"/>
      <c r="C54" s="1017" t="s">
        <v>92</v>
      </c>
      <c r="D54" s="1018"/>
      <c r="E54" s="1019"/>
      <c r="F54" s="925"/>
      <c r="G54" s="1020"/>
      <c r="H54" s="925"/>
      <c r="I54" s="925"/>
      <c r="J54" s="925"/>
      <c r="K54" s="925"/>
      <c r="L54" s="926"/>
      <c r="M54" s="1021"/>
      <c r="N54" s="1023"/>
      <c r="O54" s="1023"/>
      <c r="P54" s="1023"/>
      <c r="Q54" s="1023"/>
      <c r="R54" s="1023"/>
      <c r="S54" s="1023"/>
      <c r="T54" s="1023"/>
      <c r="U54" s="1023"/>
      <c r="V54" s="1024"/>
    </row>
    <row r="55" spans="2:22" ht="28.5">
      <c r="B55" s="924"/>
      <c r="C55" s="1017"/>
      <c r="D55" s="1018"/>
      <c r="E55" s="1019"/>
      <c r="F55" s="925"/>
      <c r="G55" s="1020"/>
      <c r="H55" s="925"/>
      <c r="I55" s="925"/>
      <c r="J55" s="925"/>
      <c r="K55" s="925"/>
      <c r="L55" s="926"/>
      <c r="M55" s="994"/>
      <c r="N55" s="1016"/>
      <c r="O55" s="944"/>
      <c r="P55" s="944"/>
      <c r="Q55" s="944"/>
      <c r="R55" s="944"/>
      <c r="S55" s="944"/>
      <c r="T55" s="944"/>
      <c r="U55" s="944"/>
      <c r="V55" s="997"/>
    </row>
    <row r="56" spans="2:22" ht="28.5">
      <c r="B56" s="924"/>
      <c r="C56" s="1025"/>
      <c r="D56" s="1026" t="s">
        <v>94</v>
      </c>
      <c r="E56" s="925"/>
      <c r="F56" s="1020"/>
      <c r="G56" s="1020"/>
      <c r="H56" s="925"/>
      <c r="I56" s="925"/>
      <c r="J56" s="925"/>
      <c r="K56" s="925"/>
      <c r="L56" s="926"/>
      <c r="M56" s="925"/>
      <c r="N56" s="925"/>
      <c r="O56" s="925"/>
      <c r="P56" s="925"/>
      <c r="Q56" s="925"/>
      <c r="R56" s="925"/>
      <c r="S56" s="925"/>
      <c r="T56" s="925"/>
      <c r="U56" s="925"/>
      <c r="V56" s="981"/>
    </row>
    <row r="57" spans="2:22" ht="28.5">
      <c r="B57" s="924"/>
      <c r="C57" s="1027"/>
      <c r="D57" s="1026" t="s">
        <v>95</v>
      </c>
      <c r="E57" s="925"/>
      <c r="F57" s="950"/>
      <c r="G57" s="937"/>
      <c r="H57" s="925"/>
      <c r="I57" s="925"/>
      <c r="J57" s="925"/>
      <c r="K57" s="925"/>
      <c r="L57" s="926"/>
      <c r="M57" s="994"/>
      <c r="N57" s="2345" t="s">
        <v>483</v>
      </c>
      <c r="O57" s="2346"/>
      <c r="P57" s="2346"/>
      <c r="Q57" s="2346"/>
      <c r="R57" s="2346"/>
      <c r="S57" s="2346"/>
      <c r="T57" s="2347"/>
      <c r="U57" s="944"/>
      <c r="V57" s="997"/>
    </row>
    <row r="58" spans="2:22" ht="28.5">
      <c r="B58" s="924"/>
      <c r="C58" s="1027"/>
      <c r="D58" s="1026" t="s">
        <v>96</v>
      </c>
      <c r="E58" s="925"/>
      <c r="F58" s="950"/>
      <c r="G58" s="937"/>
      <c r="H58" s="925"/>
      <c r="I58" s="925"/>
      <c r="J58" s="925"/>
      <c r="K58" s="925"/>
      <c r="L58" s="926"/>
      <c r="M58" s="994"/>
      <c r="N58" s="925"/>
      <c r="O58" s="925"/>
      <c r="P58" s="925"/>
      <c r="Q58" s="925"/>
      <c r="R58" s="925"/>
      <c r="S58" s="925"/>
      <c r="T58" s="925"/>
      <c r="U58" s="1028"/>
      <c r="V58" s="997"/>
    </row>
    <row r="59" spans="2:22" ht="18.75">
      <c r="B59" s="1029"/>
      <c r="C59" s="1030"/>
      <c r="D59" s="1031"/>
      <c r="E59" s="1031"/>
      <c r="F59" s="1031"/>
      <c r="G59" s="1031"/>
      <c r="H59" s="1031"/>
      <c r="I59" s="1031"/>
      <c r="J59" s="1031"/>
      <c r="K59" s="1031"/>
      <c r="L59" s="1032"/>
      <c r="M59" s="994"/>
      <c r="N59" s="996"/>
      <c r="O59" s="996"/>
      <c r="P59" s="996"/>
      <c r="Q59" s="996"/>
      <c r="R59" s="925"/>
      <c r="S59" s="944"/>
      <c r="T59" s="944"/>
      <c r="U59" s="944"/>
      <c r="V59" s="997"/>
    </row>
    <row r="60" spans="2:22" ht="30.75">
      <c r="B60" s="1035" t="s">
        <v>37</v>
      </c>
      <c r="C60" s="1036"/>
      <c r="D60" s="1036"/>
      <c r="E60" s="1036"/>
      <c r="F60" s="1036"/>
      <c r="G60" s="1036"/>
      <c r="H60" s="1036"/>
      <c r="I60" s="1036"/>
      <c r="J60" s="1036"/>
      <c r="K60" s="1036"/>
      <c r="L60" s="1037"/>
      <c r="M60" s="994"/>
      <c r="N60" s="1033" t="str">
        <f>+VLOOKUP(78,TRADUZIONI,DATI!C2-1,0)</f>
        <v>PEZZI /PZ.</v>
      </c>
      <c r="O60" s="1014">
        <f>2*P11</f>
        <v>2</v>
      </c>
      <c r="P60" s="1034"/>
      <c r="Q60" s="1034"/>
      <c r="R60" s="925"/>
      <c r="S60" s="944"/>
      <c r="T60" s="944"/>
      <c r="U60" s="944"/>
      <c r="V60" s="997"/>
    </row>
    <row r="61" spans="2:22" ht="21">
      <c r="B61" s="1038" t="s">
        <v>37</v>
      </c>
      <c r="C61" s="1039"/>
      <c r="D61" s="1040" t="s">
        <v>98</v>
      </c>
      <c r="E61" s="1040" t="s">
        <v>99</v>
      </c>
      <c r="F61" s="1040" t="s">
        <v>100</v>
      </c>
      <c r="G61" s="1039"/>
      <c r="H61" s="1039"/>
      <c r="I61" s="1039"/>
      <c r="J61" s="1039"/>
      <c r="K61" s="1039"/>
      <c r="L61" s="1041"/>
      <c r="M61" s="994"/>
      <c r="N61" s="996"/>
      <c r="O61" s="996"/>
      <c r="P61" s="996"/>
      <c r="Q61" s="996"/>
      <c r="R61" s="925"/>
      <c r="S61" s="944"/>
      <c r="T61" s="944"/>
      <c r="U61" s="944"/>
      <c r="V61" s="997"/>
    </row>
    <row r="62" spans="2:22" ht="30.75">
      <c r="B62" s="1042"/>
      <c r="C62" s="1039"/>
      <c r="D62" s="1043" t="s">
        <v>44</v>
      </c>
      <c r="E62" s="1044"/>
      <c r="F62" s="1044"/>
      <c r="G62" s="1045"/>
      <c r="H62" s="1039"/>
      <c r="I62" s="1039"/>
      <c r="J62" s="1039"/>
      <c r="K62" s="1039"/>
      <c r="L62" s="1041"/>
      <c r="M62" s="994"/>
      <c r="N62" s="2318" t="s">
        <v>501</v>
      </c>
      <c r="O62" s="2313"/>
      <c r="P62" s="2313"/>
      <c r="Q62" s="2313"/>
      <c r="R62" s="2332">
        <f>+R7-38</f>
        <v>2162</v>
      </c>
      <c r="S62" s="2333"/>
      <c r="T62" s="944"/>
      <c r="U62" s="944"/>
      <c r="V62" s="997"/>
    </row>
    <row r="63" spans="2:22" ht="21">
      <c r="B63" s="1046"/>
      <c r="C63" s="1039"/>
      <c r="D63" s="1047">
        <v>0.05</v>
      </c>
      <c r="E63" s="1048">
        <v>0.17499999999999999</v>
      </c>
      <c r="F63" s="1049" t="s">
        <v>102</v>
      </c>
      <c r="G63" s="1048">
        <f>(R7+300)/1000</f>
        <v>2.5</v>
      </c>
      <c r="H63" s="1039"/>
      <c r="I63" s="1039"/>
      <c r="J63" s="1039"/>
      <c r="K63" s="1039"/>
      <c r="L63" s="1041"/>
      <c r="M63" s="994"/>
      <c r="N63" s="996"/>
      <c r="O63" s="996"/>
      <c r="P63" s="996"/>
      <c r="Q63" s="996"/>
      <c r="R63" s="925"/>
      <c r="S63" s="944"/>
      <c r="T63" s="944"/>
      <c r="U63" s="944"/>
      <c r="V63" s="997"/>
    </row>
    <row r="64" spans="2:22" ht="21">
      <c r="B64" s="1050"/>
      <c r="C64" s="1039"/>
      <c r="D64" s="1047" t="s">
        <v>103</v>
      </c>
      <c r="E64" s="1047"/>
      <c r="F64" s="1048" t="str">
        <f>P11</f>
        <v>1</v>
      </c>
      <c r="G64" s="1047" t="s">
        <v>104</v>
      </c>
      <c r="H64" s="1039"/>
      <c r="I64" s="1039"/>
      <c r="J64" s="1039"/>
      <c r="K64" s="1039"/>
      <c r="L64" s="1041"/>
      <c r="M64" s="994"/>
      <c r="T64" s="944"/>
      <c r="U64" s="944"/>
      <c r="V64" s="997"/>
    </row>
    <row r="65" spans="2:22" ht="21.75" thickBot="1">
      <c r="B65" s="1055"/>
      <c r="C65" s="1056"/>
      <c r="D65" s="1057" t="s">
        <v>105</v>
      </c>
      <c r="E65" s="1057"/>
      <c r="F65" s="1058">
        <f>(D63*E63*G63)*F64</f>
        <v>2.1874999999999999E-2</v>
      </c>
      <c r="G65" s="1057" t="s">
        <v>106</v>
      </c>
      <c r="H65" s="1056"/>
      <c r="I65" s="1056"/>
      <c r="J65" s="1056"/>
      <c r="K65" s="1056"/>
      <c r="L65" s="1059"/>
      <c r="M65" s="1051"/>
      <c r="N65" s="1053"/>
      <c r="O65" s="1053"/>
      <c r="P65" s="1053"/>
      <c r="Q65" s="1053"/>
      <c r="R65" s="1053"/>
      <c r="S65" s="1053"/>
      <c r="T65" s="1053"/>
      <c r="U65" s="1053"/>
      <c r="V65" s="1054"/>
    </row>
    <row r="66" spans="2:22" ht="44.25" customHeight="1">
      <c r="B66" s="919"/>
      <c r="C66" s="920" t="str">
        <f>+VLOOKUP(142,TRADUZIONI,DATI!$C$2-1,0)</f>
        <v>QUADRO G</v>
      </c>
      <c r="D66" s="2355" t="s">
        <v>108</v>
      </c>
      <c r="E66" s="2355"/>
      <c r="F66" s="2355"/>
      <c r="G66" s="2355"/>
      <c r="H66" s="2355"/>
      <c r="I66" s="2355"/>
      <c r="J66" s="2355"/>
      <c r="K66" s="2355"/>
      <c r="L66" s="2356"/>
      <c r="M66" s="994"/>
      <c r="N66" s="996"/>
      <c r="O66" s="996"/>
      <c r="P66" s="996"/>
      <c r="Q66" s="996"/>
      <c r="R66" s="925"/>
      <c r="S66" s="944"/>
      <c r="T66" s="944"/>
      <c r="U66" s="944"/>
      <c r="V66" s="997"/>
    </row>
    <row r="67" spans="2:22" ht="27.75">
      <c r="B67" s="2363" t="s">
        <v>109</v>
      </c>
      <c r="C67" s="2364"/>
      <c r="D67" s="2364"/>
      <c r="E67" s="2365"/>
      <c r="F67" s="2366" t="s">
        <v>110</v>
      </c>
      <c r="G67" s="2364"/>
      <c r="H67" s="2364"/>
      <c r="I67" s="2364"/>
      <c r="J67" s="2364"/>
      <c r="K67" s="2364"/>
      <c r="L67" s="2367"/>
      <c r="M67" s="994"/>
      <c r="N67" s="2345" t="s">
        <v>111</v>
      </c>
      <c r="O67" s="2346"/>
      <c r="P67" s="2346"/>
      <c r="Q67" s="2346"/>
      <c r="R67" s="2346"/>
      <c r="S67" s="2346"/>
      <c r="T67" s="2346"/>
      <c r="U67" s="2347"/>
      <c r="V67" s="997"/>
    </row>
    <row r="68" spans="2:22" ht="21">
      <c r="B68" s="2368" t="s">
        <v>112</v>
      </c>
      <c r="C68" s="2369"/>
      <c r="D68" s="2353" t="s">
        <v>113</v>
      </c>
      <c r="E68" s="2354"/>
      <c r="F68" s="2384">
        <f>+DATI!C12</f>
        <v>0</v>
      </c>
      <c r="G68" s="2385"/>
      <c r="H68" s="2385"/>
      <c r="I68" s="2385"/>
      <c r="J68" s="2385"/>
      <c r="K68" s="2385"/>
      <c r="L68" s="2386"/>
      <c r="M68" s="994"/>
      <c r="N68" s="996"/>
      <c r="O68" s="996"/>
      <c r="P68" s="996"/>
      <c r="Q68" s="996"/>
      <c r="R68" s="925"/>
      <c r="S68" s="925"/>
      <c r="T68" s="925"/>
      <c r="U68" s="925"/>
      <c r="V68" s="997"/>
    </row>
    <row r="69" spans="2:22" ht="28.5">
      <c r="B69" s="2370"/>
      <c r="C69" s="2371"/>
      <c r="D69" s="2374"/>
      <c r="E69" s="2375"/>
      <c r="F69" s="2387"/>
      <c r="G69" s="2388"/>
      <c r="H69" s="2388"/>
      <c r="I69" s="2388"/>
      <c r="J69" s="2388"/>
      <c r="K69" s="2388"/>
      <c r="L69" s="2389"/>
      <c r="M69" s="994"/>
      <c r="N69" s="1005" t="s">
        <v>705</v>
      </c>
      <c r="O69" s="928"/>
      <c r="P69" s="1068"/>
      <c r="Q69" s="2351">
        <f>+P7-2</f>
        <v>1398</v>
      </c>
      <c r="R69" s="2352"/>
      <c r="S69" s="925"/>
      <c r="T69" s="1033" t="str">
        <f>+VLOOKUP(78,TRADUZIONI,DATI!C2-1,0)</f>
        <v>PEZZI /PZ.</v>
      </c>
      <c r="U69" s="1069" t="s">
        <v>122</v>
      </c>
      <c r="V69" s="997"/>
    </row>
    <row r="70" spans="2:22" ht="21">
      <c r="B70" s="2370"/>
      <c r="C70" s="2371"/>
      <c r="D70" s="2374"/>
      <c r="E70" s="2375"/>
      <c r="F70" s="2366" t="s">
        <v>114</v>
      </c>
      <c r="G70" s="2364"/>
      <c r="H70" s="2364"/>
      <c r="I70" s="2364"/>
      <c r="J70" s="2364"/>
      <c r="K70" s="2366" t="s">
        <v>115</v>
      </c>
      <c r="L70" s="2367"/>
      <c r="M70" s="994"/>
      <c r="N70" s="996"/>
      <c r="O70" s="996"/>
      <c r="P70" s="996"/>
      <c r="Q70" s="996"/>
      <c r="R70" s="925"/>
      <c r="S70" s="925"/>
      <c r="T70" s="925"/>
      <c r="U70" s="925"/>
      <c r="V70" s="997"/>
    </row>
    <row r="71" spans="2:22" ht="28.5">
      <c r="B71" s="2370"/>
      <c r="C71" s="2371"/>
      <c r="D71" s="2374"/>
      <c r="E71" s="2375"/>
      <c r="F71" s="2380" t="str">
        <f>+IF(DATI!$C$11=1,"","RETE GRIGIA")</f>
        <v>RETE GRIGIA</v>
      </c>
      <c r="G71" s="2381"/>
      <c r="H71" s="2381"/>
      <c r="I71" s="2381"/>
      <c r="J71" s="2381"/>
      <c r="K71" s="1060"/>
      <c r="L71" s="1041"/>
      <c r="M71" s="994"/>
      <c r="N71" s="1005" t="s">
        <v>706</v>
      </c>
      <c r="O71" s="1013"/>
      <c r="P71" s="928"/>
      <c r="Q71" s="2351">
        <f>+P7-2</f>
        <v>1398</v>
      </c>
      <c r="R71" s="2352"/>
      <c r="S71" s="925"/>
      <c r="T71" s="1033" t="str">
        <f>+VLOOKUP(78,TRADUZIONI,DATI!C2-1,0)</f>
        <v>PEZZI /PZ.</v>
      </c>
      <c r="U71" s="1069" t="s">
        <v>122</v>
      </c>
      <c r="V71" s="997"/>
    </row>
    <row r="72" spans="2:22" ht="21.75" thickBot="1">
      <c r="B72" s="2372"/>
      <c r="C72" s="2373"/>
      <c r="D72" s="2376"/>
      <c r="E72" s="2377"/>
      <c r="F72" s="2382"/>
      <c r="G72" s="2383"/>
      <c r="H72" s="2383"/>
      <c r="I72" s="2383"/>
      <c r="J72" s="2383"/>
      <c r="K72" s="1061"/>
      <c r="L72" s="1062"/>
      <c r="M72" s="1063"/>
      <c r="N72" s="1064"/>
      <c r="O72" s="1064"/>
      <c r="P72" s="1064"/>
      <c r="Q72" s="1064"/>
      <c r="R72" s="1064"/>
      <c r="S72" s="1064"/>
      <c r="T72" s="1064"/>
      <c r="U72" s="1064"/>
      <c r="V72" s="1065"/>
    </row>
    <row r="74" spans="2:22" ht="99.75">
      <c r="V74" s="1066"/>
    </row>
  </sheetData>
  <mergeCells count="52">
    <mergeCell ref="F70:J70"/>
    <mergeCell ref="K70:L70"/>
    <mergeCell ref="F71:J72"/>
    <mergeCell ref="Q71:R71"/>
    <mergeCell ref="D66:L66"/>
    <mergeCell ref="B67:E67"/>
    <mergeCell ref="F67:L67"/>
    <mergeCell ref="N67:U67"/>
    <mergeCell ref="B68:C68"/>
    <mergeCell ref="D68:E68"/>
    <mergeCell ref="F68:L69"/>
    <mergeCell ref="B69:C72"/>
    <mergeCell ref="D69:E72"/>
    <mergeCell ref="Q69:R69"/>
    <mergeCell ref="M40:V40"/>
    <mergeCell ref="R62:S62"/>
    <mergeCell ref="M41:V41"/>
    <mergeCell ref="D43:L43"/>
    <mergeCell ref="O43:V43"/>
    <mergeCell ref="N45:T45"/>
    <mergeCell ref="Q47:R47"/>
    <mergeCell ref="C49:J50"/>
    <mergeCell ref="R49:S49"/>
    <mergeCell ref="N62:Q62"/>
    <mergeCell ref="R51:S51"/>
    <mergeCell ref="D52:L52"/>
    <mergeCell ref="N53:Q53"/>
    <mergeCell ref="R53:S53"/>
    <mergeCell ref="N57:T57"/>
    <mergeCell ref="H33:I33"/>
    <mergeCell ref="J34:K34"/>
    <mergeCell ref="C36:I36"/>
    <mergeCell ref="C37:I38"/>
    <mergeCell ref="C40:E40"/>
    <mergeCell ref="G40:K40"/>
    <mergeCell ref="F15:J20"/>
    <mergeCell ref="P16:Q16"/>
    <mergeCell ref="C22:E22"/>
    <mergeCell ref="F31:G31"/>
    <mergeCell ref="G32:H32"/>
    <mergeCell ref="N9:O9"/>
    <mergeCell ref="P9:S9"/>
    <mergeCell ref="D10:G10"/>
    <mergeCell ref="N11:O11"/>
    <mergeCell ref="D14:L14"/>
    <mergeCell ref="O14:V14"/>
    <mergeCell ref="B2:V2"/>
    <mergeCell ref="E4:O4"/>
    <mergeCell ref="D6:G6"/>
    <mergeCell ref="N6:O7"/>
    <mergeCell ref="R6:S6"/>
    <mergeCell ref="R7:S7"/>
  </mergeCells>
  <printOptions horizontalCentered="1"/>
  <pageMargins left="0" right="0" top="0" bottom="0" header="0" footer="0"/>
  <pageSetup paperSize="9" scale="38" orientation="portrait" horizontalDpi="1200" verticalDpi="1200" r:id="rId1"/>
  <headerFooter alignWithMargins="0">
    <oddFooter>&amp;LREV. 09/05 - VER.1&amp;R&amp;D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5">
    <tabColor theme="2" tint="-0.249977111117893"/>
    <pageSetUpPr fitToPage="1"/>
  </sheetPr>
  <dimension ref="A1:AG74"/>
  <sheetViews>
    <sheetView showGridLines="0" topLeftCell="A6" zoomScale="40" zoomScaleNormal="40" workbookViewId="0">
      <selection activeCell="N38" sqref="N38"/>
    </sheetView>
  </sheetViews>
  <sheetFormatPr defaultColWidth="10.28515625" defaultRowHeight="15"/>
  <cols>
    <col min="1" max="1" width="34.85546875" style="918" customWidth="1"/>
    <col min="2" max="2" width="4.5703125" style="918" customWidth="1"/>
    <col min="3" max="3" width="32" style="918" customWidth="1"/>
    <col min="4" max="4" width="13.28515625" style="918" customWidth="1"/>
    <col min="5" max="5" width="21.140625" style="918" customWidth="1"/>
    <col min="6" max="6" width="15" style="918" customWidth="1"/>
    <col min="7" max="7" width="17.85546875" style="918" customWidth="1"/>
    <col min="8" max="9" width="9.28515625" style="918" customWidth="1"/>
    <col min="10" max="10" width="6.42578125" style="918" customWidth="1"/>
    <col min="11" max="11" width="9.85546875" style="918" customWidth="1"/>
    <col min="12" max="12" width="4.7109375" style="918" customWidth="1"/>
    <col min="13" max="13" width="3.7109375" style="918" customWidth="1"/>
    <col min="14" max="14" width="17.85546875" style="918" customWidth="1"/>
    <col min="15" max="15" width="13.85546875" style="918" customWidth="1"/>
    <col min="16" max="16" width="16.28515625" style="918" customWidth="1"/>
    <col min="17" max="17" width="9.7109375" style="918" customWidth="1"/>
    <col min="18" max="18" width="11.140625" style="918" customWidth="1"/>
    <col min="19" max="19" width="9.5703125" style="918" customWidth="1"/>
    <col min="20" max="20" width="19" style="918" customWidth="1"/>
    <col min="21" max="21" width="11.42578125" style="918" customWidth="1"/>
    <col min="22" max="22" width="6.5703125" style="918" customWidth="1"/>
    <col min="23" max="24" width="10.28515625" style="918"/>
    <col min="25" max="26" width="17" style="918" bestFit="1" customWidth="1"/>
    <col min="27" max="16384" width="10.28515625" style="918"/>
  </cols>
  <sheetData>
    <row r="1" spans="1:33" ht="18">
      <c r="A1" s="917"/>
    </row>
    <row r="2" spans="1:33" ht="33.75">
      <c r="A2" s="917"/>
      <c r="B2" s="2305" t="str">
        <f>CONCATENATE(VLOOKUP(126,TRADUZIONI,DATI!C2-1,0)," .22")</f>
        <v>FOGLIO LAVORO GIOCONDA LATERALE 2 ANTE .22</v>
      </c>
      <c r="C2" s="2306"/>
      <c r="D2" s="2306"/>
      <c r="E2" s="2306"/>
      <c r="F2" s="2306"/>
      <c r="G2" s="2306"/>
      <c r="H2" s="2306"/>
      <c r="I2" s="2306"/>
      <c r="J2" s="2306"/>
      <c r="K2" s="2306"/>
      <c r="L2" s="2306"/>
      <c r="M2" s="2306"/>
      <c r="N2" s="2306"/>
      <c r="O2" s="2306"/>
      <c r="P2" s="2306"/>
      <c r="Q2" s="2306"/>
      <c r="R2" s="2306"/>
      <c r="S2" s="2306"/>
      <c r="T2" s="2306"/>
      <c r="U2" s="2306"/>
      <c r="V2" s="2306"/>
      <c r="AG2" s="918" t="s">
        <v>37</v>
      </c>
    </row>
    <row r="3" spans="1:33" ht="18.75" thickBot="1">
      <c r="A3" s="917"/>
    </row>
    <row r="4" spans="1:33" ht="44.25" customHeight="1">
      <c r="A4" s="917"/>
      <c r="B4" s="919"/>
      <c r="C4" s="920" t="str">
        <f>+VLOOKUP(108,TRADUZIONI,DATI!$C$2-1,0)</f>
        <v>QUADRO A</v>
      </c>
      <c r="D4" s="921"/>
      <c r="E4" s="2307" t="str">
        <f>+VLOOKUP(109,TRADUZIONI,DATI!$C$2-1,0)</f>
        <v>DATI ORDINE</v>
      </c>
      <c r="F4" s="2307"/>
      <c r="G4" s="2307"/>
      <c r="H4" s="2307"/>
      <c r="I4" s="2307"/>
      <c r="J4" s="2307"/>
      <c r="K4" s="2307"/>
      <c r="L4" s="2307"/>
      <c r="M4" s="2307"/>
      <c r="N4" s="2307"/>
      <c r="O4" s="2307"/>
      <c r="P4" s="922"/>
      <c r="Q4" s="921"/>
      <c r="R4" s="921"/>
      <c r="S4" s="921"/>
      <c r="T4" s="921"/>
      <c r="U4" s="921"/>
      <c r="V4" s="923"/>
    </row>
    <row r="5" spans="1:33" ht="18">
      <c r="A5" s="917"/>
      <c r="B5" s="924"/>
      <c r="C5" s="925"/>
      <c r="D5" s="925"/>
      <c r="E5" s="925"/>
      <c r="F5" s="925"/>
      <c r="G5" s="925"/>
      <c r="H5" s="925"/>
      <c r="I5" s="925"/>
      <c r="J5" s="925"/>
      <c r="K5" s="925"/>
      <c r="L5" s="925"/>
      <c r="M5" s="925"/>
      <c r="N5" s="925"/>
      <c r="O5" s="925"/>
      <c r="P5" s="925"/>
      <c r="Q5" s="925"/>
      <c r="R5" s="925"/>
      <c r="S5" s="925"/>
      <c r="T5" s="925"/>
      <c r="U5" s="925"/>
      <c r="V5" s="926"/>
    </row>
    <row r="6" spans="1:33" ht="30.75">
      <c r="B6" s="924"/>
      <c r="C6" s="1432" t="str">
        <f>+VLOOKUP(22,TRADUZIONI,DATI!C2-1,0)</f>
        <v>CLIENTE</v>
      </c>
      <c r="D6" s="2308">
        <f>DATI!C6</f>
        <v>0</v>
      </c>
      <c r="E6" s="2308"/>
      <c r="F6" s="2308"/>
      <c r="G6" s="2308"/>
      <c r="H6" s="928"/>
      <c r="I6" s="928"/>
      <c r="J6" s="928"/>
      <c r="K6" s="929"/>
      <c r="L6" s="930"/>
      <c r="M6" s="931"/>
      <c r="N6" s="2309" t="str">
        <f>+VLOOKUP(115,TRADUZIONI,DATI!C2-1,0)</f>
        <v xml:space="preserve">DIMENSIONI </v>
      </c>
      <c r="O6" s="2310"/>
      <c r="P6" s="1434" t="str">
        <f>+VLOOKUP(96,TRADUZIONI,DATI!C2-1,0)</f>
        <v>BASE</v>
      </c>
      <c r="Q6" s="932"/>
      <c r="R6" s="2313" t="str">
        <f>+VLOOKUP(97,TRADUZIONI,DATI!C2-1,0)</f>
        <v>ALTEZZA</v>
      </c>
      <c r="S6" s="2314"/>
      <c r="T6" s="925"/>
      <c r="U6" s="925"/>
      <c r="V6" s="926"/>
    </row>
    <row r="7" spans="1:33" ht="29.25" customHeight="1">
      <c r="B7" s="924"/>
      <c r="C7" s="925"/>
      <c r="D7" s="925" t="s">
        <v>37</v>
      </c>
      <c r="E7" s="925"/>
      <c r="F7" s="925"/>
      <c r="G7" s="925"/>
      <c r="H7" s="925"/>
      <c r="I7" s="925"/>
      <c r="J7" s="925"/>
      <c r="K7" s="925"/>
      <c r="L7" s="930"/>
      <c r="M7" s="931"/>
      <c r="N7" s="2311"/>
      <c r="O7" s="2312"/>
      <c r="P7" s="933">
        <f>+DATI!C7</f>
        <v>1400</v>
      </c>
      <c r="Q7" s="934" t="s">
        <v>44</v>
      </c>
      <c r="R7" s="2315">
        <f>+DATI!C8</f>
        <v>2200</v>
      </c>
      <c r="S7" s="2316"/>
      <c r="T7" s="925"/>
      <c r="U7" s="925"/>
      <c r="V7" s="926"/>
    </row>
    <row r="8" spans="1:33" ht="30.75">
      <c r="B8" s="924"/>
      <c r="C8" s="927" t="str">
        <f>+VLOOKUP(23,TRADUZIONI,DATI!C2-1,0)</f>
        <v>NUM. ORDINE</v>
      </c>
      <c r="D8" s="935">
        <f>DATI!C4</f>
        <v>0</v>
      </c>
      <c r="E8" s="935"/>
      <c r="F8" s="935"/>
      <c r="G8" s="935"/>
      <c r="H8" s="928"/>
      <c r="I8" s="928"/>
      <c r="J8" s="928"/>
      <c r="K8" s="929"/>
      <c r="L8" s="930"/>
      <c r="M8" s="931"/>
      <c r="N8" s="925"/>
      <c r="O8" s="925"/>
      <c r="P8" s="925"/>
      <c r="Q8" s="925"/>
      <c r="R8" s="936"/>
      <c r="S8" s="925"/>
      <c r="T8" s="925"/>
      <c r="U8" s="925"/>
      <c r="V8" s="926"/>
    </row>
    <row r="9" spans="1:33" ht="30.75">
      <c r="B9" s="924"/>
      <c r="C9" s="925"/>
      <c r="D9" s="925"/>
      <c r="E9" s="925"/>
      <c r="F9" s="925"/>
      <c r="G9" s="925"/>
      <c r="H9" s="925"/>
      <c r="I9" s="925"/>
      <c r="J9" s="925"/>
      <c r="K9" s="925"/>
      <c r="L9" s="930"/>
      <c r="M9" s="931"/>
      <c r="N9" s="2318" t="str">
        <f>+VLOOKUP(99,TRADUZIONI,DATI!C2-1,0)</f>
        <v>COLORE</v>
      </c>
      <c r="O9" s="2314"/>
      <c r="P9" s="2390" t="str">
        <f>DATI!C10</f>
        <v>06.NERO</v>
      </c>
      <c r="Q9" s="2391"/>
      <c r="R9" s="2391"/>
      <c r="S9" s="2392"/>
      <c r="T9" s="925"/>
      <c r="U9" s="925"/>
      <c r="V9" s="926"/>
    </row>
    <row r="10" spans="1:33" ht="30.75">
      <c r="B10" s="924"/>
      <c r="C10" s="1434" t="str">
        <f>+VLOOKUP(5,TRADUZIONI,DATI!C2-1,0)</f>
        <v>DATA SPEDIZIONE</v>
      </c>
      <c r="D10" s="2322">
        <f>DATI!C5</f>
        <v>42370</v>
      </c>
      <c r="E10" s="2393"/>
      <c r="F10" s="2393"/>
      <c r="G10" s="2393"/>
      <c r="H10" s="928"/>
      <c r="I10" s="928"/>
      <c r="J10" s="928"/>
      <c r="K10" s="929"/>
      <c r="L10" s="930"/>
      <c r="M10" s="931"/>
      <c r="N10" s="937"/>
      <c r="O10" s="925"/>
      <c r="P10" s="925"/>
      <c r="Q10" s="925"/>
      <c r="R10" s="925"/>
      <c r="S10" s="925"/>
      <c r="T10" s="925"/>
      <c r="U10" s="925"/>
      <c r="V10" s="926"/>
    </row>
    <row r="11" spans="1:33" ht="30.75">
      <c r="B11" s="924"/>
      <c r="C11" s="925"/>
      <c r="D11" s="925"/>
      <c r="E11" s="925"/>
      <c r="F11" s="925"/>
      <c r="G11" s="925"/>
      <c r="H11" s="925"/>
      <c r="I11" s="925"/>
      <c r="J11" s="925"/>
      <c r="K11" s="925"/>
      <c r="L11" s="930"/>
      <c r="M11" s="931"/>
      <c r="N11" s="2323" t="str">
        <f>+VLOOKUP(78,TRADUZIONI,DATI!C2-1,0)</f>
        <v>PEZZI /PZ.</v>
      </c>
      <c r="O11" s="2324"/>
      <c r="P11" s="938" t="str">
        <f>DATI!C11</f>
        <v>1</v>
      </c>
      <c r="Q11" s="925"/>
      <c r="R11" s="925"/>
      <c r="S11" s="925"/>
      <c r="T11" s="925"/>
      <c r="U11" s="925"/>
      <c r="V11" s="926"/>
    </row>
    <row r="12" spans="1:33" ht="30.75">
      <c r="B12" s="924"/>
      <c r="C12" s="927" t="s">
        <v>49</v>
      </c>
      <c r="D12" s="939">
        <f>IF((P7*R7/1000000)&lt;=2,2*P11,IF((P7*R7/1000000)&gt;2,(P7*R7/1000000)*P11))</f>
        <v>3.08</v>
      </c>
      <c r="E12" s="925"/>
      <c r="F12" s="925"/>
      <c r="G12" s="925"/>
      <c r="H12" s="925"/>
      <c r="I12" s="925"/>
      <c r="J12" s="925"/>
      <c r="K12" s="925"/>
      <c r="L12" s="930"/>
      <c r="M12" s="931"/>
      <c r="N12" s="925"/>
      <c r="O12" s="925"/>
      <c r="P12" s="940" t="s">
        <v>37</v>
      </c>
      <c r="Q12" s="925"/>
      <c r="R12" s="925"/>
      <c r="S12" s="925"/>
      <c r="T12" s="941" t="s">
        <v>37</v>
      </c>
      <c r="U12" s="941"/>
      <c r="V12" s="926"/>
    </row>
    <row r="13" spans="1:33" ht="15.75" thickBot="1">
      <c r="B13" s="924"/>
      <c r="C13" s="937"/>
      <c r="D13" s="925"/>
      <c r="E13" s="942"/>
      <c r="F13" s="943"/>
      <c r="G13" s="942"/>
      <c r="H13" s="944"/>
      <c r="I13" s="944"/>
      <c r="J13" s="944"/>
      <c r="K13" s="925"/>
      <c r="L13" s="925"/>
      <c r="M13" s="925"/>
      <c r="N13" s="925"/>
      <c r="O13" s="925"/>
      <c r="P13" s="925"/>
      <c r="Q13" s="925"/>
      <c r="R13" s="945"/>
      <c r="S13" s="925"/>
      <c r="T13" s="946" t="s">
        <v>37</v>
      </c>
      <c r="U13" s="946"/>
      <c r="V13" s="926"/>
    </row>
    <row r="14" spans="1:33" ht="44.25" customHeight="1">
      <c r="B14" s="919"/>
      <c r="C14" s="920" t="str">
        <f>+VLOOKUP(111,TRADUZIONI,DATI!$C$2-1,0)</f>
        <v>QUADRO B</v>
      </c>
      <c r="D14" s="2325" t="str">
        <f>+VLOOKUP(118,TRADUZIONI,DATI!$C$2-1,0)</f>
        <v>DIMENSIONE RETE E FORI</v>
      </c>
      <c r="E14" s="2325"/>
      <c r="F14" s="2325"/>
      <c r="G14" s="2325"/>
      <c r="H14" s="2325"/>
      <c r="I14" s="2325"/>
      <c r="J14" s="2325"/>
      <c r="K14" s="2325"/>
      <c r="L14" s="2326"/>
      <c r="M14" s="919"/>
      <c r="N14" s="920" t="str">
        <f>+VLOOKUP(138,TRADUZIONI,DATI!$C$2-1,0)</f>
        <v>QUADRO C</v>
      </c>
      <c r="O14" s="2327" t="str">
        <f>+VLOOKUP(117,TRADUZIONI,DATI!$C$2-1,0)</f>
        <v>LUNGHEZZA E NUM. CORDINI</v>
      </c>
      <c r="P14" s="2327"/>
      <c r="Q14" s="2327"/>
      <c r="R14" s="2327"/>
      <c r="S14" s="2327"/>
      <c r="T14" s="2327"/>
      <c r="U14" s="2327"/>
      <c r="V14" s="2328"/>
    </row>
    <row r="15" spans="1:33" ht="31.5" customHeight="1">
      <c r="B15" s="947"/>
      <c r="C15" s="925"/>
      <c r="D15" s="925"/>
      <c r="E15" s="925"/>
      <c r="F15" s="2329" t="e">
        <f>IF(DATI!E13="AUTOMATICA",CONCATENATE("*",DATI!E14,"-",REPT("0",4-LEN(F22)),F22,"*"),CONCATENATE("*",DATI!$L$14,REPT("0",3-LEN(D16)),D16,REPT("0",4-LEN(F22)),F22,DATI!L13,"*"))</f>
        <v>#VALUE!</v>
      </c>
      <c r="G15" s="2329"/>
      <c r="H15" s="2329"/>
      <c r="I15" s="2329"/>
      <c r="J15" s="2329"/>
      <c r="K15" s="948"/>
      <c r="L15" s="949"/>
      <c r="M15" s="924"/>
      <c r="N15" s="925"/>
      <c r="O15" s="925" t="s">
        <v>37</v>
      </c>
      <c r="P15" s="950" t="s">
        <v>37</v>
      </c>
      <c r="Q15" s="925"/>
      <c r="R15" s="925"/>
      <c r="S15" s="925"/>
      <c r="T15" s="951"/>
      <c r="U15" s="951"/>
      <c r="V15" s="926"/>
    </row>
    <row r="16" spans="1:33" ht="30.75" customHeight="1">
      <c r="B16" s="952"/>
      <c r="C16" s="953" t="str">
        <f>+VLOOKUP(19,TRADUZIONI,DATI!C2-1,0)</f>
        <v>PIEGHE</v>
      </c>
      <c r="D16" s="954">
        <f>2+ROUNDUP((P7/2-55)*0.0471,0)</f>
        <v>33</v>
      </c>
      <c r="E16" s="925"/>
      <c r="F16" s="2329"/>
      <c r="G16" s="2329"/>
      <c r="H16" s="2329"/>
      <c r="I16" s="2329"/>
      <c r="J16" s="2329"/>
      <c r="K16" s="948"/>
      <c r="L16" s="955"/>
      <c r="M16" s="952"/>
      <c r="N16" s="956"/>
      <c r="O16" s="956"/>
      <c r="P16" s="2323" t="str">
        <f>+VLOOKUP(149,TRADUZIONI,DATI!C2-1,0)</f>
        <v>CORDINI</v>
      </c>
      <c r="Q16" s="2324"/>
      <c r="R16" s="957">
        <f>IF(F22&lt;=576,2,IF(F22&lt;=1430,4,IF(F22&lt;=2330,6,8)))</f>
        <v>6</v>
      </c>
      <c r="S16" s="951"/>
      <c r="T16" s="946"/>
      <c r="U16" s="946"/>
      <c r="V16" s="958"/>
    </row>
    <row r="17" spans="2:22" s="960" customFormat="1" ht="15" customHeight="1">
      <c r="B17" s="924"/>
      <c r="C17" s="925"/>
      <c r="D17" s="925"/>
      <c r="E17" s="925"/>
      <c r="F17" s="2329"/>
      <c r="G17" s="2329"/>
      <c r="H17" s="2329"/>
      <c r="I17" s="2329"/>
      <c r="J17" s="2329"/>
      <c r="K17" s="948"/>
      <c r="L17" s="925"/>
      <c r="M17" s="924"/>
      <c r="N17" s="925"/>
      <c r="O17" s="925"/>
      <c r="P17" s="925"/>
      <c r="Q17" s="959"/>
      <c r="R17" s="925"/>
      <c r="S17" s="925"/>
      <c r="T17" s="925"/>
      <c r="U17" s="925"/>
      <c r="V17" s="926"/>
    </row>
    <row r="18" spans="2:22" ht="49.5" customHeight="1">
      <c r="B18" s="924"/>
      <c r="C18" s="925"/>
      <c r="D18" s="940"/>
      <c r="E18" s="940"/>
      <c r="F18" s="2329"/>
      <c r="G18" s="2329"/>
      <c r="H18" s="2329"/>
      <c r="I18" s="2329"/>
      <c r="J18" s="2329"/>
      <c r="K18" s="948"/>
      <c r="L18" s="925"/>
      <c r="M18" s="924"/>
      <c r="N18" s="925"/>
      <c r="O18" s="925"/>
      <c r="P18" s="925"/>
      <c r="Q18" s="961"/>
      <c r="R18" s="925"/>
      <c r="S18" s="925"/>
      <c r="T18" s="925"/>
      <c r="U18" s="925"/>
      <c r="V18" s="926"/>
    </row>
    <row r="19" spans="2:22" ht="15" customHeight="1">
      <c r="B19" s="924"/>
      <c r="C19" s="925"/>
      <c r="D19" s="940"/>
      <c r="E19" s="940"/>
      <c r="F19" s="2329"/>
      <c r="G19" s="2329"/>
      <c r="H19" s="2329"/>
      <c r="I19" s="2329"/>
      <c r="J19" s="2329"/>
      <c r="K19" s="948"/>
      <c r="L19" s="925"/>
      <c r="M19" s="924"/>
      <c r="N19" s="925"/>
      <c r="O19" s="925"/>
      <c r="P19" s="962" t="s">
        <v>37</v>
      </c>
      <c r="Q19" s="925"/>
      <c r="R19" s="963" t="s">
        <v>37</v>
      </c>
      <c r="S19" s="925"/>
      <c r="T19" s="925"/>
      <c r="U19" s="925"/>
      <c r="V19" s="926"/>
    </row>
    <row r="20" spans="2:22">
      <c r="B20" s="924"/>
      <c r="C20" s="925"/>
      <c r="D20" s="940"/>
      <c r="E20" s="940"/>
      <c r="F20" s="2329"/>
      <c r="G20" s="2329"/>
      <c r="H20" s="2329"/>
      <c r="I20" s="2329"/>
      <c r="J20" s="2329"/>
      <c r="K20" s="948"/>
      <c r="L20" s="925"/>
      <c r="M20" s="964"/>
      <c r="N20" s="925"/>
      <c r="O20" s="925"/>
      <c r="P20" s="925"/>
      <c r="Q20" s="965"/>
      <c r="R20" s="965"/>
      <c r="S20" s="925"/>
      <c r="T20" s="937"/>
      <c r="U20" s="937"/>
      <c r="V20" s="926"/>
    </row>
    <row r="21" spans="2:22">
      <c r="B21" s="924"/>
      <c r="C21" s="925"/>
      <c r="D21" s="940"/>
      <c r="E21" s="925"/>
      <c r="F21" s="950" t="s">
        <v>37</v>
      </c>
      <c r="G21" s="925"/>
      <c r="H21" s="966"/>
      <c r="I21" s="966"/>
      <c r="J21" s="966"/>
      <c r="K21" s="940" t="s">
        <v>37</v>
      </c>
      <c r="L21" s="925"/>
      <c r="M21" s="964"/>
      <c r="N21" s="925"/>
      <c r="O21" s="925"/>
      <c r="P21" s="925"/>
      <c r="Q21" s="925"/>
      <c r="R21" s="959"/>
      <c r="S21" s="925"/>
      <c r="T21" s="965"/>
      <c r="U21" s="965"/>
      <c r="V21" s="926"/>
    </row>
    <row r="22" spans="2:22" ht="30.75">
      <c r="B22" s="924"/>
      <c r="C22" s="2318" t="str">
        <f>CONCATENATE(VLOOKUP(116,TRADUZIONI,DATI!C2-1,0),"(",VLOOKUP(97,TRADUZIONI,DATI!C2-1,0),"-24*)")</f>
        <v>TAGLIO RETE(ALTEZZA-24*)</v>
      </c>
      <c r="D22" s="2313"/>
      <c r="E22" s="2313"/>
      <c r="F22" s="967">
        <f>+R7-24</f>
        <v>2176</v>
      </c>
      <c r="G22" s="968"/>
      <c r="H22" s="969"/>
      <c r="I22" s="969"/>
      <c r="J22" s="969"/>
      <c r="K22" s="970"/>
      <c r="L22" s="925"/>
      <c r="M22" s="964"/>
      <c r="N22" s="925"/>
      <c r="O22" s="925"/>
      <c r="P22" s="966" t="s">
        <v>37</v>
      </c>
      <c r="Q22" s="925" t="s">
        <v>37</v>
      </c>
      <c r="R22" s="925"/>
      <c r="S22" s="925"/>
      <c r="T22" s="961"/>
      <c r="U22" s="961"/>
      <c r="V22" s="926"/>
    </row>
    <row r="23" spans="2:22">
      <c r="B23" s="924"/>
      <c r="C23" s="925"/>
      <c r="D23" s="940"/>
      <c r="E23" s="925"/>
      <c r="F23" s="950"/>
      <c r="G23" s="951"/>
      <c r="H23" s="966"/>
      <c r="I23" s="966"/>
      <c r="J23" s="966"/>
      <c r="K23" s="940"/>
      <c r="L23" s="925"/>
      <c r="M23" s="964"/>
      <c r="N23" s="925"/>
      <c r="O23" s="925"/>
      <c r="P23" s="966"/>
      <c r="Q23" s="925"/>
      <c r="R23" s="925"/>
      <c r="S23" s="925"/>
      <c r="T23" s="961"/>
      <c r="U23" s="961"/>
      <c r="V23" s="926"/>
    </row>
    <row r="24" spans="2:22">
      <c r="B24" s="924"/>
      <c r="C24" s="925"/>
      <c r="D24" s="940"/>
      <c r="E24" s="925"/>
      <c r="F24" s="950"/>
      <c r="G24" s="951"/>
      <c r="H24" s="966"/>
      <c r="I24" s="966"/>
      <c r="J24" s="966"/>
      <c r="K24" s="940"/>
      <c r="L24" s="925"/>
      <c r="M24" s="964"/>
      <c r="N24" s="925"/>
      <c r="O24" s="925"/>
      <c r="P24" s="966"/>
      <c r="Q24" s="925"/>
      <c r="R24" s="925"/>
      <c r="S24" s="925"/>
      <c r="T24" s="961"/>
      <c r="U24" s="961"/>
      <c r="V24" s="926"/>
    </row>
    <row r="25" spans="2:22">
      <c r="B25" s="924"/>
      <c r="C25" s="925"/>
      <c r="D25" s="940"/>
      <c r="E25" s="925"/>
      <c r="F25" s="950"/>
      <c r="G25" s="951"/>
      <c r="H25" s="966"/>
      <c r="I25" s="966"/>
      <c r="J25" s="966"/>
      <c r="K25" s="940"/>
      <c r="L25" s="925"/>
      <c r="M25" s="924"/>
      <c r="N25" s="925"/>
      <c r="O25" s="925"/>
      <c r="P25" s="966"/>
      <c r="Q25" s="925"/>
      <c r="R25" s="925"/>
      <c r="S25" s="925"/>
      <c r="T25" s="961"/>
      <c r="U25" s="961"/>
      <c r="V25" s="926"/>
    </row>
    <row r="26" spans="2:22">
      <c r="B26" s="924"/>
      <c r="C26" s="925"/>
      <c r="D26" s="940"/>
      <c r="E26" s="925"/>
      <c r="F26" s="950"/>
      <c r="G26" s="951"/>
      <c r="H26" s="966"/>
      <c r="I26" s="966"/>
      <c r="J26" s="966"/>
      <c r="K26" s="940"/>
      <c r="L26" s="925"/>
      <c r="M26" s="924"/>
      <c r="N26" s="925"/>
      <c r="O26" s="925"/>
      <c r="P26" s="925"/>
      <c r="Q26" s="925"/>
      <c r="R26" s="925"/>
      <c r="S26" s="940"/>
      <c r="T26" s="925"/>
      <c r="U26" s="925"/>
      <c r="V26" s="926"/>
    </row>
    <row r="27" spans="2:22" ht="30.75">
      <c r="B27" s="924"/>
      <c r="C27" s="971">
        <v>40</v>
      </c>
      <c r="D27" s="940"/>
      <c r="E27" s="925"/>
      <c r="F27" s="950"/>
      <c r="G27" s="951"/>
      <c r="H27" s="966"/>
      <c r="I27" s="966"/>
      <c r="J27" s="966"/>
      <c r="K27" s="940"/>
      <c r="L27" s="925"/>
      <c r="M27" s="924"/>
      <c r="N27" s="925"/>
      <c r="O27" s="925"/>
      <c r="P27" s="925"/>
      <c r="Q27" s="925"/>
      <c r="R27" s="925"/>
      <c r="S27" s="925"/>
      <c r="T27" s="925"/>
      <c r="U27" s="925"/>
      <c r="V27" s="926"/>
    </row>
    <row r="28" spans="2:22" ht="36" customHeight="1">
      <c r="B28" s="924"/>
      <c r="C28" s="972">
        <f>+C27+F40</f>
        <v>459</v>
      </c>
      <c r="D28" s="940"/>
      <c r="E28" s="925"/>
      <c r="F28" s="950"/>
      <c r="G28" s="951"/>
      <c r="H28" s="966"/>
      <c r="I28" s="966"/>
      <c r="J28" s="966"/>
      <c r="K28" s="940"/>
      <c r="L28" s="925"/>
      <c r="M28" s="924"/>
      <c r="N28" s="925"/>
      <c r="O28" s="925"/>
      <c r="P28" s="966" t="s">
        <v>37</v>
      </c>
      <c r="Q28" s="925"/>
      <c r="R28" s="925"/>
      <c r="S28" s="940"/>
      <c r="T28" s="925"/>
      <c r="U28" s="925"/>
      <c r="V28" s="926"/>
    </row>
    <row r="29" spans="2:22" ht="36" customHeight="1">
      <c r="B29" s="924"/>
      <c r="C29" s="925"/>
      <c r="D29" s="973">
        <f>IF(R16&gt;2,C28+F40,"")</f>
        <v>878</v>
      </c>
      <c r="E29" s="925"/>
      <c r="F29" s="950"/>
      <c r="G29" s="951"/>
      <c r="H29" s="966"/>
      <c r="I29" s="966"/>
      <c r="J29" s="966"/>
      <c r="K29" s="940"/>
      <c r="L29" s="925"/>
      <c r="M29" s="924"/>
      <c r="N29" s="925"/>
      <c r="O29" s="925"/>
      <c r="P29" s="925"/>
      <c r="Q29" s="925"/>
      <c r="R29" s="925"/>
      <c r="S29" s="925"/>
      <c r="T29" s="925"/>
      <c r="U29" s="925"/>
      <c r="V29" s="926"/>
    </row>
    <row r="30" spans="2:22" ht="36" customHeight="1">
      <c r="B30" s="924"/>
      <c r="C30" s="925"/>
      <c r="D30" s="940"/>
      <c r="E30" s="972">
        <f>IF(R16&gt;=4,D29+F40,"")</f>
        <v>1297</v>
      </c>
      <c r="F30" s="950"/>
      <c r="G30" s="951"/>
      <c r="H30" s="966"/>
      <c r="I30" s="966"/>
      <c r="J30" s="966"/>
      <c r="K30" s="940"/>
      <c r="L30" s="925"/>
      <c r="M30" s="924"/>
      <c r="N30" s="925"/>
      <c r="O30" s="925"/>
      <c r="P30" s="940" t="s">
        <v>37</v>
      </c>
      <c r="Q30" s="925"/>
      <c r="R30" s="925"/>
      <c r="S30" s="925"/>
      <c r="T30" s="925"/>
      <c r="U30" s="925"/>
      <c r="V30" s="926"/>
    </row>
    <row r="31" spans="2:22" ht="36" customHeight="1">
      <c r="B31" s="924"/>
      <c r="C31" s="925"/>
      <c r="D31" s="940"/>
      <c r="E31" s="925"/>
      <c r="F31" s="2330">
        <f>IF(R16&gt;=5,E30+F40,"")</f>
        <v>1716</v>
      </c>
      <c r="G31" s="2330"/>
      <c r="H31" s="966"/>
      <c r="I31" s="966"/>
      <c r="J31" s="966"/>
      <c r="K31" s="940"/>
      <c r="L31" s="925"/>
      <c r="M31" s="924"/>
      <c r="N31" s="925"/>
      <c r="O31" s="925"/>
      <c r="P31" s="925"/>
      <c r="Q31" s="925"/>
      <c r="R31" s="925"/>
      <c r="S31" s="925"/>
      <c r="T31" s="925"/>
      <c r="U31" s="925"/>
      <c r="V31" s="926"/>
    </row>
    <row r="32" spans="2:22" ht="36" customHeight="1">
      <c r="B32" s="924"/>
      <c r="C32" s="925"/>
      <c r="D32" s="940"/>
      <c r="E32" s="925"/>
      <c r="F32" s="950"/>
      <c r="G32" s="2331">
        <f>IF(R16&gt;=6,F31+F40,"")</f>
        <v>2135</v>
      </c>
      <c r="H32" s="2331"/>
      <c r="I32" s="966"/>
      <c r="J32" s="966"/>
      <c r="K32" s="940"/>
      <c r="L32" s="925"/>
      <c r="M32" s="924"/>
      <c r="N32" s="925"/>
      <c r="O32" s="925"/>
      <c r="P32" s="925"/>
      <c r="Q32" s="948"/>
      <c r="R32" s="925"/>
      <c r="S32" s="925"/>
      <c r="T32" s="925"/>
      <c r="U32" s="925"/>
      <c r="V32" s="926"/>
    </row>
    <row r="33" spans="2:27" ht="36" customHeight="1">
      <c r="B33" s="924"/>
      <c r="C33" s="925"/>
      <c r="D33" s="940"/>
      <c r="E33" s="925"/>
      <c r="F33" s="950"/>
      <c r="G33" s="951"/>
      <c r="H33" s="2317" t="str">
        <f>IF(R16&gt;=7,G32+F40,"")</f>
        <v/>
      </c>
      <c r="I33" s="2317"/>
      <c r="J33" s="966"/>
      <c r="K33" s="940"/>
      <c r="L33" s="925"/>
      <c r="M33" s="924"/>
      <c r="N33" s="925"/>
      <c r="O33" s="925"/>
      <c r="P33" s="925"/>
      <c r="Q33" s="925"/>
      <c r="R33" s="925"/>
      <c r="S33" s="925"/>
      <c r="T33" s="925"/>
      <c r="U33" s="925"/>
      <c r="V33" s="926"/>
    </row>
    <row r="34" spans="2:27" ht="36" customHeight="1">
      <c r="B34" s="924"/>
      <c r="C34" s="925"/>
      <c r="D34" s="940"/>
      <c r="E34" s="925"/>
      <c r="F34" s="950"/>
      <c r="G34" s="951"/>
      <c r="H34" s="966"/>
      <c r="I34" s="966"/>
      <c r="J34" s="2330" t="str">
        <f>IF(R16=8,H33+F40,"")</f>
        <v/>
      </c>
      <c r="K34" s="2330"/>
      <c r="L34" s="926"/>
      <c r="M34" s="925"/>
      <c r="N34" s="925"/>
      <c r="O34" s="974"/>
      <c r="P34" s="974"/>
      <c r="Q34" s="937"/>
      <c r="R34" s="925"/>
      <c r="S34" s="925"/>
      <c r="T34" s="925"/>
      <c r="U34" s="925"/>
      <c r="V34" s="926"/>
      <c r="X34" s="97"/>
      <c r="Y34" s="1369" t="str">
        <f>+VLOOKUP(149,TRADUZIONI,DATI!C2-1,0)</f>
        <v>CORDINI</v>
      </c>
    </row>
    <row r="35" spans="2:27" ht="57" customHeight="1">
      <c r="B35" s="924"/>
      <c r="C35" s="925"/>
      <c r="D35" s="940"/>
      <c r="E35" s="925"/>
      <c r="F35" s="950"/>
      <c r="G35" s="951"/>
      <c r="H35" s="966"/>
      <c r="I35" s="966"/>
      <c r="J35" s="966"/>
      <c r="K35" s="940"/>
      <c r="L35" s="926"/>
      <c r="M35" s="925"/>
      <c r="N35" s="977" t="str">
        <f>CONCATENATE(Z35," 1-2-3-4 ",AA35," ",TEXT(ROUND((60*4+P7+R7-22-40+40+F40+50-150),-1),0))</f>
        <v>Nr. Cord 1-2-3-4 LUNGHEZZA 4140</v>
      </c>
      <c r="O35" s="978"/>
      <c r="P35" s="978"/>
      <c r="Q35" s="1074"/>
      <c r="R35" s="993"/>
      <c r="S35" s="925"/>
      <c r="T35" s="925"/>
      <c r="U35" s="925"/>
      <c r="V35" s="926"/>
      <c r="X35" s="1379" t="s">
        <v>125</v>
      </c>
      <c r="Y35" s="1361">
        <f>ROUND((60*4+P7+R7-22-40+40+F40+50-150),-1)</f>
        <v>4140</v>
      </c>
      <c r="Z35" s="97" t="str">
        <f>+VLOOKUP(144,TRADUZIONI,DATI!$C$2-1,0)</f>
        <v>Nr. Cord</v>
      </c>
      <c r="AA35" s="97" t="str">
        <f>+VLOOKUP(60,TRADUZIONI,DATI!$C$2-1,0)</f>
        <v>LUNGHEZZA</v>
      </c>
    </row>
    <row r="36" spans="2:27" ht="30.75" customHeight="1">
      <c r="B36" s="924"/>
      <c r="C36" s="2309" t="s">
        <v>91</v>
      </c>
      <c r="D36" s="2334"/>
      <c r="E36" s="2334"/>
      <c r="F36" s="2334"/>
      <c r="G36" s="2334"/>
      <c r="H36" s="2334"/>
      <c r="I36" s="2310"/>
      <c r="J36" s="966"/>
      <c r="K36" s="940"/>
      <c r="L36" s="926"/>
      <c r="M36" s="976"/>
      <c r="N36" s="977" t="str">
        <f>IF(R16&lt;=4,"NO",CONCATENATE(Z35," 5-6 ",AA35,"      ",TEXT(ROUND((60*4+P7+2*(2*F40+40)+50-150),-1),0)))</f>
        <v>Nr. Cord 5-6 LUNGHEZZA      3300</v>
      </c>
      <c r="O36" s="978"/>
      <c r="P36" s="978"/>
      <c r="Q36" s="1078"/>
      <c r="R36" s="993"/>
      <c r="S36" s="925"/>
      <c r="T36" s="925"/>
      <c r="U36" s="925"/>
      <c r="V36" s="926"/>
      <c r="X36" s="1380">
        <v>4</v>
      </c>
      <c r="Y36" s="1363">
        <f>+Y35</f>
        <v>4140</v>
      </c>
    </row>
    <row r="37" spans="2:27" ht="36" customHeight="1">
      <c r="B37" s="924"/>
      <c r="C37" s="2335" t="s">
        <v>118</v>
      </c>
      <c r="D37" s="2336"/>
      <c r="E37" s="2336"/>
      <c r="F37" s="2336"/>
      <c r="G37" s="2336"/>
      <c r="H37" s="2336"/>
      <c r="I37" s="2337"/>
      <c r="J37" s="925"/>
      <c r="K37" s="925"/>
      <c r="L37" s="926"/>
      <c r="M37" s="980"/>
      <c r="N37" s="975" t="str">
        <f>IF(R16&lt;=6,"NO",CONCATENATE(Z35," 7-8 ",AA35,"      ",TEXT(ROUND((60*4+P7+2*(3*F40+40)+50-150),-1),"0")))</f>
        <v>NO</v>
      </c>
      <c r="O37" s="975"/>
      <c r="P37" s="975"/>
      <c r="Q37" s="1079"/>
      <c r="R37" s="1074"/>
      <c r="S37" s="940"/>
      <c r="T37" s="925"/>
      <c r="U37" s="925"/>
      <c r="V37" s="981"/>
      <c r="X37" s="1380">
        <v>6</v>
      </c>
      <c r="Y37" s="1362">
        <f>IF(R16&lt;=4,0,ROUND((60*4+P7+2*(2*F40+40)+50-150),-1))</f>
        <v>3300</v>
      </c>
    </row>
    <row r="38" spans="2:27" ht="33" customHeight="1">
      <c r="B38" s="924"/>
      <c r="C38" s="2311"/>
      <c r="D38" s="2338"/>
      <c r="E38" s="2338"/>
      <c r="F38" s="2338"/>
      <c r="G38" s="2338"/>
      <c r="H38" s="2338"/>
      <c r="I38" s="2312"/>
      <c r="J38" s="925"/>
      <c r="K38" s="925"/>
      <c r="L38" s="926"/>
      <c r="M38" s="980"/>
      <c r="N38" s="975"/>
      <c r="O38" s="978"/>
      <c r="P38" s="975"/>
      <c r="Q38" s="950"/>
      <c r="R38" s="937"/>
      <c r="S38" s="940"/>
      <c r="T38" s="925"/>
      <c r="U38" s="925"/>
      <c r="V38" s="981"/>
      <c r="X38" s="1380">
        <v>8</v>
      </c>
      <c r="Y38" s="1362">
        <f>IF(R16&lt;=6,0,ROUND((60*4+P7+2*(3*F40+40)+50-150),-1))</f>
        <v>0</v>
      </c>
    </row>
    <row r="39" spans="2:27" ht="21.75" customHeight="1">
      <c r="B39" s="924"/>
      <c r="C39" s="925"/>
      <c r="D39" s="925"/>
      <c r="E39" s="925"/>
      <c r="F39" s="925"/>
      <c r="G39" s="925"/>
      <c r="H39" s="925"/>
      <c r="I39" s="925"/>
      <c r="J39" s="925"/>
      <c r="K39" s="925"/>
      <c r="L39" s="926"/>
      <c r="M39" s="982"/>
      <c r="N39" s="937"/>
      <c r="O39" s="983"/>
      <c r="P39" s="983"/>
      <c r="Q39" s="950"/>
      <c r="R39" s="937"/>
      <c r="S39" s="940"/>
      <c r="T39" s="925"/>
      <c r="U39" s="925"/>
      <c r="V39" s="981"/>
    </row>
    <row r="40" spans="2:27" ht="28.5">
      <c r="B40" s="924"/>
      <c r="C40" s="2318" t="str">
        <f>+VLOOKUP(41,TRADUZIONI,DATI!$C$2-1,0)</f>
        <v>DIST.STD TRA FORI RETE</v>
      </c>
      <c r="D40" s="2339"/>
      <c r="E40" s="2339"/>
      <c r="F40" s="984">
        <f>ROUND((+F22-80)/(R16-1),0)</f>
        <v>419</v>
      </c>
      <c r="G40" s="2340"/>
      <c r="H40" s="2340"/>
      <c r="I40" s="2340"/>
      <c r="J40" s="2340"/>
      <c r="K40" s="2341"/>
      <c r="L40" s="926"/>
      <c r="M40" s="2258" t="str">
        <f>+VLOOKUP(128,TRADUZIONI,DATI!$C$2-1,0)</f>
        <v>INFILARE I CORDINI SENZA TAGLIARLI</v>
      </c>
      <c r="N40" s="2259"/>
      <c r="O40" s="2259"/>
      <c r="P40" s="2259"/>
      <c r="Q40" s="2259"/>
      <c r="R40" s="2259"/>
      <c r="S40" s="2259"/>
      <c r="T40" s="2259"/>
      <c r="U40" s="2259"/>
      <c r="V40" s="2260"/>
    </row>
    <row r="41" spans="2:27" ht="28.5">
      <c r="B41" s="924"/>
      <c r="C41" s="979"/>
      <c r="D41" s="985"/>
      <c r="E41" s="985"/>
      <c r="F41" s="986"/>
      <c r="G41" s="987"/>
      <c r="H41" s="987"/>
      <c r="I41" s="987"/>
      <c r="J41" s="987"/>
      <c r="K41" s="987"/>
      <c r="L41" s="925"/>
      <c r="M41" s="2342" t="s">
        <v>83</v>
      </c>
      <c r="N41" s="2343"/>
      <c r="O41" s="2343"/>
      <c r="P41" s="2343"/>
      <c r="Q41" s="2343"/>
      <c r="R41" s="2343"/>
      <c r="S41" s="2343"/>
      <c r="T41" s="2343"/>
      <c r="U41" s="2343"/>
      <c r="V41" s="2344"/>
    </row>
    <row r="42" spans="2:27" ht="15.75" thickBot="1">
      <c r="B42" s="988"/>
      <c r="C42" s="945"/>
      <c r="D42" s="945"/>
      <c r="E42" s="945"/>
      <c r="F42" s="945"/>
      <c r="G42" s="945"/>
      <c r="H42" s="945"/>
      <c r="I42" s="945"/>
      <c r="J42" s="945"/>
      <c r="K42" s="945"/>
      <c r="L42" s="945"/>
      <c r="M42" s="988"/>
      <c r="N42" s="989"/>
      <c r="O42" s="945"/>
      <c r="P42" s="945"/>
      <c r="Q42" s="945"/>
      <c r="R42" s="945"/>
      <c r="S42" s="945"/>
      <c r="T42" s="990"/>
      <c r="U42" s="990"/>
      <c r="V42" s="991"/>
    </row>
    <row r="43" spans="2:27" ht="44.25" customHeight="1">
      <c r="B43" s="919"/>
      <c r="C43" s="920" t="str">
        <f>+VLOOKUP(139,TRADUZIONI,DATI!$C$2-1,0)</f>
        <v>QUADRO D</v>
      </c>
      <c r="D43" s="2325" t="str">
        <f>+VLOOKUP(113,TRADUZIONI,DATI!$C$2-1,0)</f>
        <v>CONTROLLO CORDINI - POST ASSEMBLAGGIO</v>
      </c>
      <c r="E43" s="2325"/>
      <c r="F43" s="2325"/>
      <c r="G43" s="2325"/>
      <c r="H43" s="2325"/>
      <c r="I43" s="2325"/>
      <c r="J43" s="2325"/>
      <c r="K43" s="2325"/>
      <c r="L43" s="2326"/>
      <c r="M43" s="919"/>
      <c r="N43" s="920" t="str">
        <f>+VLOOKUP(140,TRADUZIONI,DATI!$C$2-1,0)</f>
        <v>QUADRO E</v>
      </c>
      <c r="O43" s="2327" t="s">
        <v>500</v>
      </c>
      <c r="P43" s="2327"/>
      <c r="Q43" s="2327"/>
      <c r="R43" s="2327"/>
      <c r="S43" s="2327"/>
      <c r="T43" s="2327"/>
      <c r="U43" s="2327"/>
      <c r="V43" s="2328"/>
    </row>
    <row r="44" spans="2:27" ht="31.5" customHeight="1">
      <c r="B44" s="992"/>
      <c r="C44" s="993"/>
      <c r="D44" s="993"/>
      <c r="E44" s="993"/>
      <c r="F44" s="993"/>
      <c r="G44" s="993"/>
      <c r="H44" s="993"/>
      <c r="I44" s="993"/>
      <c r="J44" s="993"/>
      <c r="K44" s="993"/>
      <c r="L44" s="993"/>
      <c r="M44" s="994"/>
      <c r="N44" s="996"/>
      <c r="O44" s="996"/>
      <c r="P44" s="996"/>
      <c r="Q44" s="996"/>
      <c r="R44" s="925"/>
      <c r="S44" s="944"/>
      <c r="T44" s="944"/>
      <c r="U44" s="944"/>
      <c r="V44" s="997"/>
    </row>
    <row r="45" spans="2:27" ht="27.75">
      <c r="B45" s="992"/>
      <c r="C45" s="993"/>
      <c r="D45" s="993"/>
      <c r="E45" s="993"/>
      <c r="F45" s="993"/>
      <c r="G45" s="998" t="s">
        <v>85</v>
      </c>
      <c r="H45" s="993"/>
      <c r="I45" s="993"/>
      <c r="J45" s="993"/>
      <c r="K45" s="993"/>
      <c r="L45" s="993"/>
      <c r="M45" s="994"/>
      <c r="N45" s="2345" t="s">
        <v>498</v>
      </c>
      <c r="O45" s="2346"/>
      <c r="P45" s="2346"/>
      <c r="Q45" s="2346"/>
      <c r="R45" s="2346"/>
      <c r="S45" s="2346"/>
      <c r="T45" s="2347"/>
      <c r="U45" s="1028"/>
      <c r="V45" s="997"/>
    </row>
    <row r="46" spans="2:27" ht="31.5" customHeight="1">
      <c r="B46" s="992"/>
      <c r="C46" s="999" t="s">
        <v>119</v>
      </c>
      <c r="D46" s="1000">
        <f>+P7</f>
        <v>1400</v>
      </c>
      <c r="E46" s="1001" t="s">
        <v>88</v>
      </c>
      <c r="F46" s="1001" t="s">
        <v>89</v>
      </c>
      <c r="G46" s="1002">
        <f>+D46+E46</f>
        <v>1600</v>
      </c>
      <c r="H46" s="1003"/>
      <c r="I46" s="993"/>
      <c r="J46" s="993"/>
      <c r="K46" s="993"/>
      <c r="L46" s="993"/>
      <c r="M46" s="994"/>
      <c r="N46" s="996"/>
      <c r="O46" s="996"/>
      <c r="P46" s="996"/>
      <c r="Q46" s="996"/>
      <c r="R46" s="925"/>
      <c r="S46" s="944"/>
      <c r="T46" s="944"/>
      <c r="U46" s="944"/>
      <c r="V46" s="997"/>
    </row>
    <row r="47" spans="2:27" ht="31.5" thickBot="1">
      <c r="B47" s="992"/>
      <c r="C47" s="993"/>
      <c r="D47" s="993"/>
      <c r="E47" s="993"/>
      <c r="F47" s="993"/>
      <c r="G47" s="993"/>
      <c r="H47" s="993"/>
      <c r="I47" s="993"/>
      <c r="J47" s="993"/>
      <c r="K47" s="993"/>
      <c r="L47" s="993"/>
      <c r="M47" s="1004"/>
      <c r="N47" s="1005" t="str">
        <f>+VLOOKUP(78,TRADUZIONI,DATI!C2-1,0)</f>
        <v>PEZZI /PZ.</v>
      </c>
      <c r="O47" s="967">
        <f>2*P11</f>
        <v>2</v>
      </c>
      <c r="P47" s="1070"/>
      <c r="Q47" s="2348" t="s">
        <v>333</v>
      </c>
      <c r="R47" s="2348"/>
      <c r="S47" s="2348"/>
      <c r="T47" s="2349"/>
      <c r="U47" s="944"/>
      <c r="V47" s="1006"/>
    </row>
    <row r="48" spans="2:27" ht="18.75">
      <c r="B48" s="1007"/>
      <c r="C48" s="1008"/>
      <c r="D48" s="1008"/>
      <c r="E48" s="1008"/>
      <c r="F48" s="1008"/>
      <c r="G48" s="1008"/>
      <c r="H48" s="1008"/>
      <c r="I48" s="1008"/>
      <c r="J48" s="1008"/>
      <c r="K48" s="1008"/>
      <c r="L48" s="1009"/>
      <c r="M48" s="994"/>
      <c r="N48" s="996"/>
      <c r="O48" s="996"/>
      <c r="P48" s="996"/>
      <c r="Q48" s="996"/>
      <c r="R48" s="925"/>
      <c r="S48" s="944"/>
      <c r="T48" s="944"/>
      <c r="U48" s="944"/>
      <c r="V48" s="997"/>
    </row>
    <row r="49" spans="2:22" ht="30.75">
      <c r="B49" s="1010"/>
      <c r="C49" s="2350" t="str">
        <f>+IF(DATI!$C$11=1,"","RETE GRIGIA")</f>
        <v>RETE GRIGIA</v>
      </c>
      <c r="D49" s="2350"/>
      <c r="E49" s="2350"/>
      <c r="F49" s="2350"/>
      <c r="G49" s="2350"/>
      <c r="H49" s="2350"/>
      <c r="I49" s="2350"/>
      <c r="J49" s="2350"/>
      <c r="K49" s="1011"/>
      <c r="L49" s="1011"/>
      <c r="M49" s="1012"/>
      <c r="N49" s="1005" t="s">
        <v>702</v>
      </c>
      <c r="O49" s="1013"/>
      <c r="P49" s="1071"/>
      <c r="Q49" s="1071"/>
      <c r="R49" s="2332">
        <f>+R7-30</f>
        <v>2170</v>
      </c>
      <c r="S49" s="2333"/>
      <c r="T49" s="944"/>
      <c r="U49" s="944"/>
      <c r="V49" s="1015"/>
    </row>
    <row r="50" spans="2:22" ht="18.75">
      <c r="B50" s="1010"/>
      <c r="C50" s="2350"/>
      <c r="D50" s="2350"/>
      <c r="E50" s="2350"/>
      <c r="F50" s="2350"/>
      <c r="G50" s="2350"/>
      <c r="H50" s="2350"/>
      <c r="I50" s="2350"/>
      <c r="J50" s="2350"/>
      <c r="K50" s="1011"/>
      <c r="L50" s="1011"/>
      <c r="M50" s="994"/>
      <c r="N50" s="996"/>
      <c r="O50" s="996"/>
      <c r="P50" s="996"/>
      <c r="Q50" s="996"/>
      <c r="R50" s="925"/>
      <c r="S50" s="944"/>
      <c r="T50" s="944"/>
      <c r="U50" s="944"/>
      <c r="V50" s="997"/>
    </row>
    <row r="51" spans="2:22" ht="31.5" thickBot="1">
      <c r="B51" s="1010"/>
      <c r="C51" s="1011"/>
      <c r="D51" s="1011"/>
      <c r="E51" s="1011"/>
      <c r="F51" s="1011"/>
      <c r="G51" s="1011"/>
      <c r="H51" s="1011"/>
      <c r="I51" s="1011"/>
      <c r="J51" s="1011"/>
      <c r="K51" s="1011"/>
      <c r="L51" s="1011"/>
      <c r="M51" s="994"/>
      <c r="N51" s="1005" t="s">
        <v>703</v>
      </c>
      <c r="O51" s="1013"/>
      <c r="P51" s="928"/>
      <c r="Q51" s="928"/>
      <c r="R51" s="2332">
        <f>+R7-25</f>
        <v>2175</v>
      </c>
      <c r="S51" s="2333"/>
      <c r="T51" s="944"/>
      <c r="U51" s="944"/>
      <c r="V51" s="997"/>
    </row>
    <row r="52" spans="2:22" ht="44.25" customHeight="1">
      <c r="B52" s="919"/>
      <c r="C52" s="920" t="str">
        <f>+VLOOKUP(141,TRADUZIONI,DATI!$C$2-1,0)</f>
        <v>QUADRO F</v>
      </c>
      <c r="D52" s="2325" t="s">
        <v>90</v>
      </c>
      <c r="E52" s="2325"/>
      <c r="F52" s="2325"/>
      <c r="G52" s="2325"/>
      <c r="H52" s="2325"/>
      <c r="I52" s="2325"/>
      <c r="J52" s="2325"/>
      <c r="K52" s="2325"/>
      <c r="L52" s="2326"/>
      <c r="M52" s="994"/>
      <c r="N52" s="1016"/>
      <c r="O52" s="1016"/>
      <c r="P52" s="925"/>
      <c r="Q52" s="925"/>
      <c r="R52" s="972"/>
      <c r="S52" s="972"/>
      <c r="T52" s="944"/>
      <c r="U52" s="944"/>
      <c r="V52" s="997"/>
    </row>
    <row r="53" spans="2:22" ht="30.75">
      <c r="B53" s="924"/>
      <c r="C53" s="925"/>
      <c r="D53" s="925"/>
      <c r="E53" s="925"/>
      <c r="F53" s="925"/>
      <c r="G53" s="925"/>
      <c r="H53" s="925"/>
      <c r="I53" s="925"/>
      <c r="J53" s="925"/>
      <c r="K53" s="925"/>
      <c r="L53" s="926"/>
      <c r="M53" s="994"/>
      <c r="N53" s="2336"/>
      <c r="O53" s="2336"/>
      <c r="P53" s="2336"/>
      <c r="Q53" s="2336"/>
      <c r="R53" s="2331"/>
      <c r="S53" s="2331"/>
      <c r="T53" s="944"/>
      <c r="U53" s="944"/>
      <c r="V53" s="997"/>
    </row>
    <row r="54" spans="2:22" ht="28.5">
      <c r="B54" s="924"/>
      <c r="C54" s="1017" t="s">
        <v>92</v>
      </c>
      <c r="D54" s="1018"/>
      <c r="E54" s="1019"/>
      <c r="F54" s="925"/>
      <c r="G54" s="1020"/>
      <c r="H54" s="925"/>
      <c r="I54" s="925"/>
      <c r="J54" s="925"/>
      <c r="K54" s="925"/>
      <c r="L54" s="926"/>
      <c r="M54" s="1021"/>
      <c r="N54" s="1023"/>
      <c r="O54" s="1023"/>
      <c r="P54" s="1023"/>
      <c r="Q54" s="1023"/>
      <c r="R54" s="1023"/>
      <c r="S54" s="1023"/>
      <c r="T54" s="1023"/>
      <c r="U54" s="1023"/>
      <c r="V54" s="1024"/>
    </row>
    <row r="55" spans="2:22" ht="28.5">
      <c r="B55" s="924"/>
      <c r="C55" s="1017"/>
      <c r="D55" s="1018"/>
      <c r="E55" s="1019"/>
      <c r="F55" s="925"/>
      <c r="G55" s="1020"/>
      <c r="H55" s="925"/>
      <c r="I55" s="925"/>
      <c r="J55" s="925"/>
      <c r="K55" s="925"/>
      <c r="L55" s="926"/>
      <c r="M55" s="994"/>
      <c r="N55" s="1016"/>
      <c r="O55" s="944"/>
      <c r="P55" s="944"/>
      <c r="Q55" s="944"/>
      <c r="R55" s="944"/>
      <c r="S55" s="944"/>
      <c r="T55" s="944"/>
      <c r="U55" s="944"/>
      <c r="V55" s="997"/>
    </row>
    <row r="56" spans="2:22" ht="28.5">
      <c r="B56" s="924"/>
      <c r="C56" s="1025"/>
      <c r="D56" s="1026" t="s">
        <v>94</v>
      </c>
      <c r="E56" s="925"/>
      <c r="F56" s="1020"/>
      <c r="G56" s="1020"/>
      <c r="H56" s="925"/>
      <c r="I56" s="925"/>
      <c r="J56" s="925"/>
      <c r="K56" s="925"/>
      <c r="L56" s="926"/>
      <c r="M56" s="925"/>
      <c r="N56" s="925"/>
      <c r="O56" s="925"/>
      <c r="P56" s="925"/>
      <c r="Q56" s="925"/>
      <c r="R56" s="925"/>
      <c r="S56" s="925"/>
      <c r="T56" s="925"/>
      <c r="U56" s="925"/>
      <c r="V56" s="981"/>
    </row>
    <row r="57" spans="2:22" ht="28.5">
      <c r="B57" s="924"/>
      <c r="C57" s="1027"/>
      <c r="D57" s="1026" t="s">
        <v>95</v>
      </c>
      <c r="E57" s="925"/>
      <c r="F57" s="950"/>
      <c r="G57" s="937"/>
      <c r="H57" s="925"/>
      <c r="I57" s="925"/>
      <c r="J57" s="925"/>
      <c r="K57" s="925"/>
      <c r="L57" s="926"/>
      <c r="M57" s="994"/>
      <c r="N57" s="2345" t="s">
        <v>483</v>
      </c>
      <c r="O57" s="2346"/>
      <c r="P57" s="2346"/>
      <c r="Q57" s="2346"/>
      <c r="R57" s="2346"/>
      <c r="S57" s="2346"/>
      <c r="T57" s="2347"/>
      <c r="U57" s="944"/>
      <c r="V57" s="997"/>
    </row>
    <row r="58" spans="2:22" ht="28.5">
      <c r="B58" s="924"/>
      <c r="C58" s="1027"/>
      <c r="D58" s="1026" t="s">
        <v>96</v>
      </c>
      <c r="E58" s="925"/>
      <c r="F58" s="950"/>
      <c r="G58" s="937"/>
      <c r="H58" s="925"/>
      <c r="I58" s="925"/>
      <c r="J58" s="925"/>
      <c r="K58" s="925"/>
      <c r="L58" s="926"/>
      <c r="M58" s="994"/>
      <c r="N58" s="925"/>
      <c r="O58" s="925"/>
      <c r="P58" s="925"/>
      <c r="Q58" s="925"/>
      <c r="R58" s="925"/>
      <c r="S58" s="925"/>
      <c r="T58" s="925"/>
      <c r="U58" s="1028"/>
      <c r="V58" s="997"/>
    </row>
    <row r="59" spans="2:22" ht="18.75">
      <c r="B59" s="1029"/>
      <c r="C59" s="1030"/>
      <c r="D59" s="1031"/>
      <c r="E59" s="1031"/>
      <c r="F59" s="1031"/>
      <c r="G59" s="1031"/>
      <c r="H59" s="1031"/>
      <c r="I59" s="1031"/>
      <c r="J59" s="1031"/>
      <c r="K59" s="1031"/>
      <c r="L59" s="1032"/>
      <c r="M59" s="994"/>
      <c r="N59" s="996"/>
      <c r="O59" s="996"/>
      <c r="P59" s="996"/>
      <c r="Q59" s="996"/>
      <c r="R59" s="925"/>
      <c r="S59" s="944"/>
      <c r="T59" s="944"/>
      <c r="U59" s="944"/>
      <c r="V59" s="997"/>
    </row>
    <row r="60" spans="2:22" ht="30.75">
      <c r="B60" s="1035" t="s">
        <v>37</v>
      </c>
      <c r="C60" s="1036"/>
      <c r="D60" s="1036"/>
      <c r="E60" s="1036"/>
      <c r="F60" s="1036"/>
      <c r="G60" s="1036"/>
      <c r="H60" s="1036"/>
      <c r="I60" s="1036"/>
      <c r="J60" s="1036"/>
      <c r="K60" s="1036"/>
      <c r="L60" s="1037"/>
      <c r="M60" s="994"/>
      <c r="N60" s="1033" t="str">
        <f>+VLOOKUP(78,TRADUZIONI,DATI!C2-1,0)</f>
        <v>PEZZI /PZ.</v>
      </c>
      <c r="O60" s="1014">
        <f>2*P11</f>
        <v>2</v>
      </c>
      <c r="P60" s="1034"/>
      <c r="Q60" s="1034"/>
      <c r="R60" s="925"/>
      <c r="S60" s="944"/>
      <c r="T60" s="944"/>
      <c r="U60" s="944"/>
      <c r="V60" s="997"/>
    </row>
    <row r="61" spans="2:22" ht="21">
      <c r="B61" s="1038" t="s">
        <v>37</v>
      </c>
      <c r="C61" s="1039"/>
      <c r="D61" s="1040" t="s">
        <v>98</v>
      </c>
      <c r="E61" s="1040" t="s">
        <v>99</v>
      </c>
      <c r="F61" s="1040" t="s">
        <v>100</v>
      </c>
      <c r="G61" s="1039"/>
      <c r="H61" s="1039"/>
      <c r="I61" s="1039"/>
      <c r="J61" s="1039"/>
      <c r="K61" s="1039"/>
      <c r="L61" s="1041"/>
      <c r="M61" s="994"/>
      <c r="N61" s="996"/>
      <c r="O61" s="996"/>
      <c r="P61" s="996"/>
      <c r="Q61" s="996"/>
      <c r="R61" s="925"/>
      <c r="S61" s="944"/>
      <c r="T61" s="944"/>
      <c r="U61" s="944"/>
      <c r="V61" s="997"/>
    </row>
    <row r="62" spans="2:22" ht="21">
      <c r="B62" s="1042"/>
      <c r="C62" s="1039"/>
      <c r="D62" s="1043" t="s">
        <v>44</v>
      </c>
      <c r="E62" s="1044"/>
      <c r="F62" s="1044"/>
      <c r="G62" s="1045"/>
      <c r="H62" s="1039"/>
      <c r="I62" s="1039"/>
      <c r="J62" s="1039"/>
      <c r="K62" s="1039"/>
      <c r="L62" s="1041"/>
      <c r="M62" s="994"/>
      <c r="T62" s="944"/>
      <c r="U62" s="944"/>
      <c r="V62" s="997"/>
    </row>
    <row r="63" spans="2:22" ht="30.75">
      <c r="B63" s="1046"/>
      <c r="C63" s="1039"/>
      <c r="D63" s="1047">
        <v>0.05</v>
      </c>
      <c r="E63" s="1048">
        <v>0.17499999999999999</v>
      </c>
      <c r="F63" s="1049" t="s">
        <v>102</v>
      </c>
      <c r="G63" s="1048">
        <f>(R7+300)/1000</f>
        <v>2.5</v>
      </c>
      <c r="H63" s="1039"/>
      <c r="I63" s="1039"/>
      <c r="J63" s="1039"/>
      <c r="K63" s="1039"/>
      <c r="L63" s="1041"/>
      <c r="M63" s="994"/>
      <c r="N63" s="2318" t="s">
        <v>501</v>
      </c>
      <c r="O63" s="2313"/>
      <c r="P63" s="2313"/>
      <c r="Q63" s="2313"/>
      <c r="R63" s="2332">
        <f>+R7-38</f>
        <v>2162</v>
      </c>
      <c r="S63" s="2333"/>
      <c r="T63" s="944"/>
      <c r="U63" s="944"/>
      <c r="V63" s="997"/>
    </row>
    <row r="64" spans="2:22" ht="30.75">
      <c r="B64" s="1050"/>
      <c r="C64" s="1039"/>
      <c r="D64" s="1047" t="s">
        <v>103</v>
      </c>
      <c r="E64" s="1047"/>
      <c r="F64" s="1048" t="str">
        <f>P11</f>
        <v>1</v>
      </c>
      <c r="G64" s="1047" t="s">
        <v>104</v>
      </c>
      <c r="H64" s="1039"/>
      <c r="I64" s="1039"/>
      <c r="J64" s="1039"/>
      <c r="K64" s="1039"/>
      <c r="L64" s="1041"/>
      <c r="M64" s="994"/>
      <c r="N64" s="2336"/>
      <c r="O64" s="2336"/>
      <c r="P64" s="2336"/>
      <c r="Q64" s="2336"/>
      <c r="R64" s="2331"/>
      <c r="S64" s="2331"/>
      <c r="T64" s="944"/>
      <c r="U64" s="944"/>
      <c r="V64" s="997"/>
    </row>
    <row r="65" spans="2:22" ht="21.75" thickBot="1">
      <c r="B65" s="1055"/>
      <c r="C65" s="1056"/>
      <c r="D65" s="1057" t="s">
        <v>105</v>
      </c>
      <c r="E65" s="1057"/>
      <c r="F65" s="1058">
        <f>(D63*E63*G63)*F64</f>
        <v>2.1874999999999999E-2</v>
      </c>
      <c r="G65" s="1057" t="s">
        <v>106</v>
      </c>
      <c r="H65" s="1056"/>
      <c r="I65" s="1056"/>
      <c r="J65" s="1056"/>
      <c r="K65" s="1056"/>
      <c r="L65" s="1059"/>
      <c r="M65" s="1051"/>
      <c r="N65" s="1053"/>
      <c r="O65" s="1053"/>
      <c r="P65" s="1053"/>
      <c r="Q65" s="1053"/>
      <c r="R65" s="1053"/>
      <c r="S65" s="1053"/>
      <c r="T65" s="1053"/>
      <c r="U65" s="1053"/>
      <c r="V65" s="1054"/>
    </row>
    <row r="66" spans="2:22" ht="44.25" customHeight="1">
      <c r="B66" s="919"/>
      <c r="C66" s="920" t="str">
        <f>+VLOOKUP(142,TRADUZIONI,DATI!$C$2-1,0)</f>
        <v>QUADRO G</v>
      </c>
      <c r="D66" s="2355" t="s">
        <v>108</v>
      </c>
      <c r="E66" s="2355"/>
      <c r="F66" s="2355"/>
      <c r="G66" s="2355"/>
      <c r="H66" s="2355"/>
      <c r="I66" s="2355"/>
      <c r="J66" s="2355"/>
      <c r="K66" s="2355"/>
      <c r="L66" s="2356"/>
      <c r="M66" s="994"/>
      <c r="N66" s="996"/>
      <c r="O66" s="996"/>
      <c r="P66" s="996"/>
      <c r="Q66" s="996"/>
      <c r="R66" s="925"/>
      <c r="S66" s="944"/>
      <c r="T66" s="944"/>
      <c r="U66" s="944"/>
      <c r="V66" s="997"/>
    </row>
    <row r="67" spans="2:22" ht="27.75">
      <c r="B67" s="2363" t="s">
        <v>109</v>
      </c>
      <c r="C67" s="2364"/>
      <c r="D67" s="2364"/>
      <c r="E67" s="2365"/>
      <c r="F67" s="2366" t="s">
        <v>110</v>
      </c>
      <c r="G67" s="2364"/>
      <c r="H67" s="2364"/>
      <c r="I67" s="2364"/>
      <c r="J67" s="2364"/>
      <c r="K67" s="2364"/>
      <c r="L67" s="2367"/>
      <c r="M67" s="994"/>
      <c r="N67" s="2345" t="s">
        <v>111</v>
      </c>
      <c r="O67" s="2346"/>
      <c r="P67" s="2346"/>
      <c r="Q67" s="2346"/>
      <c r="R67" s="2346"/>
      <c r="S67" s="2346"/>
      <c r="T67" s="2346"/>
      <c r="U67" s="2347"/>
      <c r="V67" s="997"/>
    </row>
    <row r="68" spans="2:22" ht="21">
      <c r="B68" s="2368" t="s">
        <v>112</v>
      </c>
      <c r="C68" s="2369"/>
      <c r="D68" s="2353" t="s">
        <v>113</v>
      </c>
      <c r="E68" s="2354"/>
      <c r="F68" s="2384">
        <f>+DATI!C12</f>
        <v>0</v>
      </c>
      <c r="G68" s="2385"/>
      <c r="H68" s="2385"/>
      <c r="I68" s="2385"/>
      <c r="J68" s="2385"/>
      <c r="K68" s="2385"/>
      <c r="L68" s="2386"/>
      <c r="M68" s="994"/>
      <c r="N68" s="996"/>
      <c r="O68" s="996"/>
      <c r="P68" s="996"/>
      <c r="Q68" s="996"/>
      <c r="R68" s="925"/>
      <c r="S68" s="925"/>
      <c r="T68" s="925"/>
      <c r="U68" s="925"/>
      <c r="V68" s="997"/>
    </row>
    <row r="69" spans="2:22" ht="28.5">
      <c r="B69" s="2370"/>
      <c r="C69" s="2371"/>
      <c r="D69" s="2374"/>
      <c r="E69" s="2375"/>
      <c r="F69" s="2387"/>
      <c r="G69" s="2388"/>
      <c r="H69" s="2388"/>
      <c r="I69" s="2388"/>
      <c r="J69" s="2388"/>
      <c r="K69" s="2388"/>
      <c r="L69" s="2389"/>
      <c r="M69" s="994"/>
      <c r="N69" s="1005" t="s">
        <v>707</v>
      </c>
      <c r="O69" s="928"/>
      <c r="P69" s="1068"/>
      <c r="Q69" s="2351">
        <f>+P7-2</f>
        <v>1398</v>
      </c>
      <c r="R69" s="2352"/>
      <c r="S69" s="925"/>
      <c r="T69" s="1033" t="str">
        <f>+VLOOKUP(78,TRADUZIONI,DATI!C2-1,0)</f>
        <v>PEZZI /PZ.</v>
      </c>
      <c r="U69" s="1069" t="s">
        <v>122</v>
      </c>
      <c r="V69" s="997"/>
    </row>
    <row r="70" spans="2:22" ht="21">
      <c r="B70" s="2370"/>
      <c r="C70" s="2371"/>
      <c r="D70" s="2374"/>
      <c r="E70" s="2375"/>
      <c r="F70" s="2366" t="s">
        <v>114</v>
      </c>
      <c r="G70" s="2364"/>
      <c r="H70" s="2364"/>
      <c r="I70" s="2364"/>
      <c r="J70" s="2364"/>
      <c r="K70" s="2366" t="s">
        <v>115</v>
      </c>
      <c r="L70" s="2367"/>
      <c r="M70" s="994"/>
      <c r="N70" s="996"/>
      <c r="O70" s="996"/>
      <c r="P70" s="996"/>
      <c r="Q70" s="996"/>
      <c r="R70" s="925"/>
      <c r="S70" s="925"/>
      <c r="T70" s="925"/>
      <c r="U70" s="925"/>
      <c r="V70" s="997"/>
    </row>
    <row r="71" spans="2:22" ht="28.5">
      <c r="B71" s="2370"/>
      <c r="C71" s="2371"/>
      <c r="D71" s="2374"/>
      <c r="E71" s="2375"/>
      <c r="F71" s="2380" t="str">
        <f>+IF(DATI!$C$11=1,"","RETE GRIGIA")</f>
        <v>RETE GRIGIA</v>
      </c>
      <c r="G71" s="2381"/>
      <c r="H71" s="2381"/>
      <c r="I71" s="2381"/>
      <c r="J71" s="2381"/>
      <c r="K71" s="1060"/>
      <c r="L71" s="1041"/>
      <c r="M71" s="994"/>
      <c r="N71" s="1005" t="s">
        <v>708</v>
      </c>
      <c r="O71" s="1013"/>
      <c r="P71" s="928"/>
      <c r="Q71" s="2351">
        <f>+P7-2</f>
        <v>1398</v>
      </c>
      <c r="R71" s="2352"/>
      <c r="S71" s="925"/>
      <c r="T71" s="1033" t="str">
        <f>+VLOOKUP(78,TRADUZIONI,DATI!C2-1,0)</f>
        <v>PEZZI /PZ.</v>
      </c>
      <c r="U71" s="1069" t="s">
        <v>122</v>
      </c>
      <c r="V71" s="997"/>
    </row>
    <row r="72" spans="2:22" ht="21.75" thickBot="1">
      <c r="B72" s="2372"/>
      <c r="C72" s="2373"/>
      <c r="D72" s="2376"/>
      <c r="E72" s="2377"/>
      <c r="F72" s="2382"/>
      <c r="G72" s="2383"/>
      <c r="H72" s="2383"/>
      <c r="I72" s="2383"/>
      <c r="J72" s="2383"/>
      <c r="K72" s="1061"/>
      <c r="L72" s="1062"/>
      <c r="M72" s="1063"/>
      <c r="N72" s="1064"/>
      <c r="O72" s="1064"/>
      <c r="P72" s="1064"/>
      <c r="Q72" s="1064"/>
      <c r="R72" s="1064"/>
      <c r="S72" s="1064"/>
      <c r="T72" s="1064"/>
      <c r="U72" s="1064"/>
      <c r="V72" s="1065"/>
    </row>
    <row r="74" spans="2:22" ht="99.75">
      <c r="V74" s="1066"/>
    </row>
  </sheetData>
  <mergeCells count="54">
    <mergeCell ref="Q69:R69"/>
    <mergeCell ref="F70:J70"/>
    <mergeCell ref="K70:L70"/>
    <mergeCell ref="F71:J72"/>
    <mergeCell ref="Q71:R71"/>
    <mergeCell ref="B68:C68"/>
    <mergeCell ref="D68:E68"/>
    <mergeCell ref="F68:L69"/>
    <mergeCell ref="B69:C72"/>
    <mergeCell ref="D69:E72"/>
    <mergeCell ref="N64:Q64"/>
    <mergeCell ref="R64:S64"/>
    <mergeCell ref="D66:L66"/>
    <mergeCell ref="B67:E67"/>
    <mergeCell ref="F67:L67"/>
    <mergeCell ref="N67:U67"/>
    <mergeCell ref="N53:Q53"/>
    <mergeCell ref="R53:S53"/>
    <mergeCell ref="N57:T57"/>
    <mergeCell ref="N63:Q63"/>
    <mergeCell ref="R63:S63"/>
    <mergeCell ref="Q47:T47"/>
    <mergeCell ref="C49:J50"/>
    <mergeCell ref="R49:S49"/>
    <mergeCell ref="R51:S51"/>
    <mergeCell ref="D52:L52"/>
    <mergeCell ref="M40:V40"/>
    <mergeCell ref="M41:V41"/>
    <mergeCell ref="D43:L43"/>
    <mergeCell ref="O43:V43"/>
    <mergeCell ref="N45:T45"/>
    <mergeCell ref="H33:I33"/>
    <mergeCell ref="J34:K34"/>
    <mergeCell ref="C36:I36"/>
    <mergeCell ref="C37:I38"/>
    <mergeCell ref="C40:E40"/>
    <mergeCell ref="G40:K40"/>
    <mergeCell ref="F15:J20"/>
    <mergeCell ref="P16:Q16"/>
    <mergeCell ref="C22:E22"/>
    <mergeCell ref="F31:G31"/>
    <mergeCell ref="G32:H32"/>
    <mergeCell ref="N9:O9"/>
    <mergeCell ref="P9:S9"/>
    <mergeCell ref="D10:G10"/>
    <mergeCell ref="N11:O11"/>
    <mergeCell ref="D14:L14"/>
    <mergeCell ref="O14:V14"/>
    <mergeCell ref="B2:V2"/>
    <mergeCell ref="E4:O4"/>
    <mergeCell ref="D6:G6"/>
    <mergeCell ref="N6:O7"/>
    <mergeCell ref="R6:S6"/>
    <mergeCell ref="R7:S7"/>
  </mergeCells>
  <printOptions horizontalCentered="1"/>
  <pageMargins left="0" right="0" top="0" bottom="0" header="0" footer="0"/>
  <pageSetup paperSize="9" scale="38" orientation="portrait" horizontalDpi="1200" verticalDpi="1200" r:id="rId1"/>
  <headerFooter alignWithMargins="0">
    <oddFooter>&amp;LREV. 09/05 - VER.1&amp;R&amp;D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6">
    <tabColor theme="2" tint="-0.249977111117893"/>
    <pageSetUpPr fitToPage="1"/>
  </sheetPr>
  <dimension ref="A1:AG74"/>
  <sheetViews>
    <sheetView showGridLines="0" topLeftCell="A18" zoomScale="40" zoomScaleNormal="40" workbookViewId="0">
      <selection activeCell="N36" sqref="N36"/>
    </sheetView>
  </sheetViews>
  <sheetFormatPr defaultColWidth="10.28515625" defaultRowHeight="15"/>
  <cols>
    <col min="1" max="1" width="34.85546875" style="918" customWidth="1"/>
    <col min="2" max="2" width="4.5703125" style="918" customWidth="1"/>
    <col min="3" max="3" width="32" style="918" customWidth="1"/>
    <col min="4" max="4" width="13.28515625" style="918" customWidth="1"/>
    <col min="5" max="5" width="21.140625" style="918" customWidth="1"/>
    <col min="6" max="6" width="15" style="918" customWidth="1"/>
    <col min="7" max="7" width="17.85546875" style="918" customWidth="1"/>
    <col min="8" max="9" width="9.28515625" style="918" customWidth="1"/>
    <col min="10" max="10" width="6.42578125" style="918" customWidth="1"/>
    <col min="11" max="11" width="9.85546875" style="918" customWidth="1"/>
    <col min="12" max="12" width="4.7109375" style="918" customWidth="1"/>
    <col min="13" max="13" width="3.7109375" style="918" customWidth="1"/>
    <col min="14" max="14" width="17.85546875" style="918" customWidth="1"/>
    <col min="15" max="15" width="13.85546875" style="918" customWidth="1"/>
    <col min="16" max="16" width="16.28515625" style="918" customWidth="1"/>
    <col min="17" max="17" width="9.7109375" style="918" customWidth="1"/>
    <col min="18" max="18" width="11.140625" style="918" customWidth="1"/>
    <col min="19" max="19" width="9.5703125" style="918" customWidth="1"/>
    <col min="20" max="20" width="19" style="918" customWidth="1"/>
    <col min="21" max="21" width="11.42578125" style="918" customWidth="1"/>
    <col min="22" max="22" width="6.5703125" style="918" customWidth="1"/>
    <col min="23" max="24" width="10.28515625" style="918"/>
    <col min="25" max="25" width="14.42578125" style="918" bestFit="1" customWidth="1"/>
    <col min="26" max="26" width="10.28515625" style="918" customWidth="1"/>
    <col min="27" max="16384" width="10.28515625" style="918"/>
  </cols>
  <sheetData>
    <row r="1" spans="1:33" ht="18">
      <c r="A1" s="917"/>
    </row>
    <row r="2" spans="1:33" ht="33.75">
      <c r="A2" s="917"/>
      <c r="B2" s="2305" t="str">
        <f>CONCATENATE(VLOOKUP(151,TRADUZIONI,DATI!$C$2-1,0)," .22 ")</f>
        <v xml:space="preserve">FOGLIO LAVORO GIOCONDA LATERALE REVERSIBILE .22 </v>
      </c>
      <c r="C2" s="2306"/>
      <c r="D2" s="2306"/>
      <c r="E2" s="2306"/>
      <c r="F2" s="2306"/>
      <c r="G2" s="2306"/>
      <c r="H2" s="2306"/>
      <c r="I2" s="2306"/>
      <c r="J2" s="2306"/>
      <c r="K2" s="2306"/>
      <c r="L2" s="2306"/>
      <c r="M2" s="2306"/>
      <c r="N2" s="2306"/>
      <c r="O2" s="2306"/>
      <c r="P2" s="2306"/>
      <c r="Q2" s="2306"/>
      <c r="R2" s="2306"/>
      <c r="S2" s="2306"/>
      <c r="T2" s="2306"/>
      <c r="U2" s="2306"/>
      <c r="V2" s="2306"/>
      <c r="AG2" s="918" t="s">
        <v>37</v>
      </c>
    </row>
    <row r="3" spans="1:33" ht="18.75" thickBot="1">
      <c r="A3" s="917"/>
    </row>
    <row r="4" spans="1:33" ht="44.25" customHeight="1">
      <c r="A4" s="917"/>
      <c r="B4" s="919"/>
      <c r="C4" s="920" t="str">
        <f>+VLOOKUP(108,TRADUZIONI,DATI!$C$2-1,0)</f>
        <v>QUADRO A</v>
      </c>
      <c r="D4" s="921"/>
      <c r="E4" s="2307" t="str">
        <f>+VLOOKUP(109,TRADUZIONI,DATI!$C$2-1,0)</f>
        <v>DATI ORDINE</v>
      </c>
      <c r="F4" s="2307"/>
      <c r="G4" s="2307"/>
      <c r="H4" s="2307"/>
      <c r="I4" s="2307"/>
      <c r="J4" s="2307"/>
      <c r="K4" s="2307"/>
      <c r="L4" s="2307"/>
      <c r="M4" s="2307"/>
      <c r="N4" s="2307"/>
      <c r="O4" s="2307"/>
      <c r="P4" s="922"/>
      <c r="Q4" s="921"/>
      <c r="R4" s="921"/>
      <c r="S4" s="921"/>
      <c r="T4" s="921"/>
      <c r="U4" s="921"/>
      <c r="V4" s="923"/>
    </row>
    <row r="5" spans="1:33" ht="18">
      <c r="A5" s="917"/>
      <c r="B5" s="924"/>
      <c r="C5" s="925"/>
      <c r="D5" s="925"/>
      <c r="E5" s="925"/>
      <c r="F5" s="925"/>
      <c r="G5" s="925"/>
      <c r="H5" s="925"/>
      <c r="I5" s="925"/>
      <c r="J5" s="925"/>
      <c r="K5" s="925"/>
      <c r="L5" s="925"/>
      <c r="M5" s="925"/>
      <c r="N5" s="925"/>
      <c r="O5" s="925"/>
      <c r="P5" s="925"/>
      <c r="Q5" s="925"/>
      <c r="R5" s="925"/>
      <c r="S5" s="925"/>
      <c r="T5" s="925"/>
      <c r="U5" s="925"/>
      <c r="V5" s="926"/>
    </row>
    <row r="6" spans="1:33" ht="30.75">
      <c r="B6" s="924"/>
      <c r="C6" s="1432" t="str">
        <f>+VLOOKUP(22,TRADUZIONI,DATI!C2-1,0)</f>
        <v>CLIENTE</v>
      </c>
      <c r="D6" s="2308">
        <f>+DATI!C6</f>
        <v>0</v>
      </c>
      <c r="E6" s="2308"/>
      <c r="F6" s="2308"/>
      <c r="G6" s="2308"/>
      <c r="H6" s="928"/>
      <c r="I6" s="928"/>
      <c r="J6" s="928"/>
      <c r="K6" s="929"/>
      <c r="L6" s="930"/>
      <c r="M6" s="931"/>
      <c r="N6" s="2309" t="str">
        <f>+VLOOKUP(115,TRADUZIONI,DATI!C2-1,0)</f>
        <v xml:space="preserve">DIMENSIONI </v>
      </c>
      <c r="O6" s="2310"/>
      <c r="P6" s="1434" t="str">
        <f>+VLOOKUP(96,TRADUZIONI,DATI!C2-1,0)</f>
        <v>BASE</v>
      </c>
      <c r="Q6" s="932"/>
      <c r="R6" s="2313" t="str">
        <f>+VLOOKUP(97,TRADUZIONI,DATI!C2-1,0)</f>
        <v>ALTEZZA</v>
      </c>
      <c r="S6" s="2314"/>
      <c r="T6" s="925"/>
      <c r="U6" s="925"/>
      <c r="V6" s="926"/>
    </row>
    <row r="7" spans="1:33" ht="29.25" customHeight="1">
      <c r="B7" s="924"/>
      <c r="C7" s="925"/>
      <c r="D7" s="925" t="s">
        <v>37</v>
      </c>
      <c r="E7" s="925"/>
      <c r="F7" s="925"/>
      <c r="G7" s="925"/>
      <c r="H7" s="925"/>
      <c r="I7" s="925"/>
      <c r="J7" s="925"/>
      <c r="K7" s="925"/>
      <c r="L7" s="930"/>
      <c r="M7" s="931"/>
      <c r="N7" s="2311"/>
      <c r="O7" s="2312"/>
      <c r="P7" s="933">
        <f>+DATI!C7</f>
        <v>1400</v>
      </c>
      <c r="Q7" s="934" t="s">
        <v>44</v>
      </c>
      <c r="R7" s="2315">
        <f>+DATI!C8</f>
        <v>2200</v>
      </c>
      <c r="S7" s="2316"/>
      <c r="T7" s="925"/>
      <c r="U7" s="925"/>
      <c r="V7" s="926"/>
    </row>
    <row r="8" spans="1:33" ht="30.75">
      <c r="B8" s="924"/>
      <c r="C8" s="927" t="str">
        <f>+VLOOKUP(23,TRADUZIONI,DATI!C2-1,0)</f>
        <v>NUM. ORDINE</v>
      </c>
      <c r="D8" s="935">
        <f>+DATI!C4</f>
        <v>0</v>
      </c>
      <c r="E8" s="935"/>
      <c r="F8" s="935"/>
      <c r="G8" s="935"/>
      <c r="H8" s="928"/>
      <c r="I8" s="928"/>
      <c r="J8" s="928"/>
      <c r="K8" s="929"/>
      <c r="L8" s="930"/>
      <c r="M8" s="931"/>
      <c r="N8" s="925"/>
      <c r="O8" s="925"/>
      <c r="P8" s="925"/>
      <c r="Q8" s="925"/>
      <c r="R8" s="936"/>
      <c r="S8" s="925"/>
      <c r="T8" s="925"/>
      <c r="U8" s="925"/>
      <c r="V8" s="926"/>
    </row>
    <row r="9" spans="1:33" ht="30.75">
      <c r="B9" s="924"/>
      <c r="C9" s="925"/>
      <c r="D9" s="925"/>
      <c r="E9" s="925"/>
      <c r="F9" s="925"/>
      <c r="G9" s="925"/>
      <c r="H9" s="925"/>
      <c r="I9" s="925"/>
      <c r="J9" s="925"/>
      <c r="K9" s="925"/>
      <c r="L9" s="930"/>
      <c r="M9" s="931"/>
      <c r="N9" s="2318" t="str">
        <f>+VLOOKUP(99,TRADUZIONI,DATI!C2-1,0)</f>
        <v>COLORE</v>
      </c>
      <c r="O9" s="2314"/>
      <c r="P9" s="2319" t="str">
        <f>+DATI!C10</f>
        <v>06.NERO</v>
      </c>
      <c r="Q9" s="2320"/>
      <c r="R9" s="2320"/>
      <c r="S9" s="2321"/>
      <c r="T9" s="925"/>
      <c r="U9" s="925"/>
      <c r="V9" s="926"/>
    </row>
    <row r="10" spans="1:33" ht="30.75">
      <c r="B10" s="924"/>
      <c r="C10" s="1434" t="str">
        <f>+VLOOKUP(5,TRADUZIONI,DATI!C2-1,0)</f>
        <v>DATA SPEDIZIONE</v>
      </c>
      <c r="D10" s="2322">
        <f>+DATI!C5</f>
        <v>42370</v>
      </c>
      <c r="E10" s="2393"/>
      <c r="F10" s="2393"/>
      <c r="G10" s="2393"/>
      <c r="H10" s="928"/>
      <c r="I10" s="928"/>
      <c r="J10" s="928"/>
      <c r="K10" s="929"/>
      <c r="L10" s="930"/>
      <c r="M10" s="931"/>
      <c r="N10" s="937"/>
      <c r="O10" s="925"/>
      <c r="P10" s="925"/>
      <c r="Q10" s="925"/>
      <c r="R10" s="925"/>
      <c r="S10" s="925"/>
      <c r="T10" s="925"/>
      <c r="U10" s="925"/>
      <c r="V10" s="926"/>
    </row>
    <row r="11" spans="1:33" ht="30.75">
      <c r="B11" s="924"/>
      <c r="C11" s="925"/>
      <c r="D11" s="925"/>
      <c r="E11" s="925"/>
      <c r="F11" s="925"/>
      <c r="G11" s="925"/>
      <c r="H11" s="925"/>
      <c r="I11" s="925"/>
      <c r="J11" s="925"/>
      <c r="K11" s="925"/>
      <c r="L11" s="930"/>
      <c r="M11" s="931"/>
      <c r="N11" s="2323" t="str">
        <f>+VLOOKUP(78,TRADUZIONI,DATI!C2-1,0)</f>
        <v>PEZZI /PZ.</v>
      </c>
      <c r="O11" s="2324"/>
      <c r="P11" s="938" t="str">
        <f>DATI!C11</f>
        <v>1</v>
      </c>
      <c r="Q11" s="925"/>
      <c r="R11" s="925"/>
      <c r="S11" s="925"/>
      <c r="T11" s="925"/>
      <c r="U11" s="925"/>
      <c r="V11" s="926"/>
    </row>
    <row r="12" spans="1:33" ht="30.75">
      <c r="B12" s="924"/>
      <c r="C12" s="927" t="s">
        <v>49</v>
      </c>
      <c r="D12" s="939">
        <f>IF((P7*R7/1000000)&lt;=2,2*P11,IF((P7*R7/1000000)&gt;2,(P7*R7/1000000)*P11))</f>
        <v>3.08</v>
      </c>
      <c r="E12" s="925"/>
      <c r="F12" s="925"/>
      <c r="G12" s="925"/>
      <c r="H12" s="925"/>
      <c r="I12" s="925"/>
      <c r="J12" s="925"/>
      <c r="K12" s="925"/>
      <c r="L12" s="930"/>
      <c r="M12" s="931"/>
      <c r="N12" s="925"/>
      <c r="O12" s="925"/>
      <c r="P12" s="940" t="s">
        <v>37</v>
      </c>
      <c r="Q12" s="925"/>
      <c r="R12" s="925"/>
      <c r="S12" s="925"/>
      <c r="T12" s="941" t="s">
        <v>37</v>
      </c>
      <c r="U12" s="941"/>
      <c r="V12" s="926"/>
    </row>
    <row r="13" spans="1:33" ht="15.75" thickBot="1">
      <c r="B13" s="924"/>
      <c r="C13" s="937"/>
      <c r="D13" s="925"/>
      <c r="E13" s="942"/>
      <c r="F13" s="943"/>
      <c r="G13" s="942"/>
      <c r="H13" s="944"/>
      <c r="I13" s="944"/>
      <c r="J13" s="944"/>
      <c r="K13" s="925"/>
      <c r="L13" s="925"/>
      <c r="M13" s="925"/>
      <c r="N13" s="925"/>
      <c r="O13" s="925"/>
      <c r="P13" s="925"/>
      <c r="Q13" s="925"/>
      <c r="R13" s="945"/>
      <c r="S13" s="925"/>
      <c r="T13" s="946" t="s">
        <v>37</v>
      </c>
      <c r="U13" s="946"/>
      <c r="V13" s="926"/>
    </row>
    <row r="14" spans="1:33" ht="44.25" customHeight="1">
      <c r="B14" s="919"/>
      <c r="C14" s="920" t="str">
        <f>+VLOOKUP(111,TRADUZIONI,DATI!$C$2-1,0)</f>
        <v>QUADRO B</v>
      </c>
      <c r="D14" s="2325" t="str">
        <f>+VLOOKUP(118,TRADUZIONI,DATI!$C$2-1,0)</f>
        <v>DIMENSIONE RETE E FORI</v>
      </c>
      <c r="E14" s="2325"/>
      <c r="F14" s="2325"/>
      <c r="G14" s="2325"/>
      <c r="H14" s="2325"/>
      <c r="I14" s="2325"/>
      <c r="J14" s="2325"/>
      <c r="K14" s="2325"/>
      <c r="L14" s="2326"/>
      <c r="M14" s="919"/>
      <c r="N14" s="920" t="str">
        <f>+VLOOKUP(138,TRADUZIONI,DATI!$C$2-1,0)</f>
        <v>QUADRO C</v>
      </c>
      <c r="O14" s="2327" t="str">
        <f>+VLOOKUP(117,TRADUZIONI,DATI!$C$2-1,0)</f>
        <v>LUNGHEZZA E NUM. CORDINI</v>
      </c>
      <c r="P14" s="2327"/>
      <c r="Q14" s="2327"/>
      <c r="R14" s="2327"/>
      <c r="S14" s="2327"/>
      <c r="T14" s="2327"/>
      <c r="U14" s="2327"/>
      <c r="V14" s="2328"/>
    </row>
    <row r="15" spans="1:33" ht="31.5" customHeight="1">
      <c r="B15" s="947"/>
      <c r="C15" s="925"/>
      <c r="D15" s="925"/>
      <c r="E15" s="925"/>
      <c r="F15" s="2329" t="e">
        <f>IF(DATI!E13="AUTOMATICA",CONCATENATE("*",DATI!E14,"-",REPT("0",4-LEN(F22)),F22,"*"),CONCATENATE("*",DATI!$L$14,REPT("0",3-LEN(D16)),D16,REPT("0",4-LEN(F22)),F22,DATI!L13,"*"))</f>
        <v>#VALUE!</v>
      </c>
      <c r="G15" s="2329"/>
      <c r="H15" s="2329"/>
      <c r="I15" s="2329"/>
      <c r="J15" s="2329"/>
      <c r="K15" s="948"/>
      <c r="L15" s="949"/>
      <c r="M15" s="924"/>
      <c r="N15" s="925"/>
      <c r="O15" s="925" t="s">
        <v>37</v>
      </c>
      <c r="P15" s="950" t="s">
        <v>37</v>
      </c>
      <c r="Q15" s="925"/>
      <c r="R15" s="925"/>
      <c r="S15" s="925"/>
      <c r="T15" s="951"/>
      <c r="U15" s="951"/>
      <c r="V15" s="926"/>
    </row>
    <row r="16" spans="1:33" ht="30.75" customHeight="1">
      <c r="B16" s="952"/>
      <c r="C16" s="953" t="str">
        <f>+VLOOKUP(19,TRADUZIONI,DATI!C2-1,0)</f>
        <v>PIEGHE</v>
      </c>
      <c r="D16" s="954">
        <f>2+ROUNDUP((P7-60*2)*0.0471,0)</f>
        <v>63</v>
      </c>
      <c r="E16" s="925"/>
      <c r="F16" s="2329"/>
      <c r="G16" s="2329"/>
      <c r="H16" s="2329"/>
      <c r="I16" s="2329"/>
      <c r="J16" s="2329"/>
      <c r="K16" s="948"/>
      <c r="L16" s="955"/>
      <c r="M16" s="952"/>
      <c r="N16" s="956"/>
      <c r="O16" s="956"/>
      <c r="P16" s="2323" t="str">
        <f>+VLOOKUP(149,TRADUZIONI,DATI!C2-1,0)</f>
        <v>CORDINI</v>
      </c>
      <c r="Q16" s="2324"/>
      <c r="R16" s="957">
        <f>IF(F22&lt;=576,2,IF(F22&lt;=1430,4,IF(F22&lt;=2330,6,8)))</f>
        <v>6</v>
      </c>
      <c r="S16" s="951"/>
      <c r="T16" s="946"/>
      <c r="U16" s="946"/>
      <c r="V16" s="958"/>
    </row>
    <row r="17" spans="2:22" s="960" customFormat="1" ht="15" customHeight="1">
      <c r="B17" s="924"/>
      <c r="C17" s="925"/>
      <c r="D17" s="925"/>
      <c r="E17" s="925"/>
      <c r="F17" s="2329"/>
      <c r="G17" s="2329"/>
      <c r="H17" s="2329"/>
      <c r="I17" s="2329"/>
      <c r="J17" s="2329"/>
      <c r="K17" s="948"/>
      <c r="L17" s="925"/>
      <c r="M17" s="924"/>
      <c r="N17" s="925"/>
      <c r="O17" s="925"/>
      <c r="P17" s="925"/>
      <c r="Q17" s="959"/>
      <c r="R17" s="925"/>
      <c r="S17" s="925"/>
      <c r="T17" s="925"/>
      <c r="U17" s="925"/>
      <c r="V17" s="926"/>
    </row>
    <row r="18" spans="2:22" ht="49.5" customHeight="1">
      <c r="B18" s="924"/>
      <c r="C18" s="925"/>
      <c r="D18" s="940"/>
      <c r="E18" s="940"/>
      <c r="F18" s="2329"/>
      <c r="G18" s="2329"/>
      <c r="H18" s="2329"/>
      <c r="I18" s="2329"/>
      <c r="J18" s="2329"/>
      <c r="K18" s="948"/>
      <c r="L18" s="925"/>
      <c r="M18" s="924"/>
      <c r="N18" s="925"/>
      <c r="O18" s="925"/>
      <c r="P18" s="925"/>
      <c r="Q18" s="961"/>
      <c r="R18" s="925"/>
      <c r="S18" s="925"/>
      <c r="T18" s="925"/>
      <c r="U18" s="925"/>
      <c r="V18" s="926"/>
    </row>
    <row r="19" spans="2:22" ht="15" customHeight="1">
      <c r="B19" s="924"/>
      <c r="C19" s="925"/>
      <c r="D19" s="940"/>
      <c r="E19" s="940"/>
      <c r="F19" s="2329"/>
      <c r="G19" s="2329"/>
      <c r="H19" s="2329"/>
      <c r="I19" s="2329"/>
      <c r="J19" s="2329"/>
      <c r="K19" s="948"/>
      <c r="L19" s="925"/>
      <c r="M19" s="924"/>
      <c r="N19" s="925"/>
      <c r="O19" s="925"/>
      <c r="P19" s="962" t="s">
        <v>37</v>
      </c>
      <c r="Q19" s="925"/>
      <c r="R19" s="963" t="s">
        <v>37</v>
      </c>
      <c r="S19" s="925"/>
      <c r="T19" s="925"/>
      <c r="U19" s="925"/>
      <c r="V19" s="926"/>
    </row>
    <row r="20" spans="2:22">
      <c r="B20" s="924"/>
      <c r="C20" s="925"/>
      <c r="D20" s="940"/>
      <c r="E20" s="940"/>
      <c r="F20" s="2329"/>
      <c r="G20" s="2329"/>
      <c r="H20" s="2329"/>
      <c r="I20" s="2329"/>
      <c r="J20" s="2329"/>
      <c r="K20" s="948"/>
      <c r="L20" s="925"/>
      <c r="M20" s="964"/>
      <c r="N20" s="925"/>
      <c r="O20" s="925"/>
      <c r="P20" s="925"/>
      <c r="Q20" s="965"/>
      <c r="R20" s="965"/>
      <c r="S20" s="925"/>
      <c r="T20" s="937"/>
      <c r="U20" s="937"/>
      <c r="V20" s="926"/>
    </row>
    <row r="21" spans="2:22">
      <c r="B21" s="924"/>
      <c r="C21" s="925"/>
      <c r="D21" s="940"/>
      <c r="E21" s="925"/>
      <c r="F21" s="950" t="s">
        <v>37</v>
      </c>
      <c r="G21" s="925"/>
      <c r="H21" s="966"/>
      <c r="I21" s="966"/>
      <c r="J21" s="966"/>
      <c r="K21" s="940" t="s">
        <v>37</v>
      </c>
      <c r="L21" s="925"/>
      <c r="M21" s="964"/>
      <c r="N21" s="925"/>
      <c r="O21" s="925"/>
      <c r="P21" s="925"/>
      <c r="Q21" s="925"/>
      <c r="R21" s="959"/>
      <c r="S21" s="925"/>
      <c r="T21" s="965"/>
      <c r="U21" s="965"/>
      <c r="V21" s="926"/>
    </row>
    <row r="22" spans="2:22" ht="30.75">
      <c r="B22" s="924"/>
      <c r="C22" s="2318" t="str">
        <f>CONCATENATE(VLOOKUP(116,TRADUZIONI,DATI!C2-1,0),"(",VLOOKUP(97,TRADUZIONI,DATI!C2-1,0),"-24)")</f>
        <v>TAGLIO RETE(ALTEZZA-24)</v>
      </c>
      <c r="D22" s="2313"/>
      <c r="E22" s="2313"/>
      <c r="F22" s="967">
        <f>+R7-24</f>
        <v>2176</v>
      </c>
      <c r="G22" s="968"/>
      <c r="H22" s="969"/>
      <c r="I22" s="969"/>
      <c r="J22" s="969"/>
      <c r="K22" s="970"/>
      <c r="L22" s="925"/>
      <c r="M22" s="964"/>
      <c r="N22" s="925"/>
      <c r="O22" s="925"/>
      <c r="P22" s="966" t="s">
        <v>37</v>
      </c>
      <c r="Q22" s="925" t="s">
        <v>37</v>
      </c>
      <c r="R22" s="925"/>
      <c r="S22" s="925"/>
      <c r="T22" s="961"/>
      <c r="U22" s="961"/>
      <c r="V22" s="926"/>
    </row>
    <row r="23" spans="2:22">
      <c r="B23" s="924"/>
      <c r="C23" s="925"/>
      <c r="D23" s="940"/>
      <c r="E23" s="925"/>
      <c r="F23" s="950"/>
      <c r="G23" s="951"/>
      <c r="H23" s="966"/>
      <c r="I23" s="966"/>
      <c r="J23" s="966"/>
      <c r="K23" s="940"/>
      <c r="L23" s="925"/>
      <c r="M23" s="964"/>
      <c r="N23" s="925"/>
      <c r="O23" s="925"/>
      <c r="P23" s="966"/>
      <c r="Q23" s="925"/>
      <c r="R23" s="925"/>
      <c r="S23" s="925"/>
      <c r="T23" s="961"/>
      <c r="U23" s="961"/>
      <c r="V23" s="926"/>
    </row>
    <row r="24" spans="2:22">
      <c r="B24" s="924"/>
      <c r="C24" s="925"/>
      <c r="D24" s="940"/>
      <c r="E24" s="925"/>
      <c r="F24" s="950"/>
      <c r="G24" s="951"/>
      <c r="H24" s="966"/>
      <c r="I24" s="966"/>
      <c r="J24" s="966"/>
      <c r="K24" s="940"/>
      <c r="L24" s="925"/>
      <c r="M24" s="964"/>
      <c r="N24" s="925"/>
      <c r="O24" s="925"/>
      <c r="P24" s="966"/>
      <c r="Q24" s="925"/>
      <c r="R24" s="925"/>
      <c r="S24" s="925"/>
      <c r="T24" s="961"/>
      <c r="U24" s="961"/>
      <c r="V24" s="926"/>
    </row>
    <row r="25" spans="2:22">
      <c r="B25" s="924"/>
      <c r="C25" s="925"/>
      <c r="D25" s="940"/>
      <c r="E25" s="925"/>
      <c r="F25" s="950"/>
      <c r="G25" s="951"/>
      <c r="H25" s="966"/>
      <c r="I25" s="966"/>
      <c r="J25" s="966"/>
      <c r="K25" s="940"/>
      <c r="L25" s="925"/>
      <c r="M25" s="924"/>
      <c r="N25" s="925"/>
      <c r="O25" s="925"/>
      <c r="P25" s="966"/>
      <c r="Q25" s="925"/>
      <c r="R25" s="925"/>
      <c r="S25" s="925"/>
      <c r="T25" s="961"/>
      <c r="U25" s="961"/>
      <c r="V25" s="926"/>
    </row>
    <row r="26" spans="2:22">
      <c r="B26" s="924"/>
      <c r="C26" s="925"/>
      <c r="D26" s="940"/>
      <c r="E26" s="925"/>
      <c r="F26" s="950"/>
      <c r="G26" s="951"/>
      <c r="H26" s="966"/>
      <c r="I26" s="966"/>
      <c r="J26" s="966"/>
      <c r="K26" s="940"/>
      <c r="L26" s="925"/>
      <c r="M26" s="924"/>
      <c r="N26" s="925"/>
      <c r="O26" s="925"/>
      <c r="P26" s="925"/>
      <c r="Q26" s="925"/>
      <c r="R26" s="925"/>
      <c r="S26" s="940"/>
      <c r="T26" s="925"/>
      <c r="U26" s="925"/>
      <c r="V26" s="926"/>
    </row>
    <row r="27" spans="2:22" ht="30.75">
      <c r="B27" s="924"/>
      <c r="C27" s="971">
        <v>40</v>
      </c>
      <c r="D27" s="940"/>
      <c r="E27" s="925"/>
      <c r="F27" s="950"/>
      <c r="G27" s="951"/>
      <c r="H27" s="966"/>
      <c r="I27" s="966"/>
      <c r="J27" s="966"/>
      <c r="K27" s="940"/>
      <c r="L27" s="925"/>
      <c r="M27" s="924"/>
      <c r="N27" s="925"/>
      <c r="O27" s="925"/>
      <c r="P27" s="925"/>
      <c r="Q27" s="925"/>
      <c r="R27" s="925"/>
      <c r="S27" s="925"/>
      <c r="T27" s="925"/>
      <c r="U27" s="925"/>
      <c r="V27" s="926"/>
    </row>
    <row r="28" spans="2:22" ht="36" customHeight="1">
      <c r="B28" s="924"/>
      <c r="C28" s="972">
        <f>+C27+F40</f>
        <v>459</v>
      </c>
      <c r="D28" s="940"/>
      <c r="E28" s="925"/>
      <c r="F28" s="950"/>
      <c r="G28" s="951"/>
      <c r="H28" s="966"/>
      <c r="I28" s="966"/>
      <c r="J28" s="966"/>
      <c r="K28" s="940"/>
      <c r="L28" s="925"/>
      <c r="M28" s="924"/>
      <c r="N28" s="925"/>
      <c r="O28" s="925"/>
      <c r="P28" s="966" t="s">
        <v>37</v>
      </c>
      <c r="Q28" s="925"/>
      <c r="R28" s="925"/>
      <c r="S28" s="940"/>
      <c r="T28" s="925"/>
      <c r="U28" s="925"/>
      <c r="V28" s="926"/>
    </row>
    <row r="29" spans="2:22" ht="36" customHeight="1">
      <c r="B29" s="924"/>
      <c r="C29" s="925"/>
      <c r="D29" s="973">
        <f>IF(R16&gt;2,C28+F40,"")</f>
        <v>878</v>
      </c>
      <c r="E29" s="925"/>
      <c r="F29" s="950"/>
      <c r="G29" s="951"/>
      <c r="H29" s="966"/>
      <c r="I29" s="966"/>
      <c r="J29" s="966"/>
      <c r="K29" s="940"/>
      <c r="L29" s="925"/>
      <c r="M29" s="924"/>
      <c r="N29" s="925"/>
      <c r="O29" s="925"/>
      <c r="P29" s="925"/>
      <c r="Q29" s="925"/>
      <c r="R29" s="925"/>
      <c r="S29" s="925"/>
      <c r="T29" s="925"/>
      <c r="U29" s="925"/>
      <c r="V29" s="926"/>
    </row>
    <row r="30" spans="2:22" ht="36" customHeight="1">
      <c r="B30" s="924"/>
      <c r="C30" s="925"/>
      <c r="D30" s="940"/>
      <c r="E30" s="972">
        <f>IF(R16&gt;=4,D29+F40,"")</f>
        <v>1297</v>
      </c>
      <c r="F30" s="950"/>
      <c r="G30" s="951"/>
      <c r="H30" s="966"/>
      <c r="I30" s="966"/>
      <c r="J30" s="966"/>
      <c r="K30" s="940"/>
      <c r="L30" s="925"/>
      <c r="M30" s="924"/>
      <c r="N30" s="925"/>
      <c r="O30" s="925"/>
      <c r="P30" s="940" t="s">
        <v>37</v>
      </c>
      <c r="Q30" s="925"/>
      <c r="R30" s="925"/>
      <c r="S30" s="925"/>
      <c r="T30" s="925"/>
      <c r="U30" s="925"/>
      <c r="V30" s="926"/>
    </row>
    <row r="31" spans="2:22" ht="36" customHeight="1">
      <c r="B31" s="924"/>
      <c r="C31" s="925"/>
      <c r="D31" s="940"/>
      <c r="E31" s="925"/>
      <c r="F31" s="2330">
        <f>IF(R16&gt;=5,E30+F40,"")</f>
        <v>1716</v>
      </c>
      <c r="G31" s="2330"/>
      <c r="H31" s="966"/>
      <c r="I31" s="966"/>
      <c r="J31" s="966"/>
      <c r="K31" s="940"/>
      <c r="L31" s="925"/>
      <c r="M31" s="924"/>
      <c r="N31" s="925"/>
      <c r="O31" s="925"/>
      <c r="P31" s="925"/>
      <c r="Q31" s="925"/>
      <c r="R31" s="925"/>
      <c r="S31" s="925"/>
      <c r="T31" s="925"/>
      <c r="U31" s="925"/>
      <c r="V31" s="926"/>
    </row>
    <row r="32" spans="2:22" ht="36" customHeight="1">
      <c r="B32" s="924"/>
      <c r="C32" s="925"/>
      <c r="D32" s="940"/>
      <c r="E32" s="925"/>
      <c r="F32" s="950"/>
      <c r="G32" s="2331">
        <f>IF(R16&gt;=6,F31+F40,"")</f>
        <v>2135</v>
      </c>
      <c r="H32" s="2331"/>
      <c r="I32" s="966"/>
      <c r="J32" s="966"/>
      <c r="K32" s="940"/>
      <c r="L32" s="925"/>
      <c r="M32" s="924"/>
      <c r="N32" s="925"/>
      <c r="O32" s="925"/>
      <c r="P32" s="925"/>
      <c r="Q32" s="948"/>
      <c r="R32" s="925"/>
      <c r="S32" s="925"/>
      <c r="T32" s="925"/>
      <c r="U32" s="925"/>
      <c r="V32" s="926"/>
    </row>
    <row r="33" spans="2:27" ht="36" customHeight="1">
      <c r="B33" s="924"/>
      <c r="C33" s="925"/>
      <c r="D33" s="940"/>
      <c r="E33" s="925"/>
      <c r="F33" s="950"/>
      <c r="G33" s="951"/>
      <c r="H33" s="2317" t="str">
        <f>IF(R16&gt;=7,G32+F40,"")</f>
        <v/>
      </c>
      <c r="I33" s="2317"/>
      <c r="J33" s="966"/>
      <c r="K33" s="940"/>
      <c r="L33" s="925"/>
      <c r="M33" s="924"/>
      <c r="N33" s="925"/>
      <c r="O33" s="925"/>
      <c r="P33" s="925"/>
      <c r="Q33" s="925"/>
      <c r="R33" s="925"/>
      <c r="S33" s="925"/>
      <c r="T33" s="925"/>
      <c r="U33" s="925"/>
      <c r="V33" s="926"/>
    </row>
    <row r="34" spans="2:27" ht="36" customHeight="1">
      <c r="B34" s="924"/>
      <c r="C34" s="925"/>
      <c r="D34" s="940"/>
      <c r="E34" s="925"/>
      <c r="F34" s="950"/>
      <c r="G34" s="951"/>
      <c r="H34" s="966"/>
      <c r="I34" s="966"/>
      <c r="J34" s="2330" t="str">
        <f>IF(R16=8,H33+F40,"")</f>
        <v/>
      </c>
      <c r="K34" s="2330"/>
      <c r="L34" s="926"/>
      <c r="M34" s="925"/>
      <c r="N34" s="925"/>
      <c r="O34" s="974"/>
      <c r="P34" s="974"/>
      <c r="Q34" s="937"/>
      <c r="R34" s="925"/>
      <c r="S34" s="925"/>
      <c r="T34" s="925"/>
      <c r="U34" s="925"/>
      <c r="V34" s="926"/>
      <c r="X34" s="97"/>
      <c r="Y34" s="1362" t="str">
        <f>+VLOOKUP(149,TRADUZIONI,DATI!C2-1,0)</f>
        <v>CORDINI</v>
      </c>
    </row>
    <row r="35" spans="2:27" ht="57" customHeight="1">
      <c r="B35" s="924"/>
      <c r="C35" s="925"/>
      <c r="D35" s="940"/>
      <c r="E35" s="925"/>
      <c r="F35" s="950"/>
      <c r="G35" s="951"/>
      <c r="H35" s="966"/>
      <c r="I35" s="966"/>
      <c r="J35" s="966"/>
      <c r="K35" s="940"/>
      <c r="L35" s="926"/>
      <c r="M35" s="925"/>
      <c r="N35" s="1072" t="str">
        <f>CONCATENATE(Z35," 1-2-3-4 ",AA35,"       ",TEXT(ROUND((150*2+P7+R7-22-40+40+50+160),-1),0))</f>
        <v>Nr. Cord 1-2-3-4 LUNGHEZZA       4090</v>
      </c>
      <c r="O35" s="1073"/>
      <c r="P35" s="1073"/>
      <c r="Q35" s="1074"/>
      <c r="R35" s="993"/>
      <c r="S35" s="993"/>
      <c r="T35" s="925"/>
      <c r="U35" s="925"/>
      <c r="V35" s="926"/>
      <c r="X35" s="1375" t="s">
        <v>125</v>
      </c>
      <c r="Y35" s="1361">
        <f>ROUND((150*2+P7+R7-22-40+40+50+160),-1)</f>
        <v>4090</v>
      </c>
      <c r="Z35" s="97" t="str">
        <f>+VLOOKUP(144,TRADUZIONI,DATI!$C$2-1,0)</f>
        <v>Nr. Cord</v>
      </c>
      <c r="AA35" s="97" t="str">
        <f>+VLOOKUP(60,TRADUZIONI,DATI!$C$2-1,0)</f>
        <v>LUNGHEZZA</v>
      </c>
    </row>
    <row r="36" spans="2:27" ht="34.5" customHeight="1">
      <c r="B36" s="924"/>
      <c r="C36" s="2309" t="s">
        <v>91</v>
      </c>
      <c r="D36" s="2334"/>
      <c r="E36" s="2334"/>
      <c r="F36" s="2334"/>
      <c r="G36" s="2334"/>
      <c r="H36" s="2334"/>
      <c r="I36" s="2310"/>
      <c r="J36" s="966"/>
      <c r="K36" s="940"/>
      <c r="L36" s="926"/>
      <c r="M36" s="976"/>
      <c r="N36" s="977" t="str">
        <f>IF(R16&lt;=4,"NO",CONCATENATE(Z35," 5-6 ",AA35,"           ",TEXT(ROUND((150*2+P7+2*(40+2*F40+50+160)),-1),0)))</f>
        <v>Nr. Cord 5-6 LUNGHEZZA           3880</v>
      </c>
      <c r="O36" s="978"/>
      <c r="P36" s="978"/>
      <c r="Q36" s="1078"/>
      <c r="R36" s="925"/>
      <c r="S36" s="925"/>
      <c r="T36" s="925"/>
      <c r="U36" s="925"/>
      <c r="V36" s="926"/>
      <c r="X36" s="1376">
        <v>4</v>
      </c>
      <c r="Y36" s="1363">
        <f>+Y35</f>
        <v>4090</v>
      </c>
    </row>
    <row r="37" spans="2:27" ht="36" customHeight="1">
      <c r="B37" s="924"/>
      <c r="C37" s="2335" t="s">
        <v>118</v>
      </c>
      <c r="D37" s="2336"/>
      <c r="E37" s="2336"/>
      <c r="F37" s="2336"/>
      <c r="G37" s="2336"/>
      <c r="H37" s="2336"/>
      <c r="I37" s="2337"/>
      <c r="J37" s="925"/>
      <c r="K37" s="925"/>
      <c r="L37" s="926"/>
      <c r="M37" s="980"/>
      <c r="N37" s="975" t="str">
        <f>IF(R16&lt;=6,"NO",CONCATENATE(Z35," 7-8 ",AA35,"      ",TEXT(ROUND((150*2+P7+2*(40+3*F40+50+160)),-1),"0")))</f>
        <v>NO</v>
      </c>
      <c r="O37" s="975"/>
      <c r="P37" s="975"/>
      <c r="Q37" s="1079"/>
      <c r="R37" s="937"/>
      <c r="S37" s="940"/>
      <c r="T37" s="925"/>
      <c r="U37" s="925"/>
      <c r="V37" s="981"/>
      <c r="X37" s="1376">
        <v>6</v>
      </c>
      <c r="Y37" s="1362">
        <f>IF(R16&lt;=4,0,ROUND((150*2+P7+2*(40+2*F40+50+160)),-1))</f>
        <v>3880</v>
      </c>
    </row>
    <row r="38" spans="2:27" ht="33" customHeight="1">
      <c r="B38" s="924"/>
      <c r="C38" s="2311"/>
      <c r="D38" s="2338"/>
      <c r="E38" s="2338"/>
      <c r="F38" s="2338"/>
      <c r="G38" s="2338"/>
      <c r="H38" s="2338"/>
      <c r="I38" s="2312"/>
      <c r="J38" s="925"/>
      <c r="K38" s="925"/>
      <c r="L38" s="926"/>
      <c r="M38" s="980"/>
      <c r="N38" s="975"/>
      <c r="O38" s="978"/>
      <c r="P38" s="975"/>
      <c r="Q38" s="950"/>
      <c r="R38" s="937"/>
      <c r="S38" s="940"/>
      <c r="T38" s="925"/>
      <c r="U38" s="925"/>
      <c r="V38" s="981"/>
      <c r="X38" s="1376">
        <v>8</v>
      </c>
      <c r="Y38" s="1362">
        <f>IF(R16&lt;=6,0,ROUND((150*2+P7+2*(40+3*F40+50+160)),-1))</f>
        <v>0</v>
      </c>
    </row>
    <row r="39" spans="2:27" ht="21.75" customHeight="1">
      <c r="B39" s="924"/>
      <c r="C39" s="925"/>
      <c r="D39" s="925"/>
      <c r="E39" s="925"/>
      <c r="F39" s="925"/>
      <c r="G39" s="925"/>
      <c r="H39" s="925"/>
      <c r="I39" s="925"/>
      <c r="J39" s="925"/>
      <c r="K39" s="925"/>
      <c r="L39" s="926"/>
      <c r="M39" s="982"/>
      <c r="N39" s="937"/>
      <c r="O39" s="983"/>
      <c r="P39" s="983"/>
      <c r="Q39" s="950"/>
      <c r="R39" s="937"/>
      <c r="S39" s="940"/>
      <c r="T39" s="925"/>
      <c r="U39" s="925"/>
      <c r="V39" s="981"/>
    </row>
    <row r="40" spans="2:27" ht="28.5">
      <c r="B40" s="924"/>
      <c r="C40" s="2318" t="str">
        <f>+VLOOKUP(41,TRADUZIONI,DATI!$C$2-1,0)</f>
        <v>DIST.STD TRA FORI RETE</v>
      </c>
      <c r="D40" s="2339"/>
      <c r="E40" s="2339"/>
      <c r="F40" s="984">
        <f>ROUND((+F22-80)/(R16-1),0)</f>
        <v>419</v>
      </c>
      <c r="G40" s="2340"/>
      <c r="H40" s="2340"/>
      <c r="I40" s="2340"/>
      <c r="J40" s="2340"/>
      <c r="K40" s="2341"/>
      <c r="L40" s="926"/>
      <c r="M40" s="2258" t="str">
        <f>+VLOOKUP(128,TRADUZIONI,DATI!$C$2-1,0)</f>
        <v>INFILARE I CORDINI SENZA TAGLIARLI</v>
      </c>
      <c r="N40" s="2259"/>
      <c r="O40" s="2259"/>
      <c r="P40" s="2259"/>
      <c r="Q40" s="2259"/>
      <c r="R40" s="2259"/>
      <c r="S40" s="2259"/>
      <c r="T40" s="2259"/>
      <c r="U40" s="2259"/>
      <c r="V40" s="2260"/>
    </row>
    <row r="41" spans="2:27" ht="28.5">
      <c r="B41" s="924"/>
      <c r="C41" s="979"/>
      <c r="D41" s="985"/>
      <c r="E41" s="985"/>
      <c r="F41" s="986"/>
      <c r="G41" s="987"/>
      <c r="H41" s="987"/>
      <c r="I41" s="987"/>
      <c r="J41" s="987"/>
      <c r="K41" s="987"/>
      <c r="L41" s="925"/>
      <c r="M41" s="2342" t="s">
        <v>83</v>
      </c>
      <c r="N41" s="2343"/>
      <c r="O41" s="2343"/>
      <c r="P41" s="2343"/>
      <c r="Q41" s="2343"/>
      <c r="R41" s="2343"/>
      <c r="S41" s="2343"/>
      <c r="T41" s="2343"/>
      <c r="U41" s="2343"/>
      <c r="V41" s="2344"/>
    </row>
    <row r="42" spans="2:27" ht="15.75" thickBot="1">
      <c r="B42" s="988"/>
      <c r="C42" s="945"/>
      <c r="D42" s="945"/>
      <c r="E42" s="945"/>
      <c r="F42" s="945"/>
      <c r="G42" s="945"/>
      <c r="H42" s="945"/>
      <c r="I42" s="945"/>
      <c r="J42" s="945"/>
      <c r="K42" s="945"/>
      <c r="L42" s="945"/>
      <c r="M42" s="988"/>
      <c r="N42" s="989"/>
      <c r="O42" s="945"/>
      <c r="P42" s="945"/>
      <c r="Q42" s="945"/>
      <c r="R42" s="945"/>
      <c r="S42" s="945"/>
      <c r="T42" s="990"/>
      <c r="U42" s="990"/>
      <c r="V42" s="991"/>
    </row>
    <row r="43" spans="2:27" ht="44.25" customHeight="1">
      <c r="B43" s="919"/>
      <c r="C43" s="920" t="str">
        <f>+VLOOKUP(139,TRADUZIONI,DATI!$C$2-1,0)</f>
        <v>QUADRO D</v>
      </c>
      <c r="D43" s="2325" t="str">
        <f>+VLOOKUP(113,TRADUZIONI,DATI!$C$2-1,0)</f>
        <v>CONTROLLO CORDINI - POST ASSEMBLAGGIO</v>
      </c>
      <c r="E43" s="2325"/>
      <c r="F43" s="2325"/>
      <c r="G43" s="2325"/>
      <c r="H43" s="2325"/>
      <c r="I43" s="2325"/>
      <c r="J43" s="2325"/>
      <c r="K43" s="2325"/>
      <c r="L43" s="2326"/>
      <c r="M43" s="919"/>
      <c r="N43" s="920" t="str">
        <f>+VLOOKUP(140,TRADUZIONI,DATI!$C$2-1,0)</f>
        <v>QUADRO E</v>
      </c>
      <c r="O43" s="2327" t="s">
        <v>500</v>
      </c>
      <c r="P43" s="2327"/>
      <c r="Q43" s="2327"/>
      <c r="R43" s="2327"/>
      <c r="S43" s="2327"/>
      <c r="T43" s="2327"/>
      <c r="U43" s="2327"/>
      <c r="V43" s="2328"/>
    </row>
    <row r="44" spans="2:27" ht="31.5" customHeight="1">
      <c r="B44" s="992"/>
      <c r="C44" s="993"/>
      <c r="D44" s="993"/>
      <c r="E44" s="993"/>
      <c r="F44" s="993"/>
      <c r="G44" s="993"/>
      <c r="H44" s="993"/>
      <c r="I44" s="993"/>
      <c r="J44" s="993"/>
      <c r="K44" s="993"/>
      <c r="L44" s="993"/>
      <c r="M44" s="994"/>
      <c r="N44" s="996"/>
      <c r="O44" s="996"/>
      <c r="P44" s="996"/>
      <c r="Q44" s="996"/>
      <c r="R44" s="925"/>
      <c r="S44" s="944"/>
      <c r="T44" s="944"/>
      <c r="U44" s="944"/>
      <c r="V44" s="997"/>
    </row>
    <row r="45" spans="2:27" ht="27.75">
      <c r="B45" s="992"/>
      <c r="C45" s="993"/>
      <c r="D45" s="993"/>
      <c r="E45" s="993"/>
      <c r="F45" s="993"/>
      <c r="G45" s="998" t="s">
        <v>85</v>
      </c>
      <c r="H45" s="993"/>
      <c r="I45" s="993"/>
      <c r="J45" s="993"/>
      <c r="K45" s="993"/>
      <c r="L45" s="993"/>
      <c r="M45" s="994"/>
      <c r="N45" s="2345" t="s">
        <v>758</v>
      </c>
      <c r="O45" s="2346"/>
      <c r="P45" s="2346"/>
      <c r="Q45" s="2346"/>
      <c r="R45" s="2346"/>
      <c r="S45" s="2346"/>
      <c r="T45" s="2347"/>
      <c r="U45" s="1028"/>
      <c r="V45" s="997"/>
    </row>
    <row r="46" spans="2:27" ht="31.5" customHeight="1">
      <c r="B46" s="992"/>
      <c r="C46" s="999" t="s">
        <v>119</v>
      </c>
      <c r="D46" s="1000">
        <f>+P7</f>
        <v>1400</v>
      </c>
      <c r="E46" s="1001" t="s">
        <v>88</v>
      </c>
      <c r="F46" s="1001" t="s">
        <v>89</v>
      </c>
      <c r="G46" s="1002">
        <f>+D46+E46</f>
        <v>1600</v>
      </c>
      <c r="H46" s="1003"/>
      <c r="I46" s="993"/>
      <c r="J46" s="993"/>
      <c r="K46" s="993"/>
      <c r="L46" s="993"/>
      <c r="M46" s="994"/>
      <c r="N46" s="996"/>
      <c r="O46" s="996"/>
      <c r="P46" s="996"/>
      <c r="Q46" s="996"/>
      <c r="R46" s="925"/>
      <c r="S46" s="944"/>
      <c r="T46" s="944"/>
      <c r="U46" s="944"/>
      <c r="V46" s="997"/>
    </row>
    <row r="47" spans="2:27" ht="31.5" thickBot="1">
      <c r="B47" s="992"/>
      <c r="C47" s="993"/>
      <c r="D47" s="993"/>
      <c r="E47" s="993"/>
      <c r="F47" s="993"/>
      <c r="G47" s="993"/>
      <c r="H47" s="993"/>
      <c r="I47" s="993"/>
      <c r="J47" s="993"/>
      <c r="K47" s="993"/>
      <c r="L47" s="993"/>
      <c r="M47" s="1004"/>
      <c r="N47" s="1005" t="str">
        <f>+VLOOKUP(78,TRADUZIONI,DATI!C2-1,0)</f>
        <v>PEZZI /PZ.</v>
      </c>
      <c r="O47" s="967">
        <f>2*P11</f>
        <v>2</v>
      </c>
      <c r="P47" s="1070"/>
      <c r="Q47" s="2348" t="s">
        <v>333</v>
      </c>
      <c r="R47" s="2348"/>
      <c r="S47" s="2348"/>
      <c r="T47" s="2349"/>
      <c r="U47" s="944"/>
      <c r="V47" s="1006"/>
    </row>
    <row r="48" spans="2:27" ht="18.75">
      <c r="B48" s="1007"/>
      <c r="C48" s="1008"/>
      <c r="D48" s="1008"/>
      <c r="E48" s="1008"/>
      <c r="F48" s="1008"/>
      <c r="G48" s="1008"/>
      <c r="H48" s="1008"/>
      <c r="I48" s="1008"/>
      <c r="J48" s="1008"/>
      <c r="K48" s="1008"/>
      <c r="L48" s="1009"/>
      <c r="M48" s="994"/>
      <c r="N48" s="996"/>
      <c r="O48" s="996"/>
      <c r="P48" s="996"/>
      <c r="Q48" s="996"/>
      <c r="R48" s="925"/>
      <c r="S48" s="944"/>
      <c r="T48" s="944"/>
      <c r="U48" s="944"/>
      <c r="V48" s="997"/>
    </row>
    <row r="49" spans="2:22" ht="30.75">
      <c r="B49" s="1010"/>
      <c r="C49" s="2350" t="str">
        <f>+IF(DATI!$C$11=1,"","RETE GRIGIA")</f>
        <v>RETE GRIGIA</v>
      </c>
      <c r="D49" s="2350"/>
      <c r="E49" s="2350"/>
      <c r="F49" s="2350"/>
      <c r="G49" s="2350"/>
      <c r="H49" s="2350"/>
      <c r="I49" s="2350"/>
      <c r="J49" s="2350"/>
      <c r="K49" s="1011"/>
      <c r="L49" s="1011"/>
      <c r="M49" s="1012"/>
      <c r="N49" s="1005" t="s">
        <v>702</v>
      </c>
      <c r="O49" s="1013"/>
      <c r="P49" s="928"/>
      <c r="Q49" s="928"/>
      <c r="R49" s="2332">
        <f>+R7-30</f>
        <v>2170</v>
      </c>
      <c r="S49" s="2333"/>
      <c r="T49" s="944"/>
      <c r="U49" s="944"/>
      <c r="V49" s="1015"/>
    </row>
    <row r="50" spans="2:22" ht="18.75">
      <c r="B50" s="1010"/>
      <c r="C50" s="2350"/>
      <c r="D50" s="2350"/>
      <c r="E50" s="2350"/>
      <c r="F50" s="2350"/>
      <c r="G50" s="2350"/>
      <c r="H50" s="2350"/>
      <c r="I50" s="2350"/>
      <c r="J50" s="2350"/>
      <c r="K50" s="1011"/>
      <c r="L50" s="1011"/>
      <c r="M50" s="994"/>
      <c r="N50" s="996"/>
      <c r="O50" s="996"/>
      <c r="P50" s="996"/>
      <c r="Q50" s="996"/>
      <c r="R50" s="925"/>
      <c r="S50" s="944"/>
      <c r="T50" s="944"/>
      <c r="U50" s="944"/>
      <c r="V50" s="997"/>
    </row>
    <row r="51" spans="2:22" ht="31.5" thickBot="1">
      <c r="B51" s="1010"/>
      <c r="C51" s="1011"/>
      <c r="D51" s="1011"/>
      <c r="E51" s="1011"/>
      <c r="F51" s="1011"/>
      <c r="G51" s="1011"/>
      <c r="H51" s="1011"/>
      <c r="I51" s="1011"/>
      <c r="J51" s="1011"/>
      <c r="K51" s="1011"/>
      <c r="L51" s="1011"/>
      <c r="M51" s="994"/>
      <c r="N51" s="1005" t="s">
        <v>703</v>
      </c>
      <c r="O51" s="1013"/>
      <c r="P51" s="928"/>
      <c r="Q51" s="928"/>
      <c r="R51" s="2332">
        <f>+R7-25</f>
        <v>2175</v>
      </c>
      <c r="S51" s="2333"/>
      <c r="T51" s="944"/>
      <c r="U51" s="944"/>
      <c r="V51" s="997"/>
    </row>
    <row r="52" spans="2:22" ht="44.25" customHeight="1">
      <c r="B52" s="919"/>
      <c r="C52" s="920" t="str">
        <f>+VLOOKUP(141,TRADUZIONI,DATI!$C$2-1,0)</f>
        <v>QUADRO F</v>
      </c>
      <c r="D52" s="2325" t="s">
        <v>90</v>
      </c>
      <c r="E52" s="2325"/>
      <c r="F52" s="2325"/>
      <c r="G52" s="2325"/>
      <c r="H52" s="2325"/>
      <c r="I52" s="2325"/>
      <c r="J52" s="2325"/>
      <c r="K52" s="2325"/>
      <c r="L52" s="2326"/>
      <c r="M52" s="994"/>
      <c r="N52" s="1016"/>
      <c r="O52" s="1016"/>
      <c r="P52" s="925"/>
      <c r="Q52" s="925"/>
      <c r="R52" s="972"/>
      <c r="S52" s="972"/>
      <c r="T52" s="944"/>
      <c r="U52" s="944"/>
      <c r="V52" s="997"/>
    </row>
    <row r="53" spans="2:22" ht="30.75">
      <c r="B53" s="924"/>
      <c r="C53" s="925"/>
      <c r="D53" s="925"/>
      <c r="E53" s="925"/>
      <c r="F53" s="925"/>
      <c r="G53" s="925"/>
      <c r="H53" s="925"/>
      <c r="I53" s="925"/>
      <c r="J53" s="925"/>
      <c r="K53" s="925"/>
      <c r="L53" s="926"/>
      <c r="M53" s="994"/>
      <c r="N53" s="2318" t="s">
        <v>704</v>
      </c>
      <c r="O53" s="2313"/>
      <c r="P53" s="2313"/>
      <c r="Q53" s="2313"/>
      <c r="R53" s="2332">
        <f>+R7-30</f>
        <v>2170</v>
      </c>
      <c r="S53" s="2333"/>
      <c r="T53" s="944"/>
      <c r="U53" s="944"/>
      <c r="V53" s="997"/>
    </row>
    <row r="54" spans="2:22" ht="28.5">
      <c r="B54" s="924"/>
      <c r="C54" s="1017" t="s">
        <v>92</v>
      </c>
      <c r="D54" s="1018"/>
      <c r="E54" s="1019"/>
      <c r="F54" s="925"/>
      <c r="G54" s="1020"/>
      <c r="H54" s="925"/>
      <c r="I54" s="925"/>
      <c r="J54" s="925"/>
      <c r="K54" s="925"/>
      <c r="L54" s="926"/>
      <c r="M54" s="1021"/>
      <c r="N54" s="1023"/>
      <c r="O54" s="1023"/>
      <c r="P54" s="1023"/>
      <c r="Q54" s="1023"/>
      <c r="R54" s="1023"/>
      <c r="S54" s="1023"/>
      <c r="T54" s="1023"/>
      <c r="U54" s="1023"/>
      <c r="V54" s="1024"/>
    </row>
    <row r="55" spans="2:22" ht="28.5">
      <c r="B55" s="924"/>
      <c r="C55" s="1017"/>
      <c r="D55" s="1018"/>
      <c r="E55" s="1019"/>
      <c r="F55" s="925"/>
      <c r="G55" s="1020"/>
      <c r="H55" s="925"/>
      <c r="I55" s="925"/>
      <c r="J55" s="925"/>
      <c r="K55" s="925"/>
      <c r="L55" s="926"/>
      <c r="M55" s="994"/>
      <c r="N55" s="1016"/>
      <c r="O55" s="944"/>
      <c r="P55" s="944"/>
      <c r="Q55" s="944"/>
      <c r="R55" s="944"/>
      <c r="S55" s="944"/>
      <c r="T55" s="944"/>
      <c r="U55" s="944"/>
      <c r="V55" s="997"/>
    </row>
    <row r="56" spans="2:22" ht="28.5">
      <c r="B56" s="924"/>
      <c r="C56" s="1025"/>
      <c r="D56" s="1026" t="s">
        <v>94</v>
      </c>
      <c r="E56" s="925"/>
      <c r="F56" s="1020"/>
      <c r="G56" s="1020"/>
      <c r="H56" s="925"/>
      <c r="I56" s="925"/>
      <c r="J56" s="925"/>
      <c r="K56" s="925"/>
      <c r="L56" s="926"/>
      <c r="M56" s="925"/>
      <c r="N56" s="925"/>
      <c r="O56" s="925"/>
      <c r="P56" s="925"/>
      <c r="Q56" s="925"/>
      <c r="R56" s="925"/>
      <c r="S56" s="925"/>
      <c r="T56" s="925"/>
      <c r="U56" s="925"/>
      <c r="V56" s="981"/>
    </row>
    <row r="57" spans="2:22" ht="28.5">
      <c r="B57" s="924"/>
      <c r="C57" s="1027"/>
      <c r="D57" s="1026" t="s">
        <v>95</v>
      </c>
      <c r="E57" s="925"/>
      <c r="F57" s="950"/>
      <c r="G57" s="937"/>
      <c r="H57" s="925"/>
      <c r="I57" s="925"/>
      <c r="J57" s="925"/>
      <c r="K57" s="925"/>
      <c r="L57" s="926"/>
      <c r="M57" s="994"/>
      <c r="N57" s="2345" t="s">
        <v>483</v>
      </c>
      <c r="O57" s="2346"/>
      <c r="P57" s="2346"/>
      <c r="Q57" s="2346"/>
      <c r="R57" s="2346"/>
      <c r="S57" s="2346"/>
      <c r="T57" s="2347"/>
      <c r="U57" s="944"/>
      <c r="V57" s="997"/>
    </row>
    <row r="58" spans="2:22" ht="28.5">
      <c r="B58" s="924"/>
      <c r="C58" s="1027"/>
      <c r="D58" s="1026" t="s">
        <v>96</v>
      </c>
      <c r="E58" s="925"/>
      <c r="F58" s="950"/>
      <c r="G58" s="937"/>
      <c r="H58" s="925"/>
      <c r="I58" s="925"/>
      <c r="J58" s="925"/>
      <c r="K58" s="925"/>
      <c r="L58" s="926"/>
      <c r="M58" s="994"/>
      <c r="N58" s="925"/>
      <c r="O58" s="925"/>
      <c r="P58" s="925"/>
      <c r="Q58" s="925"/>
      <c r="R58" s="925"/>
      <c r="S58" s="925"/>
      <c r="T58" s="925"/>
      <c r="U58" s="1028"/>
      <c r="V58" s="997"/>
    </row>
    <row r="59" spans="2:22" ht="18.75">
      <c r="B59" s="1029"/>
      <c r="C59" s="1030"/>
      <c r="D59" s="1031"/>
      <c r="E59" s="1031"/>
      <c r="F59" s="1031"/>
      <c r="G59" s="1031"/>
      <c r="H59" s="1031"/>
      <c r="I59" s="1031"/>
      <c r="J59" s="1031"/>
      <c r="K59" s="1031"/>
      <c r="L59" s="1032"/>
      <c r="M59" s="994"/>
      <c r="N59" s="996"/>
      <c r="O59" s="996"/>
      <c r="P59" s="996"/>
      <c r="Q59" s="996"/>
      <c r="R59" s="925"/>
      <c r="S59" s="944"/>
      <c r="T59" s="944"/>
      <c r="U59" s="944"/>
      <c r="V59" s="997"/>
    </row>
    <row r="60" spans="2:22" ht="30.75">
      <c r="B60" s="1035" t="s">
        <v>37</v>
      </c>
      <c r="C60" s="1036"/>
      <c r="D60" s="1036"/>
      <c r="E60" s="1036"/>
      <c r="F60" s="1036"/>
      <c r="G60" s="1036"/>
      <c r="H60" s="1036"/>
      <c r="I60" s="1036"/>
      <c r="J60" s="1036"/>
      <c r="K60" s="1036"/>
      <c r="L60" s="1037"/>
      <c r="M60" s="994"/>
      <c r="N60" s="1033" t="str">
        <f>+VLOOKUP(78,TRADUZIONI,DATI!C2-1,0)</f>
        <v>PEZZI /PZ.</v>
      </c>
      <c r="O60" s="1075">
        <f>2*P11</f>
        <v>2</v>
      </c>
      <c r="P60" s="1034"/>
      <c r="Q60" s="1034"/>
      <c r="R60" s="925"/>
      <c r="S60" s="944"/>
      <c r="T60" s="944"/>
      <c r="U60" s="944"/>
      <c r="V60" s="997"/>
    </row>
    <row r="61" spans="2:22" ht="21">
      <c r="B61" s="1038" t="s">
        <v>37</v>
      </c>
      <c r="C61" s="1039"/>
      <c r="D61" s="1040" t="s">
        <v>98</v>
      </c>
      <c r="E61" s="1040" t="s">
        <v>99</v>
      </c>
      <c r="F61" s="1040" t="s">
        <v>100</v>
      </c>
      <c r="G61" s="1039"/>
      <c r="H61" s="1039"/>
      <c r="I61" s="1039"/>
      <c r="J61" s="1039"/>
      <c r="K61" s="1039"/>
      <c r="L61" s="1041"/>
      <c r="M61" s="994"/>
      <c r="N61" s="996"/>
      <c r="O61" s="996"/>
      <c r="P61" s="996"/>
      <c r="Q61" s="996"/>
      <c r="R61" s="925"/>
      <c r="S61" s="944"/>
      <c r="T61" s="944"/>
      <c r="U61" s="944"/>
      <c r="V61" s="997"/>
    </row>
    <row r="62" spans="2:22" ht="30.75">
      <c r="B62" s="1042"/>
      <c r="C62" s="1039"/>
      <c r="D62" s="1043" t="s">
        <v>44</v>
      </c>
      <c r="E62" s="1044"/>
      <c r="F62" s="1044"/>
      <c r="G62" s="1045"/>
      <c r="H62" s="1039"/>
      <c r="I62" s="1039"/>
      <c r="J62" s="1039"/>
      <c r="K62" s="1039"/>
      <c r="L62" s="1041"/>
      <c r="M62" s="994"/>
      <c r="N62" s="2318" t="s">
        <v>501</v>
      </c>
      <c r="O62" s="2313"/>
      <c r="P62" s="2313"/>
      <c r="Q62" s="2313"/>
      <c r="R62" s="2332">
        <f>+R7-38</f>
        <v>2162</v>
      </c>
      <c r="S62" s="2333"/>
      <c r="T62" s="944"/>
      <c r="U62" s="944"/>
      <c r="V62" s="997"/>
    </row>
    <row r="63" spans="2:22" ht="21">
      <c r="B63" s="1046"/>
      <c r="C63" s="1039"/>
      <c r="D63" s="1047">
        <v>0.05</v>
      </c>
      <c r="E63" s="1048">
        <v>0.17499999999999999</v>
      </c>
      <c r="F63" s="1049" t="s">
        <v>102</v>
      </c>
      <c r="G63" s="1048">
        <f>(R7+300)/1000</f>
        <v>2.5</v>
      </c>
      <c r="H63" s="1039"/>
      <c r="I63" s="1039"/>
      <c r="J63" s="1039"/>
      <c r="K63" s="1039"/>
      <c r="L63" s="1041"/>
      <c r="M63" s="994"/>
      <c r="N63" s="996"/>
      <c r="O63" s="996"/>
      <c r="P63" s="996"/>
      <c r="Q63" s="996"/>
      <c r="R63" s="925"/>
      <c r="S63" s="944"/>
      <c r="T63" s="944"/>
      <c r="U63" s="944"/>
      <c r="V63" s="997"/>
    </row>
    <row r="64" spans="2:22" ht="30.75">
      <c r="B64" s="1050"/>
      <c r="C64" s="1039"/>
      <c r="D64" s="1047" t="s">
        <v>103</v>
      </c>
      <c r="E64" s="1047"/>
      <c r="F64" s="1048" t="str">
        <f>P11</f>
        <v>1</v>
      </c>
      <c r="G64" s="1047" t="s">
        <v>104</v>
      </c>
      <c r="H64" s="1039"/>
      <c r="I64" s="1039"/>
      <c r="J64" s="1039"/>
      <c r="K64" s="1039"/>
      <c r="L64" s="1041"/>
      <c r="M64" s="994"/>
      <c r="N64" s="2336"/>
      <c r="O64" s="2336"/>
      <c r="P64" s="2336"/>
      <c r="Q64" s="2336"/>
      <c r="R64" s="2331"/>
      <c r="S64" s="2331"/>
      <c r="T64" s="944"/>
      <c r="U64" s="944"/>
      <c r="V64" s="997"/>
    </row>
    <row r="65" spans="2:22" ht="21.75" thickBot="1">
      <c r="B65" s="1055"/>
      <c r="C65" s="1056"/>
      <c r="D65" s="1057" t="s">
        <v>105</v>
      </c>
      <c r="E65" s="1057"/>
      <c r="F65" s="1058">
        <f>(D63*E63*G63)*F64</f>
        <v>2.1874999999999999E-2</v>
      </c>
      <c r="G65" s="1057" t="s">
        <v>106</v>
      </c>
      <c r="H65" s="1056"/>
      <c r="I65" s="1056"/>
      <c r="J65" s="1056"/>
      <c r="K65" s="1056"/>
      <c r="L65" s="1059"/>
      <c r="M65" s="1051"/>
      <c r="N65" s="1053"/>
      <c r="O65" s="1053"/>
      <c r="P65" s="1053"/>
      <c r="Q65" s="1053"/>
      <c r="R65" s="1053"/>
      <c r="S65" s="1053"/>
      <c r="T65" s="1053"/>
      <c r="U65" s="1053"/>
      <c r="V65" s="1054"/>
    </row>
    <row r="66" spans="2:22" ht="44.25" customHeight="1">
      <c r="B66" s="919"/>
      <c r="C66" s="920" t="str">
        <f>+VLOOKUP(142,TRADUZIONI,DATI!$C$2-1,0)</f>
        <v>QUADRO G</v>
      </c>
      <c r="D66" s="2355" t="s">
        <v>108</v>
      </c>
      <c r="E66" s="2355"/>
      <c r="F66" s="2355"/>
      <c r="G66" s="2355"/>
      <c r="H66" s="2355"/>
      <c r="I66" s="2355"/>
      <c r="J66" s="2355"/>
      <c r="K66" s="2355"/>
      <c r="L66" s="2356"/>
      <c r="M66" s="994"/>
      <c r="N66" s="996"/>
      <c r="O66" s="996"/>
      <c r="P66" s="996"/>
      <c r="Q66" s="996"/>
      <c r="R66" s="925"/>
      <c r="S66" s="944"/>
      <c r="T66" s="944"/>
      <c r="U66" s="944"/>
      <c r="V66" s="997"/>
    </row>
    <row r="67" spans="2:22" ht="27.75">
      <c r="B67" s="2363" t="s">
        <v>109</v>
      </c>
      <c r="C67" s="2364"/>
      <c r="D67" s="2364"/>
      <c r="E67" s="2365"/>
      <c r="F67" s="2366" t="s">
        <v>110</v>
      </c>
      <c r="G67" s="2364"/>
      <c r="H67" s="2364"/>
      <c r="I67" s="2364"/>
      <c r="J67" s="2364"/>
      <c r="K67" s="2364"/>
      <c r="L67" s="2367"/>
      <c r="M67" s="994"/>
      <c r="N67" s="2345" t="s">
        <v>111</v>
      </c>
      <c r="O67" s="2346"/>
      <c r="P67" s="2346"/>
      <c r="Q67" s="2346"/>
      <c r="R67" s="2346"/>
      <c r="S67" s="2346"/>
      <c r="T67" s="2346"/>
      <c r="U67" s="2347"/>
      <c r="V67" s="997"/>
    </row>
    <row r="68" spans="2:22" ht="21">
      <c r="B68" s="2368" t="s">
        <v>112</v>
      </c>
      <c r="C68" s="2369"/>
      <c r="D68" s="2353" t="s">
        <v>113</v>
      </c>
      <c r="E68" s="2354"/>
      <c r="F68" s="2384">
        <f>+DATI!C12</f>
        <v>0</v>
      </c>
      <c r="G68" s="2385"/>
      <c r="H68" s="2385"/>
      <c r="I68" s="2385"/>
      <c r="J68" s="2385"/>
      <c r="K68" s="2385"/>
      <c r="L68" s="2386"/>
      <c r="M68" s="994"/>
      <c r="N68" s="996"/>
      <c r="O68" s="996"/>
      <c r="P68" s="996"/>
      <c r="Q68" s="996"/>
      <c r="R68" s="925"/>
      <c r="S68" s="925"/>
      <c r="T68" s="925"/>
      <c r="U68" s="925"/>
      <c r="V68" s="997"/>
    </row>
    <row r="69" spans="2:22" ht="28.5">
      <c r="B69" s="2370"/>
      <c r="C69" s="2371"/>
      <c r="D69" s="2374"/>
      <c r="E69" s="2375"/>
      <c r="F69" s="2387"/>
      <c r="G69" s="2388"/>
      <c r="H69" s="2388"/>
      <c r="I69" s="2388"/>
      <c r="J69" s="2388"/>
      <c r="K69" s="2388"/>
      <c r="L69" s="2389"/>
      <c r="M69" s="994"/>
      <c r="N69" s="1005" t="s">
        <v>707</v>
      </c>
      <c r="O69" s="928"/>
      <c r="P69" s="1068"/>
      <c r="Q69" s="2351">
        <f>+P7-2</f>
        <v>1398</v>
      </c>
      <c r="R69" s="2352"/>
      <c r="S69" s="925"/>
      <c r="T69" s="1033" t="str">
        <f>+VLOOKUP(78,TRADUZIONI,DATI!C2-1,0)</f>
        <v>PEZZI /PZ.</v>
      </c>
      <c r="U69" s="1069" t="s">
        <v>122</v>
      </c>
      <c r="V69" s="997"/>
    </row>
    <row r="70" spans="2:22" ht="21">
      <c r="B70" s="2370"/>
      <c r="C70" s="2371"/>
      <c r="D70" s="2374"/>
      <c r="E70" s="2375"/>
      <c r="F70" s="2366" t="s">
        <v>114</v>
      </c>
      <c r="G70" s="2364"/>
      <c r="H70" s="2364"/>
      <c r="I70" s="2364"/>
      <c r="J70" s="2364"/>
      <c r="K70" s="2366" t="s">
        <v>115</v>
      </c>
      <c r="L70" s="2367"/>
      <c r="M70" s="994"/>
      <c r="N70" s="996"/>
      <c r="O70" s="996"/>
      <c r="P70" s="996"/>
      <c r="Q70" s="996"/>
      <c r="R70" s="925"/>
      <c r="S70" s="925"/>
      <c r="T70" s="925"/>
      <c r="U70" s="925"/>
      <c r="V70" s="997"/>
    </row>
    <row r="71" spans="2:22" ht="28.5">
      <c r="B71" s="2370"/>
      <c r="C71" s="2371"/>
      <c r="D71" s="2374"/>
      <c r="E71" s="2375"/>
      <c r="F71" s="2380" t="str">
        <f>+IF(DATI!$C$11=1,"","RETE GRIGIA")</f>
        <v>RETE GRIGIA</v>
      </c>
      <c r="G71" s="2381"/>
      <c r="H71" s="2381"/>
      <c r="I71" s="2381"/>
      <c r="J71" s="2381"/>
      <c r="K71" s="1060"/>
      <c r="L71" s="1041"/>
      <c r="M71" s="994"/>
      <c r="N71" s="1005" t="s">
        <v>709</v>
      </c>
      <c r="O71" s="1013"/>
      <c r="P71" s="928"/>
      <c r="Q71" s="2351">
        <f>+P7-2</f>
        <v>1398</v>
      </c>
      <c r="R71" s="2352"/>
      <c r="S71" s="925"/>
      <c r="T71" s="1033" t="str">
        <f>+VLOOKUP(78,TRADUZIONI,DATI!C2-1,0)</f>
        <v>PEZZI /PZ.</v>
      </c>
      <c r="U71" s="1069" t="s">
        <v>122</v>
      </c>
      <c r="V71" s="997"/>
    </row>
    <row r="72" spans="2:22" ht="21.75" thickBot="1">
      <c r="B72" s="2372"/>
      <c r="C72" s="2373"/>
      <c r="D72" s="2376"/>
      <c r="E72" s="2377"/>
      <c r="F72" s="2382"/>
      <c r="G72" s="2383"/>
      <c r="H72" s="2383"/>
      <c r="I72" s="2383"/>
      <c r="J72" s="2383"/>
      <c r="K72" s="1061"/>
      <c r="L72" s="1062"/>
      <c r="M72" s="1063"/>
      <c r="N72" s="1064"/>
      <c r="O72" s="1064"/>
      <c r="P72" s="1064"/>
      <c r="Q72" s="1064"/>
      <c r="R72" s="1064"/>
      <c r="S72" s="1064"/>
      <c r="T72" s="1064"/>
      <c r="U72" s="1064"/>
      <c r="V72" s="1065"/>
    </row>
    <row r="74" spans="2:22" ht="99.75">
      <c r="V74" s="1066"/>
    </row>
  </sheetData>
  <mergeCells count="54">
    <mergeCell ref="Q69:R69"/>
    <mergeCell ref="F70:J70"/>
    <mergeCell ref="K70:L70"/>
    <mergeCell ref="F71:J72"/>
    <mergeCell ref="Q71:R71"/>
    <mergeCell ref="B68:C68"/>
    <mergeCell ref="D68:E68"/>
    <mergeCell ref="F68:L69"/>
    <mergeCell ref="B69:C72"/>
    <mergeCell ref="D69:E72"/>
    <mergeCell ref="N64:Q64"/>
    <mergeCell ref="R64:S64"/>
    <mergeCell ref="D66:L66"/>
    <mergeCell ref="B67:E67"/>
    <mergeCell ref="F67:L67"/>
    <mergeCell ref="N67:U67"/>
    <mergeCell ref="N53:Q53"/>
    <mergeCell ref="R53:S53"/>
    <mergeCell ref="N57:T57"/>
    <mergeCell ref="N62:Q62"/>
    <mergeCell ref="R62:S62"/>
    <mergeCell ref="Q47:T47"/>
    <mergeCell ref="C49:J50"/>
    <mergeCell ref="R49:S49"/>
    <mergeCell ref="R51:S51"/>
    <mergeCell ref="D52:L52"/>
    <mergeCell ref="M40:V40"/>
    <mergeCell ref="M41:V41"/>
    <mergeCell ref="D43:L43"/>
    <mergeCell ref="O43:V43"/>
    <mergeCell ref="N45:T45"/>
    <mergeCell ref="H33:I33"/>
    <mergeCell ref="J34:K34"/>
    <mergeCell ref="C36:I36"/>
    <mergeCell ref="C37:I38"/>
    <mergeCell ref="C40:E40"/>
    <mergeCell ref="G40:K40"/>
    <mergeCell ref="F15:J20"/>
    <mergeCell ref="P16:Q16"/>
    <mergeCell ref="C22:E22"/>
    <mergeCell ref="F31:G31"/>
    <mergeCell ref="G32:H32"/>
    <mergeCell ref="N9:O9"/>
    <mergeCell ref="P9:S9"/>
    <mergeCell ref="D10:G10"/>
    <mergeCell ref="N11:O11"/>
    <mergeCell ref="D14:L14"/>
    <mergeCell ref="O14:V14"/>
    <mergeCell ref="B2:V2"/>
    <mergeCell ref="E4:O4"/>
    <mergeCell ref="D6:G6"/>
    <mergeCell ref="N6:O7"/>
    <mergeCell ref="R6:S6"/>
    <mergeCell ref="R7:S7"/>
  </mergeCells>
  <printOptions horizontalCentered="1"/>
  <pageMargins left="0" right="0" top="0" bottom="0" header="0" footer="0"/>
  <pageSetup paperSize="9" scale="38" orientation="portrait" horizontalDpi="1200" verticalDpi="1200" r:id="rId1"/>
  <headerFooter alignWithMargins="0">
    <oddFooter>&amp;LREV. 09/05 - VER.1&amp;R&amp;D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7">
    <tabColor theme="2" tint="-0.249977111117893"/>
    <pageSetUpPr fitToPage="1"/>
  </sheetPr>
  <dimension ref="A1:AG74"/>
  <sheetViews>
    <sheetView showGridLines="0" zoomScale="40" zoomScaleNormal="40" workbookViewId="0">
      <selection activeCell="Z41" sqref="Z41"/>
    </sheetView>
  </sheetViews>
  <sheetFormatPr defaultColWidth="10.28515625" defaultRowHeight="15"/>
  <cols>
    <col min="1" max="1" width="34.85546875" style="918" customWidth="1"/>
    <col min="2" max="2" width="4.5703125" style="918" customWidth="1"/>
    <col min="3" max="3" width="32" style="918" customWidth="1"/>
    <col min="4" max="4" width="13.28515625" style="918" customWidth="1"/>
    <col min="5" max="5" width="21.140625" style="918" customWidth="1"/>
    <col min="6" max="6" width="15" style="918" customWidth="1"/>
    <col min="7" max="7" width="17.85546875" style="918" customWidth="1"/>
    <col min="8" max="9" width="9.28515625" style="918" customWidth="1"/>
    <col min="10" max="10" width="6.42578125" style="918" customWidth="1"/>
    <col min="11" max="11" width="9.85546875" style="918" customWidth="1"/>
    <col min="12" max="12" width="4.7109375" style="918" customWidth="1"/>
    <col min="13" max="13" width="3.7109375" style="918" customWidth="1"/>
    <col min="14" max="14" width="17.85546875" style="918" customWidth="1"/>
    <col min="15" max="15" width="13.85546875" style="918" customWidth="1"/>
    <col min="16" max="16" width="16.28515625" style="918" customWidth="1"/>
    <col min="17" max="17" width="9.7109375" style="918" customWidth="1"/>
    <col min="18" max="18" width="11.140625" style="918" customWidth="1"/>
    <col min="19" max="19" width="9.5703125" style="918" customWidth="1"/>
    <col min="20" max="20" width="19" style="918" customWidth="1"/>
    <col min="21" max="21" width="11.42578125" style="918" customWidth="1"/>
    <col min="22" max="22" width="6.5703125" style="918" customWidth="1"/>
    <col min="23" max="24" width="10.28515625" style="918"/>
    <col min="25" max="25" width="14.42578125" style="918" bestFit="1" customWidth="1"/>
    <col min="26" max="16384" width="10.28515625" style="918"/>
  </cols>
  <sheetData>
    <row r="1" spans="1:33" ht="18">
      <c r="A1" s="917"/>
    </row>
    <row r="2" spans="1:33" ht="33.75">
      <c r="A2" s="917"/>
      <c r="B2" s="2305" t="str">
        <f>CONCATENATE(VLOOKUP(137,TRADUZIONI,DATI!$C$2-1,0)," .22")</f>
        <v>FOGLIO LAVORO GIOCONDA LATERALE MODULO .22</v>
      </c>
      <c r="C2" s="2306"/>
      <c r="D2" s="2306"/>
      <c r="E2" s="2306"/>
      <c r="F2" s="2306"/>
      <c r="G2" s="2306"/>
      <c r="H2" s="2306"/>
      <c r="I2" s="2306"/>
      <c r="J2" s="2306"/>
      <c r="K2" s="2306"/>
      <c r="L2" s="2306"/>
      <c r="M2" s="2306"/>
      <c r="N2" s="2306"/>
      <c r="O2" s="2306"/>
      <c r="P2" s="2306"/>
      <c r="Q2" s="2306"/>
      <c r="R2" s="2306"/>
      <c r="S2" s="2306"/>
      <c r="T2" s="2306"/>
      <c r="U2" s="2306"/>
      <c r="V2" s="2306"/>
      <c r="AG2" s="918" t="s">
        <v>37</v>
      </c>
    </row>
    <row r="3" spans="1:33" ht="18.75" thickBot="1">
      <c r="A3" s="917"/>
    </row>
    <row r="4" spans="1:33" ht="44.25" customHeight="1">
      <c r="A4" s="917"/>
      <c r="B4" s="919"/>
      <c r="C4" s="920" t="str">
        <f>+VLOOKUP(108,TRADUZIONI,DATI!$C$2-1,0)</f>
        <v>QUADRO A</v>
      </c>
      <c r="D4" s="921"/>
      <c r="E4" s="2307" t="str">
        <f>+VLOOKUP(109,TRADUZIONI,DATI!$C$2-1,0)</f>
        <v>DATI ORDINE</v>
      </c>
      <c r="F4" s="2307"/>
      <c r="G4" s="2307"/>
      <c r="H4" s="2307"/>
      <c r="I4" s="2307"/>
      <c r="J4" s="2307"/>
      <c r="K4" s="2307"/>
      <c r="L4" s="2307"/>
      <c r="M4" s="2307"/>
      <c r="N4" s="2307"/>
      <c r="O4" s="2307"/>
      <c r="P4" s="922"/>
      <c r="Q4" s="921"/>
      <c r="R4" s="921"/>
      <c r="S4" s="921"/>
      <c r="T4" s="921"/>
      <c r="U4" s="921"/>
      <c r="V4" s="923"/>
    </row>
    <row r="5" spans="1:33" ht="18">
      <c r="A5" s="917"/>
      <c r="B5" s="924"/>
      <c r="C5" s="925"/>
      <c r="D5" s="925"/>
      <c r="E5" s="925"/>
      <c r="F5" s="925"/>
      <c r="G5" s="925"/>
      <c r="H5" s="925"/>
      <c r="I5" s="925"/>
      <c r="J5" s="925"/>
      <c r="K5" s="925"/>
      <c r="L5" s="925"/>
      <c r="M5" s="925"/>
      <c r="N5" s="925"/>
      <c r="O5" s="925"/>
      <c r="P5" s="925"/>
      <c r="Q5" s="925"/>
      <c r="R5" s="925"/>
      <c r="S5" s="925"/>
      <c r="T5" s="925"/>
      <c r="U5" s="925"/>
      <c r="V5" s="926"/>
    </row>
    <row r="6" spans="1:33" ht="30.75">
      <c r="B6" s="924"/>
      <c r="C6" s="1432" t="str">
        <f>+VLOOKUP(22,TRADUZIONI,DATI!C2-1,0)</f>
        <v>CLIENTE</v>
      </c>
      <c r="D6" s="2308">
        <f>+DATI!C6</f>
        <v>0</v>
      </c>
      <c r="E6" s="2308"/>
      <c r="F6" s="2308"/>
      <c r="G6" s="2308"/>
      <c r="H6" s="928"/>
      <c r="I6" s="928"/>
      <c r="J6" s="928"/>
      <c r="K6" s="929"/>
      <c r="L6" s="930"/>
      <c r="M6" s="931"/>
      <c r="N6" s="2309" t="str">
        <f>+VLOOKUP(115,TRADUZIONI,DATI!C2-1,0)</f>
        <v xml:space="preserve">DIMENSIONI </v>
      </c>
      <c r="O6" s="2310"/>
      <c r="P6" s="1434" t="str">
        <f>+VLOOKUP(96,TRADUZIONI,DATI!C2-1,0)</f>
        <v>BASE</v>
      </c>
      <c r="Q6" s="932"/>
      <c r="R6" s="2313" t="str">
        <f>+VLOOKUP(97,TRADUZIONI,DATI!C2-1,0)</f>
        <v>ALTEZZA</v>
      </c>
      <c r="S6" s="2314"/>
      <c r="T6" s="925"/>
      <c r="U6" s="925"/>
      <c r="V6" s="926"/>
    </row>
    <row r="7" spans="1:33" ht="29.25" customHeight="1">
      <c r="B7" s="924"/>
      <c r="C7" s="925"/>
      <c r="D7" s="925" t="s">
        <v>37</v>
      </c>
      <c r="E7" s="925"/>
      <c r="F7" s="925"/>
      <c r="G7" s="925"/>
      <c r="H7" s="925"/>
      <c r="I7" s="925"/>
      <c r="J7" s="925"/>
      <c r="K7" s="925"/>
      <c r="L7" s="930"/>
      <c r="M7" s="931"/>
      <c r="N7" s="2311"/>
      <c r="O7" s="2312"/>
      <c r="P7" s="933">
        <f>+DATI!C7</f>
        <v>1400</v>
      </c>
      <c r="Q7" s="934" t="s">
        <v>44</v>
      </c>
      <c r="R7" s="2315">
        <f>+DATI!C8</f>
        <v>2200</v>
      </c>
      <c r="S7" s="2316"/>
      <c r="T7" s="925"/>
      <c r="U7" s="925"/>
      <c r="V7" s="926"/>
    </row>
    <row r="8" spans="1:33" ht="30.75">
      <c r="B8" s="924"/>
      <c r="C8" s="927" t="str">
        <f>+VLOOKUP(23,TRADUZIONI,DATI!C2-1,0)</f>
        <v>NUM. ORDINE</v>
      </c>
      <c r="D8" s="935">
        <f>+DATI!C4</f>
        <v>0</v>
      </c>
      <c r="E8" s="935"/>
      <c r="F8" s="935"/>
      <c r="G8" s="935"/>
      <c r="H8" s="928"/>
      <c r="I8" s="928"/>
      <c r="J8" s="928"/>
      <c r="K8" s="929"/>
      <c r="L8" s="930"/>
      <c r="M8" s="931"/>
      <c r="N8" s="925"/>
      <c r="O8" s="925"/>
      <c r="P8" s="925"/>
      <c r="Q8" s="925"/>
      <c r="R8" s="936"/>
      <c r="S8" s="925"/>
      <c r="T8" s="925"/>
      <c r="U8" s="925"/>
      <c r="V8" s="926"/>
    </row>
    <row r="9" spans="1:33" ht="30.75">
      <c r="B9" s="924"/>
      <c r="C9" s="925"/>
      <c r="D9" s="925"/>
      <c r="E9" s="925"/>
      <c r="F9" s="925"/>
      <c r="G9" s="925"/>
      <c r="H9" s="925"/>
      <c r="I9" s="925"/>
      <c r="J9" s="925"/>
      <c r="K9" s="925"/>
      <c r="L9" s="930"/>
      <c r="M9" s="931"/>
      <c r="N9" s="2318" t="str">
        <f>+VLOOKUP(99,TRADUZIONI,DATI!C2-1,0)</f>
        <v>COLORE</v>
      </c>
      <c r="O9" s="2314"/>
      <c r="P9" s="2319" t="str">
        <f>+DATI!C10</f>
        <v>06.NERO</v>
      </c>
      <c r="Q9" s="2320"/>
      <c r="R9" s="2320"/>
      <c r="S9" s="2321"/>
      <c r="T9" s="925"/>
      <c r="U9" s="925"/>
      <c r="V9" s="926"/>
    </row>
    <row r="10" spans="1:33" ht="30.75">
      <c r="B10" s="924"/>
      <c r="C10" s="1434" t="str">
        <f>+VLOOKUP(5,TRADUZIONI,DATI!C2-1,0)</f>
        <v>DATA SPEDIZIONE</v>
      </c>
      <c r="D10" s="2322">
        <f>DATI!C5</f>
        <v>42370</v>
      </c>
      <c r="E10" s="2393"/>
      <c r="F10" s="2393"/>
      <c r="G10" s="2393"/>
      <c r="H10" s="928"/>
      <c r="I10" s="928"/>
      <c r="J10" s="928"/>
      <c r="K10" s="929"/>
      <c r="L10" s="930"/>
      <c r="M10" s="931"/>
      <c r="N10" s="937"/>
      <c r="O10" s="925"/>
      <c r="P10" s="925"/>
      <c r="Q10" s="925"/>
      <c r="R10" s="925"/>
      <c r="S10" s="925"/>
      <c r="T10" s="925"/>
      <c r="U10" s="925"/>
      <c r="V10" s="926"/>
    </row>
    <row r="11" spans="1:33" ht="30.75">
      <c r="B11" s="924"/>
      <c r="C11" s="925"/>
      <c r="D11" s="925"/>
      <c r="E11" s="925"/>
      <c r="F11" s="925"/>
      <c r="G11" s="925"/>
      <c r="H11" s="925"/>
      <c r="I11" s="925"/>
      <c r="J11" s="925"/>
      <c r="K11" s="925"/>
      <c r="L11" s="930"/>
      <c r="M11" s="931"/>
      <c r="N11" s="2323" t="str">
        <f>+VLOOKUP(78,TRADUZIONI,DATI!C2-1,0)</f>
        <v>PEZZI /PZ.</v>
      </c>
      <c r="O11" s="2324"/>
      <c r="P11" s="938" t="str">
        <f>DATI!C11</f>
        <v>1</v>
      </c>
      <c r="Q11" s="925"/>
      <c r="R11" s="925"/>
      <c r="S11" s="925"/>
      <c r="T11" s="925"/>
      <c r="U11" s="925"/>
      <c r="V11" s="926"/>
    </row>
    <row r="12" spans="1:33" ht="30.75">
      <c r="B12" s="924"/>
      <c r="C12" s="927" t="s">
        <v>49</v>
      </c>
      <c r="D12" s="939">
        <f>IF((P7*R7/1000000)&lt;=2,2*P11,IF((P7*R7/1000000)&gt;2,(P7*R7/1000000)*P11))</f>
        <v>3.08</v>
      </c>
      <c r="E12" s="925"/>
      <c r="F12" s="925"/>
      <c r="G12" s="925"/>
      <c r="H12" s="925"/>
      <c r="I12" s="925"/>
      <c r="J12" s="925"/>
      <c r="K12" s="925"/>
      <c r="L12" s="930"/>
      <c r="M12" s="931"/>
      <c r="N12" s="925"/>
      <c r="O12" s="925"/>
      <c r="P12" s="940" t="s">
        <v>37</v>
      </c>
      <c r="Q12" s="925"/>
      <c r="R12" s="925"/>
      <c r="S12" s="925"/>
      <c r="T12" s="941" t="s">
        <v>37</v>
      </c>
      <c r="U12" s="941"/>
      <c r="V12" s="926"/>
    </row>
    <row r="13" spans="1:33" ht="15.75" thickBot="1">
      <c r="B13" s="924"/>
      <c r="C13" s="937"/>
      <c r="D13" s="925"/>
      <c r="E13" s="942"/>
      <c r="F13" s="943"/>
      <c r="G13" s="942"/>
      <c r="H13" s="944"/>
      <c r="I13" s="944"/>
      <c r="J13" s="944"/>
      <c r="K13" s="925"/>
      <c r="L13" s="925"/>
      <c r="M13" s="925"/>
      <c r="N13" s="925"/>
      <c r="O13" s="925"/>
      <c r="P13" s="925"/>
      <c r="Q13" s="925"/>
      <c r="R13" s="945"/>
      <c r="S13" s="925"/>
      <c r="T13" s="946" t="s">
        <v>37</v>
      </c>
      <c r="U13" s="946"/>
      <c r="V13" s="926"/>
    </row>
    <row r="14" spans="1:33" ht="44.25" customHeight="1">
      <c r="B14" s="919"/>
      <c r="C14" s="920" t="str">
        <f>+VLOOKUP(111,TRADUZIONI,DATI!$C$2-1,0)</f>
        <v>QUADRO B</v>
      </c>
      <c r="D14" s="2325" t="str">
        <f>+VLOOKUP(118,TRADUZIONI,DATI!$C$2-1,0)</f>
        <v>DIMENSIONE RETE E FORI</v>
      </c>
      <c r="E14" s="2325"/>
      <c r="F14" s="2325"/>
      <c r="G14" s="2325"/>
      <c r="H14" s="2325"/>
      <c r="I14" s="2325"/>
      <c r="J14" s="2325"/>
      <c r="K14" s="2325"/>
      <c r="L14" s="2326"/>
      <c r="M14" s="919"/>
      <c r="N14" s="920" t="str">
        <f>+VLOOKUP(138,TRADUZIONI,DATI!$C$2-1,0)</f>
        <v>QUADRO C</v>
      </c>
      <c r="O14" s="2327" t="str">
        <f>+VLOOKUP(117,TRADUZIONI,DATI!$C$2-1,0)</f>
        <v>LUNGHEZZA E NUM. CORDINI</v>
      </c>
      <c r="P14" s="2327"/>
      <c r="Q14" s="2327"/>
      <c r="R14" s="2327"/>
      <c r="S14" s="2327"/>
      <c r="T14" s="2327"/>
      <c r="U14" s="2327"/>
      <c r="V14" s="2328"/>
    </row>
    <row r="15" spans="1:33" ht="31.5" customHeight="1">
      <c r="B15" s="947"/>
      <c r="C15" s="925"/>
      <c r="D15" s="925"/>
      <c r="E15" s="925"/>
      <c r="F15" s="2329" t="e">
        <f>IF(DATI!E13="AUTOMATICA",CONCATENATE("*",DATI!E14,"-",REPT("0",4-LEN(F22)),F22,"*"),CONCATENATE("*",DATI!$L$14,REPT("0",3-LEN(D16)),D16,REPT("0",4-LEN(F22)),F22,DATI!L13,"*"))</f>
        <v>#VALUE!</v>
      </c>
      <c r="G15" s="2329"/>
      <c r="H15" s="2329"/>
      <c r="I15" s="2329"/>
      <c r="J15" s="2329"/>
      <c r="K15" s="948"/>
      <c r="L15" s="949"/>
      <c r="M15" s="924"/>
      <c r="N15" s="925"/>
      <c r="O15" s="925" t="s">
        <v>37</v>
      </c>
      <c r="P15" s="950" t="s">
        <v>37</v>
      </c>
      <c r="Q15" s="925"/>
      <c r="R15" s="925"/>
      <c r="S15" s="925"/>
      <c r="T15" s="951"/>
      <c r="U15" s="951"/>
      <c r="V15" s="926"/>
    </row>
    <row r="16" spans="1:33" ht="30.75" customHeight="1">
      <c r="B16" s="952"/>
      <c r="C16" s="953" t="str">
        <f>+VLOOKUP(19,TRADUZIONI,DATI!C2-1,0)</f>
        <v>PIEGHE</v>
      </c>
      <c r="D16" s="954">
        <f>2+ROUNDUP((P7-60*2)*0.0471,0)</f>
        <v>63</v>
      </c>
      <c r="E16" s="925"/>
      <c r="F16" s="2329"/>
      <c r="G16" s="2329"/>
      <c r="H16" s="2329"/>
      <c r="I16" s="2329"/>
      <c r="J16" s="2329"/>
      <c r="K16" s="948"/>
      <c r="L16" s="955"/>
      <c r="M16" s="952"/>
      <c r="N16" s="956"/>
      <c r="O16" s="956"/>
      <c r="P16" s="2323" t="str">
        <f>+VLOOKUP(149,TRADUZIONI,DATI!C2-1,0)</f>
        <v>CORDINI</v>
      </c>
      <c r="Q16" s="2324"/>
      <c r="R16" s="957">
        <f>IF(F22&lt;=820,2,IF(F22&lt;=1680,4,IF(F22&lt;=2600,6,8)))</f>
        <v>6</v>
      </c>
      <c r="S16" s="951"/>
      <c r="T16" s="946"/>
      <c r="U16" s="946"/>
      <c r="V16" s="958"/>
    </row>
    <row r="17" spans="2:27" s="960" customFormat="1" ht="15" customHeight="1">
      <c r="B17" s="924"/>
      <c r="C17" s="925"/>
      <c r="D17" s="925"/>
      <c r="E17" s="925"/>
      <c r="F17" s="2329"/>
      <c r="G17" s="2329"/>
      <c r="H17" s="2329"/>
      <c r="I17" s="2329"/>
      <c r="J17" s="2329"/>
      <c r="K17" s="948"/>
      <c r="L17" s="925"/>
      <c r="M17" s="924"/>
      <c r="N17" s="925"/>
      <c r="O17" s="925"/>
      <c r="P17" s="925"/>
      <c r="Q17" s="959"/>
      <c r="R17" s="925"/>
      <c r="S17" s="925"/>
      <c r="T17" s="925"/>
      <c r="U17" s="925"/>
      <c r="V17" s="926"/>
    </row>
    <row r="18" spans="2:27" ht="49.5" customHeight="1">
      <c r="B18" s="924"/>
      <c r="C18" s="925"/>
      <c r="D18" s="940"/>
      <c r="E18" s="940"/>
      <c r="F18" s="2329"/>
      <c r="G18" s="2329"/>
      <c r="H18" s="2329"/>
      <c r="I18" s="2329"/>
      <c r="J18" s="2329"/>
      <c r="K18" s="948"/>
      <c r="L18" s="925"/>
      <c r="M18" s="924"/>
      <c r="N18" s="925"/>
      <c r="O18" s="925"/>
      <c r="P18" s="925"/>
      <c r="Q18" s="961"/>
      <c r="R18" s="925"/>
      <c r="S18" s="925"/>
      <c r="T18" s="925"/>
      <c r="U18" s="925"/>
      <c r="V18" s="926"/>
    </row>
    <row r="19" spans="2:27" ht="15" customHeight="1">
      <c r="B19" s="924"/>
      <c r="C19" s="925"/>
      <c r="D19" s="940"/>
      <c r="E19" s="940"/>
      <c r="F19" s="2329"/>
      <c r="G19" s="2329"/>
      <c r="H19" s="2329"/>
      <c r="I19" s="2329"/>
      <c r="J19" s="2329"/>
      <c r="K19" s="948"/>
      <c r="L19" s="925"/>
      <c r="M19" s="924"/>
      <c r="N19" s="925"/>
      <c r="O19" s="925"/>
      <c r="P19" s="962" t="s">
        <v>37</v>
      </c>
      <c r="Q19" s="925"/>
      <c r="R19" s="963" t="s">
        <v>37</v>
      </c>
      <c r="S19" s="925"/>
      <c r="T19" s="925"/>
      <c r="U19" s="925"/>
      <c r="V19" s="926"/>
    </row>
    <row r="20" spans="2:27">
      <c r="B20" s="924"/>
      <c r="C20" s="925"/>
      <c r="D20" s="940"/>
      <c r="E20" s="940"/>
      <c r="F20" s="2329"/>
      <c r="G20" s="2329"/>
      <c r="H20" s="2329"/>
      <c r="I20" s="2329"/>
      <c r="J20" s="2329"/>
      <c r="K20" s="948"/>
      <c r="L20" s="925"/>
      <c r="M20" s="964"/>
      <c r="N20" s="925"/>
      <c r="O20" s="925"/>
      <c r="P20" s="925"/>
      <c r="Q20" s="965"/>
      <c r="R20" s="965"/>
      <c r="S20" s="925"/>
      <c r="T20" s="937"/>
      <c r="U20" s="937"/>
      <c r="V20" s="926"/>
    </row>
    <row r="21" spans="2:27">
      <c r="B21" s="924"/>
      <c r="C21" s="925"/>
      <c r="D21" s="940"/>
      <c r="E21" s="925"/>
      <c r="F21" s="950" t="s">
        <v>37</v>
      </c>
      <c r="G21" s="925"/>
      <c r="H21" s="966"/>
      <c r="I21" s="966"/>
      <c r="J21" s="966"/>
      <c r="K21" s="940" t="s">
        <v>37</v>
      </c>
      <c r="L21" s="925"/>
      <c r="M21" s="964"/>
      <c r="N21" s="925"/>
      <c r="O21" s="925"/>
      <c r="P21" s="925"/>
      <c r="Q21" s="925"/>
      <c r="R21" s="959"/>
      <c r="S21" s="925"/>
      <c r="T21" s="965"/>
      <c r="U21" s="965"/>
      <c r="V21" s="926"/>
    </row>
    <row r="22" spans="2:27" ht="30.75">
      <c r="B22" s="924"/>
      <c r="C22" s="2318" t="str">
        <f>CONCATENATE(VLOOKUP(116,TRADUZIONI,DATI!C2-1,0),"(",VLOOKUP(97,TRADUZIONI,DATI!C2-1,0),"-24*)")</f>
        <v>TAGLIO RETE(ALTEZZA-24*)</v>
      </c>
      <c r="D22" s="2313"/>
      <c r="E22" s="2313"/>
      <c r="F22" s="967">
        <f>+R7-24</f>
        <v>2176</v>
      </c>
      <c r="G22" s="968"/>
      <c r="H22" s="969"/>
      <c r="I22" s="969"/>
      <c r="J22" s="969"/>
      <c r="K22" s="970"/>
      <c r="L22" s="925"/>
      <c r="M22" s="964"/>
      <c r="N22" s="925"/>
      <c r="O22" s="925"/>
      <c r="P22" s="966" t="s">
        <v>37</v>
      </c>
      <c r="Q22" s="925" t="s">
        <v>37</v>
      </c>
      <c r="R22" s="925"/>
      <c r="S22" s="925"/>
      <c r="T22" s="961"/>
      <c r="U22" s="961"/>
      <c r="V22" s="926"/>
    </row>
    <row r="23" spans="2:27">
      <c r="B23" s="924"/>
      <c r="C23" s="925"/>
      <c r="D23" s="940"/>
      <c r="E23" s="925"/>
      <c r="F23" s="950"/>
      <c r="G23" s="951"/>
      <c r="H23" s="966"/>
      <c r="I23" s="966"/>
      <c r="J23" s="966"/>
      <c r="K23" s="940"/>
      <c r="L23" s="925"/>
      <c r="M23" s="964"/>
      <c r="N23" s="925"/>
      <c r="O23" s="925"/>
      <c r="P23" s="966"/>
      <c r="Q23" s="925"/>
      <c r="R23" s="925"/>
      <c r="S23" s="925"/>
      <c r="T23" s="961"/>
      <c r="U23" s="961"/>
      <c r="V23" s="926"/>
    </row>
    <row r="24" spans="2:27">
      <c r="B24" s="924"/>
      <c r="C24" s="925"/>
      <c r="D24" s="940"/>
      <c r="E24" s="925"/>
      <c r="F24" s="950"/>
      <c r="G24" s="951"/>
      <c r="H24" s="966"/>
      <c r="I24" s="966"/>
      <c r="J24" s="966"/>
      <c r="K24" s="940"/>
      <c r="L24" s="925"/>
      <c r="M24" s="964"/>
      <c r="N24" s="925"/>
      <c r="O24" s="925"/>
      <c r="P24" s="966"/>
      <c r="Q24" s="925"/>
      <c r="R24" s="925"/>
      <c r="S24" s="925"/>
      <c r="T24" s="961"/>
      <c r="U24" s="961"/>
      <c r="V24" s="926"/>
    </row>
    <row r="25" spans="2:27">
      <c r="B25" s="924"/>
      <c r="C25" s="925"/>
      <c r="D25" s="940"/>
      <c r="E25" s="925"/>
      <c r="F25" s="950"/>
      <c r="G25" s="951"/>
      <c r="H25" s="966"/>
      <c r="I25" s="966"/>
      <c r="J25" s="966"/>
      <c r="K25" s="940"/>
      <c r="L25" s="925"/>
      <c r="M25" s="924"/>
      <c r="N25" s="925"/>
      <c r="O25" s="925"/>
      <c r="P25" s="966"/>
      <c r="Q25" s="925"/>
      <c r="R25" s="925"/>
      <c r="S25" s="925"/>
      <c r="T25" s="961"/>
      <c r="U25" s="961"/>
      <c r="V25" s="926"/>
    </row>
    <row r="26" spans="2:27">
      <c r="B26" s="924"/>
      <c r="C26" s="925"/>
      <c r="D26" s="940"/>
      <c r="E26" s="925"/>
      <c r="F26" s="950"/>
      <c r="G26" s="951"/>
      <c r="H26" s="966"/>
      <c r="I26" s="966"/>
      <c r="J26" s="966"/>
      <c r="K26" s="940"/>
      <c r="L26" s="925"/>
      <c r="M26" s="924"/>
      <c r="N26" s="925"/>
      <c r="O26" s="925"/>
      <c r="P26" s="925"/>
      <c r="Q26" s="925"/>
      <c r="R26" s="925"/>
      <c r="S26" s="940"/>
      <c r="T26" s="925"/>
      <c r="U26" s="925"/>
      <c r="V26" s="926"/>
    </row>
    <row r="27" spans="2:27" ht="30.75">
      <c r="B27" s="924"/>
      <c r="C27" s="971">
        <f>40+250</f>
        <v>290</v>
      </c>
      <c r="D27" s="940"/>
      <c r="E27" s="925"/>
      <c r="F27" s="950"/>
      <c r="G27" s="951"/>
      <c r="H27" s="966"/>
      <c r="I27" s="966"/>
      <c r="J27" s="966"/>
      <c r="K27" s="940"/>
      <c r="L27" s="925"/>
      <c r="M27" s="924"/>
      <c r="N27" s="925"/>
      <c r="O27" s="925"/>
      <c r="P27" s="925"/>
      <c r="Q27" s="925"/>
      <c r="R27" s="925"/>
      <c r="S27" s="925"/>
      <c r="T27" s="925"/>
      <c r="U27" s="925"/>
      <c r="V27" s="926"/>
    </row>
    <row r="28" spans="2:27" ht="36" customHeight="1">
      <c r="B28" s="924"/>
      <c r="C28" s="972">
        <f>+C27+F40</f>
        <v>659</v>
      </c>
      <c r="D28" s="940"/>
      <c r="E28" s="925"/>
      <c r="F28" s="950"/>
      <c r="G28" s="951"/>
      <c r="H28" s="966"/>
      <c r="I28" s="966"/>
      <c r="J28" s="966"/>
      <c r="K28" s="940"/>
      <c r="L28" s="925"/>
      <c r="M28" s="924"/>
      <c r="N28" s="925"/>
      <c r="O28" s="925"/>
      <c r="P28" s="966" t="s">
        <v>37</v>
      </c>
      <c r="Q28" s="925"/>
      <c r="R28" s="925"/>
      <c r="S28" s="940"/>
      <c r="T28" s="925"/>
      <c r="U28" s="925"/>
      <c r="V28" s="926"/>
    </row>
    <row r="29" spans="2:27" ht="36" customHeight="1">
      <c r="B29" s="924"/>
      <c r="C29" s="925"/>
      <c r="D29" s="973">
        <f>IF(R16&gt;2,C28+F40,"")</f>
        <v>1028</v>
      </c>
      <c r="E29" s="925"/>
      <c r="F29" s="950"/>
      <c r="G29" s="951"/>
      <c r="H29" s="966"/>
      <c r="I29" s="966"/>
      <c r="J29" s="966"/>
      <c r="K29" s="940"/>
      <c r="L29" s="925"/>
      <c r="M29" s="924"/>
      <c r="N29" s="925"/>
      <c r="O29" s="925"/>
      <c r="P29" s="925"/>
      <c r="Q29" s="925"/>
      <c r="R29" s="925"/>
      <c r="S29" s="925"/>
      <c r="T29" s="925"/>
      <c r="U29" s="925"/>
      <c r="V29" s="926"/>
    </row>
    <row r="30" spans="2:27" ht="36" customHeight="1">
      <c r="B30" s="924"/>
      <c r="C30" s="925"/>
      <c r="D30" s="940"/>
      <c r="E30" s="972">
        <f>IF(R16&gt;=4,D29+F40,"")</f>
        <v>1397</v>
      </c>
      <c r="F30" s="950"/>
      <c r="G30" s="951"/>
      <c r="H30" s="966"/>
      <c r="I30" s="966"/>
      <c r="J30" s="966"/>
      <c r="K30" s="940"/>
      <c r="L30" s="925"/>
      <c r="M30" s="924"/>
      <c r="N30" s="925"/>
      <c r="O30" s="925"/>
      <c r="P30" s="940" t="s">
        <v>37</v>
      </c>
      <c r="Q30" s="925"/>
      <c r="R30" s="925"/>
      <c r="S30" s="925"/>
      <c r="T30" s="925"/>
      <c r="U30" s="925"/>
      <c r="V30" s="926"/>
      <c r="Y30" s="1138" t="str">
        <f>+VLOOKUP(149,TRADUZIONI,DATI!C2-1,0)</f>
        <v>CORDINI</v>
      </c>
    </row>
    <row r="31" spans="2:27" ht="36" customHeight="1">
      <c r="B31" s="924"/>
      <c r="C31" s="925"/>
      <c r="D31" s="940"/>
      <c r="E31" s="925"/>
      <c r="F31" s="2330">
        <f>IF(R16&gt;=5,E30+F40,"")</f>
        <v>1766</v>
      </c>
      <c r="G31" s="2330"/>
      <c r="H31" s="966"/>
      <c r="I31" s="966"/>
      <c r="J31" s="966"/>
      <c r="K31" s="940"/>
      <c r="L31" s="925"/>
      <c r="M31" s="924"/>
      <c r="N31" s="977" t="str">
        <f>CONCATENATE(Z31," 1 ",AA31,"  ",TEXT(Y31,0))</f>
        <v>Nr. Cord 1 LUNGHEZZA  3420</v>
      </c>
      <c r="O31" s="925"/>
      <c r="P31" s="925"/>
      <c r="Q31" s="925"/>
      <c r="R31" s="925"/>
      <c r="S31" s="925"/>
      <c r="T31" s="925"/>
      <c r="U31" s="925"/>
      <c r="V31" s="926"/>
      <c r="X31" s="1365" t="s">
        <v>125</v>
      </c>
      <c r="Y31" s="1366">
        <f>ROUND((F22-160+P7),-1)</f>
        <v>3420</v>
      </c>
      <c r="Z31" s="97" t="str">
        <f>+VLOOKUP(144,TRADUZIONI,DATI!$C$2-1,0)</f>
        <v>Nr. Cord</v>
      </c>
      <c r="AA31" s="97" t="str">
        <f>+VLOOKUP(60,TRADUZIONI,DATI!$C$2-1,0)</f>
        <v>LUNGHEZZA</v>
      </c>
    </row>
    <row r="32" spans="2:27" ht="36" customHeight="1">
      <c r="B32" s="924"/>
      <c r="C32" s="925"/>
      <c r="D32" s="940"/>
      <c r="E32" s="925"/>
      <c r="F32" s="950"/>
      <c r="G32" s="2331">
        <f>IF(R16&gt;=6,F31+F40,"")</f>
        <v>2135</v>
      </c>
      <c r="H32" s="2331"/>
      <c r="I32" s="966"/>
      <c r="J32" s="966"/>
      <c r="K32" s="940"/>
      <c r="L32" s="925"/>
      <c r="M32" s="924"/>
      <c r="N32" s="977" t="str">
        <f>CONCATENATE(Z31," 2 ",AA31,"  ",TEXT(Y32,0))</f>
        <v>Nr. Cord 2 LUNGHEZZA  3680</v>
      </c>
      <c r="O32" s="925"/>
      <c r="P32" s="925"/>
      <c r="Q32" s="948"/>
      <c r="R32" s="925"/>
      <c r="S32" s="925"/>
      <c r="T32" s="925"/>
      <c r="U32" s="925"/>
      <c r="V32" s="926"/>
      <c r="X32" s="97"/>
      <c r="Y32" s="1366">
        <f>ROUND((F22+P7+100),-1)</f>
        <v>3680</v>
      </c>
    </row>
    <row r="33" spans="2:25" ht="36" customHeight="1">
      <c r="B33" s="924"/>
      <c r="C33" s="925"/>
      <c r="D33" s="940"/>
      <c r="E33" s="925"/>
      <c r="F33" s="950"/>
      <c r="G33" s="951"/>
      <c r="H33" s="2317" t="str">
        <f>IF(R16&gt;=7,G32+F40,"")</f>
        <v/>
      </c>
      <c r="I33" s="2317"/>
      <c r="J33" s="966"/>
      <c r="K33" s="940"/>
      <c r="L33" s="925"/>
      <c r="M33" s="924"/>
      <c r="N33" s="977" t="str">
        <f>IF(R16&lt;=2,"",CONCATENATE(Z31," 3 ",AA31,"  ",TEXT(ROUND(Y33,-1),0)))</f>
        <v>Nr. Cord 3 LUNGHEZZA  1940</v>
      </c>
      <c r="O33" s="925"/>
      <c r="P33" s="925"/>
      <c r="Q33" s="925"/>
      <c r="R33" s="925"/>
      <c r="S33" s="925"/>
      <c r="T33" s="925"/>
      <c r="U33" s="925"/>
      <c r="V33" s="926"/>
      <c r="X33" s="1367">
        <v>4</v>
      </c>
      <c r="Y33" s="1388">
        <f>IF(R16&lt;=2,0,ROUND((P7+175+F40),-1))</f>
        <v>1940</v>
      </c>
    </row>
    <row r="34" spans="2:25" ht="36" customHeight="1">
      <c r="B34" s="924"/>
      <c r="C34" s="925"/>
      <c r="D34" s="940"/>
      <c r="E34" s="925"/>
      <c r="F34" s="950"/>
      <c r="G34" s="951"/>
      <c r="H34" s="966"/>
      <c r="I34" s="966"/>
      <c r="J34" s="2330" t="str">
        <f>IF(R16=8,H33+F40,"")</f>
        <v/>
      </c>
      <c r="K34" s="2330"/>
      <c r="L34" s="926"/>
      <c r="M34" s="925"/>
      <c r="N34" s="977" t="str">
        <f>IF(R16&lt;=2,"",CONCATENATE(Z31," 4 ",AA31,"  ",TEXT(ROUND(Y34,-1),0)))</f>
        <v>Nr. Cord 4 LUNGHEZZA  2200</v>
      </c>
      <c r="O34" s="974"/>
      <c r="P34" s="974"/>
      <c r="Q34" s="937"/>
      <c r="R34" s="925"/>
      <c r="S34" s="925"/>
      <c r="T34" s="925"/>
      <c r="U34" s="925"/>
      <c r="V34" s="926"/>
      <c r="Y34" s="1388">
        <f>IF(R16&lt;=2,0,ROUND((P7+435+F40),-1))</f>
        <v>2200</v>
      </c>
    </row>
    <row r="35" spans="2:25" ht="33.75" customHeight="1">
      <c r="B35" s="924"/>
      <c r="C35" s="925"/>
      <c r="D35" s="940"/>
      <c r="E35" s="925"/>
      <c r="F35" s="950"/>
      <c r="G35" s="951"/>
      <c r="H35" s="966"/>
      <c r="I35" s="966"/>
      <c r="J35" s="966"/>
      <c r="K35" s="940"/>
      <c r="L35" s="926"/>
      <c r="M35" s="925"/>
      <c r="N35" s="977" t="str">
        <f>IF(R16&lt;=4,"",CONCATENATE(Z31," 5 ",AA31,"  ",TEXT(ROUND(Y35,-1),"0")))</f>
        <v>Nr. Cord 5 LUNGHEZZA  2310</v>
      </c>
      <c r="O35" s="978"/>
      <c r="P35" s="978"/>
      <c r="Q35" s="937"/>
      <c r="R35" s="925"/>
      <c r="S35" s="925"/>
      <c r="T35" s="925"/>
      <c r="U35" s="925"/>
      <c r="V35" s="926"/>
      <c r="X35" s="1367">
        <v>6</v>
      </c>
      <c r="Y35" s="1369">
        <f>IF(R16&lt;=4,0,ROUND(Y33+F40,-1))</f>
        <v>2310</v>
      </c>
    </row>
    <row r="36" spans="2:25" ht="30.75" customHeight="1">
      <c r="B36" s="924"/>
      <c r="C36" s="2309" t="s">
        <v>91</v>
      </c>
      <c r="D36" s="2334"/>
      <c r="E36" s="2334"/>
      <c r="F36" s="2334"/>
      <c r="G36" s="2334"/>
      <c r="H36" s="2334"/>
      <c r="I36" s="2310"/>
      <c r="J36" s="966"/>
      <c r="K36" s="940"/>
      <c r="L36" s="926"/>
      <c r="M36" s="976"/>
      <c r="N36" s="975" t="str">
        <f>IF(R16&lt;=4,"",CONCATENATE(Z31," 6 ",AA31,"  ",TEXT(Y36,"0")))</f>
        <v>Nr. Cord 6 LUNGHEZZA  2570</v>
      </c>
      <c r="O36" s="978"/>
      <c r="P36" s="978"/>
      <c r="Q36" s="1076"/>
      <c r="R36" s="925"/>
      <c r="S36" s="925"/>
      <c r="T36" s="925"/>
      <c r="U36" s="925"/>
      <c r="V36" s="926"/>
      <c r="Y36" s="1389">
        <f>IF(R16&lt;=4,0,ROUND(Y34+F40,-1))</f>
        <v>2570</v>
      </c>
    </row>
    <row r="37" spans="2:25" ht="36" customHeight="1">
      <c r="B37" s="924"/>
      <c r="C37" s="2335" t="s">
        <v>118</v>
      </c>
      <c r="D37" s="2336"/>
      <c r="E37" s="2336"/>
      <c r="F37" s="2336"/>
      <c r="G37" s="2336"/>
      <c r="H37" s="2336"/>
      <c r="I37" s="2337"/>
      <c r="J37" s="925"/>
      <c r="K37" s="925"/>
      <c r="L37" s="926"/>
      <c r="M37" s="980"/>
      <c r="N37" s="975" t="str">
        <f>IF(R16&lt;=6,"",CONCATENATE(Z31," 7 ",AA31,"  ",TEXT(Y37,"0")))</f>
        <v/>
      </c>
      <c r="O37" s="975"/>
      <c r="P37" s="975"/>
      <c r="Q37" s="950"/>
      <c r="R37" s="937"/>
      <c r="S37" s="940"/>
      <c r="T37" s="925"/>
      <c r="U37" s="925"/>
      <c r="V37" s="981"/>
      <c r="X37" s="1367">
        <v>8</v>
      </c>
      <c r="Y37" s="1369">
        <f>IF(R16&lt;=6,0,ROUND(Y33+2*F40,-1))</f>
        <v>0</v>
      </c>
    </row>
    <row r="38" spans="2:25" ht="33" customHeight="1">
      <c r="B38" s="924"/>
      <c r="C38" s="2311"/>
      <c r="D38" s="2338"/>
      <c r="E38" s="2338"/>
      <c r="F38" s="2338"/>
      <c r="G38" s="2338"/>
      <c r="H38" s="2338"/>
      <c r="I38" s="2312"/>
      <c r="J38" s="925"/>
      <c r="K38" s="925"/>
      <c r="L38" s="926"/>
      <c r="M38" s="980"/>
      <c r="N38" s="975" t="str">
        <f>IF(R16&lt;=6,"",CONCATENATE(Z31," 8 ",AA31,"  ",TEXT(Y38,"0")))</f>
        <v/>
      </c>
      <c r="O38" s="978"/>
      <c r="P38" s="975"/>
      <c r="Q38" s="950"/>
      <c r="R38" s="937"/>
      <c r="S38" s="940"/>
      <c r="T38" s="925"/>
      <c r="U38" s="925"/>
      <c r="V38" s="981"/>
      <c r="Y38" s="1369">
        <f>IF(R16&lt;=6,0,ROUND(Y34+2*F40,-1))</f>
        <v>0</v>
      </c>
    </row>
    <row r="39" spans="2:25" ht="21.75" customHeight="1">
      <c r="B39" s="924"/>
      <c r="C39" s="925"/>
      <c r="D39" s="925"/>
      <c r="E39" s="925"/>
      <c r="F39" s="925"/>
      <c r="G39" s="925"/>
      <c r="H39" s="925"/>
      <c r="I39" s="925"/>
      <c r="J39" s="925"/>
      <c r="K39" s="925"/>
      <c r="L39" s="926"/>
      <c r="M39" s="982"/>
      <c r="N39" s="937"/>
      <c r="O39" s="983"/>
      <c r="P39" s="983"/>
      <c r="Q39" s="950"/>
      <c r="R39" s="937"/>
      <c r="S39" s="940"/>
      <c r="T39" s="925"/>
      <c r="U39" s="925"/>
      <c r="V39" s="981"/>
    </row>
    <row r="40" spans="2:25" ht="28.5">
      <c r="B40" s="924"/>
      <c r="C40" s="2318" t="str">
        <f>+VLOOKUP(41,TRADUZIONI,DATI!$C$2-1,0)</f>
        <v>DIST.STD TRA FORI RETE</v>
      </c>
      <c r="D40" s="2339"/>
      <c r="E40" s="2339"/>
      <c r="F40" s="984">
        <f>ROUND((+F22-80-250)/(R16-1),0)</f>
        <v>369</v>
      </c>
      <c r="G40" s="2340"/>
      <c r="H40" s="2340"/>
      <c r="I40" s="2340"/>
      <c r="J40" s="2340"/>
      <c r="K40" s="2341"/>
      <c r="L40" s="926"/>
      <c r="M40" s="2258" t="str">
        <f>+VLOOKUP(128,TRADUZIONI,DATI!$C$2-1,0)</f>
        <v>INFILARE I CORDINI SENZA TAGLIARLI</v>
      </c>
      <c r="N40" s="2259"/>
      <c r="O40" s="2259"/>
      <c r="P40" s="2259"/>
      <c r="Q40" s="2259"/>
      <c r="R40" s="2259"/>
      <c r="S40" s="2259"/>
      <c r="T40" s="2259"/>
      <c r="U40" s="2259"/>
      <c r="V40" s="2260"/>
    </row>
    <row r="41" spans="2:25" ht="28.5">
      <c r="B41" s="924"/>
      <c r="C41" s="979"/>
      <c r="D41" s="985"/>
      <c r="E41" s="985"/>
      <c r="F41" s="986"/>
      <c r="G41" s="987"/>
      <c r="H41" s="987"/>
      <c r="I41" s="987"/>
      <c r="J41" s="987"/>
      <c r="K41" s="987"/>
      <c r="L41" s="925"/>
      <c r="M41" s="2342" t="s">
        <v>83</v>
      </c>
      <c r="N41" s="2343"/>
      <c r="O41" s="2343"/>
      <c r="P41" s="2343"/>
      <c r="Q41" s="2343"/>
      <c r="R41" s="2343"/>
      <c r="S41" s="2343"/>
      <c r="T41" s="2343"/>
      <c r="U41" s="2343"/>
      <c r="V41" s="2344"/>
    </row>
    <row r="42" spans="2:25" ht="15.75" thickBot="1">
      <c r="B42" s="988"/>
      <c r="C42" s="945"/>
      <c r="D42" s="945"/>
      <c r="E42" s="945"/>
      <c r="F42" s="945"/>
      <c r="G42" s="945"/>
      <c r="H42" s="945"/>
      <c r="I42" s="945"/>
      <c r="J42" s="945"/>
      <c r="K42" s="945"/>
      <c r="L42" s="945"/>
      <c r="M42" s="988"/>
      <c r="N42" s="989"/>
      <c r="O42" s="945"/>
      <c r="P42" s="945"/>
      <c r="Q42" s="945"/>
      <c r="R42" s="945"/>
      <c r="S42" s="945"/>
      <c r="T42" s="990"/>
      <c r="U42" s="990"/>
      <c r="V42" s="991"/>
    </row>
    <row r="43" spans="2:25" ht="44.25" customHeight="1">
      <c r="B43" s="919"/>
      <c r="C43" s="920" t="str">
        <f>+VLOOKUP(139,TRADUZIONI,DATI!$C$2-1,0)</f>
        <v>QUADRO D</v>
      </c>
      <c r="D43" s="2325" t="str">
        <f>+VLOOKUP(113,TRADUZIONI,DATI!$C$2-1,0)</f>
        <v>CONTROLLO CORDINI - POST ASSEMBLAGGIO</v>
      </c>
      <c r="E43" s="2325"/>
      <c r="F43" s="2325"/>
      <c r="G43" s="2325"/>
      <c r="H43" s="2325"/>
      <c r="I43" s="2325"/>
      <c r="J43" s="2325"/>
      <c r="K43" s="2325"/>
      <c r="L43" s="2326"/>
      <c r="M43" s="919"/>
      <c r="N43" s="920" t="str">
        <f>+VLOOKUP(140,TRADUZIONI,DATI!$C$2-1,0)</f>
        <v>QUADRO E</v>
      </c>
      <c r="O43" s="2327" t="s">
        <v>500</v>
      </c>
      <c r="P43" s="2327"/>
      <c r="Q43" s="2327"/>
      <c r="R43" s="2327"/>
      <c r="S43" s="2327"/>
      <c r="T43" s="2327"/>
      <c r="U43" s="2327"/>
      <c r="V43" s="2328"/>
    </row>
    <row r="44" spans="2:25" ht="31.5" customHeight="1">
      <c r="B44" s="992"/>
      <c r="C44" s="993"/>
      <c r="D44" s="993"/>
      <c r="E44" s="993"/>
      <c r="F44" s="993"/>
      <c r="G44" s="993"/>
      <c r="H44" s="993"/>
      <c r="I44" s="993"/>
      <c r="J44" s="993"/>
      <c r="K44" s="993"/>
      <c r="L44" s="993"/>
      <c r="M44" s="994"/>
      <c r="N44" s="996"/>
      <c r="O44" s="996"/>
      <c r="P44" s="996"/>
      <c r="Q44" s="996"/>
      <c r="R44" s="925"/>
      <c r="S44" s="944"/>
      <c r="T44" s="944"/>
      <c r="U44" s="944"/>
      <c r="V44" s="997"/>
    </row>
    <row r="45" spans="2:25" ht="27.75">
      <c r="B45" s="992"/>
      <c r="C45" s="993"/>
      <c r="D45" s="993"/>
      <c r="E45" s="993"/>
      <c r="F45" s="993"/>
      <c r="G45" s="998" t="s">
        <v>85</v>
      </c>
      <c r="H45" s="993"/>
      <c r="I45" s="993"/>
      <c r="J45" s="993"/>
      <c r="K45" s="993"/>
      <c r="L45" s="993"/>
      <c r="M45" s="994"/>
      <c r="N45" s="2345" t="s">
        <v>487</v>
      </c>
      <c r="O45" s="2346"/>
      <c r="P45" s="2346"/>
      <c r="Q45" s="2346"/>
      <c r="R45" s="2346"/>
      <c r="S45" s="2346"/>
      <c r="T45" s="2347"/>
      <c r="U45" s="1028"/>
      <c r="V45" s="997"/>
    </row>
    <row r="46" spans="2:25" ht="31.5" customHeight="1">
      <c r="B46" s="992"/>
      <c r="C46" s="999" t="s">
        <v>119</v>
      </c>
      <c r="D46" s="1000">
        <f>+P7</f>
        <v>1400</v>
      </c>
      <c r="E46" s="1001" t="s">
        <v>88</v>
      </c>
      <c r="F46" s="1001" t="s">
        <v>89</v>
      </c>
      <c r="G46" s="1002">
        <f>+D46+E46</f>
        <v>1600</v>
      </c>
      <c r="H46" s="1003"/>
      <c r="I46" s="993"/>
      <c r="J46" s="993"/>
      <c r="K46" s="993"/>
      <c r="L46" s="993"/>
      <c r="M46" s="994"/>
      <c r="N46" s="996"/>
      <c r="O46" s="996"/>
      <c r="P46" s="996"/>
      <c r="Q46" s="996"/>
      <c r="R46" s="925"/>
      <c r="S46" s="944"/>
      <c r="T46" s="944"/>
      <c r="U46" s="944"/>
      <c r="V46" s="997"/>
    </row>
    <row r="47" spans="2:25" ht="31.5" thickBot="1">
      <c r="B47" s="992"/>
      <c r="C47" s="993"/>
      <c r="D47" s="993"/>
      <c r="E47" s="993"/>
      <c r="F47" s="993"/>
      <c r="G47" s="993"/>
      <c r="H47" s="993"/>
      <c r="I47" s="993"/>
      <c r="J47" s="993"/>
      <c r="K47" s="993"/>
      <c r="L47" s="993"/>
      <c r="M47" s="1004"/>
      <c r="N47" s="1005" t="str">
        <f>+VLOOKUP(78,TRADUZIONI,DATI!C2-1,0)</f>
        <v>PEZZI /PZ.</v>
      </c>
      <c r="O47" s="967">
        <f>1*P11</f>
        <v>1</v>
      </c>
      <c r="P47" s="1067" t="str">
        <f>CONCATENATE("/   ",TEXT(2*1,1))</f>
        <v>/   1</v>
      </c>
      <c r="Q47" s="2378" t="str">
        <f>CONCATENATE("/   ",TEXT(2*1,1))</f>
        <v>/   1</v>
      </c>
      <c r="R47" s="2379"/>
      <c r="S47" s="944"/>
      <c r="T47" s="944"/>
      <c r="U47" s="944"/>
      <c r="V47" s="1006"/>
    </row>
    <row r="48" spans="2:25" ht="18.75">
      <c r="B48" s="1007"/>
      <c r="C48" s="1008"/>
      <c r="D48" s="1008"/>
      <c r="E48" s="1008"/>
      <c r="F48" s="1008"/>
      <c r="G48" s="1008"/>
      <c r="H48" s="1008"/>
      <c r="I48" s="1008"/>
      <c r="J48" s="1008"/>
      <c r="K48" s="1008"/>
      <c r="L48" s="1009"/>
      <c r="M48" s="994"/>
      <c r="N48" s="996"/>
      <c r="O48" s="996"/>
      <c r="P48" s="996"/>
      <c r="Q48" s="996"/>
      <c r="R48" s="925"/>
      <c r="S48" s="944"/>
      <c r="T48" s="944"/>
      <c r="U48" s="944"/>
      <c r="V48" s="997"/>
    </row>
    <row r="49" spans="2:22" ht="30.75">
      <c r="B49" s="1010"/>
      <c r="C49" s="2350" t="str">
        <f>+IF(DATI!$C$11=1,"","RETE GRIGIA")</f>
        <v>RETE GRIGIA</v>
      </c>
      <c r="D49" s="2350"/>
      <c r="E49" s="2350"/>
      <c r="F49" s="2350"/>
      <c r="G49" s="2350"/>
      <c r="H49" s="2350"/>
      <c r="I49" s="2350"/>
      <c r="J49" s="2350"/>
      <c r="K49" s="1011"/>
      <c r="L49" s="1011"/>
      <c r="M49" s="1012"/>
      <c r="N49" s="1005" t="s">
        <v>702</v>
      </c>
      <c r="O49" s="1013"/>
      <c r="P49" s="928"/>
      <c r="Q49" s="928"/>
      <c r="R49" s="2332">
        <f>+R7-30</f>
        <v>2170</v>
      </c>
      <c r="S49" s="2333"/>
      <c r="T49" s="944"/>
      <c r="U49" s="944"/>
      <c r="V49" s="1015"/>
    </row>
    <row r="50" spans="2:22" ht="18.75">
      <c r="B50" s="1010"/>
      <c r="C50" s="2350"/>
      <c r="D50" s="2350"/>
      <c r="E50" s="2350"/>
      <c r="F50" s="2350"/>
      <c r="G50" s="2350"/>
      <c r="H50" s="2350"/>
      <c r="I50" s="2350"/>
      <c r="J50" s="2350"/>
      <c r="K50" s="1011"/>
      <c r="L50" s="1011"/>
      <c r="M50" s="994"/>
      <c r="N50" s="996"/>
      <c r="O50" s="996"/>
      <c r="P50" s="996"/>
      <c r="Q50" s="996"/>
      <c r="R50" s="925"/>
      <c r="S50" s="944"/>
      <c r="T50" s="944"/>
      <c r="U50" s="944"/>
      <c r="V50" s="997"/>
    </row>
    <row r="51" spans="2:22" ht="31.5" thickBot="1">
      <c r="B51" s="1010"/>
      <c r="C51" s="1011"/>
      <c r="D51" s="1011"/>
      <c r="E51" s="1011"/>
      <c r="F51" s="1011"/>
      <c r="G51" s="1011"/>
      <c r="H51" s="1011"/>
      <c r="I51" s="1011"/>
      <c r="J51" s="1011"/>
      <c r="K51" s="1011"/>
      <c r="L51" s="1011"/>
      <c r="M51" s="994"/>
      <c r="N51" s="1005" t="s">
        <v>703</v>
      </c>
      <c r="O51" s="1013"/>
      <c r="P51" s="928"/>
      <c r="Q51" s="928"/>
      <c r="R51" s="2332">
        <f>+R7-25</f>
        <v>2175</v>
      </c>
      <c r="S51" s="2333"/>
      <c r="T51" s="944"/>
      <c r="U51" s="944"/>
      <c r="V51" s="997"/>
    </row>
    <row r="52" spans="2:22" ht="44.25" customHeight="1">
      <c r="B52" s="919"/>
      <c r="C52" s="920" t="str">
        <f>+VLOOKUP(141,TRADUZIONI,DATI!$C$2-1,0)</f>
        <v>QUADRO F</v>
      </c>
      <c r="D52" s="2325" t="s">
        <v>90</v>
      </c>
      <c r="E52" s="2325"/>
      <c r="F52" s="2325"/>
      <c r="G52" s="2325"/>
      <c r="H52" s="2325"/>
      <c r="I52" s="2325"/>
      <c r="J52" s="2325"/>
      <c r="K52" s="2325"/>
      <c r="L52" s="2326"/>
      <c r="M52" s="994"/>
      <c r="N52" s="1016"/>
      <c r="O52" s="1016"/>
      <c r="P52" s="925"/>
      <c r="Q52" s="925"/>
      <c r="R52" s="972"/>
      <c r="S52" s="972"/>
      <c r="T52" s="944"/>
      <c r="U52" s="944"/>
      <c r="V52" s="997"/>
    </row>
    <row r="53" spans="2:22" ht="30.75">
      <c r="B53" s="924"/>
      <c r="C53" s="925"/>
      <c r="D53" s="925"/>
      <c r="E53" s="925"/>
      <c r="F53" s="925"/>
      <c r="G53" s="925"/>
      <c r="H53" s="925"/>
      <c r="I53" s="925"/>
      <c r="J53" s="925"/>
      <c r="K53" s="925"/>
      <c r="L53" s="926"/>
      <c r="M53" s="994"/>
      <c r="N53" s="2318" t="s">
        <v>704</v>
      </c>
      <c r="O53" s="2313"/>
      <c r="P53" s="2313"/>
      <c r="Q53" s="2313"/>
      <c r="R53" s="2332">
        <f>+R7-30</f>
        <v>2170</v>
      </c>
      <c r="S53" s="2333"/>
      <c r="T53" s="944"/>
      <c r="U53" s="944"/>
      <c r="V53" s="997"/>
    </row>
    <row r="54" spans="2:22" ht="28.5">
      <c r="B54" s="924"/>
      <c r="C54" s="1017" t="s">
        <v>92</v>
      </c>
      <c r="D54" s="1018"/>
      <c r="E54" s="1019"/>
      <c r="F54" s="925"/>
      <c r="G54" s="1020"/>
      <c r="H54" s="925"/>
      <c r="I54" s="925"/>
      <c r="J54" s="925"/>
      <c r="K54" s="925"/>
      <c r="L54" s="926"/>
      <c r="M54" s="1021"/>
      <c r="N54" s="1023"/>
      <c r="O54" s="1023"/>
      <c r="P54" s="1023"/>
      <c r="Q54" s="1023"/>
      <c r="R54" s="1023"/>
      <c r="S54" s="1023"/>
      <c r="T54" s="1023"/>
      <c r="U54" s="1023"/>
      <c r="V54" s="1024"/>
    </row>
    <row r="55" spans="2:22" ht="28.5">
      <c r="B55" s="924"/>
      <c r="C55" s="1017"/>
      <c r="D55" s="1018"/>
      <c r="E55" s="1019"/>
      <c r="F55" s="925"/>
      <c r="G55" s="1020"/>
      <c r="H55" s="925"/>
      <c r="I55" s="925"/>
      <c r="J55" s="925"/>
      <c r="K55" s="925"/>
      <c r="L55" s="926"/>
      <c r="M55" s="994"/>
      <c r="N55" s="1016"/>
      <c r="O55" s="944"/>
      <c r="P55" s="944"/>
      <c r="Q55" s="944"/>
      <c r="R55" s="944"/>
      <c r="S55" s="944"/>
      <c r="T55" s="944"/>
      <c r="U55" s="944"/>
      <c r="V55" s="997"/>
    </row>
    <row r="56" spans="2:22" ht="28.5">
      <c r="B56" s="924"/>
      <c r="C56" s="1025"/>
      <c r="D56" s="1026" t="s">
        <v>94</v>
      </c>
      <c r="E56" s="925"/>
      <c r="F56" s="1020"/>
      <c r="G56" s="1020"/>
      <c r="H56" s="925"/>
      <c r="I56" s="925"/>
      <c r="J56" s="925"/>
      <c r="K56" s="925"/>
      <c r="L56" s="926"/>
      <c r="M56" s="925"/>
      <c r="N56" s="925"/>
      <c r="O56" s="925"/>
      <c r="P56" s="925"/>
      <c r="Q56" s="925"/>
      <c r="R56" s="925"/>
      <c r="S56" s="925"/>
      <c r="T56" s="925"/>
      <c r="U56" s="925"/>
      <c r="V56" s="981"/>
    </row>
    <row r="57" spans="2:22" ht="28.5">
      <c r="B57" s="924"/>
      <c r="C57" s="1027"/>
      <c r="D57" s="1026" t="s">
        <v>95</v>
      </c>
      <c r="E57" s="925"/>
      <c r="F57" s="950"/>
      <c r="G57" s="937"/>
      <c r="H57" s="925"/>
      <c r="I57" s="925"/>
      <c r="J57" s="925"/>
      <c r="K57" s="925"/>
      <c r="L57" s="926"/>
      <c r="M57" s="994"/>
      <c r="N57" s="2345" t="s">
        <v>483</v>
      </c>
      <c r="O57" s="2346"/>
      <c r="P57" s="2346"/>
      <c r="Q57" s="2346"/>
      <c r="R57" s="2346"/>
      <c r="S57" s="2346"/>
      <c r="T57" s="2347"/>
      <c r="U57" s="944"/>
      <c r="V57" s="997"/>
    </row>
    <row r="58" spans="2:22" ht="28.5">
      <c r="B58" s="924"/>
      <c r="C58" s="1027"/>
      <c r="D58" s="1026" t="s">
        <v>96</v>
      </c>
      <c r="E58" s="925"/>
      <c r="F58" s="950"/>
      <c r="G58" s="937"/>
      <c r="H58" s="925"/>
      <c r="I58" s="925"/>
      <c r="J58" s="925"/>
      <c r="K58" s="925"/>
      <c r="L58" s="926"/>
      <c r="M58" s="994"/>
      <c r="N58" s="925"/>
      <c r="O58" s="925"/>
      <c r="P58" s="925"/>
      <c r="Q58" s="925"/>
      <c r="R58" s="925"/>
      <c r="S58" s="925"/>
      <c r="T58" s="925"/>
      <c r="U58" s="1028"/>
      <c r="V58" s="997"/>
    </row>
    <row r="59" spans="2:22" ht="18.75">
      <c r="B59" s="1029"/>
      <c r="C59" s="1030"/>
      <c r="D59" s="1031"/>
      <c r="E59" s="1031"/>
      <c r="F59" s="1031"/>
      <c r="G59" s="1031"/>
      <c r="H59" s="1031"/>
      <c r="I59" s="1031"/>
      <c r="J59" s="1031"/>
      <c r="K59" s="1031"/>
      <c r="L59" s="1032"/>
      <c r="M59" s="994"/>
      <c r="N59" s="996"/>
      <c r="O59" s="996"/>
      <c r="P59" s="996"/>
      <c r="Q59" s="996"/>
      <c r="R59" s="925"/>
      <c r="S59" s="944"/>
      <c r="T59" s="944"/>
      <c r="U59" s="944"/>
      <c r="V59" s="997"/>
    </row>
    <row r="60" spans="2:22" ht="30.75">
      <c r="B60" s="1035" t="s">
        <v>37</v>
      </c>
      <c r="C60" s="1036"/>
      <c r="D60" s="1036"/>
      <c r="E60" s="1036"/>
      <c r="F60" s="1036"/>
      <c r="G60" s="1036"/>
      <c r="H60" s="1036"/>
      <c r="I60" s="1036"/>
      <c r="J60" s="1036"/>
      <c r="K60" s="1036"/>
      <c r="L60" s="1037"/>
      <c r="M60" s="994"/>
      <c r="N60" s="1033" t="str">
        <f>+VLOOKUP(78,TRADUZIONI,DATI!C2-1,0)</f>
        <v>PEZZI /PZ.</v>
      </c>
      <c r="O60" s="1014">
        <f>2*P11</f>
        <v>2</v>
      </c>
      <c r="P60" s="1034"/>
      <c r="Q60" s="1034"/>
      <c r="R60" s="925"/>
      <c r="S60" s="944"/>
      <c r="T60" s="944"/>
      <c r="U60" s="944"/>
      <c r="V60" s="997"/>
    </row>
    <row r="61" spans="2:22" ht="21">
      <c r="B61" s="1038" t="s">
        <v>37</v>
      </c>
      <c r="C61" s="1039"/>
      <c r="D61" s="1040" t="s">
        <v>98</v>
      </c>
      <c r="E61" s="1040" t="s">
        <v>99</v>
      </c>
      <c r="F61" s="1040" t="s">
        <v>100</v>
      </c>
      <c r="G61" s="1039"/>
      <c r="H61" s="1039"/>
      <c r="I61" s="1039"/>
      <c r="J61" s="1039"/>
      <c r="K61" s="1039"/>
      <c r="L61" s="1041"/>
      <c r="M61" s="994"/>
      <c r="N61" s="996"/>
      <c r="O61" s="996"/>
      <c r="P61" s="996"/>
      <c r="Q61" s="996"/>
      <c r="R61" s="925"/>
      <c r="S61" s="944"/>
      <c r="T61" s="944"/>
      <c r="U61" s="944"/>
      <c r="V61" s="997"/>
    </row>
    <row r="62" spans="2:22" ht="30.75">
      <c r="B62" s="1042"/>
      <c r="C62" s="1039"/>
      <c r="D62" s="1043" t="s">
        <v>44</v>
      </c>
      <c r="E62" s="1044"/>
      <c r="F62" s="1044"/>
      <c r="G62" s="1045"/>
      <c r="H62" s="1039"/>
      <c r="I62" s="1039"/>
      <c r="J62" s="1039"/>
      <c r="K62" s="1039"/>
      <c r="L62" s="1041"/>
      <c r="M62" s="994"/>
      <c r="N62" s="2318" t="s">
        <v>760</v>
      </c>
      <c r="O62" s="2313"/>
      <c r="P62" s="2313"/>
      <c r="Q62" s="2313"/>
      <c r="R62" s="2332">
        <f>+R7-32</f>
        <v>2168</v>
      </c>
      <c r="S62" s="2333"/>
      <c r="T62" s="944"/>
      <c r="U62" s="944"/>
      <c r="V62" s="997"/>
    </row>
    <row r="63" spans="2:22" ht="21">
      <c r="B63" s="1046"/>
      <c r="C63" s="1039"/>
      <c r="D63" s="1047">
        <v>0.05</v>
      </c>
      <c r="E63" s="1048">
        <v>0.17499999999999999</v>
      </c>
      <c r="F63" s="1049" t="s">
        <v>102</v>
      </c>
      <c r="G63" s="1048">
        <f>(R7+300)/1000</f>
        <v>2.5</v>
      </c>
      <c r="H63" s="1039"/>
      <c r="I63" s="1039"/>
      <c r="J63" s="1039"/>
      <c r="K63" s="1039"/>
      <c r="L63" s="1041"/>
      <c r="M63" s="994"/>
      <c r="N63" s="996"/>
      <c r="O63" s="996"/>
      <c r="P63" s="996"/>
      <c r="Q63" s="996"/>
      <c r="R63" s="925"/>
      <c r="S63" s="944"/>
      <c r="T63" s="944"/>
      <c r="U63" s="944"/>
      <c r="V63" s="997"/>
    </row>
    <row r="64" spans="2:22" ht="30.75">
      <c r="B64" s="1050"/>
      <c r="C64" s="1039"/>
      <c r="D64" s="1047" t="s">
        <v>103</v>
      </c>
      <c r="E64" s="1047"/>
      <c r="F64" s="1048" t="str">
        <f>P11</f>
        <v>1</v>
      </c>
      <c r="G64" s="1047" t="s">
        <v>104</v>
      </c>
      <c r="H64" s="1039"/>
      <c r="I64" s="1039"/>
      <c r="J64" s="1039"/>
      <c r="K64" s="1039"/>
      <c r="L64" s="1041"/>
      <c r="M64" s="994"/>
      <c r="N64" s="2336"/>
      <c r="O64" s="2336"/>
      <c r="P64" s="2336"/>
      <c r="Q64" s="2336"/>
      <c r="R64" s="2331"/>
      <c r="S64" s="2331"/>
      <c r="T64" s="944"/>
      <c r="U64" s="944"/>
      <c r="V64" s="997"/>
    </row>
    <row r="65" spans="2:22" ht="21.75" thickBot="1">
      <c r="B65" s="1055"/>
      <c r="C65" s="1056"/>
      <c r="D65" s="1057" t="s">
        <v>105</v>
      </c>
      <c r="E65" s="1057"/>
      <c r="F65" s="1058">
        <f>(D63*E63*G63)*F64</f>
        <v>2.1874999999999999E-2</v>
      </c>
      <c r="G65" s="1057" t="s">
        <v>106</v>
      </c>
      <c r="H65" s="1056"/>
      <c r="I65" s="1056"/>
      <c r="J65" s="1056"/>
      <c r="K65" s="1056"/>
      <c r="L65" s="1059"/>
      <c r="M65" s="1051"/>
      <c r="N65" s="1053"/>
      <c r="O65" s="1053"/>
      <c r="P65" s="1053"/>
      <c r="Q65" s="1053"/>
      <c r="R65" s="1053"/>
      <c r="S65" s="1053"/>
      <c r="T65" s="1053"/>
      <c r="U65" s="1053"/>
      <c r="V65" s="1054"/>
    </row>
    <row r="66" spans="2:22" ht="44.25" customHeight="1">
      <c r="B66" s="919"/>
      <c r="C66" s="920" t="str">
        <f>+VLOOKUP(142,TRADUZIONI,DATI!$C$2-1,0)</f>
        <v>QUADRO G</v>
      </c>
      <c r="D66" s="2355" t="s">
        <v>108</v>
      </c>
      <c r="E66" s="2355"/>
      <c r="F66" s="2355"/>
      <c r="G66" s="2355"/>
      <c r="H66" s="2355"/>
      <c r="I66" s="2355"/>
      <c r="J66" s="2355"/>
      <c r="K66" s="2355"/>
      <c r="L66" s="2356"/>
      <c r="M66" s="994"/>
      <c r="N66" s="996"/>
      <c r="O66" s="996"/>
      <c r="P66" s="996"/>
      <c r="Q66" s="996"/>
      <c r="R66" s="925"/>
      <c r="S66" s="944"/>
      <c r="T66" s="944"/>
      <c r="U66" s="944"/>
      <c r="V66" s="997"/>
    </row>
    <row r="67" spans="2:22" ht="27.75">
      <c r="B67" s="2363" t="s">
        <v>109</v>
      </c>
      <c r="C67" s="2364"/>
      <c r="D67" s="2364"/>
      <c r="E67" s="2365"/>
      <c r="F67" s="2366" t="s">
        <v>110</v>
      </c>
      <c r="G67" s="2364"/>
      <c r="H67" s="2364"/>
      <c r="I67" s="2364"/>
      <c r="J67" s="2364"/>
      <c r="K67" s="2364"/>
      <c r="L67" s="2367"/>
      <c r="M67" s="994"/>
      <c r="N67" s="2345" t="s">
        <v>111</v>
      </c>
      <c r="O67" s="2346"/>
      <c r="P67" s="2346"/>
      <c r="Q67" s="2346"/>
      <c r="R67" s="2346"/>
      <c r="S67" s="2346"/>
      <c r="T67" s="2346"/>
      <c r="U67" s="2347"/>
      <c r="V67" s="997"/>
    </row>
    <row r="68" spans="2:22" ht="21">
      <c r="B68" s="2368" t="s">
        <v>112</v>
      </c>
      <c r="C68" s="2369"/>
      <c r="D68" s="2353" t="s">
        <v>113</v>
      </c>
      <c r="E68" s="2354"/>
      <c r="F68" s="2384">
        <f>+DATI!C12</f>
        <v>0</v>
      </c>
      <c r="G68" s="2385"/>
      <c r="H68" s="2385"/>
      <c r="I68" s="2385"/>
      <c r="J68" s="2385"/>
      <c r="K68" s="2385"/>
      <c r="L68" s="2386"/>
      <c r="M68" s="994"/>
      <c r="N68" s="996"/>
      <c r="O68" s="996"/>
      <c r="P68" s="996"/>
      <c r="Q68" s="996"/>
      <c r="R68" s="925"/>
      <c r="S68" s="925"/>
      <c r="T68" s="925"/>
      <c r="U68" s="925"/>
      <c r="V68" s="997"/>
    </row>
    <row r="69" spans="2:22" ht="28.5">
      <c r="B69" s="2370"/>
      <c r="C69" s="2371"/>
      <c r="D69" s="2374"/>
      <c r="E69" s="2375"/>
      <c r="F69" s="2387"/>
      <c r="G69" s="2388"/>
      <c r="H69" s="2388"/>
      <c r="I69" s="2388"/>
      <c r="J69" s="2388"/>
      <c r="K69" s="2388"/>
      <c r="L69" s="2389"/>
      <c r="M69" s="994"/>
      <c r="N69" s="1005" t="s">
        <v>705</v>
      </c>
      <c r="O69" s="928"/>
      <c r="P69" s="1068"/>
      <c r="Q69" s="2351">
        <f>+P7-2</f>
        <v>1398</v>
      </c>
      <c r="R69" s="2352"/>
      <c r="S69" s="925"/>
      <c r="T69" s="1033" t="str">
        <f>+VLOOKUP(78,TRADUZIONI,DATI!C2-1,0)</f>
        <v>PEZZI /PZ.</v>
      </c>
      <c r="U69" s="1069" t="s">
        <v>122</v>
      </c>
      <c r="V69" s="997"/>
    </row>
    <row r="70" spans="2:22" ht="21">
      <c r="B70" s="2370"/>
      <c r="C70" s="2371"/>
      <c r="D70" s="2374"/>
      <c r="E70" s="2375"/>
      <c r="F70" s="2366" t="s">
        <v>114</v>
      </c>
      <c r="G70" s="2364"/>
      <c r="H70" s="2364"/>
      <c r="I70" s="2364"/>
      <c r="J70" s="2364"/>
      <c r="K70" s="2366" t="s">
        <v>115</v>
      </c>
      <c r="L70" s="2367"/>
      <c r="M70" s="994"/>
      <c r="N70" s="996"/>
      <c r="O70" s="996"/>
      <c r="P70" s="996"/>
      <c r="Q70" s="996"/>
      <c r="R70" s="925"/>
      <c r="S70" s="925"/>
      <c r="T70" s="925"/>
      <c r="U70" s="925"/>
      <c r="V70" s="997"/>
    </row>
    <row r="71" spans="2:22" ht="28.5">
      <c r="B71" s="2370"/>
      <c r="C71" s="2371"/>
      <c r="D71" s="2374"/>
      <c r="E71" s="2375"/>
      <c r="F71" s="2380" t="str">
        <f>+IF(DATI!$C$11=1,"","RETE GRIGIA")</f>
        <v>RETE GRIGIA</v>
      </c>
      <c r="G71" s="2381"/>
      <c r="H71" s="2381"/>
      <c r="I71" s="2381"/>
      <c r="J71" s="2381"/>
      <c r="K71" s="1060"/>
      <c r="L71" s="1041"/>
      <c r="M71" s="994"/>
      <c r="N71" s="1005" t="s">
        <v>706</v>
      </c>
      <c r="O71" s="1013"/>
      <c r="P71" s="928"/>
      <c r="Q71" s="2351">
        <f>+P7-2</f>
        <v>1398</v>
      </c>
      <c r="R71" s="2352"/>
      <c r="S71" s="925"/>
      <c r="T71" s="1033" t="str">
        <f>+VLOOKUP(78,TRADUZIONI,DATI!C2-1,0)</f>
        <v>PEZZI /PZ.</v>
      </c>
      <c r="U71" s="1069" t="s">
        <v>122</v>
      </c>
      <c r="V71" s="997"/>
    </row>
    <row r="72" spans="2:22" ht="21.75" thickBot="1">
      <c r="B72" s="2372"/>
      <c r="C72" s="2373"/>
      <c r="D72" s="2376"/>
      <c r="E72" s="2377"/>
      <c r="F72" s="2382"/>
      <c r="G72" s="2383"/>
      <c r="H72" s="2383"/>
      <c r="I72" s="2383"/>
      <c r="J72" s="2383"/>
      <c r="K72" s="1061"/>
      <c r="L72" s="1062"/>
      <c r="M72" s="1063"/>
      <c r="N72" s="1064"/>
      <c r="O72" s="1064"/>
      <c r="P72" s="1064"/>
      <c r="Q72" s="1064"/>
      <c r="R72" s="1064"/>
      <c r="S72" s="1064"/>
      <c r="T72" s="1064"/>
      <c r="U72" s="1064"/>
      <c r="V72" s="1065"/>
    </row>
    <row r="74" spans="2:22" ht="99.75">
      <c r="V74" s="1066"/>
    </row>
  </sheetData>
  <mergeCells count="54">
    <mergeCell ref="Q69:R69"/>
    <mergeCell ref="F70:J70"/>
    <mergeCell ref="K70:L70"/>
    <mergeCell ref="F71:J72"/>
    <mergeCell ref="Q71:R71"/>
    <mergeCell ref="B68:C68"/>
    <mergeCell ref="D68:E68"/>
    <mergeCell ref="F68:L69"/>
    <mergeCell ref="B69:C72"/>
    <mergeCell ref="D69:E72"/>
    <mergeCell ref="N64:Q64"/>
    <mergeCell ref="R64:S64"/>
    <mergeCell ref="D66:L66"/>
    <mergeCell ref="B67:E67"/>
    <mergeCell ref="F67:L67"/>
    <mergeCell ref="N67:U67"/>
    <mergeCell ref="N53:Q53"/>
    <mergeCell ref="R53:S53"/>
    <mergeCell ref="N57:T57"/>
    <mergeCell ref="N62:Q62"/>
    <mergeCell ref="R62:S62"/>
    <mergeCell ref="Q47:R47"/>
    <mergeCell ref="C49:J50"/>
    <mergeCell ref="R49:S49"/>
    <mergeCell ref="R51:S51"/>
    <mergeCell ref="D52:L52"/>
    <mergeCell ref="M40:V40"/>
    <mergeCell ref="M41:V41"/>
    <mergeCell ref="D43:L43"/>
    <mergeCell ref="O43:V43"/>
    <mergeCell ref="N45:T45"/>
    <mergeCell ref="H33:I33"/>
    <mergeCell ref="J34:K34"/>
    <mergeCell ref="C36:I36"/>
    <mergeCell ref="C37:I38"/>
    <mergeCell ref="C40:E40"/>
    <mergeCell ref="G40:K40"/>
    <mergeCell ref="F15:J20"/>
    <mergeCell ref="P16:Q16"/>
    <mergeCell ref="C22:E22"/>
    <mergeCell ref="F31:G31"/>
    <mergeCell ref="G32:H32"/>
    <mergeCell ref="N9:O9"/>
    <mergeCell ref="P9:S9"/>
    <mergeCell ref="D10:G10"/>
    <mergeCell ref="N11:O11"/>
    <mergeCell ref="D14:L14"/>
    <mergeCell ref="O14:V14"/>
    <mergeCell ref="B2:V2"/>
    <mergeCell ref="E4:O4"/>
    <mergeCell ref="D6:G6"/>
    <mergeCell ref="N6:O7"/>
    <mergeCell ref="R6:S6"/>
    <mergeCell ref="R7:S7"/>
  </mergeCells>
  <printOptions horizontalCentered="1"/>
  <pageMargins left="0" right="0" top="0" bottom="0" header="0" footer="0"/>
  <pageSetup paperSize="9" scale="38" orientation="portrait" horizontalDpi="1200" verticalDpi="1200" r:id="rId1"/>
  <headerFooter alignWithMargins="0">
    <oddFooter>&amp;LREV. 09/05 - VER.1&amp;R&amp;D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0">
    <tabColor theme="2" tint="-0.249977111117893"/>
    <pageSetUpPr fitToPage="1"/>
  </sheetPr>
  <dimension ref="A1:AA94"/>
  <sheetViews>
    <sheetView showGridLines="0" topLeftCell="A15" zoomScale="40" zoomScaleNormal="40" workbookViewId="0">
      <selection activeCell="G32" sqref="G32:H32"/>
    </sheetView>
  </sheetViews>
  <sheetFormatPr defaultColWidth="10.28515625" defaultRowHeight="15"/>
  <cols>
    <col min="1" max="1" width="34.85546875" style="918" customWidth="1"/>
    <col min="2" max="2" width="4.5703125" style="918" customWidth="1"/>
    <col min="3" max="3" width="32" style="918" customWidth="1"/>
    <col min="4" max="4" width="30.140625" style="918" customWidth="1"/>
    <col min="5" max="5" width="21.140625" style="918" customWidth="1"/>
    <col min="6" max="6" width="15" style="918" customWidth="1"/>
    <col min="7" max="7" width="17.85546875" style="918" customWidth="1"/>
    <col min="8" max="9" width="9.28515625" style="918" customWidth="1"/>
    <col min="10" max="10" width="6.42578125" style="918" customWidth="1"/>
    <col min="11" max="11" width="9.85546875" style="918" customWidth="1"/>
    <col min="12" max="12" width="4.7109375" style="918" customWidth="1"/>
    <col min="13" max="13" width="3.7109375" style="918" customWidth="1"/>
    <col min="14" max="14" width="17.85546875" style="918" customWidth="1"/>
    <col min="15" max="15" width="13.85546875" style="918" customWidth="1"/>
    <col min="16" max="16" width="16.28515625" style="918" customWidth="1"/>
    <col min="17" max="17" width="9.7109375" style="918" customWidth="1"/>
    <col min="18" max="18" width="11.140625" style="918" customWidth="1"/>
    <col min="19" max="19" width="9.5703125" style="918" customWidth="1"/>
    <col min="20" max="20" width="19" style="918" customWidth="1"/>
    <col min="21" max="21" width="11.42578125" style="918" customWidth="1"/>
    <col min="22" max="22" width="6.5703125" style="918" customWidth="1"/>
    <col min="23" max="24" width="10.28515625" style="918"/>
    <col min="25" max="25" width="17.28515625" style="918" bestFit="1" customWidth="1"/>
    <col min="26" max="16384" width="10.28515625" style="918"/>
  </cols>
  <sheetData>
    <row r="1" spans="1:22" ht="18">
      <c r="A1" s="917"/>
    </row>
    <row r="2" spans="1:22" ht="33.75">
      <c r="A2" s="917"/>
      <c r="B2" s="2305" t="s">
        <v>722</v>
      </c>
      <c r="C2" s="2306"/>
      <c r="D2" s="2306"/>
      <c r="E2" s="2306"/>
      <c r="F2" s="2306"/>
      <c r="G2" s="2306"/>
      <c r="H2" s="2306"/>
      <c r="I2" s="2306"/>
      <c r="J2" s="2306"/>
      <c r="K2" s="2306"/>
      <c r="L2" s="2306"/>
      <c r="M2" s="2306"/>
      <c r="N2" s="2306"/>
      <c r="O2" s="2306"/>
      <c r="P2" s="2306"/>
      <c r="Q2" s="2306"/>
      <c r="R2" s="2306"/>
      <c r="S2" s="2306"/>
      <c r="T2" s="2306"/>
      <c r="U2" s="2306"/>
      <c r="V2" s="2306"/>
    </row>
    <row r="3" spans="1:22" ht="18.75" thickBot="1">
      <c r="A3" s="917"/>
    </row>
    <row r="4" spans="1:22" ht="44.25" customHeight="1">
      <c r="A4" s="917"/>
      <c r="B4" s="919"/>
      <c r="C4" s="920" t="str">
        <f>+VLOOKUP(108,TRADUZIONI,DATI!$C$2-1,0)</f>
        <v>QUADRO A</v>
      </c>
      <c r="D4" s="921"/>
      <c r="E4" s="2307" t="str">
        <f>+VLOOKUP(109,TRADUZIONI,DATI!$C$2-1,0)</f>
        <v>DATI ORDINE</v>
      </c>
      <c r="F4" s="2307"/>
      <c r="G4" s="2307"/>
      <c r="H4" s="2307"/>
      <c r="I4" s="2307"/>
      <c r="J4" s="2307"/>
      <c r="K4" s="2307"/>
      <c r="L4" s="2307"/>
      <c r="M4" s="2307"/>
      <c r="N4" s="2307"/>
      <c r="O4" s="2307"/>
      <c r="P4" s="922"/>
      <c r="Q4" s="921"/>
      <c r="R4" s="921"/>
      <c r="S4" s="921"/>
      <c r="T4" s="921"/>
      <c r="U4" s="921"/>
      <c r="V4" s="923"/>
    </row>
    <row r="5" spans="1:22" ht="18">
      <c r="A5" s="917"/>
      <c r="B5" s="924"/>
      <c r="C5" s="925"/>
      <c r="D5" s="925"/>
      <c r="E5" s="925"/>
      <c r="F5" s="925"/>
      <c r="G5" s="925"/>
      <c r="H5" s="925"/>
      <c r="I5" s="925"/>
      <c r="J5" s="925"/>
      <c r="K5" s="925"/>
      <c r="L5" s="925"/>
      <c r="M5" s="925"/>
      <c r="N5" s="925"/>
      <c r="O5" s="925"/>
      <c r="P5" s="925"/>
      <c r="Q5" s="925"/>
      <c r="R5" s="925"/>
      <c r="S5" s="925"/>
      <c r="T5" s="925"/>
      <c r="U5" s="925"/>
      <c r="V5" s="926"/>
    </row>
    <row r="6" spans="1:22" ht="30.75">
      <c r="A6" s="917"/>
      <c r="B6" s="924"/>
      <c r="C6" s="1432" t="str">
        <f>+VLOOKUP(22,TRADUZIONI,DATI!C2-1,0)</f>
        <v>CLIENTE</v>
      </c>
      <c r="D6" s="2308">
        <f>+DATI!C6</f>
        <v>0</v>
      </c>
      <c r="E6" s="2308"/>
      <c r="F6" s="2308"/>
      <c r="G6" s="2308"/>
      <c r="H6" s="928"/>
      <c r="I6" s="928"/>
      <c r="J6" s="928"/>
      <c r="K6" s="929"/>
      <c r="L6" s="930"/>
      <c r="M6" s="931"/>
      <c r="N6" s="2309" t="str">
        <f>+VLOOKUP(115,TRADUZIONI,DATI!C2-1,0)</f>
        <v xml:space="preserve">DIMENSIONI </v>
      </c>
      <c r="O6" s="2310"/>
      <c r="P6" s="1434" t="str">
        <f>+VLOOKUP(96,TRADUZIONI,DATI!C2-1,0)</f>
        <v>BASE</v>
      </c>
      <c r="Q6" s="932"/>
      <c r="R6" s="2313" t="str">
        <f>+VLOOKUP(97,TRADUZIONI,DATI!C2-1,0)</f>
        <v>ALTEZZA</v>
      </c>
      <c r="S6" s="2314"/>
      <c r="T6" s="925"/>
      <c r="U6" s="925"/>
      <c r="V6" s="926"/>
    </row>
    <row r="7" spans="1:22" ht="29.25" customHeight="1">
      <c r="A7" s="917"/>
      <c r="B7" s="924"/>
      <c r="C7" s="925"/>
      <c r="D7" s="925" t="s">
        <v>37</v>
      </c>
      <c r="E7" s="925"/>
      <c r="F7" s="925"/>
      <c r="G7" s="925"/>
      <c r="H7" s="925"/>
      <c r="I7" s="925"/>
      <c r="J7" s="925"/>
      <c r="K7" s="925"/>
      <c r="L7" s="930"/>
      <c r="M7" s="931"/>
      <c r="N7" s="2311"/>
      <c r="O7" s="2312"/>
      <c r="P7" s="933">
        <f>+DATI!C7</f>
        <v>1400</v>
      </c>
      <c r="Q7" s="934" t="s">
        <v>44</v>
      </c>
      <c r="R7" s="2315">
        <f>+DATI!C8</f>
        <v>2200</v>
      </c>
      <c r="S7" s="2316"/>
      <c r="T7" s="925"/>
      <c r="U7" s="925"/>
      <c r="V7" s="926"/>
    </row>
    <row r="8" spans="1:22" ht="30.75">
      <c r="A8" s="917"/>
      <c r="B8" s="924"/>
      <c r="C8" s="927" t="str">
        <f>+VLOOKUP(23,TRADUZIONI,DATI!C2-1,0)</f>
        <v>NUM. ORDINE</v>
      </c>
      <c r="D8" s="935">
        <f>+DATI!C4</f>
        <v>0</v>
      </c>
      <c r="E8" s="935"/>
      <c r="F8" s="935"/>
      <c r="G8" s="935"/>
      <c r="H8" s="928"/>
      <c r="I8" s="928"/>
      <c r="J8" s="928"/>
      <c r="K8" s="929"/>
      <c r="L8" s="930"/>
      <c r="M8" s="931"/>
      <c r="N8" s="925"/>
      <c r="O8" s="925"/>
      <c r="P8" s="925"/>
      <c r="Q8" s="925"/>
      <c r="R8" s="936"/>
      <c r="S8" s="925"/>
      <c r="T8" s="925"/>
      <c r="U8" s="925"/>
      <c r="V8" s="926"/>
    </row>
    <row r="9" spans="1:22" ht="30.75">
      <c r="A9" s="917"/>
      <c r="B9" s="924"/>
      <c r="C9" s="925"/>
      <c r="D9" s="925"/>
      <c r="E9" s="925"/>
      <c r="F9" s="925"/>
      <c r="G9" s="925"/>
      <c r="H9" s="925"/>
      <c r="I9" s="925"/>
      <c r="J9" s="925"/>
      <c r="K9" s="925"/>
      <c r="L9" s="930"/>
      <c r="M9" s="931"/>
      <c r="N9" s="2318" t="str">
        <f>+VLOOKUP(99,TRADUZIONI,DATI!C2-1,0)</f>
        <v>COLORE</v>
      </c>
      <c r="O9" s="2314"/>
      <c r="P9" s="2319" t="str">
        <f>+DATI!C10</f>
        <v>06.NERO</v>
      </c>
      <c r="Q9" s="2320"/>
      <c r="R9" s="2320"/>
      <c r="S9" s="2321"/>
      <c r="T9" s="925"/>
      <c r="U9" s="925"/>
      <c r="V9" s="926"/>
    </row>
    <row r="10" spans="1:22" ht="30.75">
      <c r="A10" s="917"/>
      <c r="B10" s="924"/>
      <c r="C10" s="1434" t="str">
        <f>+VLOOKUP(5,TRADUZIONI,DATI!C2-1,0)</f>
        <v>DATA SPEDIZIONE</v>
      </c>
      <c r="D10" s="2400">
        <f>+DATI!C5</f>
        <v>42370</v>
      </c>
      <c r="E10" s="2401"/>
      <c r="F10" s="2401"/>
      <c r="G10" s="2401"/>
      <c r="H10" s="928"/>
      <c r="I10" s="928"/>
      <c r="J10" s="928"/>
      <c r="K10" s="929"/>
      <c r="L10" s="930"/>
      <c r="M10" s="931"/>
      <c r="N10" s="937"/>
      <c r="O10" s="925"/>
      <c r="P10" s="925"/>
      <c r="Q10" s="925"/>
      <c r="R10" s="925"/>
      <c r="S10" s="925"/>
      <c r="T10" s="925"/>
      <c r="U10" s="925"/>
      <c r="V10" s="926"/>
    </row>
    <row r="11" spans="1:22" ht="30.75">
      <c r="A11" s="917"/>
      <c r="B11" s="924"/>
      <c r="C11" s="925"/>
      <c r="D11" s="925"/>
      <c r="E11" s="925"/>
      <c r="F11" s="925"/>
      <c r="G11" s="925"/>
      <c r="H11" s="925"/>
      <c r="I11" s="925"/>
      <c r="J11" s="925"/>
      <c r="K11" s="925"/>
      <c r="L11" s="930"/>
      <c r="M11" s="931"/>
      <c r="N11" s="2323" t="str">
        <f>+VLOOKUP(78,TRADUZIONI,DATI!C2-1,0)</f>
        <v>PEZZI /PZ.</v>
      </c>
      <c r="O11" s="2324"/>
      <c r="P11" s="938" t="str">
        <f>+DATI!C11</f>
        <v>1</v>
      </c>
      <c r="Q11" s="925"/>
      <c r="R11" s="925"/>
      <c r="S11" s="925"/>
      <c r="T11" s="925"/>
      <c r="U11" s="925"/>
      <c r="V11" s="926"/>
    </row>
    <row r="12" spans="1:22" ht="30.75">
      <c r="A12" s="917"/>
      <c r="B12" s="924"/>
      <c r="C12" s="927" t="s">
        <v>49</v>
      </c>
      <c r="D12" s="939">
        <f>IF((P7*R7/1000000)&lt;=2,2*P11,IF((P7*R7/1000000)&gt;2,(P7*R7/1000000)*P11))</f>
        <v>3.08</v>
      </c>
      <c r="E12" s="925"/>
      <c r="F12" s="925"/>
      <c r="G12" s="925"/>
      <c r="H12" s="925"/>
      <c r="I12" s="925"/>
      <c r="J12" s="925"/>
      <c r="K12" s="925"/>
      <c r="L12" s="930"/>
      <c r="M12" s="931"/>
      <c r="N12" s="925"/>
      <c r="O12" s="925"/>
      <c r="P12" s="940" t="s">
        <v>37</v>
      </c>
      <c r="Q12" s="925"/>
      <c r="R12" s="925"/>
      <c r="S12" s="925"/>
      <c r="T12" s="941" t="s">
        <v>37</v>
      </c>
      <c r="U12" s="941"/>
      <c r="V12" s="926"/>
    </row>
    <row r="13" spans="1:22" ht="18.75" thickBot="1">
      <c r="A13" s="917"/>
      <c r="B13" s="924"/>
      <c r="C13" s="937"/>
      <c r="D13" s="925"/>
      <c r="E13" s="942"/>
      <c r="F13" s="943"/>
      <c r="G13" s="942"/>
      <c r="H13" s="944"/>
      <c r="I13" s="944"/>
      <c r="J13" s="944"/>
      <c r="K13" s="925"/>
      <c r="L13" s="925"/>
      <c r="M13" s="925"/>
      <c r="N13" s="925"/>
      <c r="O13" s="925"/>
      <c r="P13" s="925"/>
      <c r="Q13" s="925"/>
      <c r="R13" s="945"/>
      <c r="S13" s="925"/>
      <c r="T13" s="946" t="s">
        <v>37</v>
      </c>
      <c r="U13" s="946"/>
      <c r="V13" s="926"/>
    </row>
    <row r="14" spans="1:22" ht="44.25" customHeight="1">
      <c r="B14" s="919"/>
      <c r="C14" s="920" t="str">
        <f>+VLOOKUP(111,TRADUZIONI,DATI!$C$2-1,0)</f>
        <v>QUADRO B</v>
      </c>
      <c r="D14" s="2325" t="str">
        <f>+VLOOKUP(118,TRADUZIONI,DATI!$C$2-1,0)</f>
        <v>DIMENSIONE RETE E FORI</v>
      </c>
      <c r="E14" s="2325"/>
      <c r="F14" s="2325"/>
      <c r="G14" s="2325"/>
      <c r="H14" s="2325"/>
      <c r="I14" s="2325"/>
      <c r="J14" s="2325"/>
      <c r="K14" s="2325"/>
      <c r="L14" s="2326"/>
      <c r="M14" s="919"/>
      <c r="N14" s="920" t="str">
        <f>+VLOOKUP(138,TRADUZIONI,DATI!$C$2-1,0)</f>
        <v>QUADRO C</v>
      </c>
      <c r="O14" s="2327" t="str">
        <f>+VLOOKUP(117,TRADUZIONI,DATI!$C$2-1,0)</f>
        <v>LUNGHEZZA E NUM. CORDINI</v>
      </c>
      <c r="P14" s="2327"/>
      <c r="Q14" s="2327"/>
      <c r="R14" s="2327"/>
      <c r="S14" s="2327"/>
      <c r="T14" s="2327"/>
      <c r="U14" s="2327"/>
      <c r="V14" s="2328"/>
    </row>
    <row r="15" spans="1:22" ht="31.5" customHeight="1">
      <c r="B15" s="947"/>
      <c r="C15" s="925"/>
      <c r="D15" s="925"/>
      <c r="E15" s="925"/>
      <c r="F15" s="2329" t="e">
        <f>IF(DATI!E13="AUTOMATICA",CONCATENATE("*",DATI!E14,"-",REPT("0",4-LEN(F22)),F22,"*"),CONCATENATE("*",DATI!L14,REPT("0",3-LEN(D16)),D16,REPT("0",4-LEN(F22)),F22,DATI!L14,"*"))</f>
        <v>#VALUE!</v>
      </c>
      <c r="G15" s="2329"/>
      <c r="H15" s="2329"/>
      <c r="I15" s="2329"/>
      <c r="J15" s="2329"/>
      <c r="K15" s="948"/>
      <c r="L15" s="949"/>
      <c r="M15" s="924"/>
      <c r="N15" s="925"/>
      <c r="O15" s="925" t="s">
        <v>37</v>
      </c>
      <c r="P15" s="950" t="s">
        <v>37</v>
      </c>
      <c r="Q15" s="925"/>
      <c r="R15" s="925"/>
      <c r="S15" s="925"/>
      <c r="T15" s="951"/>
      <c r="U15" s="951"/>
      <c r="V15" s="926"/>
    </row>
    <row r="16" spans="1:22" ht="30.75" customHeight="1">
      <c r="B16" s="952"/>
      <c r="C16" s="953" t="str">
        <f>+VLOOKUP(19,TRADUZIONI,DATI!C2-1,0)</f>
        <v>PIEGHE</v>
      </c>
      <c r="D16" s="1394">
        <f>2+ROUNDUP((R7-60)*0.0471,0)</f>
        <v>103</v>
      </c>
      <c r="E16" s="925"/>
      <c r="F16" s="2329"/>
      <c r="G16" s="2329"/>
      <c r="H16" s="2329"/>
      <c r="I16" s="2329"/>
      <c r="J16" s="2329"/>
      <c r="K16" s="948"/>
      <c r="L16" s="955"/>
      <c r="M16" s="952"/>
      <c r="N16" s="956"/>
      <c r="O16" s="956"/>
      <c r="P16" s="2323" t="str">
        <f>+VLOOKUP(149,TRADUZIONI,DATI!C2-1,0)</f>
        <v>CORDINI</v>
      </c>
      <c r="Q16" s="2324"/>
      <c r="R16" s="957">
        <f>IF(F22&lt;=930,2,IF(F22&lt;=1800,4,IF(F22&lt;=2700,6,8)))</f>
        <v>4</v>
      </c>
      <c r="S16" s="951"/>
      <c r="T16" s="946"/>
      <c r="U16" s="946"/>
      <c r="V16" s="958"/>
    </row>
    <row r="17" spans="2:27" s="960" customFormat="1" ht="15" customHeight="1">
      <c r="B17" s="924"/>
      <c r="C17" s="925"/>
      <c r="D17" s="925"/>
      <c r="E17" s="925"/>
      <c r="F17" s="2329"/>
      <c r="G17" s="2329"/>
      <c r="H17" s="2329"/>
      <c r="I17" s="2329"/>
      <c r="J17" s="2329"/>
      <c r="K17" s="948"/>
      <c r="L17" s="925"/>
      <c r="M17" s="924"/>
      <c r="N17" s="925"/>
      <c r="O17" s="925"/>
      <c r="P17" s="925"/>
      <c r="Q17" s="959"/>
      <c r="R17" s="925"/>
      <c r="S17" s="925"/>
      <c r="T17" s="925"/>
      <c r="U17" s="925"/>
      <c r="V17" s="926"/>
      <c r="X17" s="918"/>
      <c r="Y17" s="918"/>
      <c r="Z17" s="918"/>
      <c r="AA17" s="918"/>
    </row>
    <row r="18" spans="2:27" ht="49.5" customHeight="1">
      <c r="B18" s="924"/>
      <c r="C18" s="925"/>
      <c r="D18" s="940"/>
      <c r="E18" s="940"/>
      <c r="F18" s="2329"/>
      <c r="G18" s="2329"/>
      <c r="H18" s="2329"/>
      <c r="I18" s="2329"/>
      <c r="J18" s="2329"/>
      <c r="K18" s="948"/>
      <c r="L18" s="925"/>
      <c r="M18" s="924"/>
      <c r="N18" s="925"/>
      <c r="O18" s="925"/>
      <c r="P18" s="925"/>
      <c r="Q18" s="961"/>
      <c r="R18" s="925"/>
      <c r="S18" s="925"/>
      <c r="T18" s="925"/>
      <c r="U18" s="925"/>
      <c r="V18" s="926"/>
    </row>
    <row r="19" spans="2:27" ht="15" customHeight="1">
      <c r="B19" s="924"/>
      <c r="C19" s="925"/>
      <c r="D19" s="940"/>
      <c r="E19" s="940"/>
      <c r="F19" s="2329"/>
      <c r="G19" s="2329"/>
      <c r="H19" s="2329"/>
      <c r="I19" s="2329"/>
      <c r="J19" s="2329"/>
      <c r="K19" s="948"/>
      <c r="L19" s="925"/>
      <c r="M19" s="924"/>
      <c r="N19" s="925"/>
      <c r="O19" s="925"/>
      <c r="P19" s="962" t="s">
        <v>37</v>
      </c>
      <c r="Q19" s="925"/>
      <c r="R19" s="963" t="s">
        <v>37</v>
      </c>
      <c r="S19" s="925"/>
      <c r="T19" s="925"/>
      <c r="U19" s="925"/>
      <c r="V19" s="926"/>
    </row>
    <row r="20" spans="2:27">
      <c r="B20" s="924"/>
      <c r="C20" s="925"/>
      <c r="D20" s="940"/>
      <c r="E20" s="940"/>
      <c r="F20" s="2329"/>
      <c r="G20" s="2329"/>
      <c r="H20" s="2329"/>
      <c r="I20" s="2329"/>
      <c r="J20" s="2329"/>
      <c r="K20" s="948"/>
      <c r="L20" s="925"/>
      <c r="M20" s="964"/>
      <c r="N20" s="925"/>
      <c r="O20" s="925"/>
      <c r="P20" s="925"/>
      <c r="Q20" s="965"/>
      <c r="R20" s="965"/>
      <c r="S20" s="925"/>
      <c r="T20" s="937"/>
      <c r="U20" s="937"/>
      <c r="V20" s="926"/>
    </row>
    <row r="21" spans="2:27">
      <c r="B21" s="924"/>
      <c r="C21" s="925"/>
      <c r="D21" s="940"/>
      <c r="E21" s="925"/>
      <c r="F21" s="950" t="s">
        <v>37</v>
      </c>
      <c r="G21" s="925"/>
      <c r="H21" s="966"/>
      <c r="I21" s="966"/>
      <c r="J21" s="966"/>
      <c r="K21" s="940" t="s">
        <v>37</v>
      </c>
      <c r="L21" s="925"/>
      <c r="M21" s="964"/>
      <c r="N21" s="925"/>
      <c r="O21" s="925"/>
      <c r="P21" s="925"/>
      <c r="Q21" s="925"/>
      <c r="R21" s="959"/>
      <c r="S21" s="925"/>
      <c r="T21" s="965"/>
      <c r="U21" s="965"/>
      <c r="V21" s="926"/>
    </row>
    <row r="22" spans="2:27" ht="30.75">
      <c r="B22" s="924"/>
      <c r="C22" s="2318" t="str">
        <f>CONCATENATE(VLOOKUP(116,TRADUZIONI,DATI!C2-1,0),"(",VLOOKUP(96,TRADUZIONI,DATI!C2-1,0),"-37)")</f>
        <v>TAGLIO RETE(BASE-37)</v>
      </c>
      <c r="D22" s="2313"/>
      <c r="E22" s="2313"/>
      <c r="F22" s="967">
        <f>+P7-37</f>
        <v>1363</v>
      </c>
      <c r="G22" s="968"/>
      <c r="H22" s="969"/>
      <c r="I22" s="969"/>
      <c r="J22" s="969"/>
      <c r="K22" s="970"/>
      <c r="L22" s="925"/>
      <c r="M22" s="964"/>
      <c r="N22" s="925"/>
      <c r="O22" s="925"/>
      <c r="P22" s="966" t="s">
        <v>37</v>
      </c>
      <c r="Q22" s="925" t="s">
        <v>37</v>
      </c>
      <c r="R22" s="925"/>
      <c r="S22" s="925"/>
      <c r="T22" s="961"/>
      <c r="U22" s="961"/>
      <c r="V22" s="926"/>
    </row>
    <row r="23" spans="2:27">
      <c r="B23" s="924"/>
      <c r="C23" s="925"/>
      <c r="D23" s="940"/>
      <c r="E23" s="925"/>
      <c r="F23" s="950"/>
      <c r="G23" s="951"/>
      <c r="H23" s="966"/>
      <c r="I23" s="966"/>
      <c r="J23" s="966"/>
      <c r="K23" s="940"/>
      <c r="L23" s="925"/>
      <c r="M23" s="964"/>
      <c r="N23" s="925"/>
      <c r="O23" s="925"/>
      <c r="P23" s="966"/>
      <c r="Q23" s="925"/>
      <c r="R23" s="925"/>
      <c r="S23" s="925"/>
      <c r="T23" s="961"/>
      <c r="U23" s="961"/>
      <c r="V23" s="926"/>
    </row>
    <row r="24" spans="2:27">
      <c r="B24" s="924"/>
      <c r="C24" s="925"/>
      <c r="D24" s="940"/>
      <c r="E24" s="925"/>
      <c r="F24" s="950"/>
      <c r="G24" s="951"/>
      <c r="H24" s="966"/>
      <c r="I24" s="966"/>
      <c r="J24" s="966"/>
      <c r="K24" s="940"/>
      <c r="L24" s="925"/>
      <c r="M24" s="964"/>
      <c r="N24" s="925"/>
      <c r="O24" s="925"/>
      <c r="P24" s="966"/>
      <c r="Q24" s="925"/>
      <c r="R24" s="925"/>
      <c r="S24" s="925"/>
      <c r="T24" s="961"/>
      <c r="U24" s="961"/>
      <c r="V24" s="926"/>
    </row>
    <row r="25" spans="2:27">
      <c r="B25" s="924"/>
      <c r="C25" s="925"/>
      <c r="D25" s="940"/>
      <c r="E25" s="925"/>
      <c r="F25" s="950"/>
      <c r="G25" s="951"/>
      <c r="H25" s="966"/>
      <c r="I25" s="966"/>
      <c r="J25" s="966"/>
      <c r="K25" s="940"/>
      <c r="L25" s="925"/>
      <c r="M25" s="924"/>
      <c r="N25" s="925"/>
      <c r="O25" s="925"/>
      <c r="P25" s="966"/>
      <c r="Q25" s="925"/>
      <c r="R25" s="925"/>
      <c r="S25" s="925"/>
      <c r="T25" s="961"/>
      <c r="U25" s="961"/>
      <c r="V25" s="926"/>
    </row>
    <row r="26" spans="2:27">
      <c r="B26" s="924"/>
      <c r="C26" s="925"/>
      <c r="D26" s="940"/>
      <c r="E26" s="925"/>
      <c r="F26" s="950"/>
      <c r="G26" s="951"/>
      <c r="H26" s="966"/>
      <c r="I26" s="966"/>
      <c r="J26" s="966"/>
      <c r="K26" s="940"/>
      <c r="L26" s="925"/>
      <c r="M26" s="924"/>
      <c r="N26" s="925"/>
      <c r="O26" s="925"/>
      <c r="P26" s="925"/>
      <c r="Q26" s="925"/>
      <c r="R26" s="925"/>
      <c r="S26" s="940"/>
      <c r="T26" s="925"/>
      <c r="U26" s="925"/>
      <c r="V26" s="926"/>
    </row>
    <row r="27" spans="2:27" ht="30.75">
      <c r="B27" s="924"/>
      <c r="C27" s="971">
        <f>40+125</f>
        <v>165</v>
      </c>
      <c r="D27" s="940"/>
      <c r="E27" s="925"/>
      <c r="F27" s="950"/>
      <c r="G27" s="951"/>
      <c r="H27" s="966"/>
      <c r="I27" s="966"/>
      <c r="J27" s="966"/>
      <c r="K27" s="940"/>
      <c r="L27" s="925"/>
      <c r="M27" s="924"/>
      <c r="N27" s="925"/>
      <c r="O27" s="925"/>
      <c r="P27" s="925"/>
      <c r="Q27" s="925"/>
      <c r="R27" s="925"/>
      <c r="S27" s="925"/>
      <c r="T27" s="925"/>
      <c r="U27" s="925"/>
      <c r="V27" s="926"/>
    </row>
    <row r="28" spans="2:27" ht="36" customHeight="1">
      <c r="B28" s="924"/>
      <c r="C28" s="972">
        <f>+C27+F40</f>
        <v>509</v>
      </c>
      <c r="D28" s="940"/>
      <c r="E28" s="925"/>
      <c r="F28" s="950"/>
      <c r="G28" s="951"/>
      <c r="H28" s="966"/>
      <c r="I28" s="966"/>
      <c r="J28" s="966"/>
      <c r="K28" s="940"/>
      <c r="L28" s="925"/>
      <c r="M28" s="924"/>
      <c r="N28" s="925"/>
      <c r="O28" s="925"/>
      <c r="P28" s="966" t="s">
        <v>37</v>
      </c>
      <c r="Q28" s="925"/>
      <c r="R28" s="925"/>
      <c r="S28" s="940"/>
      <c r="T28" s="925"/>
      <c r="U28" s="925"/>
      <c r="V28" s="926"/>
    </row>
    <row r="29" spans="2:27" ht="36" customHeight="1">
      <c r="B29" s="924"/>
      <c r="C29" s="925"/>
      <c r="D29" s="1437">
        <f>IF(R16&gt;2,C28+F40,"")</f>
        <v>853</v>
      </c>
      <c r="E29" s="925"/>
      <c r="F29" s="950"/>
      <c r="G29" s="951"/>
      <c r="H29" s="966"/>
      <c r="I29" s="966"/>
      <c r="J29" s="966"/>
      <c r="K29" s="940"/>
      <c r="L29" s="925"/>
      <c r="M29" s="924"/>
      <c r="N29" s="925"/>
      <c r="O29" s="925"/>
      <c r="P29" s="925"/>
      <c r="Q29" s="925"/>
      <c r="R29" s="925"/>
      <c r="S29" s="925"/>
      <c r="T29" s="925"/>
      <c r="U29" s="925"/>
      <c r="V29" s="926"/>
    </row>
    <row r="30" spans="2:27" ht="36" customHeight="1">
      <c r="B30" s="924"/>
      <c r="C30" s="962"/>
      <c r="D30" s="937"/>
      <c r="E30" s="1436">
        <f>IF(R16&gt;=4,D29+F40,"")</f>
        <v>1197</v>
      </c>
      <c r="F30" s="950"/>
      <c r="G30" s="951"/>
      <c r="H30" s="966"/>
      <c r="I30" s="966"/>
      <c r="J30" s="966"/>
      <c r="K30" s="940"/>
      <c r="L30" s="925"/>
      <c r="M30" s="924"/>
      <c r="N30" s="925"/>
      <c r="O30" s="925"/>
      <c r="P30" s="940" t="s">
        <v>37</v>
      </c>
      <c r="Q30" s="925"/>
      <c r="R30" s="925"/>
      <c r="S30" s="925"/>
      <c r="T30" s="925"/>
      <c r="U30" s="925"/>
      <c r="V30" s="926"/>
    </row>
    <row r="31" spans="2:27" ht="36" customHeight="1">
      <c r="B31" s="924"/>
      <c r="C31" s="962"/>
      <c r="D31" s="937"/>
      <c r="E31" s="962"/>
      <c r="F31" s="2330" t="str">
        <f>IF(R16&gt;=5,E30+F40,"")</f>
        <v/>
      </c>
      <c r="G31" s="2330"/>
      <c r="H31" s="966"/>
      <c r="I31" s="966"/>
      <c r="J31" s="966"/>
      <c r="K31" s="940"/>
      <c r="L31" s="925"/>
      <c r="M31" s="924"/>
      <c r="N31" s="925"/>
      <c r="O31" s="925"/>
      <c r="P31" s="925"/>
      <c r="Q31" s="925"/>
      <c r="R31" s="925"/>
      <c r="S31" s="925"/>
      <c r="T31" s="925"/>
      <c r="U31" s="925"/>
      <c r="V31" s="926"/>
    </row>
    <row r="32" spans="2:27" ht="36" customHeight="1">
      <c r="B32" s="924"/>
      <c r="C32" s="925"/>
      <c r="D32" s="940"/>
      <c r="E32" s="925"/>
      <c r="F32" s="950"/>
      <c r="G32" s="2331" t="str">
        <f>IF(R16&gt;=6,F31+F40,"")</f>
        <v/>
      </c>
      <c r="H32" s="2331"/>
      <c r="I32" s="966"/>
      <c r="J32" s="966"/>
      <c r="K32" s="940"/>
      <c r="L32" s="925"/>
      <c r="M32" s="924"/>
      <c r="N32" s="925"/>
      <c r="O32" s="925"/>
      <c r="P32" s="925"/>
      <c r="Q32" s="948"/>
      <c r="R32" s="925"/>
      <c r="S32" s="925"/>
      <c r="T32" s="925"/>
      <c r="U32" s="925"/>
      <c r="V32" s="926"/>
    </row>
    <row r="33" spans="2:27" ht="36" customHeight="1">
      <c r="B33" s="924"/>
      <c r="C33" s="925"/>
      <c r="D33" s="940"/>
      <c r="E33" s="925"/>
      <c r="F33" s="950"/>
      <c r="G33" s="951"/>
      <c r="H33" s="2317" t="str">
        <f>IF(R16&gt;=7,G32+F40,"")</f>
        <v/>
      </c>
      <c r="I33" s="2317"/>
      <c r="J33" s="966"/>
      <c r="K33" s="940"/>
      <c r="L33" s="925"/>
      <c r="M33" s="924"/>
      <c r="N33" s="925"/>
      <c r="O33" s="925"/>
      <c r="P33" s="925"/>
      <c r="Q33" s="925"/>
      <c r="R33" s="925"/>
      <c r="S33" s="925"/>
      <c r="T33" s="925"/>
      <c r="U33" s="925"/>
      <c r="V33" s="926"/>
    </row>
    <row r="34" spans="2:27" ht="36" customHeight="1">
      <c r="B34" s="924"/>
      <c r="C34" s="925"/>
      <c r="D34" s="940"/>
      <c r="E34" s="925"/>
      <c r="F34" s="950"/>
      <c r="G34" s="951"/>
      <c r="H34" s="966"/>
      <c r="I34" s="966"/>
      <c r="J34" s="2330" t="str">
        <f>IF(R16=8,H33+F40,"")</f>
        <v/>
      </c>
      <c r="K34" s="2330"/>
      <c r="L34" s="926"/>
      <c r="M34" s="925"/>
      <c r="N34" s="925"/>
      <c r="O34" s="974"/>
      <c r="P34" s="974"/>
      <c r="Q34" s="937"/>
      <c r="R34" s="925"/>
      <c r="S34" s="925"/>
      <c r="T34" s="925"/>
      <c r="U34" s="925"/>
      <c r="V34" s="926"/>
      <c r="X34" s="97"/>
      <c r="Y34" s="1138" t="str">
        <f>+VLOOKUP(149,TRADUZIONI,DATI!C2-1,0)</f>
        <v>CORDINI</v>
      </c>
    </row>
    <row r="35" spans="2:27" ht="30.75" customHeight="1">
      <c r="B35" s="924"/>
      <c r="C35" s="925"/>
      <c r="D35" s="940"/>
      <c r="E35" s="925"/>
      <c r="F35" s="950"/>
      <c r="G35" s="951"/>
      <c r="H35" s="966"/>
      <c r="I35" s="966"/>
      <c r="J35" s="966"/>
      <c r="K35" s="940"/>
      <c r="L35" s="926"/>
      <c r="M35" s="925"/>
      <c r="N35" s="2399" t="str">
        <f>CONCATENATE(Z35," 1-2 ",AA35,"      ",TEXT(ROUND((P7-C27+R7+450-37),-1),0))</f>
        <v>Nr. Cord 1-2 LUNGHEZZA      3850</v>
      </c>
      <c r="O35" s="2399"/>
      <c r="P35" s="2399"/>
      <c r="Q35" s="2399"/>
      <c r="R35" s="2399"/>
      <c r="S35" s="2399"/>
      <c r="T35" s="2399"/>
      <c r="U35" s="2399"/>
      <c r="V35" s="926"/>
      <c r="X35" s="1365" t="s">
        <v>125</v>
      </c>
      <c r="Y35" s="1366">
        <f>ROUND((P7-C27+R7+450-37),-1)</f>
        <v>3850</v>
      </c>
      <c r="Z35" s="97" t="str">
        <f>+VLOOKUP(144,TRADUZIONI,DATI!$C$2-1,0)</f>
        <v>Nr. Cord</v>
      </c>
      <c r="AA35" s="97" t="str">
        <f>+VLOOKUP(60,TRADUZIONI,DATI!$C$2-1,0)</f>
        <v>LUNGHEZZA</v>
      </c>
    </row>
    <row r="36" spans="2:27" ht="30.75" customHeight="1">
      <c r="B36" s="924"/>
      <c r="C36" s="2309"/>
      <c r="D36" s="2334"/>
      <c r="E36" s="2334"/>
      <c r="F36" s="2334"/>
      <c r="G36" s="2334"/>
      <c r="H36" s="2334"/>
      <c r="I36" s="2310"/>
      <c r="J36" s="966"/>
      <c r="K36" s="940"/>
      <c r="L36" s="926"/>
      <c r="M36" s="976"/>
      <c r="N36" s="977" t="str">
        <f>IF(R16&lt;=2,"",CONCATENATE(Z35," 3-4 ",AA35,"      ",TEXT(ROUND((165+R7+450+F40*1),-1),"0")))</f>
        <v>Nr. Cord 3-4 LUNGHEZZA      3160</v>
      </c>
      <c r="O36" s="978"/>
      <c r="P36" s="978"/>
      <c r="Q36" s="1076"/>
      <c r="R36" s="925"/>
      <c r="S36" s="925"/>
      <c r="T36" s="925"/>
      <c r="U36" s="925"/>
      <c r="V36" s="926"/>
      <c r="X36" s="1367">
        <v>4</v>
      </c>
      <c r="Y36" s="1368">
        <f>IF(R16&lt;=2,0,ROUND((165+R7+450+F40*1),-1))</f>
        <v>3160</v>
      </c>
    </row>
    <row r="37" spans="2:27" ht="36" customHeight="1">
      <c r="B37" s="924"/>
      <c r="C37" s="2335"/>
      <c r="D37" s="2336"/>
      <c r="E37" s="2336"/>
      <c r="F37" s="2336"/>
      <c r="G37" s="2336"/>
      <c r="H37" s="2336"/>
      <c r="I37" s="2337"/>
      <c r="J37" s="925"/>
      <c r="K37" s="925"/>
      <c r="L37" s="926"/>
      <c r="M37" s="980"/>
      <c r="N37" s="975" t="str">
        <f>IF(R16&lt;=4,"",CONCATENATE(Z35," 5-6 ",AA35,"      ",TEXT(ROUND((165+R7+450+F40*3-50),-1),"0")))</f>
        <v/>
      </c>
      <c r="O37" s="975"/>
      <c r="P37" s="975"/>
      <c r="Q37" s="950"/>
      <c r="R37" s="937"/>
      <c r="S37" s="940"/>
      <c r="T37" s="925"/>
      <c r="U37" s="925"/>
      <c r="V37" s="981"/>
      <c r="X37" s="1367">
        <v>6</v>
      </c>
      <c r="Y37" s="1369">
        <f>IF(R16&lt;=4,0,ROUND((165+R7+450+F40*3-50),-1))</f>
        <v>0</v>
      </c>
    </row>
    <row r="38" spans="2:27" ht="33" customHeight="1">
      <c r="B38" s="924"/>
      <c r="C38" s="2311"/>
      <c r="D38" s="2338"/>
      <c r="E38" s="2338"/>
      <c r="F38" s="2338"/>
      <c r="G38" s="2338"/>
      <c r="H38" s="2338"/>
      <c r="I38" s="2312"/>
      <c r="J38" s="925"/>
      <c r="K38" s="925"/>
      <c r="L38" s="926"/>
      <c r="M38" s="980"/>
      <c r="N38" s="975" t="str">
        <f>IF(R16&lt;=6,"",CONCATENATE(Z35," 7-8 ",AA35,"      ",TEXT(ROUND((60*2+R7-60+3*F40+C27+30+150+50),-1),"0")))</f>
        <v/>
      </c>
      <c r="O38" s="978"/>
      <c r="P38" s="975"/>
      <c r="Q38" s="950"/>
      <c r="R38" s="937"/>
      <c r="S38" s="940"/>
      <c r="T38" s="925"/>
      <c r="U38" s="925"/>
      <c r="V38" s="981"/>
      <c r="X38" s="1367">
        <v>8</v>
      </c>
      <c r="Y38" s="1369">
        <f>IF(R16&lt;=6,0,ROUND((60*2+R7-60+3*F40+C27+30+150+50),-1))</f>
        <v>0</v>
      </c>
    </row>
    <row r="39" spans="2:27" ht="21.75" customHeight="1">
      <c r="B39" s="924"/>
      <c r="C39" s="925"/>
      <c r="D39" s="925"/>
      <c r="E39" s="925"/>
      <c r="F39" s="925"/>
      <c r="G39" s="925"/>
      <c r="H39" s="925"/>
      <c r="I39" s="925"/>
      <c r="J39" s="925"/>
      <c r="K39" s="925"/>
      <c r="L39" s="926"/>
      <c r="M39" s="982"/>
      <c r="N39" s="937"/>
      <c r="O39" s="983"/>
      <c r="P39" s="983"/>
      <c r="Q39" s="950"/>
      <c r="R39" s="937"/>
      <c r="S39" s="940"/>
      <c r="T39" s="925"/>
      <c r="U39" s="925"/>
      <c r="V39" s="981"/>
    </row>
    <row r="40" spans="2:27" ht="28.5">
      <c r="B40" s="924"/>
      <c r="C40" s="2318" t="str">
        <f>+VLOOKUP(41,TRADUZIONI,DATI!$C$2-1,0)</f>
        <v>DIST.STD TRA FORI RETE</v>
      </c>
      <c r="D40" s="2339"/>
      <c r="E40" s="2339"/>
      <c r="F40" s="984">
        <f>ROUND((F22-(40+125)*2)/(R16-1),0)</f>
        <v>344</v>
      </c>
      <c r="G40" s="2340"/>
      <c r="H40" s="2340"/>
      <c r="I40" s="2340"/>
      <c r="J40" s="2340"/>
      <c r="K40" s="2341"/>
      <c r="L40" s="926"/>
      <c r="M40" s="2258" t="str">
        <f>+VLOOKUP(128,TRADUZIONI,DATI!$C$2-1,0)</f>
        <v>INFILARE I CORDINI SENZA TAGLIARLI</v>
      </c>
      <c r="N40" s="2259"/>
      <c r="O40" s="2259"/>
      <c r="P40" s="2259"/>
      <c r="Q40" s="2259"/>
      <c r="R40" s="2259"/>
      <c r="S40" s="2259"/>
      <c r="T40" s="2259"/>
      <c r="U40" s="2259"/>
      <c r="V40" s="2260"/>
    </row>
    <row r="41" spans="2:27" ht="28.5">
      <c r="B41" s="924"/>
      <c r="C41" s="979"/>
      <c r="D41" s="985"/>
      <c r="E41" s="985"/>
      <c r="F41" s="986"/>
      <c r="G41" s="987"/>
      <c r="H41" s="987"/>
      <c r="I41" s="987"/>
      <c r="J41" s="987"/>
      <c r="K41" s="987"/>
      <c r="L41" s="925"/>
      <c r="M41" s="2342" t="s">
        <v>83</v>
      </c>
      <c r="N41" s="2343"/>
      <c r="O41" s="2343"/>
      <c r="P41" s="2343"/>
      <c r="Q41" s="2343"/>
      <c r="R41" s="2343"/>
      <c r="S41" s="2343"/>
      <c r="T41" s="2343"/>
      <c r="U41" s="2343"/>
      <c r="V41" s="2344"/>
    </row>
    <row r="42" spans="2:27" ht="15.75" thickBot="1">
      <c r="B42" s="988"/>
      <c r="C42" s="945"/>
      <c r="D42" s="945"/>
      <c r="E42" s="945"/>
      <c r="F42" s="945"/>
      <c r="G42" s="945"/>
      <c r="H42" s="945"/>
      <c r="I42" s="945"/>
      <c r="J42" s="945"/>
      <c r="K42" s="945"/>
      <c r="L42" s="945"/>
      <c r="M42" s="988"/>
      <c r="N42" s="989"/>
      <c r="O42" s="945"/>
      <c r="P42" s="945"/>
      <c r="Q42" s="945"/>
      <c r="R42" s="945"/>
      <c r="S42" s="945"/>
      <c r="T42" s="990"/>
      <c r="U42" s="990"/>
      <c r="V42" s="991"/>
    </row>
    <row r="43" spans="2:27" ht="44.25" customHeight="1">
      <c r="B43" s="919"/>
      <c r="C43" s="920" t="str">
        <f>+VLOOKUP(139,TRADUZIONI,DATI!$C$2-1,0)</f>
        <v>QUADRO D</v>
      </c>
      <c r="D43" s="2325" t="str">
        <f>+VLOOKUP(113,TRADUZIONI,DATI!$C$2-1,0)</f>
        <v>CONTROLLO CORDINI - POST ASSEMBLAGGIO</v>
      </c>
      <c r="E43" s="2325"/>
      <c r="F43" s="2325"/>
      <c r="G43" s="2325"/>
      <c r="H43" s="2325"/>
      <c r="I43" s="2325"/>
      <c r="J43" s="2325"/>
      <c r="K43" s="2325"/>
      <c r="L43" s="2326"/>
      <c r="M43" s="919"/>
      <c r="N43" s="920" t="str">
        <f>+VLOOKUP(140,TRADUZIONI,DATI!$C$2-1,0)</f>
        <v>QUADRO E</v>
      </c>
      <c r="O43" s="2327" t="s">
        <v>59</v>
      </c>
      <c r="P43" s="2327"/>
      <c r="Q43" s="2327"/>
      <c r="R43" s="2327"/>
      <c r="S43" s="2327"/>
      <c r="T43" s="2327"/>
      <c r="U43" s="2327"/>
      <c r="V43" s="2328"/>
      <c r="AA43" s="914" t="s">
        <v>489</v>
      </c>
    </row>
    <row r="44" spans="2:27" ht="31.5" customHeight="1">
      <c r="B44" s="992"/>
      <c r="C44" s="993"/>
      <c r="D44" s="993"/>
      <c r="E44" s="993"/>
      <c r="F44" s="993"/>
      <c r="G44" s="993"/>
      <c r="H44" s="993"/>
      <c r="I44" s="993"/>
      <c r="J44" s="993"/>
      <c r="K44" s="993"/>
      <c r="L44" s="993"/>
      <c r="M44" s="994"/>
      <c r="N44" s="995"/>
      <c r="O44" s="996"/>
      <c r="P44" s="996"/>
      <c r="Q44" s="996"/>
      <c r="R44" s="996"/>
      <c r="S44" s="925"/>
      <c r="T44" s="944"/>
      <c r="U44" s="944"/>
      <c r="V44" s="997"/>
    </row>
    <row r="45" spans="2:27" ht="27.75">
      <c r="B45" s="992"/>
      <c r="C45" s="993"/>
      <c r="D45" s="993"/>
      <c r="E45" s="993"/>
      <c r="F45" s="993"/>
      <c r="G45" s="998" t="s">
        <v>85</v>
      </c>
      <c r="H45" s="993"/>
      <c r="I45" s="993"/>
      <c r="J45" s="993"/>
      <c r="K45" s="993"/>
      <c r="L45" s="993"/>
      <c r="M45" s="994"/>
      <c r="N45" s="2345" t="s">
        <v>127</v>
      </c>
      <c r="O45" s="2346"/>
      <c r="P45" s="2346"/>
      <c r="Q45" s="2346"/>
      <c r="R45" s="2346"/>
      <c r="S45" s="2346"/>
      <c r="T45" s="2347"/>
      <c r="V45" s="997"/>
    </row>
    <row r="46" spans="2:27" ht="31.5" customHeight="1">
      <c r="B46" s="992"/>
      <c r="C46" s="999" t="s">
        <v>119</v>
      </c>
      <c r="D46" s="1000">
        <f>+P7</f>
        <v>1400</v>
      </c>
      <c r="E46" s="1001" t="s">
        <v>129</v>
      </c>
      <c r="F46" s="1001" t="s">
        <v>89</v>
      </c>
      <c r="G46" s="1002">
        <f>+D46+E46</f>
        <v>1850</v>
      </c>
      <c r="H46" s="1003"/>
      <c r="I46" s="993"/>
      <c r="J46" s="993"/>
      <c r="K46" s="993"/>
      <c r="L46" s="993"/>
      <c r="M46" s="994"/>
      <c r="N46" s="995"/>
      <c r="V46" s="997"/>
    </row>
    <row r="47" spans="2:27" ht="31.5" thickBot="1">
      <c r="B47" s="992"/>
      <c r="C47" s="993"/>
      <c r="D47" s="993"/>
      <c r="E47" s="993"/>
      <c r="F47" s="993"/>
      <c r="G47" s="993"/>
      <c r="H47" s="993"/>
      <c r="I47" s="993"/>
      <c r="J47" s="993"/>
      <c r="K47" s="993"/>
      <c r="L47" s="993"/>
      <c r="M47" s="1004"/>
      <c r="N47" s="1005" t="str">
        <f>+VLOOKUP(78,TRADUZIONI,DATI!C2-1,0)</f>
        <v>PEZZI /PZ.</v>
      </c>
      <c r="O47" s="1014" t="str">
        <f>+P11&amp;"+"&amp;P11</f>
        <v>1+1</v>
      </c>
      <c r="P47" s="944"/>
      <c r="Q47" s="944"/>
      <c r="R47" s="925"/>
      <c r="S47" s="944"/>
      <c r="T47" s="944"/>
      <c r="U47" s="944"/>
      <c r="V47" s="1006"/>
    </row>
    <row r="48" spans="2:27" ht="18.75">
      <c r="B48" s="1007"/>
      <c r="C48" s="1008"/>
      <c r="D48" s="1008"/>
      <c r="E48" s="1008"/>
      <c r="F48" s="1008"/>
      <c r="G48" s="1008"/>
      <c r="H48" s="1008"/>
      <c r="I48" s="1008"/>
      <c r="J48" s="1008"/>
      <c r="K48" s="1008"/>
      <c r="L48" s="1009"/>
      <c r="M48" s="994"/>
      <c r="N48" s="996"/>
      <c r="O48" s="996"/>
      <c r="P48" s="996"/>
      <c r="Q48" s="996"/>
      <c r="R48" s="925"/>
      <c r="S48" s="944"/>
      <c r="T48" s="944"/>
      <c r="U48" s="944"/>
      <c r="V48" s="997"/>
    </row>
    <row r="49" spans="2:22" ht="30.75">
      <c r="B49" s="1010"/>
      <c r="C49" s="2350" t="str">
        <f>+IF(DATI!L15=1,"","RETE GRIGIA")</f>
        <v/>
      </c>
      <c r="D49" s="2350"/>
      <c r="E49" s="2350"/>
      <c r="F49" s="2350"/>
      <c r="G49" s="2350"/>
      <c r="H49" s="2350"/>
      <c r="I49" s="2350"/>
      <c r="J49" s="2350"/>
      <c r="K49" s="1011"/>
      <c r="L49" s="1011"/>
      <c r="M49" s="1012"/>
      <c r="N49" s="1005" t="s">
        <v>482</v>
      </c>
      <c r="O49" s="1013"/>
      <c r="P49" s="928"/>
      <c r="Q49" s="928"/>
      <c r="R49" s="2332">
        <f>+P7-35</f>
        <v>1365</v>
      </c>
      <c r="S49" s="2333"/>
      <c r="T49" s="944"/>
      <c r="U49" s="944"/>
      <c r="V49" s="1015"/>
    </row>
    <row r="50" spans="2:22" ht="18.75">
      <c r="B50" s="1010"/>
      <c r="C50" s="2350"/>
      <c r="D50" s="2350"/>
      <c r="E50" s="2350"/>
      <c r="F50" s="2350"/>
      <c r="G50" s="2350"/>
      <c r="H50" s="2350"/>
      <c r="I50" s="2350"/>
      <c r="J50" s="2350"/>
      <c r="K50" s="1011"/>
      <c r="L50" s="1011"/>
      <c r="M50" s="994"/>
      <c r="N50" s="996"/>
      <c r="O50" s="996"/>
      <c r="P50" s="996"/>
      <c r="Q50" s="996"/>
      <c r="R50" s="925"/>
      <c r="S50" s="944"/>
      <c r="T50" s="944"/>
      <c r="U50" s="944"/>
      <c r="V50" s="997"/>
    </row>
    <row r="51" spans="2:22" ht="31.5" thickBot="1">
      <c r="B51" s="1010"/>
      <c r="C51" s="1011"/>
      <c r="D51" s="1011"/>
      <c r="E51" s="1011"/>
      <c r="F51" s="1011"/>
      <c r="G51" s="1011"/>
      <c r="H51" s="1011"/>
      <c r="I51" s="1011"/>
      <c r="J51" s="1011"/>
      <c r="K51" s="1011"/>
      <c r="L51" s="1011"/>
      <c r="M51" s="994"/>
      <c r="N51" s="1005" t="s">
        <v>67</v>
      </c>
      <c r="O51" s="1013"/>
      <c r="P51" s="928"/>
      <c r="Q51" s="928"/>
      <c r="R51" s="2332">
        <f>+P7-35</f>
        <v>1365</v>
      </c>
      <c r="S51" s="2333"/>
      <c r="T51" s="944"/>
      <c r="U51" s="944"/>
      <c r="V51" s="997"/>
    </row>
    <row r="52" spans="2:22" ht="44.25" customHeight="1">
      <c r="B52" s="919"/>
      <c r="C52" s="920" t="str">
        <f>+VLOOKUP(141,TRADUZIONI,DATI!$C$2-1,0)</f>
        <v>QUADRO F</v>
      </c>
      <c r="D52" s="2325" t="s">
        <v>90</v>
      </c>
      <c r="E52" s="2325"/>
      <c r="F52" s="2325"/>
      <c r="G52" s="2325"/>
      <c r="H52" s="2325"/>
      <c r="I52" s="2325"/>
      <c r="J52" s="2325"/>
      <c r="K52" s="2325"/>
      <c r="L52" s="2326"/>
      <c r="M52" s="994"/>
      <c r="N52" s="1016"/>
      <c r="O52" s="1016"/>
      <c r="P52" s="925"/>
      <c r="Q52" s="925"/>
      <c r="R52" s="972"/>
      <c r="S52" s="972"/>
      <c r="T52" s="944"/>
      <c r="U52" s="944"/>
      <c r="V52" s="997"/>
    </row>
    <row r="53" spans="2:22" ht="30.75">
      <c r="B53" s="924"/>
      <c r="C53" s="925"/>
      <c r="D53" s="925"/>
      <c r="E53" s="925"/>
      <c r="F53" s="925"/>
      <c r="G53" s="925"/>
      <c r="H53" s="925"/>
      <c r="I53" s="925"/>
      <c r="J53" s="925"/>
      <c r="K53" s="925"/>
      <c r="L53" s="926"/>
      <c r="M53" s="994"/>
      <c r="N53" s="1016"/>
      <c r="O53" s="1016"/>
      <c r="P53" s="925"/>
      <c r="Q53" s="925"/>
      <c r="R53" s="972"/>
      <c r="S53" s="972"/>
      <c r="T53" s="944"/>
      <c r="U53" s="944"/>
      <c r="V53" s="997"/>
    </row>
    <row r="54" spans="2:22" ht="30.75">
      <c r="B54" s="924"/>
      <c r="C54" s="1017" t="s">
        <v>92</v>
      </c>
      <c r="D54" s="1018"/>
      <c r="E54" s="1019"/>
      <c r="F54" s="925"/>
      <c r="G54" s="1020"/>
      <c r="H54" s="925"/>
      <c r="I54" s="925"/>
      <c r="J54" s="925"/>
      <c r="K54" s="925"/>
      <c r="L54" s="926"/>
      <c r="M54" s="994"/>
      <c r="N54" s="1016"/>
      <c r="O54" s="1016"/>
      <c r="P54" s="925"/>
      <c r="Q54" s="925"/>
      <c r="R54" s="972"/>
      <c r="S54" s="972"/>
      <c r="T54" s="944"/>
      <c r="U54" s="944"/>
      <c r="V54" s="997"/>
    </row>
    <row r="55" spans="2:22" ht="28.5">
      <c r="B55" s="924"/>
      <c r="C55" s="1017"/>
      <c r="D55" s="1018"/>
      <c r="E55" s="1019"/>
      <c r="F55" s="925"/>
      <c r="G55" s="1020"/>
      <c r="H55" s="925"/>
      <c r="I55" s="925"/>
      <c r="J55" s="925"/>
      <c r="K55" s="925"/>
      <c r="L55" s="926"/>
      <c r="M55" s="1021"/>
      <c r="N55" s="1022"/>
      <c r="O55" s="1023"/>
      <c r="P55" s="1023"/>
      <c r="Q55" s="1023"/>
      <c r="R55" s="1023"/>
      <c r="S55" s="1023"/>
      <c r="T55" s="1023"/>
      <c r="U55" s="1023"/>
      <c r="V55" s="1024"/>
    </row>
    <row r="56" spans="2:22" ht="28.5">
      <c r="B56" s="924"/>
      <c r="C56" s="1025"/>
      <c r="D56" s="1026" t="s">
        <v>94</v>
      </c>
      <c r="E56" s="925"/>
      <c r="F56" s="1020"/>
      <c r="G56" s="1020"/>
      <c r="H56" s="925"/>
      <c r="I56" s="925"/>
      <c r="J56" s="925"/>
      <c r="K56" s="925"/>
      <c r="L56" s="926"/>
      <c r="M56" s="994"/>
      <c r="N56" s="1191"/>
      <c r="O56" s="1192"/>
      <c r="P56" s="1192"/>
      <c r="Q56" s="1192"/>
      <c r="R56" s="1192"/>
      <c r="S56" s="1193"/>
      <c r="T56" s="1194"/>
      <c r="U56" s="1194"/>
      <c r="V56" s="1195"/>
    </row>
    <row r="57" spans="2:22" ht="28.5">
      <c r="B57" s="924"/>
      <c r="C57" s="1027"/>
      <c r="D57" s="1026" t="s">
        <v>95</v>
      </c>
      <c r="E57" s="925"/>
      <c r="F57" s="950"/>
      <c r="G57" s="937"/>
      <c r="H57" s="925"/>
      <c r="I57" s="925"/>
      <c r="J57" s="925"/>
      <c r="K57" s="925"/>
      <c r="L57" s="926"/>
      <c r="M57" s="994"/>
      <c r="N57" s="2396" t="s">
        <v>483</v>
      </c>
      <c r="O57" s="2397"/>
      <c r="P57" s="2397"/>
      <c r="Q57" s="2397"/>
      <c r="R57" s="2397"/>
      <c r="S57" s="2397"/>
      <c r="T57" s="2398"/>
      <c r="U57" s="1196"/>
      <c r="V57" s="1195"/>
    </row>
    <row r="58" spans="2:22" ht="28.5">
      <c r="B58" s="924"/>
      <c r="C58" s="1027"/>
      <c r="D58" s="1026" t="s">
        <v>96</v>
      </c>
      <c r="E58" s="925"/>
      <c r="F58" s="950"/>
      <c r="G58" s="937"/>
      <c r="H58" s="925"/>
      <c r="I58" s="925"/>
      <c r="J58" s="925"/>
      <c r="K58" s="925"/>
      <c r="L58" s="926"/>
      <c r="M58" s="994"/>
      <c r="N58" s="1192"/>
      <c r="O58" s="1192"/>
      <c r="P58" s="1192"/>
      <c r="Q58" s="1192"/>
      <c r="R58" s="1193"/>
      <c r="S58" s="1194"/>
      <c r="T58" s="1194"/>
      <c r="U58" s="1194"/>
      <c r="V58" s="1195"/>
    </row>
    <row r="59" spans="2:22" ht="30.75">
      <c r="B59" s="1029"/>
      <c r="C59" s="1030"/>
      <c r="D59" s="1031"/>
      <c r="E59" s="1031"/>
      <c r="F59" s="1031"/>
      <c r="G59" s="1031"/>
      <c r="H59" s="1031"/>
      <c r="I59" s="1031"/>
      <c r="J59" s="1031"/>
      <c r="K59" s="1031"/>
      <c r="L59" s="1032"/>
      <c r="M59" s="994"/>
      <c r="N59" s="1197" t="s">
        <v>48</v>
      </c>
      <c r="O59" s="1198" t="str">
        <f>+P11</f>
        <v>1</v>
      </c>
      <c r="P59" s="1199"/>
      <c r="Q59" s="1199"/>
      <c r="R59" s="1193"/>
      <c r="S59" s="1194"/>
      <c r="T59" s="1194"/>
      <c r="U59" s="1194"/>
      <c r="V59" s="1195"/>
    </row>
    <row r="60" spans="2:22" ht="21">
      <c r="B60" s="1035" t="s">
        <v>37</v>
      </c>
      <c r="C60" s="1036"/>
      <c r="D60" s="1036"/>
      <c r="E60" s="1036"/>
      <c r="F60" s="1036"/>
      <c r="G60" s="1036"/>
      <c r="H60" s="1036"/>
      <c r="I60" s="1036"/>
      <c r="J60" s="1036"/>
      <c r="K60" s="1036"/>
      <c r="L60" s="1037"/>
      <c r="M60" s="994"/>
      <c r="N60" s="1192"/>
      <c r="O60" s="1192"/>
      <c r="P60" s="1192"/>
      <c r="Q60" s="1192"/>
      <c r="R60" s="1193"/>
      <c r="S60" s="1194"/>
      <c r="T60" s="1194"/>
      <c r="U60" s="1194"/>
      <c r="V60" s="1195"/>
    </row>
    <row r="61" spans="2:22" ht="30.75">
      <c r="B61" s="1038" t="s">
        <v>37</v>
      </c>
      <c r="C61" s="1039"/>
      <c r="D61" s="1040" t="s">
        <v>98</v>
      </c>
      <c r="E61" s="1040" t="s">
        <v>99</v>
      </c>
      <c r="F61" s="1040" t="s">
        <v>100</v>
      </c>
      <c r="G61" s="1039"/>
      <c r="H61" s="1039"/>
      <c r="I61" s="1039"/>
      <c r="J61" s="1039"/>
      <c r="K61" s="1039"/>
      <c r="L61" s="1041"/>
      <c r="M61" s="994"/>
      <c r="N61" s="2396" t="s">
        <v>723</v>
      </c>
      <c r="O61" s="2397"/>
      <c r="P61" s="2397"/>
      <c r="Q61" s="2397"/>
      <c r="R61" s="2394">
        <f>+P7-47+6</f>
        <v>1359</v>
      </c>
      <c r="S61" s="2395"/>
      <c r="T61" s="1194"/>
      <c r="U61" s="1194"/>
      <c r="V61" s="1195"/>
    </row>
    <row r="62" spans="2:22" ht="21">
      <c r="B62" s="1042"/>
      <c r="C62" s="1039"/>
      <c r="D62" s="1043" t="s">
        <v>44</v>
      </c>
      <c r="E62" s="1044"/>
      <c r="F62" s="1044"/>
      <c r="G62" s="1045"/>
      <c r="H62" s="1039"/>
      <c r="I62" s="1039"/>
      <c r="J62" s="1039"/>
      <c r="K62" s="1039"/>
      <c r="L62" s="1041"/>
      <c r="M62" s="994"/>
      <c r="N62" s="1192"/>
      <c r="O62" s="1192"/>
      <c r="P62" s="1192"/>
      <c r="Q62" s="1192"/>
      <c r="R62" s="1193"/>
      <c r="S62" s="1194"/>
      <c r="T62" s="1194"/>
      <c r="U62" s="1194"/>
      <c r="V62" s="1195"/>
    </row>
    <row r="63" spans="2:22" ht="21">
      <c r="B63" s="1046"/>
      <c r="C63" s="1039"/>
      <c r="D63" s="1047">
        <v>0.05</v>
      </c>
      <c r="E63" s="1048">
        <v>0.17499999999999999</v>
      </c>
      <c r="F63" s="1049" t="s">
        <v>102</v>
      </c>
      <c r="G63" s="1048">
        <f>(R7+300)/1000</f>
        <v>2.5</v>
      </c>
      <c r="H63" s="1039"/>
      <c r="I63" s="1039"/>
      <c r="J63" s="1039"/>
      <c r="K63" s="1039"/>
      <c r="L63" s="1041"/>
      <c r="M63" s="994"/>
      <c r="N63" s="1192"/>
      <c r="O63" s="1192"/>
      <c r="P63" s="1192"/>
      <c r="Q63" s="1192"/>
      <c r="R63" s="1193"/>
      <c r="S63" s="1194"/>
      <c r="T63" s="1194"/>
      <c r="U63" s="1194"/>
      <c r="V63" s="1195"/>
    </row>
    <row r="64" spans="2:22" ht="21">
      <c r="B64" s="1050"/>
      <c r="C64" s="1039"/>
      <c r="D64" s="1047" t="s">
        <v>103</v>
      </c>
      <c r="E64" s="1047"/>
      <c r="F64" s="1048" t="str">
        <f>P11</f>
        <v>1</v>
      </c>
      <c r="G64" s="1047" t="s">
        <v>104</v>
      </c>
      <c r="H64" s="1039"/>
      <c r="I64" s="1039"/>
      <c r="J64" s="1039"/>
      <c r="K64" s="1039"/>
      <c r="L64" s="1041"/>
      <c r="M64" s="1051"/>
      <c r="N64" s="1200"/>
      <c r="O64" s="1200"/>
      <c r="P64" s="1200"/>
      <c r="Q64" s="1200"/>
      <c r="R64" s="1200"/>
      <c r="S64" s="1200"/>
      <c r="T64" s="1200"/>
      <c r="U64" s="1200"/>
      <c r="V64" s="1201"/>
    </row>
    <row r="65" spans="1:22" ht="21.75" thickBot="1">
      <c r="B65" s="1055"/>
      <c r="C65" s="1056"/>
      <c r="D65" s="1057" t="s">
        <v>105</v>
      </c>
      <c r="E65" s="1057"/>
      <c r="F65" s="1058">
        <f>(D63*E63*G63)*F64</f>
        <v>2.1874999999999999E-2</v>
      </c>
      <c r="G65" s="1057" t="s">
        <v>106</v>
      </c>
      <c r="H65" s="1056"/>
      <c r="I65" s="1056"/>
      <c r="J65" s="1056"/>
      <c r="K65" s="1056"/>
      <c r="L65" s="1059"/>
      <c r="M65" s="994"/>
      <c r="N65" s="995"/>
      <c r="O65" s="996"/>
      <c r="P65" s="996"/>
      <c r="Q65" s="996"/>
      <c r="R65" s="996"/>
      <c r="S65" s="925"/>
      <c r="T65" s="944"/>
      <c r="U65" s="944"/>
      <c r="V65" s="997"/>
    </row>
    <row r="66" spans="1:22" ht="44.25" customHeight="1">
      <c r="B66" s="919"/>
      <c r="C66" s="920" t="str">
        <f>+VLOOKUP(142,TRADUZIONI,DATI!$C$2-1,0)</f>
        <v>QUADRO G</v>
      </c>
      <c r="D66" s="2355" t="s">
        <v>108</v>
      </c>
      <c r="E66" s="2355"/>
      <c r="F66" s="2355"/>
      <c r="G66" s="2355"/>
      <c r="H66" s="2355"/>
      <c r="I66" s="2355"/>
      <c r="J66" s="2355"/>
      <c r="K66" s="2355"/>
      <c r="L66" s="2356"/>
      <c r="M66" s="994"/>
      <c r="N66" s="2345" t="s">
        <v>111</v>
      </c>
      <c r="O66" s="2346"/>
      <c r="P66" s="2346"/>
      <c r="Q66" s="2346"/>
      <c r="R66" s="2346"/>
      <c r="S66" s="2346"/>
      <c r="T66" s="2347"/>
      <c r="U66" s="1028"/>
      <c r="V66" s="997"/>
    </row>
    <row r="67" spans="1:22" ht="21">
      <c r="B67" s="2363" t="s">
        <v>109</v>
      </c>
      <c r="C67" s="2364"/>
      <c r="D67" s="2364"/>
      <c r="E67" s="2365"/>
      <c r="F67" s="2366" t="s">
        <v>110</v>
      </c>
      <c r="G67" s="2364"/>
      <c r="H67" s="2364"/>
      <c r="I67" s="2364"/>
      <c r="J67" s="2364"/>
      <c r="K67" s="2364"/>
      <c r="L67" s="2367"/>
      <c r="M67" s="994"/>
      <c r="N67" s="996"/>
      <c r="O67" s="996"/>
      <c r="P67" s="996"/>
      <c r="Q67" s="996"/>
      <c r="R67" s="925"/>
      <c r="S67" s="925"/>
      <c r="T67" s="925"/>
      <c r="U67" s="925"/>
      <c r="V67" s="997"/>
    </row>
    <row r="68" spans="1:22" ht="30.75">
      <c r="B68" s="2368" t="s">
        <v>112</v>
      </c>
      <c r="C68" s="2369"/>
      <c r="D68" s="2353" t="s">
        <v>113</v>
      </c>
      <c r="E68" s="2354"/>
      <c r="F68" s="2357">
        <f>DATI!C13</f>
        <v>0</v>
      </c>
      <c r="G68" s="2358"/>
      <c r="H68" s="2358"/>
      <c r="I68" s="2358"/>
      <c r="J68" s="2358"/>
      <c r="K68" s="2358"/>
      <c r="L68" s="2359"/>
      <c r="M68" s="994"/>
      <c r="N68" s="1033" t="str">
        <f>+VLOOKUP(78,TRADUZIONI,DATI!C2-1,0)</f>
        <v>PEZZI /PZ.</v>
      </c>
      <c r="O68" s="1014">
        <f>+P11*2</f>
        <v>2</v>
      </c>
      <c r="P68" s="1034"/>
      <c r="Q68" s="1034"/>
      <c r="R68" s="925"/>
      <c r="S68" s="925"/>
      <c r="T68" s="925"/>
      <c r="U68" s="925"/>
      <c r="V68" s="997"/>
    </row>
    <row r="69" spans="1:22" ht="18.75">
      <c r="B69" s="2370"/>
      <c r="C69" s="2371"/>
      <c r="D69" s="2374"/>
      <c r="E69" s="2375"/>
      <c r="F69" s="2360"/>
      <c r="G69" s="2361"/>
      <c r="H69" s="2361"/>
      <c r="I69" s="2361"/>
      <c r="J69" s="2361"/>
      <c r="K69" s="2361"/>
      <c r="L69" s="2362"/>
      <c r="M69" s="994"/>
      <c r="N69" s="996"/>
      <c r="O69" s="996"/>
      <c r="P69" s="996"/>
      <c r="Q69" s="996"/>
      <c r="R69" s="925"/>
      <c r="S69" s="925"/>
      <c r="T69" s="925"/>
      <c r="U69" s="925"/>
      <c r="V69" s="997"/>
    </row>
    <row r="70" spans="1:22" ht="28.5">
      <c r="B70" s="2370"/>
      <c r="C70" s="2371"/>
      <c r="D70" s="2374"/>
      <c r="E70" s="2375"/>
      <c r="F70" s="2366" t="s">
        <v>114</v>
      </c>
      <c r="G70" s="2364"/>
      <c r="H70" s="2364"/>
      <c r="I70" s="2364"/>
      <c r="J70" s="2364"/>
      <c r="K70" s="2366" t="s">
        <v>115</v>
      </c>
      <c r="L70" s="2367"/>
      <c r="M70" s="994"/>
      <c r="N70" s="1005" t="s">
        <v>486</v>
      </c>
      <c r="O70" s="1013"/>
      <c r="P70" s="928"/>
      <c r="Q70" s="928"/>
      <c r="R70" s="2351">
        <f>+R7-2</f>
        <v>2198</v>
      </c>
      <c r="S70" s="2352"/>
      <c r="T70" s="925"/>
      <c r="U70" s="925"/>
      <c r="V70" s="997"/>
    </row>
    <row r="71" spans="1:22" ht="21">
      <c r="B71" s="2370"/>
      <c r="C71" s="2371"/>
      <c r="D71" s="2374"/>
      <c r="E71" s="2375"/>
      <c r="F71" s="2357" t="str">
        <f>+IF(DATI!L15=1,"","RETE GRIGIA")</f>
        <v/>
      </c>
      <c r="G71" s="2358"/>
      <c r="H71" s="2358"/>
      <c r="I71" s="2358"/>
      <c r="J71" s="2358"/>
      <c r="K71" s="1060"/>
      <c r="L71" s="1041"/>
      <c r="M71" s="994"/>
      <c r="N71" s="995"/>
      <c r="O71" s="996"/>
      <c r="P71" s="996"/>
      <c r="Q71" s="996"/>
      <c r="R71" s="996"/>
      <c r="S71" s="996"/>
      <c r="T71" s="996"/>
      <c r="U71" s="996"/>
      <c r="V71" s="997"/>
    </row>
    <row r="72" spans="1:22" ht="21.75" thickBot="1">
      <c r="B72" s="2372"/>
      <c r="C72" s="2373"/>
      <c r="D72" s="2376"/>
      <c r="E72" s="2377"/>
      <c r="F72" s="2376"/>
      <c r="G72" s="2373"/>
      <c r="H72" s="2373"/>
      <c r="I72" s="2373"/>
      <c r="J72" s="2373"/>
      <c r="K72" s="1061"/>
      <c r="L72" s="1062"/>
      <c r="M72" s="1063"/>
      <c r="N72" s="1064"/>
      <c r="O72" s="1064"/>
      <c r="P72" s="1064"/>
      <c r="Q72" s="1064"/>
      <c r="R72" s="1064"/>
      <c r="S72" s="1064"/>
      <c r="T72" s="1064"/>
      <c r="U72" s="1064"/>
      <c r="V72" s="1065"/>
    </row>
    <row r="74" spans="1:22" ht="69.95" customHeight="1">
      <c r="V74" s="1066"/>
    </row>
    <row r="75" spans="1:22" ht="69.95" customHeight="1">
      <c r="A75" s="1202" t="s">
        <v>724</v>
      </c>
    </row>
    <row r="76" spans="1:22" ht="69.95" customHeight="1"/>
    <row r="77" spans="1:22" ht="69.95" customHeight="1"/>
    <row r="78" spans="1:22" ht="69.95" customHeight="1"/>
    <row r="79" spans="1:22" ht="69.95" customHeight="1"/>
    <row r="80" spans="1:22" ht="69.95" customHeight="1"/>
    <row r="81" ht="69.95" customHeight="1"/>
    <row r="82" ht="69.95" customHeight="1"/>
    <row r="83" ht="69.95" customHeight="1"/>
    <row r="84" ht="69.95" customHeight="1"/>
    <row r="85" ht="69.95" customHeight="1"/>
    <row r="86" ht="69.95" customHeight="1"/>
    <row r="87" ht="69.95" customHeight="1"/>
    <row r="88" ht="69.95" customHeight="1"/>
    <row r="89" ht="69.95" customHeight="1"/>
    <row r="90" ht="69.95" customHeight="1"/>
    <row r="91" ht="69.95" customHeight="1"/>
    <row r="92" ht="69.95" customHeight="1"/>
    <row r="93" ht="69.95" customHeight="1"/>
    <row r="94" ht="69.95" customHeight="1"/>
  </sheetData>
  <mergeCells count="49">
    <mergeCell ref="B2:V2"/>
    <mergeCell ref="E4:O4"/>
    <mergeCell ref="D6:G6"/>
    <mergeCell ref="N6:O7"/>
    <mergeCell ref="R6:S6"/>
    <mergeCell ref="R7:S7"/>
    <mergeCell ref="H33:I33"/>
    <mergeCell ref="N9:O9"/>
    <mergeCell ref="P9:S9"/>
    <mergeCell ref="D10:G10"/>
    <mergeCell ref="N11:O11"/>
    <mergeCell ref="D14:L14"/>
    <mergeCell ref="O14:V14"/>
    <mergeCell ref="F15:J20"/>
    <mergeCell ref="P16:Q16"/>
    <mergeCell ref="C22:E22"/>
    <mergeCell ref="F31:G31"/>
    <mergeCell ref="G32:H32"/>
    <mergeCell ref="R51:S51"/>
    <mergeCell ref="D52:L52"/>
    <mergeCell ref="N57:T57"/>
    <mergeCell ref="J34:K34"/>
    <mergeCell ref="N35:U35"/>
    <mergeCell ref="C36:I36"/>
    <mergeCell ref="C37:I38"/>
    <mergeCell ref="C40:E40"/>
    <mergeCell ref="G40:K40"/>
    <mergeCell ref="M40:V40"/>
    <mergeCell ref="M41:V41"/>
    <mergeCell ref="D43:L43"/>
    <mergeCell ref="O43:V43"/>
    <mergeCell ref="N45:T45"/>
    <mergeCell ref="C49:J50"/>
    <mergeCell ref="R49:S49"/>
    <mergeCell ref="R61:S61"/>
    <mergeCell ref="D66:L66"/>
    <mergeCell ref="N66:T66"/>
    <mergeCell ref="F71:J72"/>
    <mergeCell ref="B67:E67"/>
    <mergeCell ref="F67:L67"/>
    <mergeCell ref="B68:C68"/>
    <mergeCell ref="D68:E68"/>
    <mergeCell ref="F68:L69"/>
    <mergeCell ref="R70:S70"/>
    <mergeCell ref="B69:C72"/>
    <mergeCell ref="D69:E72"/>
    <mergeCell ref="F70:J70"/>
    <mergeCell ref="K70:L70"/>
    <mergeCell ref="N61:Q61"/>
  </mergeCells>
  <printOptions horizontalCentered="1"/>
  <pageMargins left="0" right="0" top="0" bottom="0" header="0" footer="0"/>
  <pageSetup paperSize="9" scale="36" orientation="portrait" horizontalDpi="1200" verticalDpi="1200" r:id="rId1"/>
  <headerFooter alignWithMargins="0">
    <oddFooter>&amp;LREV. 09/05 - VER.1&amp;R&amp;D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9">
    <pageSetUpPr fitToPage="1"/>
  </sheetPr>
  <dimension ref="A1:R90"/>
  <sheetViews>
    <sheetView showGridLines="0" zoomScale="95" zoomScaleNormal="95" workbookViewId="0">
      <selection activeCell="N12" sqref="N12"/>
    </sheetView>
  </sheetViews>
  <sheetFormatPr defaultRowHeight="12.75" outlineLevelCol="1"/>
  <cols>
    <col min="1" max="1" width="9.28515625" style="1559" customWidth="1"/>
    <col min="2" max="2" width="8.42578125" style="1559" customWidth="1"/>
    <col min="3" max="3" width="9.140625" style="1559" customWidth="1"/>
    <col min="4" max="4" width="6.28515625" style="1559" customWidth="1"/>
    <col min="5" max="5" width="9.85546875" style="1559" bestFit="1" customWidth="1"/>
    <col min="6" max="6" width="4.5703125" style="1559" bestFit="1" customWidth="1"/>
    <col min="7" max="7" width="15.42578125" style="1559" bestFit="1" customWidth="1"/>
    <col min="8" max="8" width="17" style="1559" customWidth="1"/>
    <col min="9" max="9" width="17.85546875" style="1559" customWidth="1"/>
    <col min="10" max="10" width="2" style="1559" hidden="1" customWidth="1" outlineLevel="1"/>
    <col min="11" max="11" width="4" style="1559" hidden="1" customWidth="1" outlineLevel="1"/>
    <col min="12" max="12" width="3.42578125" style="1559" customWidth="1" collapsed="1"/>
    <col min="13" max="256" width="9.140625" style="1559"/>
    <col min="257" max="257" width="9.28515625" style="1559" customWidth="1"/>
    <col min="258" max="258" width="8.42578125" style="1559" customWidth="1"/>
    <col min="259" max="259" width="9.140625" style="1559" customWidth="1"/>
    <col min="260" max="260" width="6.28515625" style="1559" customWidth="1"/>
    <col min="261" max="261" width="9.85546875" style="1559" bestFit="1" customWidth="1"/>
    <col min="262" max="262" width="4.5703125" style="1559" bestFit="1" customWidth="1"/>
    <col min="263" max="263" width="15.42578125" style="1559" bestFit="1" customWidth="1"/>
    <col min="264" max="264" width="17" style="1559" customWidth="1"/>
    <col min="265" max="265" width="17.85546875" style="1559" customWidth="1"/>
    <col min="266" max="267" width="0" style="1559" hidden="1" customWidth="1"/>
    <col min="268" max="268" width="3.42578125" style="1559" customWidth="1"/>
    <col min="269" max="512" width="9.140625" style="1559"/>
    <col min="513" max="513" width="9.28515625" style="1559" customWidth="1"/>
    <col min="514" max="514" width="8.42578125" style="1559" customWidth="1"/>
    <col min="515" max="515" width="9.140625" style="1559" customWidth="1"/>
    <col min="516" max="516" width="6.28515625" style="1559" customWidth="1"/>
    <col min="517" max="517" width="9.85546875" style="1559" bestFit="1" customWidth="1"/>
    <col min="518" max="518" width="4.5703125" style="1559" bestFit="1" customWidth="1"/>
    <col min="519" max="519" width="15.42578125" style="1559" bestFit="1" customWidth="1"/>
    <col min="520" max="520" width="17" style="1559" customWidth="1"/>
    <col min="521" max="521" width="17.85546875" style="1559" customWidth="1"/>
    <col min="522" max="523" width="0" style="1559" hidden="1" customWidth="1"/>
    <col min="524" max="524" width="3.42578125" style="1559" customWidth="1"/>
    <col min="525" max="768" width="9.140625" style="1559"/>
    <col min="769" max="769" width="9.28515625" style="1559" customWidth="1"/>
    <col min="770" max="770" width="8.42578125" style="1559" customWidth="1"/>
    <col min="771" max="771" width="9.140625" style="1559" customWidth="1"/>
    <col min="772" max="772" width="6.28515625" style="1559" customWidth="1"/>
    <col min="773" max="773" width="9.85546875" style="1559" bestFit="1" customWidth="1"/>
    <col min="774" max="774" width="4.5703125" style="1559" bestFit="1" customWidth="1"/>
    <col min="775" max="775" width="15.42578125" style="1559" bestFit="1" customWidth="1"/>
    <col min="776" max="776" width="17" style="1559" customWidth="1"/>
    <col min="777" max="777" width="17.85546875" style="1559" customWidth="1"/>
    <col min="778" max="779" width="0" style="1559" hidden="1" customWidth="1"/>
    <col min="780" max="780" width="3.42578125" style="1559" customWidth="1"/>
    <col min="781" max="1024" width="9.140625" style="1559"/>
    <col min="1025" max="1025" width="9.28515625" style="1559" customWidth="1"/>
    <col min="1026" max="1026" width="8.42578125" style="1559" customWidth="1"/>
    <col min="1027" max="1027" width="9.140625" style="1559" customWidth="1"/>
    <col min="1028" max="1028" width="6.28515625" style="1559" customWidth="1"/>
    <col min="1029" max="1029" width="9.85546875" style="1559" bestFit="1" customWidth="1"/>
    <col min="1030" max="1030" width="4.5703125" style="1559" bestFit="1" customWidth="1"/>
    <col min="1031" max="1031" width="15.42578125" style="1559" bestFit="1" customWidth="1"/>
    <col min="1032" max="1032" width="17" style="1559" customWidth="1"/>
    <col min="1033" max="1033" width="17.85546875" style="1559" customWidth="1"/>
    <col min="1034" max="1035" width="0" style="1559" hidden="1" customWidth="1"/>
    <col min="1036" max="1036" width="3.42578125" style="1559" customWidth="1"/>
    <col min="1037" max="1280" width="9.140625" style="1559"/>
    <col min="1281" max="1281" width="9.28515625" style="1559" customWidth="1"/>
    <col min="1282" max="1282" width="8.42578125" style="1559" customWidth="1"/>
    <col min="1283" max="1283" width="9.140625" style="1559" customWidth="1"/>
    <col min="1284" max="1284" width="6.28515625" style="1559" customWidth="1"/>
    <col min="1285" max="1285" width="9.85546875" style="1559" bestFit="1" customWidth="1"/>
    <col min="1286" max="1286" width="4.5703125" style="1559" bestFit="1" customWidth="1"/>
    <col min="1287" max="1287" width="15.42578125" style="1559" bestFit="1" customWidth="1"/>
    <col min="1288" max="1288" width="17" style="1559" customWidth="1"/>
    <col min="1289" max="1289" width="17.85546875" style="1559" customWidth="1"/>
    <col min="1290" max="1291" width="0" style="1559" hidden="1" customWidth="1"/>
    <col min="1292" max="1292" width="3.42578125" style="1559" customWidth="1"/>
    <col min="1293" max="1536" width="9.140625" style="1559"/>
    <col min="1537" max="1537" width="9.28515625" style="1559" customWidth="1"/>
    <col min="1538" max="1538" width="8.42578125" style="1559" customWidth="1"/>
    <col min="1539" max="1539" width="9.140625" style="1559" customWidth="1"/>
    <col min="1540" max="1540" width="6.28515625" style="1559" customWidth="1"/>
    <col min="1541" max="1541" width="9.85546875" style="1559" bestFit="1" customWidth="1"/>
    <col min="1542" max="1542" width="4.5703125" style="1559" bestFit="1" customWidth="1"/>
    <col min="1543" max="1543" width="15.42578125" style="1559" bestFit="1" customWidth="1"/>
    <col min="1544" max="1544" width="17" style="1559" customWidth="1"/>
    <col min="1545" max="1545" width="17.85546875" style="1559" customWidth="1"/>
    <col min="1546" max="1547" width="0" style="1559" hidden="1" customWidth="1"/>
    <col min="1548" max="1548" width="3.42578125" style="1559" customWidth="1"/>
    <col min="1549" max="1792" width="9.140625" style="1559"/>
    <col min="1793" max="1793" width="9.28515625" style="1559" customWidth="1"/>
    <col min="1794" max="1794" width="8.42578125" style="1559" customWidth="1"/>
    <col min="1795" max="1795" width="9.140625" style="1559" customWidth="1"/>
    <col min="1796" max="1796" width="6.28515625" style="1559" customWidth="1"/>
    <col min="1797" max="1797" width="9.85546875" style="1559" bestFit="1" customWidth="1"/>
    <col min="1798" max="1798" width="4.5703125" style="1559" bestFit="1" customWidth="1"/>
    <col min="1799" max="1799" width="15.42578125" style="1559" bestFit="1" customWidth="1"/>
    <col min="1800" max="1800" width="17" style="1559" customWidth="1"/>
    <col min="1801" max="1801" width="17.85546875" style="1559" customWidth="1"/>
    <col min="1802" max="1803" width="0" style="1559" hidden="1" customWidth="1"/>
    <col min="1804" max="1804" width="3.42578125" style="1559" customWidth="1"/>
    <col min="1805" max="2048" width="9.140625" style="1559"/>
    <col min="2049" max="2049" width="9.28515625" style="1559" customWidth="1"/>
    <col min="2050" max="2050" width="8.42578125" style="1559" customWidth="1"/>
    <col min="2051" max="2051" width="9.140625" style="1559" customWidth="1"/>
    <col min="2052" max="2052" width="6.28515625" style="1559" customWidth="1"/>
    <col min="2053" max="2053" width="9.85546875" style="1559" bestFit="1" customWidth="1"/>
    <col min="2054" max="2054" width="4.5703125" style="1559" bestFit="1" customWidth="1"/>
    <col min="2055" max="2055" width="15.42578125" style="1559" bestFit="1" customWidth="1"/>
    <col min="2056" max="2056" width="17" style="1559" customWidth="1"/>
    <col min="2057" max="2057" width="17.85546875" style="1559" customWidth="1"/>
    <col min="2058" max="2059" width="0" style="1559" hidden="1" customWidth="1"/>
    <col min="2060" max="2060" width="3.42578125" style="1559" customWidth="1"/>
    <col min="2061" max="2304" width="9.140625" style="1559"/>
    <col min="2305" max="2305" width="9.28515625" style="1559" customWidth="1"/>
    <col min="2306" max="2306" width="8.42578125" style="1559" customWidth="1"/>
    <col min="2307" max="2307" width="9.140625" style="1559" customWidth="1"/>
    <col min="2308" max="2308" width="6.28515625" style="1559" customWidth="1"/>
    <col min="2309" max="2309" width="9.85546875" style="1559" bestFit="1" customWidth="1"/>
    <col min="2310" max="2310" width="4.5703125" style="1559" bestFit="1" customWidth="1"/>
    <col min="2311" max="2311" width="15.42578125" style="1559" bestFit="1" customWidth="1"/>
    <col min="2312" max="2312" width="17" style="1559" customWidth="1"/>
    <col min="2313" max="2313" width="17.85546875" style="1559" customWidth="1"/>
    <col min="2314" max="2315" width="0" style="1559" hidden="1" customWidth="1"/>
    <col min="2316" max="2316" width="3.42578125" style="1559" customWidth="1"/>
    <col min="2317" max="2560" width="9.140625" style="1559"/>
    <col min="2561" max="2561" width="9.28515625" style="1559" customWidth="1"/>
    <col min="2562" max="2562" width="8.42578125" style="1559" customWidth="1"/>
    <col min="2563" max="2563" width="9.140625" style="1559" customWidth="1"/>
    <col min="2564" max="2564" width="6.28515625" style="1559" customWidth="1"/>
    <col min="2565" max="2565" width="9.85546875" style="1559" bestFit="1" customWidth="1"/>
    <col min="2566" max="2566" width="4.5703125" style="1559" bestFit="1" customWidth="1"/>
    <col min="2567" max="2567" width="15.42578125" style="1559" bestFit="1" customWidth="1"/>
    <col min="2568" max="2568" width="17" style="1559" customWidth="1"/>
    <col min="2569" max="2569" width="17.85546875" style="1559" customWidth="1"/>
    <col min="2570" max="2571" width="0" style="1559" hidden="1" customWidth="1"/>
    <col min="2572" max="2572" width="3.42578125" style="1559" customWidth="1"/>
    <col min="2573" max="2816" width="9.140625" style="1559"/>
    <col min="2817" max="2817" width="9.28515625" style="1559" customWidth="1"/>
    <col min="2818" max="2818" width="8.42578125" style="1559" customWidth="1"/>
    <col min="2819" max="2819" width="9.140625" style="1559" customWidth="1"/>
    <col min="2820" max="2820" width="6.28515625" style="1559" customWidth="1"/>
    <col min="2821" max="2821" width="9.85546875" style="1559" bestFit="1" customWidth="1"/>
    <col min="2822" max="2822" width="4.5703125" style="1559" bestFit="1" customWidth="1"/>
    <col min="2823" max="2823" width="15.42578125" style="1559" bestFit="1" customWidth="1"/>
    <col min="2824" max="2824" width="17" style="1559" customWidth="1"/>
    <col min="2825" max="2825" width="17.85546875" style="1559" customWidth="1"/>
    <col min="2826" max="2827" width="0" style="1559" hidden="1" customWidth="1"/>
    <col min="2828" max="2828" width="3.42578125" style="1559" customWidth="1"/>
    <col min="2829" max="3072" width="9.140625" style="1559"/>
    <col min="3073" max="3073" width="9.28515625" style="1559" customWidth="1"/>
    <col min="3074" max="3074" width="8.42578125" style="1559" customWidth="1"/>
    <col min="3075" max="3075" width="9.140625" style="1559" customWidth="1"/>
    <col min="3076" max="3076" width="6.28515625" style="1559" customWidth="1"/>
    <col min="3077" max="3077" width="9.85546875" style="1559" bestFit="1" customWidth="1"/>
    <col min="3078" max="3078" width="4.5703125" style="1559" bestFit="1" customWidth="1"/>
    <col min="3079" max="3079" width="15.42578125" style="1559" bestFit="1" customWidth="1"/>
    <col min="3080" max="3080" width="17" style="1559" customWidth="1"/>
    <col min="3081" max="3081" width="17.85546875" style="1559" customWidth="1"/>
    <col min="3082" max="3083" width="0" style="1559" hidden="1" customWidth="1"/>
    <col min="3084" max="3084" width="3.42578125" style="1559" customWidth="1"/>
    <col min="3085" max="3328" width="9.140625" style="1559"/>
    <col min="3329" max="3329" width="9.28515625" style="1559" customWidth="1"/>
    <col min="3330" max="3330" width="8.42578125" style="1559" customWidth="1"/>
    <col min="3331" max="3331" width="9.140625" style="1559" customWidth="1"/>
    <col min="3332" max="3332" width="6.28515625" style="1559" customWidth="1"/>
    <col min="3333" max="3333" width="9.85546875" style="1559" bestFit="1" customWidth="1"/>
    <col min="3334" max="3334" width="4.5703125" style="1559" bestFit="1" customWidth="1"/>
    <col min="3335" max="3335" width="15.42578125" style="1559" bestFit="1" customWidth="1"/>
    <col min="3336" max="3336" width="17" style="1559" customWidth="1"/>
    <col min="3337" max="3337" width="17.85546875" style="1559" customWidth="1"/>
    <col min="3338" max="3339" width="0" style="1559" hidden="1" customWidth="1"/>
    <col min="3340" max="3340" width="3.42578125" style="1559" customWidth="1"/>
    <col min="3341" max="3584" width="9.140625" style="1559"/>
    <col min="3585" max="3585" width="9.28515625" style="1559" customWidth="1"/>
    <col min="3586" max="3586" width="8.42578125" style="1559" customWidth="1"/>
    <col min="3587" max="3587" width="9.140625" style="1559" customWidth="1"/>
    <col min="3588" max="3588" width="6.28515625" style="1559" customWidth="1"/>
    <col min="3589" max="3589" width="9.85546875" style="1559" bestFit="1" customWidth="1"/>
    <col min="3590" max="3590" width="4.5703125" style="1559" bestFit="1" customWidth="1"/>
    <col min="3591" max="3591" width="15.42578125" style="1559" bestFit="1" customWidth="1"/>
    <col min="3592" max="3592" width="17" style="1559" customWidth="1"/>
    <col min="3593" max="3593" width="17.85546875" style="1559" customWidth="1"/>
    <col min="3594" max="3595" width="0" style="1559" hidden="1" customWidth="1"/>
    <col min="3596" max="3596" width="3.42578125" style="1559" customWidth="1"/>
    <col min="3597" max="3840" width="9.140625" style="1559"/>
    <col min="3841" max="3841" width="9.28515625" style="1559" customWidth="1"/>
    <col min="3842" max="3842" width="8.42578125" style="1559" customWidth="1"/>
    <col min="3843" max="3843" width="9.140625" style="1559" customWidth="1"/>
    <col min="3844" max="3844" width="6.28515625" style="1559" customWidth="1"/>
    <col min="3845" max="3845" width="9.85546875" style="1559" bestFit="1" customWidth="1"/>
    <col min="3846" max="3846" width="4.5703125" style="1559" bestFit="1" customWidth="1"/>
    <col min="3847" max="3847" width="15.42578125" style="1559" bestFit="1" customWidth="1"/>
    <col min="3848" max="3848" width="17" style="1559" customWidth="1"/>
    <col min="3849" max="3849" width="17.85546875" style="1559" customWidth="1"/>
    <col min="3850" max="3851" width="0" style="1559" hidden="1" customWidth="1"/>
    <col min="3852" max="3852" width="3.42578125" style="1559" customWidth="1"/>
    <col min="3853" max="4096" width="9.140625" style="1559"/>
    <col min="4097" max="4097" width="9.28515625" style="1559" customWidth="1"/>
    <col min="4098" max="4098" width="8.42578125" style="1559" customWidth="1"/>
    <col min="4099" max="4099" width="9.140625" style="1559" customWidth="1"/>
    <col min="4100" max="4100" width="6.28515625" style="1559" customWidth="1"/>
    <col min="4101" max="4101" width="9.85546875" style="1559" bestFit="1" customWidth="1"/>
    <col min="4102" max="4102" width="4.5703125" style="1559" bestFit="1" customWidth="1"/>
    <col min="4103" max="4103" width="15.42578125" style="1559" bestFit="1" customWidth="1"/>
    <col min="4104" max="4104" width="17" style="1559" customWidth="1"/>
    <col min="4105" max="4105" width="17.85546875" style="1559" customWidth="1"/>
    <col min="4106" max="4107" width="0" style="1559" hidden="1" customWidth="1"/>
    <col min="4108" max="4108" width="3.42578125" style="1559" customWidth="1"/>
    <col min="4109" max="4352" width="9.140625" style="1559"/>
    <col min="4353" max="4353" width="9.28515625" style="1559" customWidth="1"/>
    <col min="4354" max="4354" width="8.42578125" style="1559" customWidth="1"/>
    <col min="4355" max="4355" width="9.140625" style="1559" customWidth="1"/>
    <col min="4356" max="4356" width="6.28515625" style="1559" customWidth="1"/>
    <col min="4357" max="4357" width="9.85546875" style="1559" bestFit="1" customWidth="1"/>
    <col min="4358" max="4358" width="4.5703125" style="1559" bestFit="1" customWidth="1"/>
    <col min="4359" max="4359" width="15.42578125" style="1559" bestFit="1" customWidth="1"/>
    <col min="4360" max="4360" width="17" style="1559" customWidth="1"/>
    <col min="4361" max="4361" width="17.85546875" style="1559" customWidth="1"/>
    <col min="4362" max="4363" width="0" style="1559" hidden="1" customWidth="1"/>
    <col min="4364" max="4364" width="3.42578125" style="1559" customWidth="1"/>
    <col min="4365" max="4608" width="9.140625" style="1559"/>
    <col min="4609" max="4609" width="9.28515625" style="1559" customWidth="1"/>
    <col min="4610" max="4610" width="8.42578125" style="1559" customWidth="1"/>
    <col min="4611" max="4611" width="9.140625" style="1559" customWidth="1"/>
    <col min="4612" max="4612" width="6.28515625" style="1559" customWidth="1"/>
    <col min="4613" max="4613" width="9.85546875" style="1559" bestFit="1" customWidth="1"/>
    <col min="4614" max="4614" width="4.5703125" style="1559" bestFit="1" customWidth="1"/>
    <col min="4615" max="4615" width="15.42578125" style="1559" bestFit="1" customWidth="1"/>
    <col min="4616" max="4616" width="17" style="1559" customWidth="1"/>
    <col min="4617" max="4617" width="17.85546875" style="1559" customWidth="1"/>
    <col min="4618" max="4619" width="0" style="1559" hidden="1" customWidth="1"/>
    <col min="4620" max="4620" width="3.42578125" style="1559" customWidth="1"/>
    <col min="4621" max="4864" width="9.140625" style="1559"/>
    <col min="4865" max="4865" width="9.28515625" style="1559" customWidth="1"/>
    <col min="4866" max="4866" width="8.42578125" style="1559" customWidth="1"/>
    <col min="4867" max="4867" width="9.140625" style="1559" customWidth="1"/>
    <col min="4868" max="4868" width="6.28515625" style="1559" customWidth="1"/>
    <col min="4869" max="4869" width="9.85546875" style="1559" bestFit="1" customWidth="1"/>
    <col min="4870" max="4870" width="4.5703125" style="1559" bestFit="1" customWidth="1"/>
    <col min="4871" max="4871" width="15.42578125" style="1559" bestFit="1" customWidth="1"/>
    <col min="4872" max="4872" width="17" style="1559" customWidth="1"/>
    <col min="4873" max="4873" width="17.85546875" style="1559" customWidth="1"/>
    <col min="4874" max="4875" width="0" style="1559" hidden="1" customWidth="1"/>
    <col min="4876" max="4876" width="3.42578125" style="1559" customWidth="1"/>
    <col min="4877" max="5120" width="9.140625" style="1559"/>
    <col min="5121" max="5121" width="9.28515625" style="1559" customWidth="1"/>
    <col min="5122" max="5122" width="8.42578125" style="1559" customWidth="1"/>
    <col min="5123" max="5123" width="9.140625" style="1559" customWidth="1"/>
    <col min="5124" max="5124" width="6.28515625" style="1559" customWidth="1"/>
    <col min="5125" max="5125" width="9.85546875" style="1559" bestFit="1" customWidth="1"/>
    <col min="5126" max="5126" width="4.5703125" style="1559" bestFit="1" customWidth="1"/>
    <col min="5127" max="5127" width="15.42578125" style="1559" bestFit="1" customWidth="1"/>
    <col min="5128" max="5128" width="17" style="1559" customWidth="1"/>
    <col min="5129" max="5129" width="17.85546875" style="1559" customWidth="1"/>
    <col min="5130" max="5131" width="0" style="1559" hidden="1" customWidth="1"/>
    <col min="5132" max="5132" width="3.42578125" style="1559" customWidth="1"/>
    <col min="5133" max="5376" width="9.140625" style="1559"/>
    <col min="5377" max="5377" width="9.28515625" style="1559" customWidth="1"/>
    <col min="5378" max="5378" width="8.42578125" style="1559" customWidth="1"/>
    <col min="5379" max="5379" width="9.140625" style="1559" customWidth="1"/>
    <col min="5380" max="5380" width="6.28515625" style="1559" customWidth="1"/>
    <col min="5381" max="5381" width="9.85546875" style="1559" bestFit="1" customWidth="1"/>
    <col min="5382" max="5382" width="4.5703125" style="1559" bestFit="1" customWidth="1"/>
    <col min="5383" max="5383" width="15.42578125" style="1559" bestFit="1" customWidth="1"/>
    <col min="5384" max="5384" width="17" style="1559" customWidth="1"/>
    <col min="5385" max="5385" width="17.85546875" style="1559" customWidth="1"/>
    <col min="5386" max="5387" width="0" style="1559" hidden="1" customWidth="1"/>
    <col min="5388" max="5388" width="3.42578125" style="1559" customWidth="1"/>
    <col min="5389" max="5632" width="9.140625" style="1559"/>
    <col min="5633" max="5633" width="9.28515625" style="1559" customWidth="1"/>
    <col min="5634" max="5634" width="8.42578125" style="1559" customWidth="1"/>
    <col min="5635" max="5635" width="9.140625" style="1559" customWidth="1"/>
    <col min="5636" max="5636" width="6.28515625" style="1559" customWidth="1"/>
    <col min="5637" max="5637" width="9.85546875" style="1559" bestFit="1" customWidth="1"/>
    <col min="5638" max="5638" width="4.5703125" style="1559" bestFit="1" customWidth="1"/>
    <col min="5639" max="5639" width="15.42578125" style="1559" bestFit="1" customWidth="1"/>
    <col min="5640" max="5640" width="17" style="1559" customWidth="1"/>
    <col min="5641" max="5641" width="17.85546875" style="1559" customWidth="1"/>
    <col min="5642" max="5643" width="0" style="1559" hidden="1" customWidth="1"/>
    <col min="5644" max="5644" width="3.42578125" style="1559" customWidth="1"/>
    <col min="5645" max="5888" width="9.140625" style="1559"/>
    <col min="5889" max="5889" width="9.28515625" style="1559" customWidth="1"/>
    <col min="5890" max="5890" width="8.42578125" style="1559" customWidth="1"/>
    <col min="5891" max="5891" width="9.140625" style="1559" customWidth="1"/>
    <col min="5892" max="5892" width="6.28515625" style="1559" customWidth="1"/>
    <col min="5893" max="5893" width="9.85546875" style="1559" bestFit="1" customWidth="1"/>
    <col min="5894" max="5894" width="4.5703125" style="1559" bestFit="1" customWidth="1"/>
    <col min="5895" max="5895" width="15.42578125" style="1559" bestFit="1" customWidth="1"/>
    <col min="5896" max="5896" width="17" style="1559" customWidth="1"/>
    <col min="5897" max="5897" width="17.85546875" style="1559" customWidth="1"/>
    <col min="5898" max="5899" width="0" style="1559" hidden="1" customWidth="1"/>
    <col min="5900" max="5900" width="3.42578125" style="1559" customWidth="1"/>
    <col min="5901" max="6144" width="9.140625" style="1559"/>
    <col min="6145" max="6145" width="9.28515625" style="1559" customWidth="1"/>
    <col min="6146" max="6146" width="8.42578125" style="1559" customWidth="1"/>
    <col min="6147" max="6147" width="9.140625" style="1559" customWidth="1"/>
    <col min="6148" max="6148" width="6.28515625" style="1559" customWidth="1"/>
    <col min="6149" max="6149" width="9.85546875" style="1559" bestFit="1" customWidth="1"/>
    <col min="6150" max="6150" width="4.5703125" style="1559" bestFit="1" customWidth="1"/>
    <col min="6151" max="6151" width="15.42578125" style="1559" bestFit="1" customWidth="1"/>
    <col min="6152" max="6152" width="17" style="1559" customWidth="1"/>
    <col min="6153" max="6153" width="17.85546875" style="1559" customWidth="1"/>
    <col min="6154" max="6155" width="0" style="1559" hidden="1" customWidth="1"/>
    <col min="6156" max="6156" width="3.42578125" style="1559" customWidth="1"/>
    <col min="6157" max="6400" width="9.140625" style="1559"/>
    <col min="6401" max="6401" width="9.28515625" style="1559" customWidth="1"/>
    <col min="6402" max="6402" width="8.42578125" style="1559" customWidth="1"/>
    <col min="6403" max="6403" width="9.140625" style="1559" customWidth="1"/>
    <col min="6404" max="6404" width="6.28515625" style="1559" customWidth="1"/>
    <col min="6405" max="6405" width="9.85546875" style="1559" bestFit="1" customWidth="1"/>
    <col min="6406" max="6406" width="4.5703125" style="1559" bestFit="1" customWidth="1"/>
    <col min="6407" max="6407" width="15.42578125" style="1559" bestFit="1" customWidth="1"/>
    <col min="6408" max="6408" width="17" style="1559" customWidth="1"/>
    <col min="6409" max="6409" width="17.85546875" style="1559" customWidth="1"/>
    <col min="6410" max="6411" width="0" style="1559" hidden="1" customWidth="1"/>
    <col min="6412" max="6412" width="3.42578125" style="1559" customWidth="1"/>
    <col min="6413" max="6656" width="9.140625" style="1559"/>
    <col min="6657" max="6657" width="9.28515625" style="1559" customWidth="1"/>
    <col min="6658" max="6658" width="8.42578125" style="1559" customWidth="1"/>
    <col min="6659" max="6659" width="9.140625" style="1559" customWidth="1"/>
    <col min="6660" max="6660" width="6.28515625" style="1559" customWidth="1"/>
    <col min="6661" max="6661" width="9.85546875" style="1559" bestFit="1" customWidth="1"/>
    <col min="6662" max="6662" width="4.5703125" style="1559" bestFit="1" customWidth="1"/>
    <col min="6663" max="6663" width="15.42578125" style="1559" bestFit="1" customWidth="1"/>
    <col min="6664" max="6664" width="17" style="1559" customWidth="1"/>
    <col min="6665" max="6665" width="17.85546875" style="1559" customWidth="1"/>
    <col min="6666" max="6667" width="0" style="1559" hidden="1" customWidth="1"/>
    <col min="6668" max="6668" width="3.42578125" style="1559" customWidth="1"/>
    <col min="6669" max="6912" width="9.140625" style="1559"/>
    <col min="6913" max="6913" width="9.28515625" style="1559" customWidth="1"/>
    <col min="6914" max="6914" width="8.42578125" style="1559" customWidth="1"/>
    <col min="6915" max="6915" width="9.140625" style="1559" customWidth="1"/>
    <col min="6916" max="6916" width="6.28515625" style="1559" customWidth="1"/>
    <col min="6917" max="6917" width="9.85546875" style="1559" bestFit="1" customWidth="1"/>
    <col min="6918" max="6918" width="4.5703125" style="1559" bestFit="1" customWidth="1"/>
    <col min="6919" max="6919" width="15.42578125" style="1559" bestFit="1" customWidth="1"/>
    <col min="6920" max="6920" width="17" style="1559" customWidth="1"/>
    <col min="6921" max="6921" width="17.85546875" style="1559" customWidth="1"/>
    <col min="6922" max="6923" width="0" style="1559" hidden="1" customWidth="1"/>
    <col min="6924" max="6924" width="3.42578125" style="1559" customWidth="1"/>
    <col min="6925" max="7168" width="9.140625" style="1559"/>
    <col min="7169" max="7169" width="9.28515625" style="1559" customWidth="1"/>
    <col min="7170" max="7170" width="8.42578125" style="1559" customWidth="1"/>
    <col min="7171" max="7171" width="9.140625" style="1559" customWidth="1"/>
    <col min="7172" max="7172" width="6.28515625" style="1559" customWidth="1"/>
    <col min="7173" max="7173" width="9.85546875" style="1559" bestFit="1" customWidth="1"/>
    <col min="7174" max="7174" width="4.5703125" style="1559" bestFit="1" customWidth="1"/>
    <col min="7175" max="7175" width="15.42578125" style="1559" bestFit="1" customWidth="1"/>
    <col min="7176" max="7176" width="17" style="1559" customWidth="1"/>
    <col min="7177" max="7177" width="17.85546875" style="1559" customWidth="1"/>
    <col min="7178" max="7179" width="0" style="1559" hidden="1" customWidth="1"/>
    <col min="7180" max="7180" width="3.42578125" style="1559" customWidth="1"/>
    <col min="7181" max="7424" width="9.140625" style="1559"/>
    <col min="7425" max="7425" width="9.28515625" style="1559" customWidth="1"/>
    <col min="7426" max="7426" width="8.42578125" style="1559" customWidth="1"/>
    <col min="7427" max="7427" width="9.140625" style="1559" customWidth="1"/>
    <col min="7428" max="7428" width="6.28515625" style="1559" customWidth="1"/>
    <col min="7429" max="7429" width="9.85546875" style="1559" bestFit="1" customWidth="1"/>
    <col min="7430" max="7430" width="4.5703125" style="1559" bestFit="1" customWidth="1"/>
    <col min="7431" max="7431" width="15.42578125" style="1559" bestFit="1" customWidth="1"/>
    <col min="7432" max="7432" width="17" style="1559" customWidth="1"/>
    <col min="7433" max="7433" width="17.85546875" style="1559" customWidth="1"/>
    <col min="7434" max="7435" width="0" style="1559" hidden="1" customWidth="1"/>
    <col min="7436" max="7436" width="3.42578125" style="1559" customWidth="1"/>
    <col min="7437" max="7680" width="9.140625" style="1559"/>
    <col min="7681" max="7681" width="9.28515625" style="1559" customWidth="1"/>
    <col min="7682" max="7682" width="8.42578125" style="1559" customWidth="1"/>
    <col min="7683" max="7683" width="9.140625" style="1559" customWidth="1"/>
    <col min="7684" max="7684" width="6.28515625" style="1559" customWidth="1"/>
    <col min="7685" max="7685" width="9.85546875" style="1559" bestFit="1" customWidth="1"/>
    <col min="7686" max="7686" width="4.5703125" style="1559" bestFit="1" customWidth="1"/>
    <col min="7687" max="7687" width="15.42578125" style="1559" bestFit="1" customWidth="1"/>
    <col min="7688" max="7688" width="17" style="1559" customWidth="1"/>
    <col min="7689" max="7689" width="17.85546875" style="1559" customWidth="1"/>
    <col min="7690" max="7691" width="0" style="1559" hidden="1" customWidth="1"/>
    <col min="7692" max="7692" width="3.42578125" style="1559" customWidth="1"/>
    <col min="7693" max="7936" width="9.140625" style="1559"/>
    <col min="7937" max="7937" width="9.28515625" style="1559" customWidth="1"/>
    <col min="7938" max="7938" width="8.42578125" style="1559" customWidth="1"/>
    <col min="7939" max="7939" width="9.140625" style="1559" customWidth="1"/>
    <col min="7940" max="7940" width="6.28515625" style="1559" customWidth="1"/>
    <col min="7941" max="7941" width="9.85546875" style="1559" bestFit="1" customWidth="1"/>
    <col min="7942" max="7942" width="4.5703125" style="1559" bestFit="1" customWidth="1"/>
    <col min="7943" max="7943" width="15.42578125" style="1559" bestFit="1" customWidth="1"/>
    <col min="7944" max="7944" width="17" style="1559" customWidth="1"/>
    <col min="7945" max="7945" width="17.85546875" style="1559" customWidth="1"/>
    <col min="7946" max="7947" width="0" style="1559" hidden="1" customWidth="1"/>
    <col min="7948" max="7948" width="3.42578125" style="1559" customWidth="1"/>
    <col min="7949" max="8192" width="9.140625" style="1559"/>
    <col min="8193" max="8193" width="9.28515625" style="1559" customWidth="1"/>
    <col min="8194" max="8194" width="8.42578125" style="1559" customWidth="1"/>
    <col min="8195" max="8195" width="9.140625" style="1559" customWidth="1"/>
    <col min="8196" max="8196" width="6.28515625" style="1559" customWidth="1"/>
    <col min="8197" max="8197" width="9.85546875" style="1559" bestFit="1" customWidth="1"/>
    <col min="8198" max="8198" width="4.5703125" style="1559" bestFit="1" customWidth="1"/>
    <col min="8199" max="8199" width="15.42578125" style="1559" bestFit="1" customWidth="1"/>
    <col min="8200" max="8200" width="17" style="1559" customWidth="1"/>
    <col min="8201" max="8201" width="17.85546875" style="1559" customWidth="1"/>
    <col min="8202" max="8203" width="0" style="1559" hidden="1" customWidth="1"/>
    <col min="8204" max="8204" width="3.42578125" style="1559" customWidth="1"/>
    <col min="8205" max="8448" width="9.140625" style="1559"/>
    <col min="8449" max="8449" width="9.28515625" style="1559" customWidth="1"/>
    <col min="8450" max="8450" width="8.42578125" style="1559" customWidth="1"/>
    <col min="8451" max="8451" width="9.140625" style="1559" customWidth="1"/>
    <col min="8452" max="8452" width="6.28515625" style="1559" customWidth="1"/>
    <col min="8453" max="8453" width="9.85546875" style="1559" bestFit="1" customWidth="1"/>
    <col min="8454" max="8454" width="4.5703125" style="1559" bestFit="1" customWidth="1"/>
    <col min="8455" max="8455" width="15.42578125" style="1559" bestFit="1" customWidth="1"/>
    <col min="8456" max="8456" width="17" style="1559" customWidth="1"/>
    <col min="8457" max="8457" width="17.85546875" style="1559" customWidth="1"/>
    <col min="8458" max="8459" width="0" style="1559" hidden="1" customWidth="1"/>
    <col min="8460" max="8460" width="3.42578125" style="1559" customWidth="1"/>
    <col min="8461" max="8704" width="9.140625" style="1559"/>
    <col min="8705" max="8705" width="9.28515625" style="1559" customWidth="1"/>
    <col min="8706" max="8706" width="8.42578125" style="1559" customWidth="1"/>
    <col min="8707" max="8707" width="9.140625" style="1559" customWidth="1"/>
    <col min="8708" max="8708" width="6.28515625" style="1559" customWidth="1"/>
    <col min="8709" max="8709" width="9.85546875" style="1559" bestFit="1" customWidth="1"/>
    <col min="8710" max="8710" width="4.5703125" style="1559" bestFit="1" customWidth="1"/>
    <col min="8711" max="8711" width="15.42578125" style="1559" bestFit="1" customWidth="1"/>
    <col min="8712" max="8712" width="17" style="1559" customWidth="1"/>
    <col min="8713" max="8713" width="17.85546875" style="1559" customWidth="1"/>
    <col min="8714" max="8715" width="0" style="1559" hidden="1" customWidth="1"/>
    <col min="8716" max="8716" width="3.42578125" style="1559" customWidth="1"/>
    <col min="8717" max="8960" width="9.140625" style="1559"/>
    <col min="8961" max="8961" width="9.28515625" style="1559" customWidth="1"/>
    <col min="8962" max="8962" width="8.42578125" style="1559" customWidth="1"/>
    <col min="8963" max="8963" width="9.140625" style="1559" customWidth="1"/>
    <col min="8964" max="8964" width="6.28515625" style="1559" customWidth="1"/>
    <col min="8965" max="8965" width="9.85546875" style="1559" bestFit="1" customWidth="1"/>
    <col min="8966" max="8966" width="4.5703125" style="1559" bestFit="1" customWidth="1"/>
    <col min="8967" max="8967" width="15.42578125" style="1559" bestFit="1" customWidth="1"/>
    <col min="8968" max="8968" width="17" style="1559" customWidth="1"/>
    <col min="8969" max="8969" width="17.85546875" style="1559" customWidth="1"/>
    <col min="8970" max="8971" width="0" style="1559" hidden="1" customWidth="1"/>
    <col min="8972" max="8972" width="3.42578125" style="1559" customWidth="1"/>
    <col min="8973" max="9216" width="9.140625" style="1559"/>
    <col min="9217" max="9217" width="9.28515625" style="1559" customWidth="1"/>
    <col min="9218" max="9218" width="8.42578125" style="1559" customWidth="1"/>
    <col min="9219" max="9219" width="9.140625" style="1559" customWidth="1"/>
    <col min="9220" max="9220" width="6.28515625" style="1559" customWidth="1"/>
    <col min="9221" max="9221" width="9.85546875" style="1559" bestFit="1" customWidth="1"/>
    <col min="9222" max="9222" width="4.5703125" style="1559" bestFit="1" customWidth="1"/>
    <col min="9223" max="9223" width="15.42578125" style="1559" bestFit="1" customWidth="1"/>
    <col min="9224" max="9224" width="17" style="1559" customWidth="1"/>
    <col min="9225" max="9225" width="17.85546875" style="1559" customWidth="1"/>
    <col min="9226" max="9227" width="0" style="1559" hidden="1" customWidth="1"/>
    <col min="9228" max="9228" width="3.42578125" style="1559" customWidth="1"/>
    <col min="9229" max="9472" width="9.140625" style="1559"/>
    <col min="9473" max="9473" width="9.28515625" style="1559" customWidth="1"/>
    <col min="9474" max="9474" width="8.42578125" style="1559" customWidth="1"/>
    <col min="9475" max="9475" width="9.140625" style="1559" customWidth="1"/>
    <col min="9476" max="9476" width="6.28515625" style="1559" customWidth="1"/>
    <col min="9477" max="9477" width="9.85546875" style="1559" bestFit="1" customWidth="1"/>
    <col min="9478" max="9478" width="4.5703125" style="1559" bestFit="1" customWidth="1"/>
    <col min="9479" max="9479" width="15.42578125" style="1559" bestFit="1" customWidth="1"/>
    <col min="9480" max="9480" width="17" style="1559" customWidth="1"/>
    <col min="9481" max="9481" width="17.85546875" style="1559" customWidth="1"/>
    <col min="9482" max="9483" width="0" style="1559" hidden="1" customWidth="1"/>
    <col min="9484" max="9484" width="3.42578125" style="1559" customWidth="1"/>
    <col min="9485" max="9728" width="9.140625" style="1559"/>
    <col min="9729" max="9729" width="9.28515625" style="1559" customWidth="1"/>
    <col min="9730" max="9730" width="8.42578125" style="1559" customWidth="1"/>
    <col min="9731" max="9731" width="9.140625" style="1559" customWidth="1"/>
    <col min="9732" max="9732" width="6.28515625" style="1559" customWidth="1"/>
    <col min="9733" max="9733" width="9.85546875" style="1559" bestFit="1" customWidth="1"/>
    <col min="9734" max="9734" width="4.5703125" style="1559" bestFit="1" customWidth="1"/>
    <col min="9735" max="9735" width="15.42578125" style="1559" bestFit="1" customWidth="1"/>
    <col min="9736" max="9736" width="17" style="1559" customWidth="1"/>
    <col min="9737" max="9737" width="17.85546875" style="1559" customWidth="1"/>
    <col min="9738" max="9739" width="0" style="1559" hidden="1" customWidth="1"/>
    <col min="9740" max="9740" width="3.42578125" style="1559" customWidth="1"/>
    <col min="9741" max="9984" width="9.140625" style="1559"/>
    <col min="9985" max="9985" width="9.28515625" style="1559" customWidth="1"/>
    <col min="9986" max="9986" width="8.42578125" style="1559" customWidth="1"/>
    <col min="9987" max="9987" width="9.140625" style="1559" customWidth="1"/>
    <col min="9988" max="9988" width="6.28515625" style="1559" customWidth="1"/>
    <col min="9989" max="9989" width="9.85546875" style="1559" bestFit="1" customWidth="1"/>
    <col min="9990" max="9990" width="4.5703125" style="1559" bestFit="1" customWidth="1"/>
    <col min="9991" max="9991" width="15.42578125" style="1559" bestFit="1" customWidth="1"/>
    <col min="9992" max="9992" width="17" style="1559" customWidth="1"/>
    <col min="9993" max="9993" width="17.85546875" style="1559" customWidth="1"/>
    <col min="9994" max="9995" width="0" style="1559" hidden="1" customWidth="1"/>
    <col min="9996" max="9996" width="3.42578125" style="1559" customWidth="1"/>
    <col min="9997" max="10240" width="9.140625" style="1559"/>
    <col min="10241" max="10241" width="9.28515625" style="1559" customWidth="1"/>
    <col min="10242" max="10242" width="8.42578125" style="1559" customWidth="1"/>
    <col min="10243" max="10243" width="9.140625" style="1559" customWidth="1"/>
    <col min="10244" max="10244" width="6.28515625" style="1559" customWidth="1"/>
    <col min="10245" max="10245" width="9.85546875" style="1559" bestFit="1" customWidth="1"/>
    <col min="10246" max="10246" width="4.5703125" style="1559" bestFit="1" customWidth="1"/>
    <col min="10247" max="10247" width="15.42578125" style="1559" bestFit="1" customWidth="1"/>
    <col min="10248" max="10248" width="17" style="1559" customWidth="1"/>
    <col min="10249" max="10249" width="17.85546875" style="1559" customWidth="1"/>
    <col min="10250" max="10251" width="0" style="1559" hidden="1" customWidth="1"/>
    <col min="10252" max="10252" width="3.42578125" style="1559" customWidth="1"/>
    <col min="10253" max="10496" width="9.140625" style="1559"/>
    <col min="10497" max="10497" width="9.28515625" style="1559" customWidth="1"/>
    <col min="10498" max="10498" width="8.42578125" style="1559" customWidth="1"/>
    <col min="10499" max="10499" width="9.140625" style="1559" customWidth="1"/>
    <col min="10500" max="10500" width="6.28515625" style="1559" customWidth="1"/>
    <col min="10501" max="10501" width="9.85546875" style="1559" bestFit="1" customWidth="1"/>
    <col min="10502" max="10502" width="4.5703125" style="1559" bestFit="1" customWidth="1"/>
    <col min="10503" max="10503" width="15.42578125" style="1559" bestFit="1" customWidth="1"/>
    <col min="10504" max="10504" width="17" style="1559" customWidth="1"/>
    <col min="10505" max="10505" width="17.85546875" style="1559" customWidth="1"/>
    <col min="10506" max="10507" width="0" style="1559" hidden="1" customWidth="1"/>
    <col min="10508" max="10508" width="3.42578125" style="1559" customWidth="1"/>
    <col min="10509" max="10752" width="9.140625" style="1559"/>
    <col min="10753" max="10753" width="9.28515625" style="1559" customWidth="1"/>
    <col min="10754" max="10754" width="8.42578125" style="1559" customWidth="1"/>
    <col min="10755" max="10755" width="9.140625" style="1559" customWidth="1"/>
    <col min="10756" max="10756" width="6.28515625" style="1559" customWidth="1"/>
    <col min="10757" max="10757" width="9.85546875" style="1559" bestFit="1" customWidth="1"/>
    <col min="10758" max="10758" width="4.5703125" style="1559" bestFit="1" customWidth="1"/>
    <col min="10759" max="10759" width="15.42578125" style="1559" bestFit="1" customWidth="1"/>
    <col min="10760" max="10760" width="17" style="1559" customWidth="1"/>
    <col min="10761" max="10761" width="17.85546875" style="1559" customWidth="1"/>
    <col min="10762" max="10763" width="0" style="1559" hidden="1" customWidth="1"/>
    <col min="10764" max="10764" width="3.42578125" style="1559" customWidth="1"/>
    <col min="10765" max="11008" width="9.140625" style="1559"/>
    <col min="11009" max="11009" width="9.28515625" style="1559" customWidth="1"/>
    <col min="11010" max="11010" width="8.42578125" style="1559" customWidth="1"/>
    <col min="11011" max="11011" width="9.140625" style="1559" customWidth="1"/>
    <col min="11012" max="11012" width="6.28515625" style="1559" customWidth="1"/>
    <col min="11013" max="11013" width="9.85546875" style="1559" bestFit="1" customWidth="1"/>
    <col min="11014" max="11014" width="4.5703125" style="1559" bestFit="1" customWidth="1"/>
    <col min="11015" max="11015" width="15.42578125" style="1559" bestFit="1" customWidth="1"/>
    <col min="11016" max="11016" width="17" style="1559" customWidth="1"/>
    <col min="11017" max="11017" width="17.85546875" style="1559" customWidth="1"/>
    <col min="11018" max="11019" width="0" style="1559" hidden="1" customWidth="1"/>
    <col min="11020" max="11020" width="3.42578125" style="1559" customWidth="1"/>
    <col min="11021" max="11264" width="9.140625" style="1559"/>
    <col min="11265" max="11265" width="9.28515625" style="1559" customWidth="1"/>
    <col min="11266" max="11266" width="8.42578125" style="1559" customWidth="1"/>
    <col min="11267" max="11267" width="9.140625" style="1559" customWidth="1"/>
    <col min="11268" max="11268" width="6.28515625" style="1559" customWidth="1"/>
    <col min="11269" max="11269" width="9.85546875" style="1559" bestFit="1" customWidth="1"/>
    <col min="11270" max="11270" width="4.5703125" style="1559" bestFit="1" customWidth="1"/>
    <col min="11271" max="11271" width="15.42578125" style="1559" bestFit="1" customWidth="1"/>
    <col min="11272" max="11272" width="17" style="1559" customWidth="1"/>
    <col min="11273" max="11273" width="17.85546875" style="1559" customWidth="1"/>
    <col min="11274" max="11275" width="0" style="1559" hidden="1" customWidth="1"/>
    <col min="11276" max="11276" width="3.42578125" style="1559" customWidth="1"/>
    <col min="11277" max="11520" width="9.140625" style="1559"/>
    <col min="11521" max="11521" width="9.28515625" style="1559" customWidth="1"/>
    <col min="11522" max="11522" width="8.42578125" style="1559" customWidth="1"/>
    <col min="11523" max="11523" width="9.140625" style="1559" customWidth="1"/>
    <col min="11524" max="11524" width="6.28515625" style="1559" customWidth="1"/>
    <col min="11525" max="11525" width="9.85546875" style="1559" bestFit="1" customWidth="1"/>
    <col min="11526" max="11526" width="4.5703125" style="1559" bestFit="1" customWidth="1"/>
    <col min="11527" max="11527" width="15.42578125" style="1559" bestFit="1" customWidth="1"/>
    <col min="11528" max="11528" width="17" style="1559" customWidth="1"/>
    <col min="11529" max="11529" width="17.85546875" style="1559" customWidth="1"/>
    <col min="11530" max="11531" width="0" style="1559" hidden="1" customWidth="1"/>
    <col min="11532" max="11532" width="3.42578125" style="1559" customWidth="1"/>
    <col min="11533" max="11776" width="9.140625" style="1559"/>
    <col min="11777" max="11777" width="9.28515625" style="1559" customWidth="1"/>
    <col min="11778" max="11778" width="8.42578125" style="1559" customWidth="1"/>
    <col min="11779" max="11779" width="9.140625" style="1559" customWidth="1"/>
    <col min="11780" max="11780" width="6.28515625" style="1559" customWidth="1"/>
    <col min="11781" max="11781" width="9.85546875" style="1559" bestFit="1" customWidth="1"/>
    <col min="11782" max="11782" width="4.5703125" style="1559" bestFit="1" customWidth="1"/>
    <col min="11783" max="11783" width="15.42578125" style="1559" bestFit="1" customWidth="1"/>
    <col min="11784" max="11784" width="17" style="1559" customWidth="1"/>
    <col min="11785" max="11785" width="17.85546875" style="1559" customWidth="1"/>
    <col min="11786" max="11787" width="0" style="1559" hidden="1" customWidth="1"/>
    <col min="11788" max="11788" width="3.42578125" style="1559" customWidth="1"/>
    <col min="11789" max="12032" width="9.140625" style="1559"/>
    <col min="12033" max="12033" width="9.28515625" style="1559" customWidth="1"/>
    <col min="12034" max="12034" width="8.42578125" style="1559" customWidth="1"/>
    <col min="12035" max="12035" width="9.140625" style="1559" customWidth="1"/>
    <col min="12036" max="12036" width="6.28515625" style="1559" customWidth="1"/>
    <col min="12037" max="12037" width="9.85546875" style="1559" bestFit="1" customWidth="1"/>
    <col min="12038" max="12038" width="4.5703125" style="1559" bestFit="1" customWidth="1"/>
    <col min="12039" max="12039" width="15.42578125" style="1559" bestFit="1" customWidth="1"/>
    <col min="12040" max="12040" width="17" style="1559" customWidth="1"/>
    <col min="12041" max="12041" width="17.85546875" style="1559" customWidth="1"/>
    <col min="12042" max="12043" width="0" style="1559" hidden="1" customWidth="1"/>
    <col min="12044" max="12044" width="3.42578125" style="1559" customWidth="1"/>
    <col min="12045" max="12288" width="9.140625" style="1559"/>
    <col min="12289" max="12289" width="9.28515625" style="1559" customWidth="1"/>
    <col min="12290" max="12290" width="8.42578125" style="1559" customWidth="1"/>
    <col min="12291" max="12291" width="9.140625" style="1559" customWidth="1"/>
    <col min="12292" max="12292" width="6.28515625" style="1559" customWidth="1"/>
    <col min="12293" max="12293" width="9.85546875" style="1559" bestFit="1" customWidth="1"/>
    <col min="12294" max="12294" width="4.5703125" style="1559" bestFit="1" customWidth="1"/>
    <col min="12295" max="12295" width="15.42578125" style="1559" bestFit="1" customWidth="1"/>
    <col min="12296" max="12296" width="17" style="1559" customWidth="1"/>
    <col min="12297" max="12297" width="17.85546875" style="1559" customWidth="1"/>
    <col min="12298" max="12299" width="0" style="1559" hidden="1" customWidth="1"/>
    <col min="12300" max="12300" width="3.42578125" style="1559" customWidth="1"/>
    <col min="12301" max="12544" width="9.140625" style="1559"/>
    <col min="12545" max="12545" width="9.28515625" style="1559" customWidth="1"/>
    <col min="12546" max="12546" width="8.42578125" style="1559" customWidth="1"/>
    <col min="12547" max="12547" width="9.140625" style="1559" customWidth="1"/>
    <col min="12548" max="12548" width="6.28515625" style="1559" customWidth="1"/>
    <col min="12549" max="12549" width="9.85546875" style="1559" bestFit="1" customWidth="1"/>
    <col min="12550" max="12550" width="4.5703125" style="1559" bestFit="1" customWidth="1"/>
    <col min="12551" max="12551" width="15.42578125" style="1559" bestFit="1" customWidth="1"/>
    <col min="12552" max="12552" width="17" style="1559" customWidth="1"/>
    <col min="12553" max="12553" width="17.85546875" style="1559" customWidth="1"/>
    <col min="12554" max="12555" width="0" style="1559" hidden="1" customWidth="1"/>
    <col min="12556" max="12556" width="3.42578125" style="1559" customWidth="1"/>
    <col min="12557" max="12800" width="9.140625" style="1559"/>
    <col min="12801" max="12801" width="9.28515625" style="1559" customWidth="1"/>
    <col min="12802" max="12802" width="8.42578125" style="1559" customWidth="1"/>
    <col min="12803" max="12803" width="9.140625" style="1559" customWidth="1"/>
    <col min="12804" max="12804" width="6.28515625" style="1559" customWidth="1"/>
    <col min="12805" max="12805" width="9.85546875" style="1559" bestFit="1" customWidth="1"/>
    <col min="12806" max="12806" width="4.5703125" style="1559" bestFit="1" customWidth="1"/>
    <col min="12807" max="12807" width="15.42578125" style="1559" bestFit="1" customWidth="1"/>
    <col min="12808" max="12808" width="17" style="1559" customWidth="1"/>
    <col min="12809" max="12809" width="17.85546875" style="1559" customWidth="1"/>
    <col min="12810" max="12811" width="0" style="1559" hidden="1" customWidth="1"/>
    <col min="12812" max="12812" width="3.42578125" style="1559" customWidth="1"/>
    <col min="12813" max="13056" width="9.140625" style="1559"/>
    <col min="13057" max="13057" width="9.28515625" style="1559" customWidth="1"/>
    <col min="13058" max="13058" width="8.42578125" style="1559" customWidth="1"/>
    <col min="13059" max="13059" width="9.140625" style="1559" customWidth="1"/>
    <col min="13060" max="13060" width="6.28515625" style="1559" customWidth="1"/>
    <col min="13061" max="13061" width="9.85546875" style="1559" bestFit="1" customWidth="1"/>
    <col min="13062" max="13062" width="4.5703125" style="1559" bestFit="1" customWidth="1"/>
    <col min="13063" max="13063" width="15.42578125" style="1559" bestFit="1" customWidth="1"/>
    <col min="13064" max="13064" width="17" style="1559" customWidth="1"/>
    <col min="13065" max="13065" width="17.85546875" style="1559" customWidth="1"/>
    <col min="13066" max="13067" width="0" style="1559" hidden="1" customWidth="1"/>
    <col min="13068" max="13068" width="3.42578125" style="1559" customWidth="1"/>
    <col min="13069" max="13312" width="9.140625" style="1559"/>
    <col min="13313" max="13313" width="9.28515625" style="1559" customWidth="1"/>
    <col min="13314" max="13314" width="8.42578125" style="1559" customWidth="1"/>
    <col min="13315" max="13315" width="9.140625" style="1559" customWidth="1"/>
    <col min="13316" max="13316" width="6.28515625" style="1559" customWidth="1"/>
    <col min="13317" max="13317" width="9.85546875" style="1559" bestFit="1" customWidth="1"/>
    <col min="13318" max="13318" width="4.5703125" style="1559" bestFit="1" customWidth="1"/>
    <col min="13319" max="13319" width="15.42578125" style="1559" bestFit="1" customWidth="1"/>
    <col min="13320" max="13320" width="17" style="1559" customWidth="1"/>
    <col min="13321" max="13321" width="17.85546875" style="1559" customWidth="1"/>
    <col min="13322" max="13323" width="0" style="1559" hidden="1" customWidth="1"/>
    <col min="13324" max="13324" width="3.42578125" style="1559" customWidth="1"/>
    <col min="13325" max="13568" width="9.140625" style="1559"/>
    <col min="13569" max="13569" width="9.28515625" style="1559" customWidth="1"/>
    <col min="13570" max="13570" width="8.42578125" style="1559" customWidth="1"/>
    <col min="13571" max="13571" width="9.140625" style="1559" customWidth="1"/>
    <col min="13572" max="13572" width="6.28515625" style="1559" customWidth="1"/>
    <col min="13573" max="13573" width="9.85546875" style="1559" bestFit="1" customWidth="1"/>
    <col min="13574" max="13574" width="4.5703125" style="1559" bestFit="1" customWidth="1"/>
    <col min="13575" max="13575" width="15.42578125" style="1559" bestFit="1" customWidth="1"/>
    <col min="13576" max="13576" width="17" style="1559" customWidth="1"/>
    <col min="13577" max="13577" width="17.85546875" style="1559" customWidth="1"/>
    <col min="13578" max="13579" width="0" style="1559" hidden="1" customWidth="1"/>
    <col min="13580" max="13580" width="3.42578125" style="1559" customWidth="1"/>
    <col min="13581" max="13824" width="9.140625" style="1559"/>
    <col min="13825" max="13825" width="9.28515625" style="1559" customWidth="1"/>
    <col min="13826" max="13826" width="8.42578125" style="1559" customWidth="1"/>
    <col min="13827" max="13827" width="9.140625" style="1559" customWidth="1"/>
    <col min="13828" max="13828" width="6.28515625" style="1559" customWidth="1"/>
    <col min="13829" max="13829" width="9.85546875" style="1559" bestFit="1" customWidth="1"/>
    <col min="13830" max="13830" width="4.5703125" style="1559" bestFit="1" customWidth="1"/>
    <col min="13831" max="13831" width="15.42578125" style="1559" bestFit="1" customWidth="1"/>
    <col min="13832" max="13832" width="17" style="1559" customWidth="1"/>
    <col min="13833" max="13833" width="17.85546875" style="1559" customWidth="1"/>
    <col min="13834" max="13835" width="0" style="1559" hidden="1" customWidth="1"/>
    <col min="13836" max="13836" width="3.42578125" style="1559" customWidth="1"/>
    <col min="13837" max="14080" width="9.140625" style="1559"/>
    <col min="14081" max="14081" width="9.28515625" style="1559" customWidth="1"/>
    <col min="14082" max="14082" width="8.42578125" style="1559" customWidth="1"/>
    <col min="14083" max="14083" width="9.140625" style="1559" customWidth="1"/>
    <col min="14084" max="14084" width="6.28515625" style="1559" customWidth="1"/>
    <col min="14085" max="14085" width="9.85546875" style="1559" bestFit="1" customWidth="1"/>
    <col min="14086" max="14086" width="4.5703125" style="1559" bestFit="1" customWidth="1"/>
    <col min="14087" max="14087" width="15.42578125" style="1559" bestFit="1" customWidth="1"/>
    <col min="14088" max="14088" width="17" style="1559" customWidth="1"/>
    <col min="14089" max="14089" width="17.85546875" style="1559" customWidth="1"/>
    <col min="14090" max="14091" width="0" style="1559" hidden="1" customWidth="1"/>
    <col min="14092" max="14092" width="3.42578125" style="1559" customWidth="1"/>
    <col min="14093" max="14336" width="9.140625" style="1559"/>
    <col min="14337" max="14337" width="9.28515625" style="1559" customWidth="1"/>
    <col min="14338" max="14338" width="8.42578125" style="1559" customWidth="1"/>
    <col min="14339" max="14339" width="9.140625" style="1559" customWidth="1"/>
    <col min="14340" max="14340" width="6.28515625" style="1559" customWidth="1"/>
    <col min="14341" max="14341" width="9.85546875" style="1559" bestFit="1" customWidth="1"/>
    <col min="14342" max="14342" width="4.5703125" style="1559" bestFit="1" customWidth="1"/>
    <col min="14343" max="14343" width="15.42578125" style="1559" bestFit="1" customWidth="1"/>
    <col min="14344" max="14344" width="17" style="1559" customWidth="1"/>
    <col min="14345" max="14345" width="17.85546875" style="1559" customWidth="1"/>
    <col min="14346" max="14347" width="0" style="1559" hidden="1" customWidth="1"/>
    <col min="14348" max="14348" width="3.42578125" style="1559" customWidth="1"/>
    <col min="14349" max="14592" width="9.140625" style="1559"/>
    <col min="14593" max="14593" width="9.28515625" style="1559" customWidth="1"/>
    <col min="14594" max="14594" width="8.42578125" style="1559" customWidth="1"/>
    <col min="14595" max="14595" width="9.140625" style="1559" customWidth="1"/>
    <col min="14596" max="14596" width="6.28515625" style="1559" customWidth="1"/>
    <col min="14597" max="14597" width="9.85546875" style="1559" bestFit="1" customWidth="1"/>
    <col min="14598" max="14598" width="4.5703125" style="1559" bestFit="1" customWidth="1"/>
    <col min="14599" max="14599" width="15.42578125" style="1559" bestFit="1" customWidth="1"/>
    <col min="14600" max="14600" width="17" style="1559" customWidth="1"/>
    <col min="14601" max="14601" width="17.85546875" style="1559" customWidth="1"/>
    <col min="14602" max="14603" width="0" style="1559" hidden="1" customWidth="1"/>
    <col min="14604" max="14604" width="3.42578125" style="1559" customWidth="1"/>
    <col min="14605" max="14848" width="9.140625" style="1559"/>
    <col min="14849" max="14849" width="9.28515625" style="1559" customWidth="1"/>
    <col min="14850" max="14850" width="8.42578125" style="1559" customWidth="1"/>
    <col min="14851" max="14851" width="9.140625" style="1559" customWidth="1"/>
    <col min="14852" max="14852" width="6.28515625" style="1559" customWidth="1"/>
    <col min="14853" max="14853" width="9.85546875" style="1559" bestFit="1" customWidth="1"/>
    <col min="14854" max="14854" width="4.5703125" style="1559" bestFit="1" customWidth="1"/>
    <col min="14855" max="14855" width="15.42578125" style="1559" bestFit="1" customWidth="1"/>
    <col min="14856" max="14856" width="17" style="1559" customWidth="1"/>
    <col min="14857" max="14857" width="17.85546875" style="1559" customWidth="1"/>
    <col min="14858" max="14859" width="0" style="1559" hidden="1" customWidth="1"/>
    <col min="14860" max="14860" width="3.42578125" style="1559" customWidth="1"/>
    <col min="14861" max="15104" width="9.140625" style="1559"/>
    <col min="15105" max="15105" width="9.28515625" style="1559" customWidth="1"/>
    <col min="15106" max="15106" width="8.42578125" style="1559" customWidth="1"/>
    <col min="15107" max="15107" width="9.140625" style="1559" customWidth="1"/>
    <col min="15108" max="15108" width="6.28515625" style="1559" customWidth="1"/>
    <col min="15109" max="15109" width="9.85546875" style="1559" bestFit="1" customWidth="1"/>
    <col min="15110" max="15110" width="4.5703125" style="1559" bestFit="1" customWidth="1"/>
    <col min="15111" max="15111" width="15.42578125" style="1559" bestFit="1" customWidth="1"/>
    <col min="15112" max="15112" width="17" style="1559" customWidth="1"/>
    <col min="15113" max="15113" width="17.85546875" style="1559" customWidth="1"/>
    <col min="15114" max="15115" width="0" style="1559" hidden="1" customWidth="1"/>
    <col min="15116" max="15116" width="3.42578125" style="1559" customWidth="1"/>
    <col min="15117" max="15360" width="9.140625" style="1559"/>
    <col min="15361" max="15361" width="9.28515625" style="1559" customWidth="1"/>
    <col min="15362" max="15362" width="8.42578125" style="1559" customWidth="1"/>
    <col min="15363" max="15363" width="9.140625" style="1559" customWidth="1"/>
    <col min="15364" max="15364" width="6.28515625" style="1559" customWidth="1"/>
    <col min="15365" max="15365" width="9.85546875" style="1559" bestFit="1" customWidth="1"/>
    <col min="15366" max="15366" width="4.5703125" style="1559" bestFit="1" customWidth="1"/>
    <col min="15367" max="15367" width="15.42578125" style="1559" bestFit="1" customWidth="1"/>
    <col min="15368" max="15368" width="17" style="1559" customWidth="1"/>
    <col min="15369" max="15369" width="17.85546875" style="1559" customWidth="1"/>
    <col min="15370" max="15371" width="0" style="1559" hidden="1" customWidth="1"/>
    <col min="15372" max="15372" width="3.42578125" style="1559" customWidth="1"/>
    <col min="15373" max="15616" width="9.140625" style="1559"/>
    <col min="15617" max="15617" width="9.28515625" style="1559" customWidth="1"/>
    <col min="15618" max="15618" width="8.42578125" style="1559" customWidth="1"/>
    <col min="15619" max="15619" width="9.140625" style="1559" customWidth="1"/>
    <col min="15620" max="15620" width="6.28515625" style="1559" customWidth="1"/>
    <col min="15621" max="15621" width="9.85546875" style="1559" bestFit="1" customWidth="1"/>
    <col min="15622" max="15622" width="4.5703125" style="1559" bestFit="1" customWidth="1"/>
    <col min="15623" max="15623" width="15.42578125" style="1559" bestFit="1" customWidth="1"/>
    <col min="15624" max="15624" width="17" style="1559" customWidth="1"/>
    <col min="15625" max="15625" width="17.85546875" style="1559" customWidth="1"/>
    <col min="15626" max="15627" width="0" style="1559" hidden="1" customWidth="1"/>
    <col min="15628" max="15628" width="3.42578125" style="1559" customWidth="1"/>
    <col min="15629" max="15872" width="9.140625" style="1559"/>
    <col min="15873" max="15873" width="9.28515625" style="1559" customWidth="1"/>
    <col min="15874" max="15874" width="8.42578125" style="1559" customWidth="1"/>
    <col min="15875" max="15875" width="9.140625" style="1559" customWidth="1"/>
    <col min="15876" max="15876" width="6.28515625" style="1559" customWidth="1"/>
    <col min="15877" max="15877" width="9.85546875" style="1559" bestFit="1" customWidth="1"/>
    <col min="15878" max="15878" width="4.5703125" style="1559" bestFit="1" customWidth="1"/>
    <col min="15879" max="15879" width="15.42578125" style="1559" bestFit="1" customWidth="1"/>
    <col min="15880" max="15880" width="17" style="1559" customWidth="1"/>
    <col min="15881" max="15881" width="17.85546875" style="1559" customWidth="1"/>
    <col min="15882" max="15883" width="0" style="1559" hidden="1" customWidth="1"/>
    <col min="15884" max="15884" width="3.42578125" style="1559" customWidth="1"/>
    <col min="15885" max="16128" width="9.140625" style="1559"/>
    <col min="16129" max="16129" width="9.28515625" style="1559" customWidth="1"/>
    <col min="16130" max="16130" width="8.42578125" style="1559" customWidth="1"/>
    <col min="16131" max="16131" width="9.140625" style="1559" customWidth="1"/>
    <col min="16132" max="16132" width="6.28515625" style="1559" customWidth="1"/>
    <col min="16133" max="16133" width="9.85546875" style="1559" bestFit="1" customWidth="1"/>
    <col min="16134" max="16134" width="4.5703125" style="1559" bestFit="1" customWidth="1"/>
    <col min="16135" max="16135" width="15.42578125" style="1559" bestFit="1" customWidth="1"/>
    <col min="16136" max="16136" width="17" style="1559" customWidth="1"/>
    <col min="16137" max="16137" width="17.85546875" style="1559" customWidth="1"/>
    <col min="16138" max="16139" width="0" style="1559" hidden="1" customWidth="1"/>
    <col min="16140" max="16140" width="3.42578125" style="1559" customWidth="1"/>
    <col min="16141" max="16384" width="9.140625" style="1559"/>
  </cols>
  <sheetData>
    <row r="1" spans="1:17" ht="12.75" customHeight="1">
      <c r="A1" s="1560" t="s">
        <v>1011</v>
      </c>
      <c r="C1" s="1561"/>
      <c r="D1" s="2402" t="s">
        <v>1012</v>
      </c>
      <c r="E1" s="2403"/>
      <c r="F1" s="2404">
        <f>+DATI!C6</f>
        <v>0</v>
      </c>
      <c r="G1" s="2405"/>
      <c r="H1" s="2405"/>
      <c r="I1" s="2406"/>
      <c r="K1" s="1563">
        <v>1</v>
      </c>
      <c r="L1" s="2410"/>
    </row>
    <row r="2" spans="1:17" ht="12.75" customHeight="1">
      <c r="A2" s="1564">
        <f ca="1">TODAY()</f>
        <v>45247</v>
      </c>
      <c r="B2" s="1565"/>
      <c r="C2" s="1566"/>
      <c r="D2" s="2402"/>
      <c r="E2" s="2403"/>
      <c r="F2" s="2407"/>
      <c r="G2" s="2408"/>
      <c r="H2" s="2408"/>
      <c r="I2" s="2409"/>
      <c r="K2" s="1119">
        <v>1</v>
      </c>
      <c r="L2" s="2410"/>
      <c r="M2" s="1121"/>
    </row>
    <row r="3" spans="1:17" ht="12.75" customHeight="1">
      <c r="A3" s="1568"/>
      <c r="B3" s="1566"/>
      <c r="C3" s="1566"/>
      <c r="D3" s="2402" t="s">
        <v>1015</v>
      </c>
      <c r="E3" s="2403"/>
      <c r="F3" s="2411">
        <f>+DATI!C4</f>
        <v>0</v>
      </c>
      <c r="G3" s="2412"/>
      <c r="H3" s="2453" t="str">
        <f>IF(DATI!$L$15=2,"RETE A FASCE","")</f>
        <v/>
      </c>
      <c r="I3" s="2454"/>
      <c r="K3" s="1569" t="s">
        <v>1017</v>
      </c>
      <c r="L3" s="2410"/>
    </row>
    <row r="4" spans="1:17" ht="12.75" customHeight="1">
      <c r="A4" s="1570">
        <f>+H9+20</f>
        <v>1420</v>
      </c>
      <c r="B4" s="1570">
        <f>+I9</f>
        <v>2200</v>
      </c>
      <c r="C4" s="1568"/>
      <c r="D4" s="2402"/>
      <c r="E4" s="2403"/>
      <c r="F4" s="2413"/>
      <c r="G4" s="2414"/>
      <c r="H4" s="2455"/>
      <c r="I4" s="2456"/>
      <c r="K4" s="1569" t="s">
        <v>1019</v>
      </c>
      <c r="L4" s="2410"/>
    </row>
    <row r="5" spans="1:17" ht="12.75" customHeight="1">
      <c r="A5" s="2415" t="s">
        <v>1020</v>
      </c>
      <c r="B5" s="2416"/>
      <c r="C5" s="2416"/>
      <c r="D5" s="1568"/>
      <c r="E5" s="1568"/>
      <c r="F5" s="1571"/>
      <c r="G5" s="1572"/>
      <c r="H5" s="1572"/>
      <c r="I5" s="1572"/>
      <c r="K5" s="1573"/>
      <c r="L5" s="2410"/>
      <c r="M5" s="1574"/>
    </row>
    <row r="6" spans="1:17" ht="4.5" customHeight="1">
      <c r="A6" s="2417"/>
      <c r="B6" s="2418"/>
      <c r="C6" s="2418"/>
      <c r="D6" s="1575"/>
      <c r="E6" s="1576"/>
      <c r="F6" s="1577"/>
      <c r="G6" s="1577"/>
      <c r="H6" s="1577"/>
      <c r="I6" s="1578"/>
      <c r="K6" s="1573"/>
      <c r="L6" s="2410"/>
    </row>
    <row r="7" spans="1:17" ht="12.75" customHeight="1">
      <c r="A7" s="2419"/>
      <c r="B7" s="2420"/>
      <c r="C7" s="2420"/>
      <c r="D7" s="1568"/>
      <c r="E7" s="1568"/>
      <c r="F7" s="1572"/>
      <c r="G7" s="1579"/>
      <c r="H7" s="1579"/>
      <c r="I7" s="1731" t="s">
        <v>1114</v>
      </c>
      <c r="K7" s="1573"/>
      <c r="L7" s="2410"/>
    </row>
    <row r="8" spans="1:17" ht="18" customHeight="1">
      <c r="A8" s="1568"/>
      <c r="B8" s="1568"/>
      <c r="C8" s="1568"/>
      <c r="D8" s="1581" t="s">
        <v>7</v>
      </c>
      <c r="E8" s="2452" t="str">
        <f>+DATI!C10</f>
        <v>06.NERO</v>
      </c>
      <c r="F8" s="2422"/>
      <c r="G8" s="1582"/>
      <c r="H8" s="1583" t="s">
        <v>1142</v>
      </c>
      <c r="I8" s="1583" t="s">
        <v>1143</v>
      </c>
      <c r="K8" s="1573"/>
      <c r="L8" s="2410"/>
    </row>
    <row r="9" spans="1:17" ht="33" customHeight="1">
      <c r="A9" s="1568"/>
      <c r="B9" s="1568"/>
      <c r="C9" s="1566"/>
      <c r="D9" s="1584" t="s">
        <v>1025</v>
      </c>
      <c r="E9" s="2421">
        <f>+DATI!C9</f>
        <v>1</v>
      </c>
      <c r="F9" s="2422"/>
      <c r="G9" s="1585" t="s">
        <v>1026</v>
      </c>
      <c r="H9" s="1586">
        <f>+DATI!C7</f>
        <v>1400</v>
      </c>
      <c r="I9" s="1586">
        <f>+DATI!C8</f>
        <v>2200</v>
      </c>
      <c r="K9" s="1573"/>
      <c r="L9" s="2410"/>
    </row>
    <row r="10" spans="1:17" ht="8.25" customHeight="1">
      <c r="A10" s="1587"/>
      <c r="B10" s="1588"/>
      <c r="C10" s="1589"/>
      <c r="D10" s="1589"/>
      <c r="E10" s="1590"/>
      <c r="F10" s="1591"/>
      <c r="G10" s="1566"/>
      <c r="H10" s="1592"/>
      <c r="I10" s="1566"/>
      <c r="K10" s="1573"/>
      <c r="N10" s="1121"/>
    </row>
    <row r="11" spans="1:17" ht="24" customHeight="1">
      <c r="A11" s="2423" t="str">
        <f>IF(E9&lt;1,"","Foglio lavoro per FLEXA "&amp;H9/E9&amp;"x"&amp;I9)</f>
        <v>Foglio lavoro per FLEXA 1400x2200</v>
      </c>
      <c r="B11" s="2424"/>
      <c r="C11" s="2424"/>
      <c r="D11" s="2424"/>
      <c r="E11" s="2424"/>
      <c r="F11" s="2424"/>
      <c r="G11" s="2424"/>
      <c r="H11" s="2424"/>
      <c r="I11" s="2425"/>
      <c r="K11" s="1573"/>
      <c r="N11" s="1121"/>
    </row>
    <row r="12" spans="1:17" ht="23.25" customHeight="1">
      <c r="A12" s="1593" t="s">
        <v>1029</v>
      </c>
      <c r="B12" s="1594"/>
      <c r="C12" s="1594"/>
      <c r="D12" s="1594"/>
      <c r="E12" s="1594"/>
      <c r="F12" s="1594"/>
      <c r="G12" s="1594"/>
      <c r="H12" s="1594"/>
      <c r="I12" s="1594"/>
    </row>
    <row r="13" spans="1:17" ht="19.5" customHeight="1">
      <c r="A13" s="1595"/>
      <c r="B13" s="1596" t="s">
        <v>1031</v>
      </c>
      <c r="C13" s="1597"/>
      <c r="D13" s="1598"/>
      <c r="E13" s="2426">
        <f>+I9-40</f>
        <v>2160</v>
      </c>
      <c r="F13" s="2428" t="s">
        <v>1032</v>
      </c>
      <c r="G13" s="2430" t="s">
        <v>1033</v>
      </c>
      <c r="H13" s="2431"/>
      <c r="I13" s="2434" t="str">
        <f>"*"&amp;E13&amp;"*"</f>
        <v>*2160*</v>
      </c>
    </row>
    <row r="14" spans="1:17" ht="12" customHeight="1">
      <c r="A14" s="1599"/>
      <c r="B14" s="1730" t="s">
        <v>1074</v>
      </c>
      <c r="C14" s="1601"/>
      <c r="D14" s="1602"/>
      <c r="E14" s="2427"/>
      <c r="F14" s="2429"/>
      <c r="G14" s="2432"/>
      <c r="H14" s="2433"/>
      <c r="I14" s="2435"/>
      <c r="Q14" s="1603"/>
    </row>
    <row r="15" spans="1:17" ht="19.5" customHeight="1">
      <c r="A15" s="1595"/>
      <c r="B15" s="1596" t="s">
        <v>1036</v>
      </c>
      <c r="C15" s="1597"/>
      <c r="D15" s="1598"/>
      <c r="E15" s="2426">
        <f>+I9-110</f>
        <v>2090</v>
      </c>
      <c r="F15" s="2428" t="s">
        <v>1032</v>
      </c>
      <c r="G15" s="2438" t="s">
        <v>1037</v>
      </c>
      <c r="H15" s="2439"/>
      <c r="I15" s="2442" t="str">
        <f>+"*"&amp;E15&amp;"*"</f>
        <v>*2090*</v>
      </c>
      <c r="O15" s="1604"/>
    </row>
    <row r="16" spans="1:17" ht="12" customHeight="1">
      <c r="A16" s="1599"/>
      <c r="B16" s="1600" t="s">
        <v>1039</v>
      </c>
      <c r="C16" s="1601"/>
      <c r="D16" s="1602"/>
      <c r="E16" s="2427"/>
      <c r="F16" s="2429"/>
      <c r="G16" s="2440"/>
      <c r="H16" s="2441"/>
      <c r="I16" s="2443"/>
    </row>
    <row r="17" spans="1:18" ht="27" customHeight="1">
      <c r="A17" s="1605"/>
      <c r="B17" s="1606" t="s">
        <v>407</v>
      </c>
      <c r="C17" s="1606"/>
      <c r="D17" s="1607"/>
      <c r="E17" s="1608">
        <f>+I9-57</f>
        <v>2143</v>
      </c>
      <c r="F17" s="1609" t="s">
        <v>1032</v>
      </c>
      <c r="G17" s="2444" t="s">
        <v>1041</v>
      </c>
      <c r="H17" s="2445"/>
      <c r="I17" s="1610" t="str">
        <f>+"*"&amp;E17&amp;"*"</f>
        <v>*2143*</v>
      </c>
    </row>
    <row r="18" spans="1:18" ht="27.75" customHeight="1">
      <c r="A18" s="1605"/>
      <c r="B18" s="1606" t="s">
        <v>623</v>
      </c>
      <c r="C18" s="1611"/>
      <c r="D18" s="1607"/>
      <c r="E18" s="1608">
        <f>+I9-25</f>
        <v>2175</v>
      </c>
      <c r="F18" s="1609" t="s">
        <v>1032</v>
      </c>
      <c r="G18" s="2444" t="s">
        <v>1043</v>
      </c>
      <c r="H18" s="2445"/>
      <c r="I18" s="1610" t="str">
        <f>+"*"&amp;E18&amp;"*"</f>
        <v>*2175*</v>
      </c>
    </row>
    <row r="19" spans="1:18" ht="27.75" customHeight="1">
      <c r="A19" s="1605"/>
      <c r="B19" s="1606" t="s">
        <v>1045</v>
      </c>
      <c r="C19" s="1606"/>
      <c r="D19" s="1607"/>
      <c r="E19" s="1608">
        <f>+H9-5</f>
        <v>1395</v>
      </c>
      <c r="F19" s="1612" t="s">
        <v>1032</v>
      </c>
      <c r="G19" s="2444" t="s">
        <v>1144</v>
      </c>
      <c r="H19" s="2467"/>
      <c r="I19" s="1610" t="str">
        <f>+"*"&amp;E19&amp;"*"</f>
        <v>*1395*</v>
      </c>
    </row>
    <row r="20" spans="1:18" ht="27.75" customHeight="1">
      <c r="A20" s="1605"/>
      <c r="B20" s="1613" t="s">
        <v>203</v>
      </c>
      <c r="C20" s="1614"/>
      <c r="D20" s="1615"/>
      <c r="E20" s="1616">
        <f>+H9-12</f>
        <v>1388</v>
      </c>
      <c r="F20" s="1612" t="s">
        <v>1032</v>
      </c>
      <c r="G20" s="2444" t="s">
        <v>1145</v>
      </c>
      <c r="H20" s="2467"/>
      <c r="I20" s="1610" t="str">
        <f>+"*"&amp;E20&amp;"*"</f>
        <v>*1388*</v>
      </c>
      <c r="M20" s="1617"/>
      <c r="R20" s="1121"/>
    </row>
    <row r="21" spans="1:18" ht="23.25" customHeight="1">
      <c r="A21" s="1618" t="s">
        <v>1047</v>
      </c>
      <c r="B21" s="1619"/>
      <c r="C21" s="1620"/>
      <c r="D21" s="1619"/>
      <c r="E21" s="1621"/>
      <c r="F21" s="1622"/>
      <c r="G21" s="1619"/>
      <c r="H21" s="1619"/>
      <c r="I21" s="1623"/>
    </row>
    <row r="22" spans="1:18" ht="39" customHeight="1">
      <c r="A22" s="1605"/>
      <c r="B22" s="1611" t="s">
        <v>1049</v>
      </c>
      <c r="C22" s="1611"/>
      <c r="D22" s="1607"/>
      <c r="E22" s="1624">
        <f>+I9-40</f>
        <v>2160</v>
      </c>
      <c r="F22" s="1625" t="s">
        <v>1032</v>
      </c>
      <c r="G22" s="2444" t="s">
        <v>1033</v>
      </c>
      <c r="H22" s="2445"/>
      <c r="I22" s="1626" t="str">
        <f>+"*"&amp;E22&amp;"*"</f>
        <v>*2160*</v>
      </c>
    </row>
    <row r="23" spans="1:18" ht="23.25" customHeight="1">
      <c r="A23" s="1627" t="s">
        <v>1051</v>
      </c>
      <c r="B23" s="1628"/>
      <c r="C23" s="1628"/>
      <c r="D23" s="1629"/>
      <c r="E23" s="1630"/>
      <c r="F23" s="1622"/>
      <c r="G23" s="1628"/>
      <c r="H23" s="1628"/>
      <c r="I23" s="1631"/>
      <c r="J23" s="1567"/>
    </row>
    <row r="24" spans="1:18" ht="23.25" customHeight="1">
      <c r="A24" s="1605"/>
      <c r="B24" s="1606" t="s">
        <v>1052</v>
      </c>
      <c r="C24" s="1632"/>
      <c r="D24" s="1607"/>
      <c r="E24" s="1633">
        <f>I9+300</f>
        <v>2500</v>
      </c>
      <c r="F24" s="1625" t="s">
        <v>1053</v>
      </c>
      <c r="G24" s="2468" t="s">
        <v>1054</v>
      </c>
      <c r="H24" s="2469"/>
      <c r="I24" s="1634"/>
      <c r="J24" s="1567"/>
    </row>
    <row r="25" spans="1:18" s="1639" customFormat="1" ht="23.25" customHeight="1">
      <c r="A25" s="1618" t="s">
        <v>1055</v>
      </c>
      <c r="B25" s="1619"/>
      <c r="C25" s="1619"/>
      <c r="D25" s="1619"/>
      <c r="E25" s="1635"/>
      <c r="F25" s="1636"/>
      <c r="G25" s="1637"/>
      <c r="H25" s="1637"/>
      <c r="I25" s="1638"/>
      <c r="J25" s="1580"/>
    </row>
    <row r="26" spans="1:18" s="1639" customFormat="1" ht="27" customHeight="1">
      <c r="A26" s="1640"/>
      <c r="B26" s="1613" t="s">
        <v>1056</v>
      </c>
      <c r="C26" s="1641"/>
      <c r="D26" s="1642"/>
      <c r="E26" s="1643">
        <f>+DATI!W5</f>
        <v>36</v>
      </c>
      <c r="F26" s="1644" t="s">
        <v>1057</v>
      </c>
      <c r="G26" s="2470"/>
      <c r="H26" s="2471"/>
      <c r="I26" s="1626" t="str">
        <f>+"*"&amp;E26&amp;"*"</f>
        <v>*36*</v>
      </c>
      <c r="J26" s="1580"/>
    </row>
    <row r="27" spans="1:18" s="1639" customFormat="1" ht="12.75" hidden="1" customHeight="1">
      <c r="A27" s="1645"/>
      <c r="B27" s="1645"/>
      <c r="C27" s="1645"/>
      <c r="D27" s="1645"/>
      <c r="E27" s="1646"/>
      <c r="F27" s="1647"/>
      <c r="G27" s="1645"/>
      <c r="H27" s="1648"/>
      <c r="I27" s="1645"/>
      <c r="J27" s="1580"/>
    </row>
    <row r="28" spans="1:18" s="1639" customFormat="1" ht="21" hidden="1" customHeight="1">
      <c r="A28" s="1645"/>
      <c r="B28" s="1645"/>
      <c r="C28" s="1645"/>
      <c r="D28" s="1645"/>
      <c r="E28" s="1646"/>
      <c r="F28" s="1647"/>
      <c r="G28" s="1649"/>
      <c r="H28" s="1645"/>
      <c r="I28" s="1645"/>
      <c r="J28" s="1580"/>
    </row>
    <row r="29" spans="1:18" s="1639" customFormat="1" ht="20.25" hidden="1" customHeight="1">
      <c r="A29" s="1645"/>
      <c r="B29" s="1645"/>
      <c r="C29" s="1645"/>
      <c r="D29" s="1645"/>
      <c r="E29" s="1646"/>
      <c r="F29" s="1650"/>
      <c r="G29" s="1645"/>
      <c r="H29" s="1645"/>
      <c r="I29" s="1645"/>
      <c r="J29" s="1580"/>
    </row>
    <row r="30" spans="1:18" s="1639" customFormat="1" ht="0.75" hidden="1" customHeight="1">
      <c r="A30" s="1645"/>
      <c r="B30" s="1645"/>
      <c r="C30" s="1645"/>
      <c r="D30" s="1645"/>
      <c r="E30" s="1648"/>
      <c r="F30" s="1647"/>
      <c r="G30" s="1645"/>
      <c r="H30" s="1645"/>
      <c r="I30" s="1645"/>
      <c r="J30" s="1580"/>
      <c r="M30" s="1651"/>
    </row>
    <row r="31" spans="1:18" s="1639" customFormat="1" ht="0.75" hidden="1" customHeight="1">
      <c r="A31" s="1646"/>
      <c r="B31" s="1646"/>
      <c r="C31" s="1645"/>
      <c r="D31" s="1649"/>
      <c r="E31" s="1646"/>
      <c r="F31" s="1647"/>
      <c r="G31" s="1645"/>
      <c r="H31" s="1645"/>
      <c r="I31" s="1645"/>
      <c r="J31" s="1652"/>
    </row>
    <row r="32" spans="1:18" s="1639" customFormat="1" ht="0.75" customHeight="1">
      <c r="A32" s="1646"/>
      <c r="B32" s="1646"/>
      <c r="C32" s="1645"/>
      <c r="D32" s="1649"/>
      <c r="E32" s="1646"/>
      <c r="F32" s="1647"/>
      <c r="G32" s="1645"/>
      <c r="H32" s="1645"/>
      <c r="I32" s="1645"/>
      <c r="J32" s="1652"/>
    </row>
    <row r="33" spans="1:15" s="1639" customFormat="1" ht="26.25" hidden="1" customHeight="1">
      <c r="A33" s="1646"/>
      <c r="B33" s="1646"/>
      <c r="C33" s="1645"/>
      <c r="D33" s="1649"/>
      <c r="E33" s="1646"/>
      <c r="F33" s="1647"/>
      <c r="G33" s="1645"/>
      <c r="H33" s="1645"/>
      <c r="I33" s="1645"/>
      <c r="J33" s="1652"/>
    </row>
    <row r="34" spans="1:15" s="1639" customFormat="1" ht="23.25" customHeight="1">
      <c r="A34" s="1627" t="s">
        <v>1058</v>
      </c>
      <c r="B34" s="1628"/>
      <c r="C34" s="1628"/>
      <c r="D34" s="1629"/>
      <c r="E34" s="1653"/>
      <c r="F34" s="1654"/>
      <c r="G34" s="1628"/>
      <c r="H34" s="1655"/>
      <c r="I34" s="1656"/>
      <c r="L34" s="1657"/>
    </row>
    <row r="35" spans="1:15" ht="26.25" customHeight="1">
      <c r="A35" s="1658"/>
      <c r="B35" s="1659" t="s">
        <v>1059</v>
      </c>
      <c r="C35" s="1659"/>
      <c r="D35" s="1660"/>
      <c r="E35" s="1661">
        <f>+IF(E9=1,H9,H9/E9)+90</f>
        <v>1490</v>
      </c>
      <c r="F35" s="1662" t="s">
        <v>1060</v>
      </c>
      <c r="G35" s="2436" t="s">
        <v>1146</v>
      </c>
      <c r="H35" s="2437"/>
      <c r="I35" s="1626" t="str">
        <f>+"*"&amp;E35&amp;"*"</f>
        <v>*1490*</v>
      </c>
    </row>
    <row r="36" spans="1:15" ht="23.25" customHeight="1">
      <c r="A36" s="1618" t="s">
        <v>1061</v>
      </c>
      <c r="B36" s="1619"/>
      <c r="C36" s="1619"/>
      <c r="D36" s="1619"/>
      <c r="E36" s="1635"/>
      <c r="F36" s="1636"/>
      <c r="G36" s="1663"/>
      <c r="H36" s="1664"/>
      <c r="I36" s="1638"/>
    </row>
    <row r="37" spans="1:15" ht="27" customHeight="1">
      <c r="A37" s="1605"/>
      <c r="B37" s="1611" t="s">
        <v>1062</v>
      </c>
      <c r="C37" s="1665"/>
      <c r="D37" s="1607"/>
      <c r="E37" s="1666">
        <f>+ROUND((((+IF(E9=1,$H$9,$H$9/E9)-100)/18)+4-3),0)</f>
        <v>73</v>
      </c>
      <c r="F37" s="1667" t="s">
        <v>159</v>
      </c>
      <c r="G37" s="1668"/>
      <c r="H37" s="2457"/>
      <c r="I37" s="2458"/>
    </row>
    <row r="38" spans="1:15" ht="15.75" hidden="1">
      <c r="A38" s="1669"/>
      <c r="B38" s="1669" t="s">
        <v>1062</v>
      </c>
      <c r="C38" s="1670"/>
      <c r="D38" s="1669"/>
      <c r="E38" s="1671" t="e">
        <f>IF(AND(#REF!&lt;1600,#REF!&lt;2660),3+ROUNDDOWN((#REF!-95+20)/22,0),"X")</f>
        <v>#REF!</v>
      </c>
      <c r="F38" s="1672" t="s">
        <v>159</v>
      </c>
      <c r="G38" s="1673"/>
      <c r="H38" s="1673"/>
      <c r="I38" s="1673"/>
    </row>
    <row r="39" spans="1:15" ht="23.25" customHeight="1">
      <c r="A39" s="1627" t="s">
        <v>1063</v>
      </c>
      <c r="B39" s="1628"/>
      <c r="C39" s="1628"/>
      <c r="D39" s="1628"/>
      <c r="E39" s="1635"/>
      <c r="F39" s="1636"/>
      <c r="G39" s="1674"/>
      <c r="H39" s="1675"/>
      <c r="I39" s="1676"/>
      <c r="N39" s="1121"/>
      <c r="O39" s="1121"/>
    </row>
    <row r="40" spans="1:15" ht="27" customHeight="1">
      <c r="A40" s="1677"/>
      <c r="B40" s="1613" t="s">
        <v>408</v>
      </c>
      <c r="C40" s="1678"/>
      <c r="D40" s="1642"/>
      <c r="E40" s="1679" t="e">
        <f>+DATI!Z5</f>
        <v>#REF!</v>
      </c>
      <c r="F40" s="1680" t="s">
        <v>159</v>
      </c>
      <c r="G40" s="1681" t="s">
        <v>1064</v>
      </c>
      <c r="H40" s="1682" t="e">
        <f>+IF(E40=2,E37/2,E37/3)</f>
        <v>#REF!</v>
      </c>
      <c r="I40" s="1668" t="s">
        <v>1065</v>
      </c>
    </row>
    <row r="41" spans="1:15" ht="23.25" customHeight="1">
      <c r="A41" s="1683" t="s">
        <v>1066</v>
      </c>
      <c r="B41" s="1684"/>
      <c r="C41" s="1684"/>
      <c r="D41" s="1684"/>
      <c r="E41" s="1635"/>
      <c r="F41" s="1685"/>
      <c r="G41" s="1686"/>
      <c r="H41" s="1687"/>
      <c r="I41" s="1688"/>
    </row>
    <row r="42" spans="1:15" ht="23.25" customHeight="1">
      <c r="A42" s="2459" t="s">
        <v>1067</v>
      </c>
      <c r="B42" s="2460"/>
      <c r="C42" s="2460"/>
      <c r="D42" s="2460"/>
      <c r="E42" s="2461">
        <f>F1</f>
        <v>0</v>
      </c>
      <c r="F42" s="2462"/>
      <c r="G42" s="2462"/>
      <c r="H42" s="2462"/>
      <c r="I42" s="2463"/>
      <c r="J42" s="1689"/>
      <c r="K42" s="1689"/>
    </row>
    <row r="43" spans="1:15" ht="23.25" customHeight="1">
      <c r="A43" s="2459" t="s">
        <v>1068</v>
      </c>
      <c r="B43" s="2460"/>
      <c r="C43" s="2460"/>
      <c r="D43" s="2460"/>
      <c r="E43" s="2464">
        <f>+H9</f>
        <v>1400</v>
      </c>
      <c r="F43" s="2465"/>
      <c r="G43" s="2466"/>
      <c r="H43" s="2464">
        <f>+I9</f>
        <v>2200</v>
      </c>
      <c r="I43" s="2466"/>
      <c r="J43" s="1690"/>
      <c r="K43" s="1691"/>
      <c r="L43" s="1692"/>
    </row>
    <row r="44" spans="1:15" ht="23.25" customHeight="1">
      <c r="A44" s="2446"/>
      <c r="B44" s="2446"/>
      <c r="C44" s="2446"/>
      <c r="D44" s="2447"/>
      <c r="E44" s="1693" t="s">
        <v>1069</v>
      </c>
      <c r="F44" s="1694"/>
      <c r="G44" s="1695"/>
      <c r="H44" s="1695"/>
      <c r="I44" s="1696"/>
      <c r="J44" s="1039"/>
      <c r="K44" s="1697"/>
    </row>
    <row r="45" spans="1:15" ht="23.25" customHeight="1">
      <c r="A45" s="2446"/>
      <c r="B45" s="2446"/>
      <c r="C45" s="2446"/>
      <c r="D45" s="2447"/>
      <c r="E45" s="1698"/>
      <c r="F45" s="1699"/>
      <c r="G45" s="1699"/>
      <c r="H45" s="1699"/>
      <c r="I45" s="1700"/>
      <c r="J45" s="1701"/>
      <c r="K45" s="1702"/>
    </row>
    <row r="46" spans="1:15" ht="23.25" customHeight="1">
      <c r="A46" s="2448"/>
      <c r="B46" s="2448"/>
      <c r="C46" s="2448"/>
      <c r="D46" s="2449"/>
      <c r="E46" s="1703" t="s">
        <v>1070</v>
      </c>
      <c r="F46" s="1704"/>
      <c r="G46" s="1704"/>
      <c r="H46" s="1704"/>
      <c r="I46" s="1705"/>
      <c r="J46" s="2450"/>
      <c r="K46" s="2450"/>
    </row>
    <row r="47" spans="1:15" ht="16.5" customHeight="1">
      <c r="A47" s="1039"/>
      <c r="B47" s="1039"/>
      <c r="C47" s="1039"/>
      <c r="D47" s="1039"/>
      <c r="E47" s="2451"/>
      <c r="F47" s="2451"/>
      <c r="G47" s="2451"/>
      <c r="H47" s="2451"/>
      <c r="I47" s="2451"/>
      <c r="J47" s="1039"/>
      <c r="K47" s="1039"/>
    </row>
    <row r="48" spans="1:15" ht="21">
      <c r="A48" s="1039"/>
      <c r="B48" s="1039"/>
      <c r="C48" s="1039"/>
      <c r="D48" s="1039"/>
      <c r="E48" s="2371"/>
      <c r="F48" s="2371"/>
      <c r="G48" s="2371"/>
      <c r="H48" s="2371"/>
      <c r="I48" s="2371"/>
      <c r="J48" s="1706"/>
      <c r="K48" s="1706"/>
    </row>
    <row r="49" spans="1:12" hidden="1">
      <c r="A49" s="1568"/>
      <c r="B49" s="1568"/>
      <c r="C49" s="1568"/>
      <c r="D49" s="1568"/>
      <c r="E49" s="1707"/>
      <c r="F49" s="1568"/>
      <c r="G49" s="1568"/>
      <c r="H49" s="1568"/>
      <c r="I49" s="1568"/>
    </row>
    <row r="50" spans="1:12" ht="23.25" customHeight="1">
      <c r="J50" s="1121"/>
      <c r="K50" s="1121"/>
      <c r="L50" s="1121"/>
    </row>
    <row r="51" spans="1:12" ht="15.75" customHeight="1">
      <c r="A51" s="1708"/>
      <c r="B51" s="1709"/>
      <c r="C51" s="1709"/>
      <c r="D51" s="1709"/>
      <c r="E51" s="1710"/>
      <c r="F51" s="1709"/>
      <c r="G51" s="1709"/>
      <c r="H51" s="1709"/>
      <c r="I51" s="1709"/>
      <c r="J51" s="1121"/>
      <c r="K51" s="1121"/>
      <c r="L51" s="1121"/>
    </row>
    <row r="52" spans="1:12" ht="23.25" customHeight="1">
      <c r="A52" s="1708"/>
      <c r="B52" s="1709"/>
      <c r="C52" s="1709"/>
      <c r="D52" s="1709"/>
      <c r="E52" s="1710"/>
      <c r="F52" s="1709"/>
      <c r="G52" s="1711"/>
      <c r="H52" s="1711"/>
      <c r="I52" s="1647"/>
      <c r="J52" s="1121"/>
      <c r="K52" s="1121"/>
      <c r="L52" s="1121"/>
    </row>
    <row r="53" spans="1:12" ht="23.25" customHeight="1">
      <c r="A53" s="1709"/>
      <c r="B53" s="1709"/>
      <c r="C53" s="1711"/>
      <c r="D53" s="1709"/>
      <c r="E53" s="1712"/>
      <c r="F53" s="1709"/>
      <c r="G53" s="1709"/>
      <c r="H53" s="1566"/>
      <c r="I53" s="1566"/>
      <c r="J53" s="1121"/>
      <c r="K53" s="1121"/>
      <c r="L53" s="1121"/>
    </row>
    <row r="54" spans="1:12">
      <c r="A54" s="1566"/>
      <c r="B54" s="1566"/>
      <c r="C54" s="1566"/>
      <c r="D54" s="1566"/>
      <c r="E54" s="1566"/>
      <c r="F54" s="1566"/>
      <c r="G54" s="1566"/>
      <c r="H54" s="1566"/>
      <c r="I54" s="1566"/>
      <c r="J54" s="1121"/>
      <c r="K54" s="1121"/>
      <c r="L54" s="1121"/>
    </row>
    <row r="55" spans="1:12">
      <c r="A55" s="1566"/>
      <c r="B55" s="1566"/>
      <c r="C55" s="1566"/>
      <c r="D55" s="1566"/>
      <c r="E55" s="1566"/>
      <c r="F55" s="1566"/>
      <c r="G55" s="1566"/>
      <c r="H55" s="1566"/>
      <c r="I55" s="1566"/>
      <c r="J55" s="1121"/>
      <c r="K55" s="1121"/>
      <c r="L55" s="1121"/>
    </row>
    <row r="56" spans="1:12">
      <c r="A56" s="1566"/>
      <c r="B56" s="1566"/>
      <c r="C56" s="1566"/>
      <c r="D56" s="1566"/>
      <c r="E56" s="1566"/>
      <c r="F56" s="1566"/>
      <c r="G56" s="1713"/>
      <c r="H56" s="1713"/>
      <c r="I56" s="1714"/>
      <c r="J56" s="1121"/>
      <c r="K56" s="1121"/>
      <c r="L56" s="1121"/>
    </row>
    <row r="57" spans="1:12">
      <c r="A57" s="1566"/>
      <c r="B57" s="1566"/>
      <c r="C57" s="1566"/>
      <c r="D57" s="1566"/>
      <c r="E57" s="1566"/>
      <c r="F57" s="1566"/>
      <c r="G57" s="1566"/>
      <c r="H57" s="1566"/>
      <c r="I57" s="1566"/>
      <c r="J57" s="1121"/>
      <c r="K57" s="1121"/>
      <c r="L57" s="1121"/>
    </row>
    <row r="58" spans="1:12">
      <c r="A58" s="1568"/>
      <c r="B58" s="1568"/>
      <c r="C58" s="1568"/>
      <c r="D58" s="1742"/>
      <c r="E58" s="1568"/>
      <c r="F58" s="1568"/>
      <c r="G58" s="1568"/>
      <c r="H58" s="1568"/>
      <c r="I58" s="1568"/>
    </row>
    <row r="59" spans="1:12">
      <c r="A59" s="1568"/>
      <c r="B59" s="1568"/>
      <c r="C59" s="1568"/>
      <c r="D59" s="1742"/>
      <c r="E59" s="1568"/>
      <c r="F59" s="1568"/>
      <c r="G59" s="1568"/>
      <c r="H59" s="1568"/>
      <c r="I59" s="1568"/>
    </row>
    <row r="60" spans="1:12">
      <c r="A60" s="1562" t="s">
        <v>1013</v>
      </c>
      <c r="B60" s="1568"/>
      <c r="C60" s="1568"/>
      <c r="D60" s="1742"/>
      <c r="E60" s="1568"/>
      <c r="F60" s="1568"/>
      <c r="G60" s="1568"/>
      <c r="H60" s="1568"/>
      <c r="I60" s="1568"/>
    </row>
    <row r="61" spans="1:12">
      <c r="A61" s="1567" t="s">
        <v>1014</v>
      </c>
      <c r="D61" s="1742"/>
    </row>
    <row r="62" spans="1:12">
      <c r="A62" s="1567" t="s">
        <v>1016</v>
      </c>
      <c r="D62" s="1742"/>
    </row>
    <row r="63" spans="1:12">
      <c r="A63" s="1567" t="s">
        <v>1018</v>
      </c>
      <c r="D63" s="1742"/>
    </row>
    <row r="64" spans="1:12">
      <c r="A64" s="1567" t="s">
        <v>1021</v>
      </c>
      <c r="D64" s="1742"/>
    </row>
    <row r="65" spans="1:4">
      <c r="A65" s="1567" t="s">
        <v>1022</v>
      </c>
      <c r="D65" s="1742"/>
    </row>
    <row r="66" spans="1:4">
      <c r="A66" s="1580" t="s">
        <v>1023</v>
      </c>
      <c r="D66" s="1742"/>
    </row>
    <row r="67" spans="1:4">
      <c r="A67" s="1580" t="s">
        <v>1024</v>
      </c>
      <c r="D67" s="1742"/>
    </row>
    <row r="68" spans="1:4">
      <c r="A68" s="1580" t="s">
        <v>1027</v>
      </c>
      <c r="D68" s="1742"/>
    </row>
    <row r="69" spans="1:4">
      <c r="A69" s="1580" t="s">
        <v>1028</v>
      </c>
      <c r="D69" s="1742"/>
    </row>
    <row r="70" spans="1:4">
      <c r="A70" s="1580" t="s">
        <v>1030</v>
      </c>
      <c r="D70" s="1742"/>
    </row>
    <row r="71" spans="1:4">
      <c r="A71" s="1580" t="s">
        <v>1034</v>
      </c>
      <c r="D71" s="1742"/>
    </row>
    <row r="72" spans="1:4">
      <c r="A72" s="1580" t="s">
        <v>1035</v>
      </c>
      <c r="D72" s="1742"/>
    </row>
    <row r="73" spans="1:4">
      <c r="A73" s="1580" t="s">
        <v>1038</v>
      </c>
      <c r="D73" s="1742"/>
    </row>
    <row r="74" spans="1:4">
      <c r="A74" s="1580" t="s">
        <v>1040</v>
      </c>
      <c r="D74" s="1742"/>
    </row>
    <row r="75" spans="1:4">
      <c r="A75" s="1580" t="s">
        <v>1042</v>
      </c>
      <c r="D75" s="1742"/>
    </row>
    <row r="76" spans="1:4">
      <c r="A76" s="1580" t="s">
        <v>1044</v>
      </c>
      <c r="D76" s="1742"/>
    </row>
    <row r="77" spans="1:4">
      <c r="A77" s="1567" t="s">
        <v>1046</v>
      </c>
      <c r="D77" s="1742"/>
    </row>
    <row r="78" spans="1:4">
      <c r="A78" s="1567" t="s">
        <v>1048</v>
      </c>
      <c r="D78" s="1742"/>
    </row>
    <row r="79" spans="1:4">
      <c r="A79" s="1567" t="s">
        <v>1050</v>
      </c>
      <c r="D79" s="1742"/>
    </row>
    <row r="80" spans="1:4">
      <c r="D80" s="1742"/>
    </row>
    <row r="81" spans="4:4">
      <c r="D81" s="1742"/>
    </row>
    <row r="82" spans="4:4">
      <c r="D82" s="1742"/>
    </row>
    <row r="83" spans="4:4">
      <c r="D83" s="1742"/>
    </row>
    <row r="84" spans="4:4">
      <c r="D84" s="1742"/>
    </row>
    <row r="85" spans="4:4">
      <c r="D85" s="1742"/>
    </row>
    <row r="86" spans="4:4">
      <c r="D86" s="1742"/>
    </row>
    <row r="87" spans="4:4">
      <c r="D87" s="1742"/>
    </row>
    <row r="88" spans="4:4">
      <c r="D88" s="1742"/>
    </row>
    <row r="89" spans="4:4">
      <c r="D89" s="1742"/>
    </row>
    <row r="90" spans="4:4">
      <c r="D90" s="1742"/>
    </row>
  </sheetData>
  <mergeCells count="35">
    <mergeCell ref="A44:D46"/>
    <mergeCell ref="J46:K46"/>
    <mergeCell ref="E47:I48"/>
    <mergeCell ref="E8:F8"/>
    <mergeCell ref="H3:I4"/>
    <mergeCell ref="H37:I37"/>
    <mergeCell ref="A42:D42"/>
    <mergeCell ref="E42:I42"/>
    <mergeCell ref="A43:D43"/>
    <mergeCell ref="E43:G43"/>
    <mergeCell ref="H43:I43"/>
    <mergeCell ref="G19:H19"/>
    <mergeCell ref="G20:H20"/>
    <mergeCell ref="G22:H22"/>
    <mergeCell ref="G24:H24"/>
    <mergeCell ref="G26:H26"/>
    <mergeCell ref="G35:H35"/>
    <mergeCell ref="E15:E16"/>
    <mergeCell ref="F15:F16"/>
    <mergeCell ref="G15:H16"/>
    <mergeCell ref="I15:I16"/>
    <mergeCell ref="G17:H17"/>
    <mergeCell ref="G18:H18"/>
    <mergeCell ref="A5:C7"/>
    <mergeCell ref="E9:F9"/>
    <mergeCell ref="A11:I11"/>
    <mergeCell ref="E13:E14"/>
    <mergeCell ref="F13:F14"/>
    <mergeCell ref="G13:H14"/>
    <mergeCell ref="I13:I14"/>
    <mergeCell ref="D1:E2"/>
    <mergeCell ref="F1:I2"/>
    <mergeCell ref="L1:L9"/>
    <mergeCell ref="D3:E4"/>
    <mergeCell ref="F3:G4"/>
  </mergeCells>
  <pageMargins left="0.19685039370078741" right="0.19685039370078741" top="0.35433070866141736" bottom="0.23622047244094491" header="0.27559055118110237" footer="0.19685039370078741"/>
  <pageSetup paperSize="9" orientation="portrait" horizontalDpi="300" verticalDpi="203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0">
    <pageSetUpPr fitToPage="1"/>
  </sheetPr>
  <dimension ref="A1:R90"/>
  <sheetViews>
    <sheetView showGridLines="0" tabSelected="1" zoomScaleNormal="100" workbookViewId="0">
      <selection activeCell="G21" sqref="G21:H21"/>
    </sheetView>
  </sheetViews>
  <sheetFormatPr defaultRowHeight="12.75" outlineLevelCol="1"/>
  <cols>
    <col min="1" max="1" width="11.140625" style="1559" customWidth="1"/>
    <col min="2" max="2" width="6.5703125" style="1559" customWidth="1"/>
    <col min="3" max="3" width="8" style="1559" customWidth="1"/>
    <col min="4" max="4" width="8.5703125" style="1559" customWidth="1"/>
    <col min="5" max="5" width="9.85546875" style="1559" bestFit="1" customWidth="1"/>
    <col min="6" max="6" width="4.5703125" style="1559" bestFit="1" customWidth="1"/>
    <col min="7" max="7" width="15.42578125" style="1559" bestFit="1" customWidth="1"/>
    <col min="8" max="8" width="17" style="1559" customWidth="1"/>
    <col min="9" max="9" width="17.85546875" style="1559" customWidth="1"/>
    <col min="10" max="10" width="2" style="1559" hidden="1" customWidth="1" outlineLevel="1"/>
    <col min="11" max="11" width="4" style="1559" hidden="1" customWidth="1" outlineLevel="1"/>
    <col min="12" max="12" width="3.42578125" style="1559" customWidth="1" collapsed="1"/>
    <col min="13" max="256" width="9.140625" style="1559"/>
    <col min="257" max="257" width="9.28515625" style="1559" customWidth="1"/>
    <col min="258" max="258" width="8.42578125" style="1559" customWidth="1"/>
    <col min="259" max="259" width="9.140625" style="1559" customWidth="1"/>
    <col min="260" max="260" width="6.28515625" style="1559" customWidth="1"/>
    <col min="261" max="261" width="9.85546875" style="1559" bestFit="1" customWidth="1"/>
    <col min="262" max="262" width="4.5703125" style="1559" bestFit="1" customWidth="1"/>
    <col min="263" max="263" width="15.42578125" style="1559" bestFit="1" customWidth="1"/>
    <col min="264" max="264" width="17" style="1559" customWidth="1"/>
    <col min="265" max="265" width="17.85546875" style="1559" customWidth="1"/>
    <col min="266" max="267" width="0" style="1559" hidden="1" customWidth="1"/>
    <col min="268" max="268" width="3.42578125" style="1559" customWidth="1"/>
    <col min="269" max="512" width="9.140625" style="1559"/>
    <col min="513" max="513" width="9.28515625" style="1559" customWidth="1"/>
    <col min="514" max="514" width="8.42578125" style="1559" customWidth="1"/>
    <col min="515" max="515" width="9.140625" style="1559" customWidth="1"/>
    <col min="516" max="516" width="6.28515625" style="1559" customWidth="1"/>
    <col min="517" max="517" width="9.85546875" style="1559" bestFit="1" customWidth="1"/>
    <col min="518" max="518" width="4.5703125" style="1559" bestFit="1" customWidth="1"/>
    <col min="519" max="519" width="15.42578125" style="1559" bestFit="1" customWidth="1"/>
    <col min="520" max="520" width="17" style="1559" customWidth="1"/>
    <col min="521" max="521" width="17.85546875" style="1559" customWidth="1"/>
    <col min="522" max="523" width="0" style="1559" hidden="1" customWidth="1"/>
    <col min="524" max="524" width="3.42578125" style="1559" customWidth="1"/>
    <col min="525" max="768" width="9.140625" style="1559"/>
    <col min="769" max="769" width="9.28515625" style="1559" customWidth="1"/>
    <col min="770" max="770" width="8.42578125" style="1559" customWidth="1"/>
    <col min="771" max="771" width="9.140625" style="1559" customWidth="1"/>
    <col min="772" max="772" width="6.28515625" style="1559" customWidth="1"/>
    <col min="773" max="773" width="9.85546875" style="1559" bestFit="1" customWidth="1"/>
    <col min="774" max="774" width="4.5703125" style="1559" bestFit="1" customWidth="1"/>
    <col min="775" max="775" width="15.42578125" style="1559" bestFit="1" customWidth="1"/>
    <col min="776" max="776" width="17" style="1559" customWidth="1"/>
    <col min="777" max="777" width="17.85546875" style="1559" customWidth="1"/>
    <col min="778" max="779" width="0" style="1559" hidden="1" customWidth="1"/>
    <col min="780" max="780" width="3.42578125" style="1559" customWidth="1"/>
    <col min="781" max="1024" width="9.140625" style="1559"/>
    <col min="1025" max="1025" width="9.28515625" style="1559" customWidth="1"/>
    <col min="1026" max="1026" width="8.42578125" style="1559" customWidth="1"/>
    <col min="1027" max="1027" width="9.140625" style="1559" customWidth="1"/>
    <col min="1028" max="1028" width="6.28515625" style="1559" customWidth="1"/>
    <col min="1029" max="1029" width="9.85546875" style="1559" bestFit="1" customWidth="1"/>
    <col min="1030" max="1030" width="4.5703125" style="1559" bestFit="1" customWidth="1"/>
    <col min="1031" max="1031" width="15.42578125" style="1559" bestFit="1" customWidth="1"/>
    <col min="1032" max="1032" width="17" style="1559" customWidth="1"/>
    <col min="1033" max="1033" width="17.85546875" style="1559" customWidth="1"/>
    <col min="1034" max="1035" width="0" style="1559" hidden="1" customWidth="1"/>
    <col min="1036" max="1036" width="3.42578125" style="1559" customWidth="1"/>
    <col min="1037" max="1280" width="9.140625" style="1559"/>
    <col min="1281" max="1281" width="9.28515625" style="1559" customWidth="1"/>
    <col min="1282" max="1282" width="8.42578125" style="1559" customWidth="1"/>
    <col min="1283" max="1283" width="9.140625" style="1559" customWidth="1"/>
    <col min="1284" max="1284" width="6.28515625" style="1559" customWidth="1"/>
    <col min="1285" max="1285" width="9.85546875" style="1559" bestFit="1" customWidth="1"/>
    <col min="1286" max="1286" width="4.5703125" style="1559" bestFit="1" customWidth="1"/>
    <col min="1287" max="1287" width="15.42578125" style="1559" bestFit="1" customWidth="1"/>
    <col min="1288" max="1288" width="17" style="1559" customWidth="1"/>
    <col min="1289" max="1289" width="17.85546875" style="1559" customWidth="1"/>
    <col min="1290" max="1291" width="0" style="1559" hidden="1" customWidth="1"/>
    <col min="1292" max="1292" width="3.42578125" style="1559" customWidth="1"/>
    <col min="1293" max="1536" width="9.140625" style="1559"/>
    <col min="1537" max="1537" width="9.28515625" style="1559" customWidth="1"/>
    <col min="1538" max="1538" width="8.42578125" style="1559" customWidth="1"/>
    <col min="1539" max="1539" width="9.140625" style="1559" customWidth="1"/>
    <col min="1540" max="1540" width="6.28515625" style="1559" customWidth="1"/>
    <col min="1541" max="1541" width="9.85546875" style="1559" bestFit="1" customWidth="1"/>
    <col min="1542" max="1542" width="4.5703125" style="1559" bestFit="1" customWidth="1"/>
    <col min="1543" max="1543" width="15.42578125" style="1559" bestFit="1" customWidth="1"/>
    <col min="1544" max="1544" width="17" style="1559" customWidth="1"/>
    <col min="1545" max="1545" width="17.85546875" style="1559" customWidth="1"/>
    <col min="1546" max="1547" width="0" style="1559" hidden="1" customWidth="1"/>
    <col min="1548" max="1548" width="3.42578125" style="1559" customWidth="1"/>
    <col min="1549" max="1792" width="9.140625" style="1559"/>
    <col min="1793" max="1793" width="9.28515625" style="1559" customWidth="1"/>
    <col min="1794" max="1794" width="8.42578125" style="1559" customWidth="1"/>
    <col min="1795" max="1795" width="9.140625" style="1559" customWidth="1"/>
    <col min="1796" max="1796" width="6.28515625" style="1559" customWidth="1"/>
    <col min="1797" max="1797" width="9.85546875" style="1559" bestFit="1" customWidth="1"/>
    <col min="1798" max="1798" width="4.5703125" style="1559" bestFit="1" customWidth="1"/>
    <col min="1799" max="1799" width="15.42578125" style="1559" bestFit="1" customWidth="1"/>
    <col min="1800" max="1800" width="17" style="1559" customWidth="1"/>
    <col min="1801" max="1801" width="17.85546875" style="1559" customWidth="1"/>
    <col min="1802" max="1803" width="0" style="1559" hidden="1" customWidth="1"/>
    <col min="1804" max="1804" width="3.42578125" style="1559" customWidth="1"/>
    <col min="1805" max="2048" width="9.140625" style="1559"/>
    <col min="2049" max="2049" width="9.28515625" style="1559" customWidth="1"/>
    <col min="2050" max="2050" width="8.42578125" style="1559" customWidth="1"/>
    <col min="2051" max="2051" width="9.140625" style="1559" customWidth="1"/>
    <col min="2052" max="2052" width="6.28515625" style="1559" customWidth="1"/>
    <col min="2053" max="2053" width="9.85546875" style="1559" bestFit="1" customWidth="1"/>
    <col min="2054" max="2054" width="4.5703125" style="1559" bestFit="1" customWidth="1"/>
    <col min="2055" max="2055" width="15.42578125" style="1559" bestFit="1" customWidth="1"/>
    <col min="2056" max="2056" width="17" style="1559" customWidth="1"/>
    <col min="2057" max="2057" width="17.85546875" style="1559" customWidth="1"/>
    <col min="2058" max="2059" width="0" style="1559" hidden="1" customWidth="1"/>
    <col min="2060" max="2060" width="3.42578125" style="1559" customWidth="1"/>
    <col min="2061" max="2304" width="9.140625" style="1559"/>
    <col min="2305" max="2305" width="9.28515625" style="1559" customWidth="1"/>
    <col min="2306" max="2306" width="8.42578125" style="1559" customWidth="1"/>
    <col min="2307" max="2307" width="9.140625" style="1559" customWidth="1"/>
    <col min="2308" max="2308" width="6.28515625" style="1559" customWidth="1"/>
    <col min="2309" max="2309" width="9.85546875" style="1559" bestFit="1" customWidth="1"/>
    <col min="2310" max="2310" width="4.5703125" style="1559" bestFit="1" customWidth="1"/>
    <col min="2311" max="2311" width="15.42578125" style="1559" bestFit="1" customWidth="1"/>
    <col min="2312" max="2312" width="17" style="1559" customWidth="1"/>
    <col min="2313" max="2313" width="17.85546875" style="1559" customWidth="1"/>
    <col min="2314" max="2315" width="0" style="1559" hidden="1" customWidth="1"/>
    <col min="2316" max="2316" width="3.42578125" style="1559" customWidth="1"/>
    <col min="2317" max="2560" width="9.140625" style="1559"/>
    <col min="2561" max="2561" width="9.28515625" style="1559" customWidth="1"/>
    <col min="2562" max="2562" width="8.42578125" style="1559" customWidth="1"/>
    <col min="2563" max="2563" width="9.140625" style="1559" customWidth="1"/>
    <col min="2564" max="2564" width="6.28515625" style="1559" customWidth="1"/>
    <col min="2565" max="2565" width="9.85546875" style="1559" bestFit="1" customWidth="1"/>
    <col min="2566" max="2566" width="4.5703125" style="1559" bestFit="1" customWidth="1"/>
    <col min="2567" max="2567" width="15.42578125" style="1559" bestFit="1" customWidth="1"/>
    <col min="2568" max="2568" width="17" style="1559" customWidth="1"/>
    <col min="2569" max="2569" width="17.85546875" style="1559" customWidth="1"/>
    <col min="2570" max="2571" width="0" style="1559" hidden="1" customWidth="1"/>
    <col min="2572" max="2572" width="3.42578125" style="1559" customWidth="1"/>
    <col min="2573" max="2816" width="9.140625" style="1559"/>
    <col min="2817" max="2817" width="9.28515625" style="1559" customWidth="1"/>
    <col min="2818" max="2818" width="8.42578125" style="1559" customWidth="1"/>
    <col min="2819" max="2819" width="9.140625" style="1559" customWidth="1"/>
    <col min="2820" max="2820" width="6.28515625" style="1559" customWidth="1"/>
    <col min="2821" max="2821" width="9.85546875" style="1559" bestFit="1" customWidth="1"/>
    <col min="2822" max="2822" width="4.5703125" style="1559" bestFit="1" customWidth="1"/>
    <col min="2823" max="2823" width="15.42578125" style="1559" bestFit="1" customWidth="1"/>
    <col min="2824" max="2824" width="17" style="1559" customWidth="1"/>
    <col min="2825" max="2825" width="17.85546875" style="1559" customWidth="1"/>
    <col min="2826" max="2827" width="0" style="1559" hidden="1" customWidth="1"/>
    <col min="2828" max="2828" width="3.42578125" style="1559" customWidth="1"/>
    <col min="2829" max="3072" width="9.140625" style="1559"/>
    <col min="3073" max="3073" width="9.28515625" style="1559" customWidth="1"/>
    <col min="3074" max="3074" width="8.42578125" style="1559" customWidth="1"/>
    <col min="3075" max="3075" width="9.140625" style="1559" customWidth="1"/>
    <col min="3076" max="3076" width="6.28515625" style="1559" customWidth="1"/>
    <col min="3077" max="3077" width="9.85546875" style="1559" bestFit="1" customWidth="1"/>
    <col min="3078" max="3078" width="4.5703125" style="1559" bestFit="1" customWidth="1"/>
    <col min="3079" max="3079" width="15.42578125" style="1559" bestFit="1" customWidth="1"/>
    <col min="3080" max="3080" width="17" style="1559" customWidth="1"/>
    <col min="3081" max="3081" width="17.85546875" style="1559" customWidth="1"/>
    <col min="3082" max="3083" width="0" style="1559" hidden="1" customWidth="1"/>
    <col min="3084" max="3084" width="3.42578125" style="1559" customWidth="1"/>
    <col min="3085" max="3328" width="9.140625" style="1559"/>
    <col min="3329" max="3329" width="9.28515625" style="1559" customWidth="1"/>
    <col min="3330" max="3330" width="8.42578125" style="1559" customWidth="1"/>
    <col min="3331" max="3331" width="9.140625" style="1559" customWidth="1"/>
    <col min="3332" max="3332" width="6.28515625" style="1559" customWidth="1"/>
    <col min="3333" max="3333" width="9.85546875" style="1559" bestFit="1" customWidth="1"/>
    <col min="3334" max="3334" width="4.5703125" style="1559" bestFit="1" customWidth="1"/>
    <col min="3335" max="3335" width="15.42578125" style="1559" bestFit="1" customWidth="1"/>
    <col min="3336" max="3336" width="17" style="1559" customWidth="1"/>
    <col min="3337" max="3337" width="17.85546875" style="1559" customWidth="1"/>
    <col min="3338" max="3339" width="0" style="1559" hidden="1" customWidth="1"/>
    <col min="3340" max="3340" width="3.42578125" style="1559" customWidth="1"/>
    <col min="3341" max="3584" width="9.140625" style="1559"/>
    <col min="3585" max="3585" width="9.28515625" style="1559" customWidth="1"/>
    <col min="3586" max="3586" width="8.42578125" style="1559" customWidth="1"/>
    <col min="3587" max="3587" width="9.140625" style="1559" customWidth="1"/>
    <col min="3588" max="3588" width="6.28515625" style="1559" customWidth="1"/>
    <col min="3589" max="3589" width="9.85546875" style="1559" bestFit="1" customWidth="1"/>
    <col min="3590" max="3590" width="4.5703125" style="1559" bestFit="1" customWidth="1"/>
    <col min="3591" max="3591" width="15.42578125" style="1559" bestFit="1" customWidth="1"/>
    <col min="3592" max="3592" width="17" style="1559" customWidth="1"/>
    <col min="3593" max="3593" width="17.85546875" style="1559" customWidth="1"/>
    <col min="3594" max="3595" width="0" style="1559" hidden="1" customWidth="1"/>
    <col min="3596" max="3596" width="3.42578125" style="1559" customWidth="1"/>
    <col min="3597" max="3840" width="9.140625" style="1559"/>
    <col min="3841" max="3841" width="9.28515625" style="1559" customWidth="1"/>
    <col min="3842" max="3842" width="8.42578125" style="1559" customWidth="1"/>
    <col min="3843" max="3843" width="9.140625" style="1559" customWidth="1"/>
    <col min="3844" max="3844" width="6.28515625" style="1559" customWidth="1"/>
    <col min="3845" max="3845" width="9.85546875" style="1559" bestFit="1" customWidth="1"/>
    <col min="3846" max="3846" width="4.5703125" style="1559" bestFit="1" customWidth="1"/>
    <col min="3847" max="3847" width="15.42578125" style="1559" bestFit="1" customWidth="1"/>
    <col min="3848" max="3848" width="17" style="1559" customWidth="1"/>
    <col min="3849" max="3849" width="17.85546875" style="1559" customWidth="1"/>
    <col min="3850" max="3851" width="0" style="1559" hidden="1" customWidth="1"/>
    <col min="3852" max="3852" width="3.42578125" style="1559" customWidth="1"/>
    <col min="3853" max="4096" width="9.140625" style="1559"/>
    <col min="4097" max="4097" width="9.28515625" style="1559" customWidth="1"/>
    <col min="4098" max="4098" width="8.42578125" style="1559" customWidth="1"/>
    <col min="4099" max="4099" width="9.140625" style="1559" customWidth="1"/>
    <col min="4100" max="4100" width="6.28515625" style="1559" customWidth="1"/>
    <col min="4101" max="4101" width="9.85546875" style="1559" bestFit="1" customWidth="1"/>
    <col min="4102" max="4102" width="4.5703125" style="1559" bestFit="1" customWidth="1"/>
    <col min="4103" max="4103" width="15.42578125" style="1559" bestFit="1" customWidth="1"/>
    <col min="4104" max="4104" width="17" style="1559" customWidth="1"/>
    <col min="4105" max="4105" width="17.85546875" style="1559" customWidth="1"/>
    <col min="4106" max="4107" width="0" style="1559" hidden="1" customWidth="1"/>
    <col min="4108" max="4108" width="3.42578125" style="1559" customWidth="1"/>
    <col min="4109" max="4352" width="9.140625" style="1559"/>
    <col min="4353" max="4353" width="9.28515625" style="1559" customWidth="1"/>
    <col min="4354" max="4354" width="8.42578125" style="1559" customWidth="1"/>
    <col min="4355" max="4355" width="9.140625" style="1559" customWidth="1"/>
    <col min="4356" max="4356" width="6.28515625" style="1559" customWidth="1"/>
    <col min="4357" max="4357" width="9.85546875" style="1559" bestFit="1" customWidth="1"/>
    <col min="4358" max="4358" width="4.5703125" style="1559" bestFit="1" customWidth="1"/>
    <col min="4359" max="4359" width="15.42578125" style="1559" bestFit="1" customWidth="1"/>
    <col min="4360" max="4360" width="17" style="1559" customWidth="1"/>
    <col min="4361" max="4361" width="17.85546875" style="1559" customWidth="1"/>
    <col min="4362" max="4363" width="0" style="1559" hidden="1" customWidth="1"/>
    <col min="4364" max="4364" width="3.42578125" style="1559" customWidth="1"/>
    <col min="4365" max="4608" width="9.140625" style="1559"/>
    <col min="4609" max="4609" width="9.28515625" style="1559" customWidth="1"/>
    <col min="4610" max="4610" width="8.42578125" style="1559" customWidth="1"/>
    <col min="4611" max="4611" width="9.140625" style="1559" customWidth="1"/>
    <col min="4612" max="4612" width="6.28515625" style="1559" customWidth="1"/>
    <col min="4613" max="4613" width="9.85546875" style="1559" bestFit="1" customWidth="1"/>
    <col min="4614" max="4614" width="4.5703125" style="1559" bestFit="1" customWidth="1"/>
    <col min="4615" max="4615" width="15.42578125" style="1559" bestFit="1" customWidth="1"/>
    <col min="4616" max="4616" width="17" style="1559" customWidth="1"/>
    <col min="4617" max="4617" width="17.85546875" style="1559" customWidth="1"/>
    <col min="4618" max="4619" width="0" style="1559" hidden="1" customWidth="1"/>
    <col min="4620" max="4620" width="3.42578125" style="1559" customWidth="1"/>
    <col min="4621" max="4864" width="9.140625" style="1559"/>
    <col min="4865" max="4865" width="9.28515625" style="1559" customWidth="1"/>
    <col min="4866" max="4866" width="8.42578125" style="1559" customWidth="1"/>
    <col min="4867" max="4867" width="9.140625" style="1559" customWidth="1"/>
    <col min="4868" max="4868" width="6.28515625" style="1559" customWidth="1"/>
    <col min="4869" max="4869" width="9.85546875" style="1559" bestFit="1" customWidth="1"/>
    <col min="4870" max="4870" width="4.5703125" style="1559" bestFit="1" customWidth="1"/>
    <col min="4871" max="4871" width="15.42578125" style="1559" bestFit="1" customWidth="1"/>
    <col min="4872" max="4872" width="17" style="1559" customWidth="1"/>
    <col min="4873" max="4873" width="17.85546875" style="1559" customWidth="1"/>
    <col min="4874" max="4875" width="0" style="1559" hidden="1" customWidth="1"/>
    <col min="4876" max="4876" width="3.42578125" style="1559" customWidth="1"/>
    <col min="4877" max="5120" width="9.140625" style="1559"/>
    <col min="5121" max="5121" width="9.28515625" style="1559" customWidth="1"/>
    <col min="5122" max="5122" width="8.42578125" style="1559" customWidth="1"/>
    <col min="5123" max="5123" width="9.140625" style="1559" customWidth="1"/>
    <col min="5124" max="5124" width="6.28515625" style="1559" customWidth="1"/>
    <col min="5125" max="5125" width="9.85546875" style="1559" bestFit="1" customWidth="1"/>
    <col min="5126" max="5126" width="4.5703125" style="1559" bestFit="1" customWidth="1"/>
    <col min="5127" max="5127" width="15.42578125" style="1559" bestFit="1" customWidth="1"/>
    <col min="5128" max="5128" width="17" style="1559" customWidth="1"/>
    <col min="5129" max="5129" width="17.85546875" style="1559" customWidth="1"/>
    <col min="5130" max="5131" width="0" style="1559" hidden="1" customWidth="1"/>
    <col min="5132" max="5132" width="3.42578125" style="1559" customWidth="1"/>
    <col min="5133" max="5376" width="9.140625" style="1559"/>
    <col min="5377" max="5377" width="9.28515625" style="1559" customWidth="1"/>
    <col min="5378" max="5378" width="8.42578125" style="1559" customWidth="1"/>
    <col min="5379" max="5379" width="9.140625" style="1559" customWidth="1"/>
    <col min="5380" max="5380" width="6.28515625" style="1559" customWidth="1"/>
    <col min="5381" max="5381" width="9.85546875" style="1559" bestFit="1" customWidth="1"/>
    <col min="5382" max="5382" width="4.5703125" style="1559" bestFit="1" customWidth="1"/>
    <col min="5383" max="5383" width="15.42578125" style="1559" bestFit="1" customWidth="1"/>
    <col min="5384" max="5384" width="17" style="1559" customWidth="1"/>
    <col min="5385" max="5385" width="17.85546875" style="1559" customWidth="1"/>
    <col min="5386" max="5387" width="0" style="1559" hidden="1" customWidth="1"/>
    <col min="5388" max="5388" width="3.42578125" style="1559" customWidth="1"/>
    <col min="5389" max="5632" width="9.140625" style="1559"/>
    <col min="5633" max="5633" width="9.28515625" style="1559" customWidth="1"/>
    <col min="5634" max="5634" width="8.42578125" style="1559" customWidth="1"/>
    <col min="5635" max="5635" width="9.140625" style="1559" customWidth="1"/>
    <col min="5636" max="5636" width="6.28515625" style="1559" customWidth="1"/>
    <col min="5637" max="5637" width="9.85546875" style="1559" bestFit="1" customWidth="1"/>
    <col min="5638" max="5638" width="4.5703125" style="1559" bestFit="1" customWidth="1"/>
    <col min="5639" max="5639" width="15.42578125" style="1559" bestFit="1" customWidth="1"/>
    <col min="5640" max="5640" width="17" style="1559" customWidth="1"/>
    <col min="5641" max="5641" width="17.85546875" style="1559" customWidth="1"/>
    <col min="5642" max="5643" width="0" style="1559" hidden="1" customWidth="1"/>
    <col min="5644" max="5644" width="3.42578125" style="1559" customWidth="1"/>
    <col min="5645" max="5888" width="9.140625" style="1559"/>
    <col min="5889" max="5889" width="9.28515625" style="1559" customWidth="1"/>
    <col min="5890" max="5890" width="8.42578125" style="1559" customWidth="1"/>
    <col min="5891" max="5891" width="9.140625" style="1559" customWidth="1"/>
    <col min="5892" max="5892" width="6.28515625" style="1559" customWidth="1"/>
    <col min="5893" max="5893" width="9.85546875" style="1559" bestFit="1" customWidth="1"/>
    <col min="5894" max="5894" width="4.5703125" style="1559" bestFit="1" customWidth="1"/>
    <col min="5895" max="5895" width="15.42578125" style="1559" bestFit="1" customWidth="1"/>
    <col min="5896" max="5896" width="17" style="1559" customWidth="1"/>
    <col min="5897" max="5897" width="17.85546875" style="1559" customWidth="1"/>
    <col min="5898" max="5899" width="0" style="1559" hidden="1" customWidth="1"/>
    <col min="5900" max="5900" width="3.42578125" style="1559" customWidth="1"/>
    <col min="5901" max="6144" width="9.140625" style="1559"/>
    <col min="6145" max="6145" width="9.28515625" style="1559" customWidth="1"/>
    <col min="6146" max="6146" width="8.42578125" style="1559" customWidth="1"/>
    <col min="6147" max="6147" width="9.140625" style="1559" customWidth="1"/>
    <col min="6148" max="6148" width="6.28515625" style="1559" customWidth="1"/>
    <col min="6149" max="6149" width="9.85546875" style="1559" bestFit="1" customWidth="1"/>
    <col min="6150" max="6150" width="4.5703125" style="1559" bestFit="1" customWidth="1"/>
    <col min="6151" max="6151" width="15.42578125" style="1559" bestFit="1" customWidth="1"/>
    <col min="6152" max="6152" width="17" style="1559" customWidth="1"/>
    <col min="6153" max="6153" width="17.85546875" style="1559" customWidth="1"/>
    <col min="6154" max="6155" width="0" style="1559" hidden="1" customWidth="1"/>
    <col min="6156" max="6156" width="3.42578125" style="1559" customWidth="1"/>
    <col min="6157" max="6400" width="9.140625" style="1559"/>
    <col min="6401" max="6401" width="9.28515625" style="1559" customWidth="1"/>
    <col min="6402" max="6402" width="8.42578125" style="1559" customWidth="1"/>
    <col min="6403" max="6403" width="9.140625" style="1559" customWidth="1"/>
    <col min="6404" max="6404" width="6.28515625" style="1559" customWidth="1"/>
    <col min="6405" max="6405" width="9.85546875" style="1559" bestFit="1" customWidth="1"/>
    <col min="6406" max="6406" width="4.5703125" style="1559" bestFit="1" customWidth="1"/>
    <col min="6407" max="6407" width="15.42578125" style="1559" bestFit="1" customWidth="1"/>
    <col min="6408" max="6408" width="17" style="1559" customWidth="1"/>
    <col min="6409" max="6409" width="17.85546875" style="1559" customWidth="1"/>
    <col min="6410" max="6411" width="0" style="1559" hidden="1" customWidth="1"/>
    <col min="6412" max="6412" width="3.42578125" style="1559" customWidth="1"/>
    <col min="6413" max="6656" width="9.140625" style="1559"/>
    <col min="6657" max="6657" width="9.28515625" style="1559" customWidth="1"/>
    <col min="6658" max="6658" width="8.42578125" style="1559" customWidth="1"/>
    <col min="6659" max="6659" width="9.140625" style="1559" customWidth="1"/>
    <col min="6660" max="6660" width="6.28515625" style="1559" customWidth="1"/>
    <col min="6661" max="6661" width="9.85546875" style="1559" bestFit="1" customWidth="1"/>
    <col min="6662" max="6662" width="4.5703125" style="1559" bestFit="1" customWidth="1"/>
    <col min="6663" max="6663" width="15.42578125" style="1559" bestFit="1" customWidth="1"/>
    <col min="6664" max="6664" width="17" style="1559" customWidth="1"/>
    <col min="6665" max="6665" width="17.85546875" style="1559" customWidth="1"/>
    <col min="6666" max="6667" width="0" style="1559" hidden="1" customWidth="1"/>
    <col min="6668" max="6668" width="3.42578125" style="1559" customWidth="1"/>
    <col min="6669" max="6912" width="9.140625" style="1559"/>
    <col min="6913" max="6913" width="9.28515625" style="1559" customWidth="1"/>
    <col min="6914" max="6914" width="8.42578125" style="1559" customWidth="1"/>
    <col min="6915" max="6915" width="9.140625" style="1559" customWidth="1"/>
    <col min="6916" max="6916" width="6.28515625" style="1559" customWidth="1"/>
    <col min="6917" max="6917" width="9.85546875" style="1559" bestFit="1" customWidth="1"/>
    <col min="6918" max="6918" width="4.5703125" style="1559" bestFit="1" customWidth="1"/>
    <col min="6919" max="6919" width="15.42578125" style="1559" bestFit="1" customWidth="1"/>
    <col min="6920" max="6920" width="17" style="1559" customWidth="1"/>
    <col min="6921" max="6921" width="17.85546875" style="1559" customWidth="1"/>
    <col min="6922" max="6923" width="0" style="1559" hidden="1" customWidth="1"/>
    <col min="6924" max="6924" width="3.42578125" style="1559" customWidth="1"/>
    <col min="6925" max="7168" width="9.140625" style="1559"/>
    <col min="7169" max="7169" width="9.28515625" style="1559" customWidth="1"/>
    <col min="7170" max="7170" width="8.42578125" style="1559" customWidth="1"/>
    <col min="7171" max="7171" width="9.140625" style="1559" customWidth="1"/>
    <col min="7172" max="7172" width="6.28515625" style="1559" customWidth="1"/>
    <col min="7173" max="7173" width="9.85546875" style="1559" bestFit="1" customWidth="1"/>
    <col min="7174" max="7174" width="4.5703125" style="1559" bestFit="1" customWidth="1"/>
    <col min="7175" max="7175" width="15.42578125" style="1559" bestFit="1" customWidth="1"/>
    <col min="7176" max="7176" width="17" style="1559" customWidth="1"/>
    <col min="7177" max="7177" width="17.85546875" style="1559" customWidth="1"/>
    <col min="7178" max="7179" width="0" style="1559" hidden="1" customWidth="1"/>
    <col min="7180" max="7180" width="3.42578125" style="1559" customWidth="1"/>
    <col min="7181" max="7424" width="9.140625" style="1559"/>
    <col min="7425" max="7425" width="9.28515625" style="1559" customWidth="1"/>
    <col min="7426" max="7426" width="8.42578125" style="1559" customWidth="1"/>
    <col min="7427" max="7427" width="9.140625" style="1559" customWidth="1"/>
    <col min="7428" max="7428" width="6.28515625" style="1559" customWidth="1"/>
    <col min="7429" max="7429" width="9.85546875" style="1559" bestFit="1" customWidth="1"/>
    <col min="7430" max="7430" width="4.5703125" style="1559" bestFit="1" customWidth="1"/>
    <col min="7431" max="7431" width="15.42578125" style="1559" bestFit="1" customWidth="1"/>
    <col min="7432" max="7432" width="17" style="1559" customWidth="1"/>
    <col min="7433" max="7433" width="17.85546875" style="1559" customWidth="1"/>
    <col min="7434" max="7435" width="0" style="1559" hidden="1" customWidth="1"/>
    <col min="7436" max="7436" width="3.42578125" style="1559" customWidth="1"/>
    <col min="7437" max="7680" width="9.140625" style="1559"/>
    <col min="7681" max="7681" width="9.28515625" style="1559" customWidth="1"/>
    <col min="7682" max="7682" width="8.42578125" style="1559" customWidth="1"/>
    <col min="7683" max="7683" width="9.140625" style="1559" customWidth="1"/>
    <col min="7684" max="7684" width="6.28515625" style="1559" customWidth="1"/>
    <col min="7685" max="7685" width="9.85546875" style="1559" bestFit="1" customWidth="1"/>
    <col min="7686" max="7686" width="4.5703125" style="1559" bestFit="1" customWidth="1"/>
    <col min="7687" max="7687" width="15.42578125" style="1559" bestFit="1" customWidth="1"/>
    <col min="7688" max="7688" width="17" style="1559" customWidth="1"/>
    <col min="7689" max="7689" width="17.85546875" style="1559" customWidth="1"/>
    <col min="7690" max="7691" width="0" style="1559" hidden="1" customWidth="1"/>
    <col min="7692" max="7692" width="3.42578125" style="1559" customWidth="1"/>
    <col min="7693" max="7936" width="9.140625" style="1559"/>
    <col min="7937" max="7937" width="9.28515625" style="1559" customWidth="1"/>
    <col min="7938" max="7938" width="8.42578125" style="1559" customWidth="1"/>
    <col min="7939" max="7939" width="9.140625" style="1559" customWidth="1"/>
    <col min="7940" max="7940" width="6.28515625" style="1559" customWidth="1"/>
    <col min="7941" max="7941" width="9.85546875" style="1559" bestFit="1" customWidth="1"/>
    <col min="7942" max="7942" width="4.5703125" style="1559" bestFit="1" customWidth="1"/>
    <col min="7943" max="7943" width="15.42578125" style="1559" bestFit="1" customWidth="1"/>
    <col min="7944" max="7944" width="17" style="1559" customWidth="1"/>
    <col min="7945" max="7945" width="17.85546875" style="1559" customWidth="1"/>
    <col min="7946" max="7947" width="0" style="1559" hidden="1" customWidth="1"/>
    <col min="7948" max="7948" width="3.42578125" style="1559" customWidth="1"/>
    <col min="7949" max="8192" width="9.140625" style="1559"/>
    <col min="8193" max="8193" width="9.28515625" style="1559" customWidth="1"/>
    <col min="8194" max="8194" width="8.42578125" style="1559" customWidth="1"/>
    <col min="8195" max="8195" width="9.140625" style="1559" customWidth="1"/>
    <col min="8196" max="8196" width="6.28515625" style="1559" customWidth="1"/>
    <col min="8197" max="8197" width="9.85546875" style="1559" bestFit="1" customWidth="1"/>
    <col min="8198" max="8198" width="4.5703125" style="1559" bestFit="1" customWidth="1"/>
    <col min="8199" max="8199" width="15.42578125" style="1559" bestFit="1" customWidth="1"/>
    <col min="8200" max="8200" width="17" style="1559" customWidth="1"/>
    <col min="8201" max="8201" width="17.85546875" style="1559" customWidth="1"/>
    <col min="8202" max="8203" width="0" style="1559" hidden="1" customWidth="1"/>
    <col min="8204" max="8204" width="3.42578125" style="1559" customWidth="1"/>
    <col min="8205" max="8448" width="9.140625" style="1559"/>
    <col min="8449" max="8449" width="9.28515625" style="1559" customWidth="1"/>
    <col min="8450" max="8450" width="8.42578125" style="1559" customWidth="1"/>
    <col min="8451" max="8451" width="9.140625" style="1559" customWidth="1"/>
    <col min="8452" max="8452" width="6.28515625" style="1559" customWidth="1"/>
    <col min="8453" max="8453" width="9.85546875" style="1559" bestFit="1" customWidth="1"/>
    <col min="8454" max="8454" width="4.5703125" style="1559" bestFit="1" customWidth="1"/>
    <col min="8455" max="8455" width="15.42578125" style="1559" bestFit="1" customWidth="1"/>
    <col min="8456" max="8456" width="17" style="1559" customWidth="1"/>
    <col min="8457" max="8457" width="17.85546875" style="1559" customWidth="1"/>
    <col min="8458" max="8459" width="0" style="1559" hidden="1" customWidth="1"/>
    <col min="8460" max="8460" width="3.42578125" style="1559" customWidth="1"/>
    <col min="8461" max="8704" width="9.140625" style="1559"/>
    <col min="8705" max="8705" width="9.28515625" style="1559" customWidth="1"/>
    <col min="8706" max="8706" width="8.42578125" style="1559" customWidth="1"/>
    <col min="8707" max="8707" width="9.140625" style="1559" customWidth="1"/>
    <col min="8708" max="8708" width="6.28515625" style="1559" customWidth="1"/>
    <col min="8709" max="8709" width="9.85546875" style="1559" bestFit="1" customWidth="1"/>
    <col min="8710" max="8710" width="4.5703125" style="1559" bestFit="1" customWidth="1"/>
    <col min="8711" max="8711" width="15.42578125" style="1559" bestFit="1" customWidth="1"/>
    <col min="8712" max="8712" width="17" style="1559" customWidth="1"/>
    <col min="8713" max="8713" width="17.85546875" style="1559" customWidth="1"/>
    <col min="8714" max="8715" width="0" style="1559" hidden="1" customWidth="1"/>
    <col min="8716" max="8716" width="3.42578125" style="1559" customWidth="1"/>
    <col min="8717" max="8960" width="9.140625" style="1559"/>
    <col min="8961" max="8961" width="9.28515625" style="1559" customWidth="1"/>
    <col min="8962" max="8962" width="8.42578125" style="1559" customWidth="1"/>
    <col min="8963" max="8963" width="9.140625" style="1559" customWidth="1"/>
    <col min="8964" max="8964" width="6.28515625" style="1559" customWidth="1"/>
    <col min="8965" max="8965" width="9.85546875" style="1559" bestFit="1" customWidth="1"/>
    <col min="8966" max="8966" width="4.5703125" style="1559" bestFit="1" customWidth="1"/>
    <col min="8967" max="8967" width="15.42578125" style="1559" bestFit="1" customWidth="1"/>
    <col min="8968" max="8968" width="17" style="1559" customWidth="1"/>
    <col min="8969" max="8969" width="17.85546875" style="1559" customWidth="1"/>
    <col min="8970" max="8971" width="0" style="1559" hidden="1" customWidth="1"/>
    <col min="8972" max="8972" width="3.42578125" style="1559" customWidth="1"/>
    <col min="8973" max="9216" width="9.140625" style="1559"/>
    <col min="9217" max="9217" width="9.28515625" style="1559" customWidth="1"/>
    <col min="9218" max="9218" width="8.42578125" style="1559" customWidth="1"/>
    <col min="9219" max="9219" width="9.140625" style="1559" customWidth="1"/>
    <col min="9220" max="9220" width="6.28515625" style="1559" customWidth="1"/>
    <col min="9221" max="9221" width="9.85546875" style="1559" bestFit="1" customWidth="1"/>
    <col min="9222" max="9222" width="4.5703125" style="1559" bestFit="1" customWidth="1"/>
    <col min="9223" max="9223" width="15.42578125" style="1559" bestFit="1" customWidth="1"/>
    <col min="9224" max="9224" width="17" style="1559" customWidth="1"/>
    <col min="9225" max="9225" width="17.85546875" style="1559" customWidth="1"/>
    <col min="9226" max="9227" width="0" style="1559" hidden="1" customWidth="1"/>
    <col min="9228" max="9228" width="3.42578125" style="1559" customWidth="1"/>
    <col min="9229" max="9472" width="9.140625" style="1559"/>
    <col min="9473" max="9473" width="9.28515625" style="1559" customWidth="1"/>
    <col min="9474" max="9474" width="8.42578125" style="1559" customWidth="1"/>
    <col min="9475" max="9475" width="9.140625" style="1559" customWidth="1"/>
    <col min="9476" max="9476" width="6.28515625" style="1559" customWidth="1"/>
    <col min="9477" max="9477" width="9.85546875" style="1559" bestFit="1" customWidth="1"/>
    <col min="9478" max="9478" width="4.5703125" style="1559" bestFit="1" customWidth="1"/>
    <col min="9479" max="9479" width="15.42578125" style="1559" bestFit="1" customWidth="1"/>
    <col min="9480" max="9480" width="17" style="1559" customWidth="1"/>
    <col min="9481" max="9481" width="17.85546875" style="1559" customWidth="1"/>
    <col min="9482" max="9483" width="0" style="1559" hidden="1" customWidth="1"/>
    <col min="9484" max="9484" width="3.42578125" style="1559" customWidth="1"/>
    <col min="9485" max="9728" width="9.140625" style="1559"/>
    <col min="9729" max="9729" width="9.28515625" style="1559" customWidth="1"/>
    <col min="9730" max="9730" width="8.42578125" style="1559" customWidth="1"/>
    <col min="9731" max="9731" width="9.140625" style="1559" customWidth="1"/>
    <col min="9732" max="9732" width="6.28515625" style="1559" customWidth="1"/>
    <col min="9733" max="9733" width="9.85546875" style="1559" bestFit="1" customWidth="1"/>
    <col min="9734" max="9734" width="4.5703125" style="1559" bestFit="1" customWidth="1"/>
    <col min="9735" max="9735" width="15.42578125" style="1559" bestFit="1" customWidth="1"/>
    <col min="9736" max="9736" width="17" style="1559" customWidth="1"/>
    <col min="9737" max="9737" width="17.85546875" style="1559" customWidth="1"/>
    <col min="9738" max="9739" width="0" style="1559" hidden="1" customWidth="1"/>
    <col min="9740" max="9740" width="3.42578125" style="1559" customWidth="1"/>
    <col min="9741" max="9984" width="9.140625" style="1559"/>
    <col min="9985" max="9985" width="9.28515625" style="1559" customWidth="1"/>
    <col min="9986" max="9986" width="8.42578125" style="1559" customWidth="1"/>
    <col min="9987" max="9987" width="9.140625" style="1559" customWidth="1"/>
    <col min="9988" max="9988" width="6.28515625" style="1559" customWidth="1"/>
    <col min="9989" max="9989" width="9.85546875" style="1559" bestFit="1" customWidth="1"/>
    <col min="9990" max="9990" width="4.5703125" style="1559" bestFit="1" customWidth="1"/>
    <col min="9991" max="9991" width="15.42578125" style="1559" bestFit="1" customWidth="1"/>
    <col min="9992" max="9992" width="17" style="1559" customWidth="1"/>
    <col min="9993" max="9993" width="17.85546875" style="1559" customWidth="1"/>
    <col min="9994" max="9995" width="0" style="1559" hidden="1" customWidth="1"/>
    <col min="9996" max="9996" width="3.42578125" style="1559" customWidth="1"/>
    <col min="9997" max="10240" width="9.140625" style="1559"/>
    <col min="10241" max="10241" width="9.28515625" style="1559" customWidth="1"/>
    <col min="10242" max="10242" width="8.42578125" style="1559" customWidth="1"/>
    <col min="10243" max="10243" width="9.140625" style="1559" customWidth="1"/>
    <col min="10244" max="10244" width="6.28515625" style="1559" customWidth="1"/>
    <col min="10245" max="10245" width="9.85546875" style="1559" bestFit="1" customWidth="1"/>
    <col min="10246" max="10246" width="4.5703125" style="1559" bestFit="1" customWidth="1"/>
    <col min="10247" max="10247" width="15.42578125" style="1559" bestFit="1" customWidth="1"/>
    <col min="10248" max="10248" width="17" style="1559" customWidth="1"/>
    <col min="10249" max="10249" width="17.85546875" style="1559" customWidth="1"/>
    <col min="10250" max="10251" width="0" style="1559" hidden="1" customWidth="1"/>
    <col min="10252" max="10252" width="3.42578125" style="1559" customWidth="1"/>
    <col min="10253" max="10496" width="9.140625" style="1559"/>
    <col min="10497" max="10497" width="9.28515625" style="1559" customWidth="1"/>
    <col min="10498" max="10498" width="8.42578125" style="1559" customWidth="1"/>
    <col min="10499" max="10499" width="9.140625" style="1559" customWidth="1"/>
    <col min="10500" max="10500" width="6.28515625" style="1559" customWidth="1"/>
    <col min="10501" max="10501" width="9.85546875" style="1559" bestFit="1" customWidth="1"/>
    <col min="10502" max="10502" width="4.5703125" style="1559" bestFit="1" customWidth="1"/>
    <col min="10503" max="10503" width="15.42578125" style="1559" bestFit="1" customWidth="1"/>
    <col min="10504" max="10504" width="17" style="1559" customWidth="1"/>
    <col min="10505" max="10505" width="17.85546875" style="1559" customWidth="1"/>
    <col min="10506" max="10507" width="0" style="1559" hidden="1" customWidth="1"/>
    <col min="10508" max="10508" width="3.42578125" style="1559" customWidth="1"/>
    <col min="10509" max="10752" width="9.140625" style="1559"/>
    <col min="10753" max="10753" width="9.28515625" style="1559" customWidth="1"/>
    <col min="10754" max="10754" width="8.42578125" style="1559" customWidth="1"/>
    <col min="10755" max="10755" width="9.140625" style="1559" customWidth="1"/>
    <col min="10756" max="10756" width="6.28515625" style="1559" customWidth="1"/>
    <col min="10757" max="10757" width="9.85546875" style="1559" bestFit="1" customWidth="1"/>
    <col min="10758" max="10758" width="4.5703125" style="1559" bestFit="1" customWidth="1"/>
    <col min="10759" max="10759" width="15.42578125" style="1559" bestFit="1" customWidth="1"/>
    <col min="10760" max="10760" width="17" style="1559" customWidth="1"/>
    <col min="10761" max="10761" width="17.85546875" style="1559" customWidth="1"/>
    <col min="10762" max="10763" width="0" style="1559" hidden="1" customWidth="1"/>
    <col min="10764" max="10764" width="3.42578125" style="1559" customWidth="1"/>
    <col min="10765" max="11008" width="9.140625" style="1559"/>
    <col min="11009" max="11009" width="9.28515625" style="1559" customWidth="1"/>
    <col min="11010" max="11010" width="8.42578125" style="1559" customWidth="1"/>
    <col min="11011" max="11011" width="9.140625" style="1559" customWidth="1"/>
    <col min="11012" max="11012" width="6.28515625" style="1559" customWidth="1"/>
    <col min="11013" max="11013" width="9.85546875" style="1559" bestFit="1" customWidth="1"/>
    <col min="11014" max="11014" width="4.5703125" style="1559" bestFit="1" customWidth="1"/>
    <col min="11015" max="11015" width="15.42578125" style="1559" bestFit="1" customWidth="1"/>
    <col min="11016" max="11016" width="17" style="1559" customWidth="1"/>
    <col min="11017" max="11017" width="17.85546875" style="1559" customWidth="1"/>
    <col min="11018" max="11019" width="0" style="1559" hidden="1" customWidth="1"/>
    <col min="11020" max="11020" width="3.42578125" style="1559" customWidth="1"/>
    <col min="11021" max="11264" width="9.140625" style="1559"/>
    <col min="11265" max="11265" width="9.28515625" style="1559" customWidth="1"/>
    <col min="11266" max="11266" width="8.42578125" style="1559" customWidth="1"/>
    <col min="11267" max="11267" width="9.140625" style="1559" customWidth="1"/>
    <col min="11268" max="11268" width="6.28515625" style="1559" customWidth="1"/>
    <col min="11269" max="11269" width="9.85546875" style="1559" bestFit="1" customWidth="1"/>
    <col min="11270" max="11270" width="4.5703125" style="1559" bestFit="1" customWidth="1"/>
    <col min="11271" max="11271" width="15.42578125" style="1559" bestFit="1" customWidth="1"/>
    <col min="11272" max="11272" width="17" style="1559" customWidth="1"/>
    <col min="11273" max="11273" width="17.85546875" style="1559" customWidth="1"/>
    <col min="11274" max="11275" width="0" style="1559" hidden="1" customWidth="1"/>
    <col min="11276" max="11276" width="3.42578125" style="1559" customWidth="1"/>
    <col min="11277" max="11520" width="9.140625" style="1559"/>
    <col min="11521" max="11521" width="9.28515625" style="1559" customWidth="1"/>
    <col min="11522" max="11522" width="8.42578125" style="1559" customWidth="1"/>
    <col min="11523" max="11523" width="9.140625" style="1559" customWidth="1"/>
    <col min="11524" max="11524" width="6.28515625" style="1559" customWidth="1"/>
    <col min="11525" max="11525" width="9.85546875" style="1559" bestFit="1" customWidth="1"/>
    <col min="11526" max="11526" width="4.5703125" style="1559" bestFit="1" customWidth="1"/>
    <col min="11527" max="11527" width="15.42578125" style="1559" bestFit="1" customWidth="1"/>
    <col min="11528" max="11528" width="17" style="1559" customWidth="1"/>
    <col min="11529" max="11529" width="17.85546875" style="1559" customWidth="1"/>
    <col min="11530" max="11531" width="0" style="1559" hidden="1" customWidth="1"/>
    <col min="11532" max="11532" width="3.42578125" style="1559" customWidth="1"/>
    <col min="11533" max="11776" width="9.140625" style="1559"/>
    <col min="11777" max="11777" width="9.28515625" style="1559" customWidth="1"/>
    <col min="11778" max="11778" width="8.42578125" style="1559" customWidth="1"/>
    <col min="11779" max="11779" width="9.140625" style="1559" customWidth="1"/>
    <col min="11780" max="11780" width="6.28515625" style="1559" customWidth="1"/>
    <col min="11781" max="11781" width="9.85546875" style="1559" bestFit="1" customWidth="1"/>
    <col min="11782" max="11782" width="4.5703125" style="1559" bestFit="1" customWidth="1"/>
    <col min="11783" max="11783" width="15.42578125" style="1559" bestFit="1" customWidth="1"/>
    <col min="11784" max="11784" width="17" style="1559" customWidth="1"/>
    <col min="11785" max="11785" width="17.85546875" style="1559" customWidth="1"/>
    <col min="11786" max="11787" width="0" style="1559" hidden="1" customWidth="1"/>
    <col min="11788" max="11788" width="3.42578125" style="1559" customWidth="1"/>
    <col min="11789" max="12032" width="9.140625" style="1559"/>
    <col min="12033" max="12033" width="9.28515625" style="1559" customWidth="1"/>
    <col min="12034" max="12034" width="8.42578125" style="1559" customWidth="1"/>
    <col min="12035" max="12035" width="9.140625" style="1559" customWidth="1"/>
    <col min="12036" max="12036" width="6.28515625" style="1559" customWidth="1"/>
    <col min="12037" max="12037" width="9.85546875" style="1559" bestFit="1" customWidth="1"/>
    <col min="12038" max="12038" width="4.5703125" style="1559" bestFit="1" customWidth="1"/>
    <col min="12039" max="12039" width="15.42578125" style="1559" bestFit="1" customWidth="1"/>
    <col min="12040" max="12040" width="17" style="1559" customWidth="1"/>
    <col min="12041" max="12041" width="17.85546875" style="1559" customWidth="1"/>
    <col min="12042" max="12043" width="0" style="1559" hidden="1" customWidth="1"/>
    <col min="12044" max="12044" width="3.42578125" style="1559" customWidth="1"/>
    <col min="12045" max="12288" width="9.140625" style="1559"/>
    <col min="12289" max="12289" width="9.28515625" style="1559" customWidth="1"/>
    <col min="12290" max="12290" width="8.42578125" style="1559" customWidth="1"/>
    <col min="12291" max="12291" width="9.140625" style="1559" customWidth="1"/>
    <col min="12292" max="12292" width="6.28515625" style="1559" customWidth="1"/>
    <col min="12293" max="12293" width="9.85546875" style="1559" bestFit="1" customWidth="1"/>
    <col min="12294" max="12294" width="4.5703125" style="1559" bestFit="1" customWidth="1"/>
    <col min="12295" max="12295" width="15.42578125" style="1559" bestFit="1" customWidth="1"/>
    <col min="12296" max="12296" width="17" style="1559" customWidth="1"/>
    <col min="12297" max="12297" width="17.85546875" style="1559" customWidth="1"/>
    <col min="12298" max="12299" width="0" style="1559" hidden="1" customWidth="1"/>
    <col min="12300" max="12300" width="3.42578125" style="1559" customWidth="1"/>
    <col min="12301" max="12544" width="9.140625" style="1559"/>
    <col min="12545" max="12545" width="9.28515625" style="1559" customWidth="1"/>
    <col min="12546" max="12546" width="8.42578125" style="1559" customWidth="1"/>
    <col min="12547" max="12547" width="9.140625" style="1559" customWidth="1"/>
    <col min="12548" max="12548" width="6.28515625" style="1559" customWidth="1"/>
    <col min="12549" max="12549" width="9.85546875" style="1559" bestFit="1" customWidth="1"/>
    <col min="12550" max="12550" width="4.5703125" style="1559" bestFit="1" customWidth="1"/>
    <col min="12551" max="12551" width="15.42578125" style="1559" bestFit="1" customWidth="1"/>
    <col min="12552" max="12552" width="17" style="1559" customWidth="1"/>
    <col min="12553" max="12553" width="17.85546875" style="1559" customWidth="1"/>
    <col min="12554" max="12555" width="0" style="1559" hidden="1" customWidth="1"/>
    <col min="12556" max="12556" width="3.42578125" style="1559" customWidth="1"/>
    <col min="12557" max="12800" width="9.140625" style="1559"/>
    <col min="12801" max="12801" width="9.28515625" style="1559" customWidth="1"/>
    <col min="12802" max="12802" width="8.42578125" style="1559" customWidth="1"/>
    <col min="12803" max="12803" width="9.140625" style="1559" customWidth="1"/>
    <col min="12804" max="12804" width="6.28515625" style="1559" customWidth="1"/>
    <col min="12805" max="12805" width="9.85546875" style="1559" bestFit="1" customWidth="1"/>
    <col min="12806" max="12806" width="4.5703125" style="1559" bestFit="1" customWidth="1"/>
    <col min="12807" max="12807" width="15.42578125" style="1559" bestFit="1" customWidth="1"/>
    <col min="12808" max="12808" width="17" style="1559" customWidth="1"/>
    <col min="12809" max="12809" width="17.85546875" style="1559" customWidth="1"/>
    <col min="12810" max="12811" width="0" style="1559" hidden="1" customWidth="1"/>
    <col min="12812" max="12812" width="3.42578125" style="1559" customWidth="1"/>
    <col min="12813" max="13056" width="9.140625" style="1559"/>
    <col min="13057" max="13057" width="9.28515625" style="1559" customWidth="1"/>
    <col min="13058" max="13058" width="8.42578125" style="1559" customWidth="1"/>
    <col min="13059" max="13059" width="9.140625" style="1559" customWidth="1"/>
    <col min="13060" max="13060" width="6.28515625" style="1559" customWidth="1"/>
    <col min="13061" max="13061" width="9.85546875" style="1559" bestFit="1" customWidth="1"/>
    <col min="13062" max="13062" width="4.5703125" style="1559" bestFit="1" customWidth="1"/>
    <col min="13063" max="13063" width="15.42578125" style="1559" bestFit="1" customWidth="1"/>
    <col min="13064" max="13064" width="17" style="1559" customWidth="1"/>
    <col min="13065" max="13065" width="17.85546875" style="1559" customWidth="1"/>
    <col min="13066" max="13067" width="0" style="1559" hidden="1" customWidth="1"/>
    <col min="13068" max="13068" width="3.42578125" style="1559" customWidth="1"/>
    <col min="13069" max="13312" width="9.140625" style="1559"/>
    <col min="13313" max="13313" width="9.28515625" style="1559" customWidth="1"/>
    <col min="13314" max="13314" width="8.42578125" style="1559" customWidth="1"/>
    <col min="13315" max="13315" width="9.140625" style="1559" customWidth="1"/>
    <col min="13316" max="13316" width="6.28515625" style="1559" customWidth="1"/>
    <col min="13317" max="13317" width="9.85546875" style="1559" bestFit="1" customWidth="1"/>
    <col min="13318" max="13318" width="4.5703125" style="1559" bestFit="1" customWidth="1"/>
    <col min="13319" max="13319" width="15.42578125" style="1559" bestFit="1" customWidth="1"/>
    <col min="13320" max="13320" width="17" style="1559" customWidth="1"/>
    <col min="13321" max="13321" width="17.85546875" style="1559" customWidth="1"/>
    <col min="13322" max="13323" width="0" style="1559" hidden="1" customWidth="1"/>
    <col min="13324" max="13324" width="3.42578125" style="1559" customWidth="1"/>
    <col min="13325" max="13568" width="9.140625" style="1559"/>
    <col min="13569" max="13569" width="9.28515625" style="1559" customWidth="1"/>
    <col min="13570" max="13570" width="8.42578125" style="1559" customWidth="1"/>
    <col min="13571" max="13571" width="9.140625" style="1559" customWidth="1"/>
    <col min="13572" max="13572" width="6.28515625" style="1559" customWidth="1"/>
    <col min="13573" max="13573" width="9.85546875" style="1559" bestFit="1" customWidth="1"/>
    <col min="13574" max="13574" width="4.5703125" style="1559" bestFit="1" customWidth="1"/>
    <col min="13575" max="13575" width="15.42578125" style="1559" bestFit="1" customWidth="1"/>
    <col min="13576" max="13576" width="17" style="1559" customWidth="1"/>
    <col min="13577" max="13577" width="17.85546875" style="1559" customWidth="1"/>
    <col min="13578" max="13579" width="0" style="1559" hidden="1" customWidth="1"/>
    <col min="13580" max="13580" width="3.42578125" style="1559" customWidth="1"/>
    <col min="13581" max="13824" width="9.140625" style="1559"/>
    <col min="13825" max="13825" width="9.28515625" style="1559" customWidth="1"/>
    <col min="13826" max="13826" width="8.42578125" style="1559" customWidth="1"/>
    <col min="13827" max="13827" width="9.140625" style="1559" customWidth="1"/>
    <col min="13828" max="13828" width="6.28515625" style="1559" customWidth="1"/>
    <col min="13829" max="13829" width="9.85546875" style="1559" bestFit="1" customWidth="1"/>
    <col min="13830" max="13830" width="4.5703125" style="1559" bestFit="1" customWidth="1"/>
    <col min="13831" max="13831" width="15.42578125" style="1559" bestFit="1" customWidth="1"/>
    <col min="13832" max="13832" width="17" style="1559" customWidth="1"/>
    <col min="13833" max="13833" width="17.85546875" style="1559" customWidth="1"/>
    <col min="13834" max="13835" width="0" style="1559" hidden="1" customWidth="1"/>
    <col min="13836" max="13836" width="3.42578125" style="1559" customWidth="1"/>
    <col min="13837" max="14080" width="9.140625" style="1559"/>
    <col min="14081" max="14081" width="9.28515625" style="1559" customWidth="1"/>
    <col min="14082" max="14082" width="8.42578125" style="1559" customWidth="1"/>
    <col min="14083" max="14083" width="9.140625" style="1559" customWidth="1"/>
    <col min="14084" max="14084" width="6.28515625" style="1559" customWidth="1"/>
    <col min="14085" max="14085" width="9.85546875" style="1559" bestFit="1" customWidth="1"/>
    <col min="14086" max="14086" width="4.5703125" style="1559" bestFit="1" customWidth="1"/>
    <col min="14087" max="14087" width="15.42578125" style="1559" bestFit="1" customWidth="1"/>
    <col min="14088" max="14088" width="17" style="1559" customWidth="1"/>
    <col min="14089" max="14089" width="17.85546875" style="1559" customWidth="1"/>
    <col min="14090" max="14091" width="0" style="1559" hidden="1" customWidth="1"/>
    <col min="14092" max="14092" width="3.42578125" style="1559" customWidth="1"/>
    <col min="14093" max="14336" width="9.140625" style="1559"/>
    <col min="14337" max="14337" width="9.28515625" style="1559" customWidth="1"/>
    <col min="14338" max="14338" width="8.42578125" style="1559" customWidth="1"/>
    <col min="14339" max="14339" width="9.140625" style="1559" customWidth="1"/>
    <col min="14340" max="14340" width="6.28515625" style="1559" customWidth="1"/>
    <col min="14341" max="14341" width="9.85546875" style="1559" bestFit="1" customWidth="1"/>
    <col min="14342" max="14342" width="4.5703125" style="1559" bestFit="1" customWidth="1"/>
    <col min="14343" max="14343" width="15.42578125" style="1559" bestFit="1" customWidth="1"/>
    <col min="14344" max="14344" width="17" style="1559" customWidth="1"/>
    <col min="14345" max="14345" width="17.85546875" style="1559" customWidth="1"/>
    <col min="14346" max="14347" width="0" style="1559" hidden="1" customWidth="1"/>
    <col min="14348" max="14348" width="3.42578125" style="1559" customWidth="1"/>
    <col min="14349" max="14592" width="9.140625" style="1559"/>
    <col min="14593" max="14593" width="9.28515625" style="1559" customWidth="1"/>
    <col min="14594" max="14594" width="8.42578125" style="1559" customWidth="1"/>
    <col min="14595" max="14595" width="9.140625" style="1559" customWidth="1"/>
    <col min="14596" max="14596" width="6.28515625" style="1559" customWidth="1"/>
    <col min="14597" max="14597" width="9.85546875" style="1559" bestFit="1" customWidth="1"/>
    <col min="14598" max="14598" width="4.5703125" style="1559" bestFit="1" customWidth="1"/>
    <col min="14599" max="14599" width="15.42578125" style="1559" bestFit="1" customWidth="1"/>
    <col min="14600" max="14600" width="17" style="1559" customWidth="1"/>
    <col min="14601" max="14601" width="17.85546875" style="1559" customWidth="1"/>
    <col min="14602" max="14603" width="0" style="1559" hidden="1" customWidth="1"/>
    <col min="14604" max="14604" width="3.42578125" style="1559" customWidth="1"/>
    <col min="14605" max="14848" width="9.140625" style="1559"/>
    <col min="14849" max="14849" width="9.28515625" style="1559" customWidth="1"/>
    <col min="14850" max="14850" width="8.42578125" style="1559" customWidth="1"/>
    <col min="14851" max="14851" width="9.140625" style="1559" customWidth="1"/>
    <col min="14852" max="14852" width="6.28515625" style="1559" customWidth="1"/>
    <col min="14853" max="14853" width="9.85546875" style="1559" bestFit="1" customWidth="1"/>
    <col min="14854" max="14854" width="4.5703125" style="1559" bestFit="1" customWidth="1"/>
    <col min="14855" max="14855" width="15.42578125" style="1559" bestFit="1" customWidth="1"/>
    <col min="14856" max="14856" width="17" style="1559" customWidth="1"/>
    <col min="14857" max="14857" width="17.85546875" style="1559" customWidth="1"/>
    <col min="14858" max="14859" width="0" style="1559" hidden="1" customWidth="1"/>
    <col min="14860" max="14860" width="3.42578125" style="1559" customWidth="1"/>
    <col min="14861" max="15104" width="9.140625" style="1559"/>
    <col min="15105" max="15105" width="9.28515625" style="1559" customWidth="1"/>
    <col min="15106" max="15106" width="8.42578125" style="1559" customWidth="1"/>
    <col min="15107" max="15107" width="9.140625" style="1559" customWidth="1"/>
    <col min="15108" max="15108" width="6.28515625" style="1559" customWidth="1"/>
    <col min="15109" max="15109" width="9.85546875" style="1559" bestFit="1" customWidth="1"/>
    <col min="15110" max="15110" width="4.5703125" style="1559" bestFit="1" customWidth="1"/>
    <col min="15111" max="15111" width="15.42578125" style="1559" bestFit="1" customWidth="1"/>
    <col min="15112" max="15112" width="17" style="1559" customWidth="1"/>
    <col min="15113" max="15113" width="17.85546875" style="1559" customWidth="1"/>
    <col min="15114" max="15115" width="0" style="1559" hidden="1" customWidth="1"/>
    <col min="15116" max="15116" width="3.42578125" style="1559" customWidth="1"/>
    <col min="15117" max="15360" width="9.140625" style="1559"/>
    <col min="15361" max="15361" width="9.28515625" style="1559" customWidth="1"/>
    <col min="15362" max="15362" width="8.42578125" style="1559" customWidth="1"/>
    <col min="15363" max="15363" width="9.140625" style="1559" customWidth="1"/>
    <col min="15364" max="15364" width="6.28515625" style="1559" customWidth="1"/>
    <col min="15365" max="15365" width="9.85546875" style="1559" bestFit="1" customWidth="1"/>
    <col min="15366" max="15366" width="4.5703125" style="1559" bestFit="1" customWidth="1"/>
    <col min="15367" max="15367" width="15.42578125" style="1559" bestFit="1" customWidth="1"/>
    <col min="15368" max="15368" width="17" style="1559" customWidth="1"/>
    <col min="15369" max="15369" width="17.85546875" style="1559" customWidth="1"/>
    <col min="15370" max="15371" width="0" style="1559" hidden="1" customWidth="1"/>
    <col min="15372" max="15372" width="3.42578125" style="1559" customWidth="1"/>
    <col min="15373" max="15616" width="9.140625" style="1559"/>
    <col min="15617" max="15617" width="9.28515625" style="1559" customWidth="1"/>
    <col min="15618" max="15618" width="8.42578125" style="1559" customWidth="1"/>
    <col min="15619" max="15619" width="9.140625" style="1559" customWidth="1"/>
    <col min="15620" max="15620" width="6.28515625" style="1559" customWidth="1"/>
    <col min="15621" max="15621" width="9.85546875" style="1559" bestFit="1" customWidth="1"/>
    <col min="15622" max="15622" width="4.5703125" style="1559" bestFit="1" customWidth="1"/>
    <col min="15623" max="15623" width="15.42578125" style="1559" bestFit="1" customWidth="1"/>
    <col min="15624" max="15624" width="17" style="1559" customWidth="1"/>
    <col min="15625" max="15625" width="17.85546875" style="1559" customWidth="1"/>
    <col min="15626" max="15627" width="0" style="1559" hidden="1" customWidth="1"/>
    <col min="15628" max="15628" width="3.42578125" style="1559" customWidth="1"/>
    <col min="15629" max="15872" width="9.140625" style="1559"/>
    <col min="15873" max="15873" width="9.28515625" style="1559" customWidth="1"/>
    <col min="15874" max="15874" width="8.42578125" style="1559" customWidth="1"/>
    <col min="15875" max="15875" width="9.140625" style="1559" customWidth="1"/>
    <col min="15876" max="15876" width="6.28515625" style="1559" customWidth="1"/>
    <col min="15877" max="15877" width="9.85546875" style="1559" bestFit="1" customWidth="1"/>
    <col min="15878" max="15878" width="4.5703125" style="1559" bestFit="1" customWidth="1"/>
    <col min="15879" max="15879" width="15.42578125" style="1559" bestFit="1" customWidth="1"/>
    <col min="15880" max="15880" width="17" style="1559" customWidth="1"/>
    <col min="15881" max="15881" width="17.85546875" style="1559" customWidth="1"/>
    <col min="15882" max="15883" width="0" style="1559" hidden="1" customWidth="1"/>
    <col min="15884" max="15884" width="3.42578125" style="1559" customWidth="1"/>
    <col min="15885" max="16128" width="9.140625" style="1559"/>
    <col min="16129" max="16129" width="9.28515625" style="1559" customWidth="1"/>
    <col min="16130" max="16130" width="8.42578125" style="1559" customWidth="1"/>
    <col min="16131" max="16131" width="9.140625" style="1559" customWidth="1"/>
    <col min="16132" max="16132" width="6.28515625" style="1559" customWidth="1"/>
    <col min="16133" max="16133" width="9.85546875" style="1559" bestFit="1" customWidth="1"/>
    <col min="16134" max="16134" width="4.5703125" style="1559" bestFit="1" customWidth="1"/>
    <col min="16135" max="16135" width="15.42578125" style="1559" bestFit="1" customWidth="1"/>
    <col min="16136" max="16136" width="17" style="1559" customWidth="1"/>
    <col min="16137" max="16137" width="17.85546875" style="1559" customWidth="1"/>
    <col min="16138" max="16139" width="0" style="1559" hidden="1" customWidth="1"/>
    <col min="16140" max="16140" width="3.42578125" style="1559" customWidth="1"/>
    <col min="16141" max="16384" width="9.140625" style="1559"/>
  </cols>
  <sheetData>
    <row r="1" spans="1:17" ht="12.75" customHeight="1">
      <c r="A1" s="1560" t="s">
        <v>1011</v>
      </c>
      <c r="C1" s="1561"/>
      <c r="D1" s="2402" t="s">
        <v>1012</v>
      </c>
      <c r="E1" s="2403"/>
      <c r="F1" s="2404" t="s">
        <v>1152</v>
      </c>
      <c r="G1" s="2405"/>
      <c r="H1" s="2405"/>
      <c r="I1" s="2406"/>
      <c r="K1" s="1563">
        <v>1</v>
      </c>
      <c r="L1" s="2410"/>
    </row>
    <row r="2" spans="1:17" ht="12.75" customHeight="1">
      <c r="A2" s="1564">
        <f ca="1">TODAY()</f>
        <v>45247</v>
      </c>
      <c r="B2" s="1565"/>
      <c r="C2" s="1566"/>
      <c r="D2" s="2402"/>
      <c r="E2" s="2403"/>
      <c r="F2" s="2407"/>
      <c r="G2" s="2408"/>
      <c r="H2" s="2408"/>
      <c r="I2" s="2409"/>
      <c r="K2" s="1119">
        <v>1</v>
      </c>
      <c r="L2" s="2410"/>
      <c r="M2" s="1121"/>
    </row>
    <row r="3" spans="1:17" ht="12.75" customHeight="1">
      <c r="A3" s="1568"/>
      <c r="B3" s="1566"/>
      <c r="C3" s="1566"/>
      <c r="D3" s="2402" t="s">
        <v>1015</v>
      </c>
      <c r="E3" s="2403"/>
      <c r="F3" s="2411" t="s">
        <v>1151</v>
      </c>
      <c r="G3" s="2412"/>
      <c r="H3" s="2453"/>
      <c r="I3" s="2454"/>
      <c r="K3" s="1569" t="s">
        <v>1017</v>
      </c>
      <c r="L3" s="2410"/>
    </row>
    <row r="4" spans="1:17" ht="12.75" customHeight="1">
      <c r="A4" s="1570">
        <f>+H9+20</f>
        <v>1005</v>
      </c>
      <c r="B4" s="1570">
        <f>+I9</f>
        <v>2277</v>
      </c>
      <c r="C4" s="1568"/>
      <c r="D4" s="2402"/>
      <c r="E4" s="2403"/>
      <c r="F4" s="2413"/>
      <c r="G4" s="2414"/>
      <c r="H4" s="2455"/>
      <c r="I4" s="2456"/>
      <c r="K4" s="1569" t="s">
        <v>1019</v>
      </c>
      <c r="L4" s="2410"/>
    </row>
    <row r="5" spans="1:17" ht="12.75" customHeight="1">
      <c r="A5" s="2415" t="s">
        <v>1079</v>
      </c>
      <c r="B5" s="2416"/>
      <c r="C5" s="2416"/>
      <c r="D5" s="1568"/>
      <c r="E5" s="1568"/>
      <c r="F5" s="1571"/>
      <c r="G5" s="1572"/>
      <c r="H5" s="1572"/>
      <c r="I5" s="1572"/>
      <c r="K5" s="1573"/>
      <c r="L5" s="2410"/>
      <c r="M5" s="1574"/>
    </row>
    <row r="6" spans="1:17" ht="4.5" customHeight="1">
      <c r="A6" s="2417"/>
      <c r="B6" s="2418"/>
      <c r="C6" s="2418"/>
      <c r="D6" s="1575"/>
      <c r="E6" s="1576"/>
      <c r="F6" s="1577"/>
      <c r="G6" s="1577"/>
      <c r="H6" s="1577"/>
      <c r="I6" s="1578"/>
      <c r="K6" s="1573"/>
      <c r="L6" s="2410"/>
    </row>
    <row r="7" spans="1:17" ht="12.75" customHeight="1">
      <c r="A7" s="2417"/>
      <c r="B7" s="2418"/>
      <c r="C7" s="2418"/>
      <c r="D7" s="1568"/>
      <c r="E7" s="1568"/>
      <c r="F7" s="1572"/>
      <c r="G7" s="1579"/>
      <c r="H7" s="1579"/>
      <c r="I7" s="1731" t="s">
        <v>1141</v>
      </c>
      <c r="K7" s="1573"/>
      <c r="L7" s="2410"/>
    </row>
    <row r="8" spans="1:17" ht="18" customHeight="1">
      <c r="A8" s="1783"/>
      <c r="B8" s="1775"/>
      <c r="C8" s="1776"/>
      <c r="D8" s="1581" t="s">
        <v>1140</v>
      </c>
      <c r="E8" s="2452" t="s">
        <v>1153</v>
      </c>
      <c r="F8" s="2422"/>
      <c r="G8" s="1582"/>
      <c r="H8" s="1583" t="s">
        <v>1142</v>
      </c>
      <c r="I8" s="1583" t="s">
        <v>1143</v>
      </c>
      <c r="K8" s="1573"/>
      <c r="L8" s="2410"/>
    </row>
    <row r="9" spans="1:17" ht="33" customHeight="1">
      <c r="A9" s="1782"/>
      <c r="B9" s="1742"/>
      <c r="C9" s="1777"/>
      <c r="D9" s="1781" t="s">
        <v>1025</v>
      </c>
      <c r="E9" s="2421">
        <v>1</v>
      </c>
      <c r="F9" s="2422"/>
      <c r="G9" s="1585" t="s">
        <v>1026</v>
      </c>
      <c r="H9" s="1586">
        <v>985</v>
      </c>
      <c r="I9" s="1586">
        <v>2277</v>
      </c>
      <c r="K9" s="1573"/>
      <c r="L9" s="2410"/>
    </row>
    <row r="10" spans="1:17" ht="14.25" customHeight="1">
      <c r="A10" s="1778"/>
      <c r="B10" s="1779"/>
      <c r="C10" s="1780"/>
      <c r="D10" s="1589"/>
      <c r="E10" s="1590"/>
      <c r="F10" s="1591"/>
      <c r="G10" s="1566" t="s">
        <v>1149</v>
      </c>
      <c r="H10" s="1592"/>
      <c r="I10" s="1566"/>
      <c r="K10" s="1573"/>
      <c r="N10" s="1121"/>
    </row>
    <row r="11" spans="1:17" ht="24" customHeight="1">
      <c r="A11" s="2423" t="str">
        <f>IF(E9&lt;1,"","Foglio lavoro per JOLLY "&amp;H9/E9&amp;"x"&amp;I9)</f>
        <v>Foglio lavoro per JOLLY 985x2277</v>
      </c>
      <c r="B11" s="2424"/>
      <c r="C11" s="2424"/>
      <c r="D11" s="2424"/>
      <c r="E11" s="2424"/>
      <c r="F11" s="2424"/>
      <c r="G11" s="2424"/>
      <c r="H11" s="2424"/>
      <c r="I11" s="2425"/>
      <c r="K11" s="1573"/>
      <c r="N11" s="1121"/>
    </row>
    <row r="12" spans="1:17" ht="23.25" customHeight="1">
      <c r="A12" s="1593" t="s">
        <v>1029</v>
      </c>
      <c r="B12" s="1594"/>
      <c r="C12" s="1594"/>
      <c r="D12" s="1594"/>
      <c r="E12" s="1594"/>
      <c r="F12" s="1594"/>
      <c r="G12" s="1594"/>
      <c r="H12" s="1594"/>
      <c r="I12" s="1594"/>
    </row>
    <row r="13" spans="1:17" ht="19.5" customHeight="1">
      <c r="A13" s="1728"/>
      <c r="B13" s="1740"/>
      <c r="C13" s="2474" t="s">
        <v>1031</v>
      </c>
      <c r="D13" s="2474"/>
      <c r="E13" s="2426">
        <f>+I9-40</f>
        <v>2237</v>
      </c>
      <c r="F13" s="2472" t="s">
        <v>1032</v>
      </c>
      <c r="G13" s="2430" t="s">
        <v>1033</v>
      </c>
      <c r="H13" s="2431"/>
      <c r="I13" s="2434" t="str">
        <f>"*"&amp;E13&amp;"*"</f>
        <v>*2237*</v>
      </c>
    </row>
    <row r="14" spans="1:17" ht="12" customHeight="1">
      <c r="A14" s="1766"/>
      <c r="B14" s="1765"/>
      <c r="C14" s="2475" t="s">
        <v>1074</v>
      </c>
      <c r="D14" s="2476"/>
      <c r="E14" s="2427"/>
      <c r="F14" s="2473"/>
      <c r="G14" s="2432"/>
      <c r="H14" s="2433"/>
      <c r="I14" s="2435"/>
      <c r="Q14" s="1603"/>
    </row>
    <row r="15" spans="1:17" ht="19.5" customHeight="1">
      <c r="A15" s="1772"/>
      <c r="B15" s="1740"/>
      <c r="C15" s="1773" t="s">
        <v>1036</v>
      </c>
      <c r="D15" s="1774"/>
      <c r="E15" s="2426">
        <f>+I9-120</f>
        <v>2157</v>
      </c>
      <c r="F15" s="2472" t="s">
        <v>1032</v>
      </c>
      <c r="G15" s="2438" t="s">
        <v>1075</v>
      </c>
      <c r="H15" s="2439"/>
      <c r="I15" s="2442" t="str">
        <f>+"*"&amp;E15&amp;"*"</f>
        <v>*2157*</v>
      </c>
      <c r="O15" s="1604"/>
    </row>
    <row r="16" spans="1:17" ht="12" customHeight="1">
      <c r="A16" s="1766"/>
      <c r="B16" s="1765"/>
      <c r="C16" s="2475" t="s">
        <v>1039</v>
      </c>
      <c r="D16" s="2476"/>
      <c r="E16" s="2427"/>
      <c r="F16" s="2473"/>
      <c r="G16" s="2440"/>
      <c r="H16" s="2441"/>
      <c r="I16" s="2443"/>
    </row>
    <row r="17" spans="1:18" ht="27" customHeight="1">
      <c r="A17" s="1765"/>
      <c r="B17" s="1771"/>
      <c r="C17" s="2483" t="s">
        <v>1076</v>
      </c>
      <c r="D17" s="2484"/>
      <c r="E17" s="1735">
        <f>+I9-50</f>
        <v>2227</v>
      </c>
      <c r="F17" s="1609" t="s">
        <v>1032</v>
      </c>
      <c r="G17" s="2444" t="s">
        <v>1077</v>
      </c>
      <c r="H17" s="2467"/>
      <c r="I17" s="1737" t="str">
        <f>+"*"&amp;E17&amp;"*"</f>
        <v>*2227*</v>
      </c>
    </row>
    <row r="18" spans="1:18" ht="27.75" customHeight="1">
      <c r="A18" s="1766"/>
      <c r="B18" s="1765"/>
      <c r="C18" s="2481" t="s">
        <v>407</v>
      </c>
      <c r="D18" s="2482"/>
      <c r="E18" s="1733">
        <f>+I9-20</f>
        <v>2257</v>
      </c>
      <c r="F18" s="1609" t="s">
        <v>1032</v>
      </c>
      <c r="G18" s="2444" t="s">
        <v>1078</v>
      </c>
      <c r="H18" s="2445"/>
      <c r="I18" s="1737" t="str">
        <f>+"*"&amp;E18&amp;"*"</f>
        <v>*2257*</v>
      </c>
      <c r="O18" s="1559" t="s">
        <v>1150</v>
      </c>
    </row>
    <row r="19" spans="1:18" ht="27.75" customHeight="1">
      <c r="A19" s="1767"/>
      <c r="B19" s="1768"/>
      <c r="C19" s="2479" t="s">
        <v>623</v>
      </c>
      <c r="D19" s="2480"/>
      <c r="E19" s="1733">
        <f>+I9-25</f>
        <v>2252</v>
      </c>
      <c r="F19" s="1612" t="s">
        <v>1032</v>
      </c>
      <c r="G19" s="2444" t="s">
        <v>1043</v>
      </c>
      <c r="H19" s="2445"/>
      <c r="I19" s="1737" t="str">
        <f>+"*"&amp;E19&amp;"*"</f>
        <v>*2252*</v>
      </c>
    </row>
    <row r="20" spans="1:18" ht="27.75" customHeight="1">
      <c r="A20" s="1767"/>
      <c r="B20" s="1768"/>
      <c r="C20" s="2477" t="s">
        <v>1045</v>
      </c>
      <c r="D20" s="2478"/>
      <c r="E20" s="1733">
        <f>+H9-5</f>
        <v>980</v>
      </c>
      <c r="F20" s="1612" t="s">
        <v>1032</v>
      </c>
      <c r="G20" s="2444" t="s">
        <v>1147</v>
      </c>
      <c r="H20" s="2467"/>
      <c r="I20" s="1737" t="str">
        <f>+"*"&amp;E20&amp;"*"</f>
        <v>*980*</v>
      </c>
      <c r="M20" s="1617"/>
      <c r="R20" s="1121"/>
    </row>
    <row r="21" spans="1:18" s="1725" customFormat="1" ht="27.75" customHeight="1">
      <c r="A21" s="1729"/>
      <c r="C21" s="1769" t="s">
        <v>203</v>
      </c>
      <c r="D21" s="1770"/>
      <c r="E21" s="1734">
        <f>+H9-12</f>
        <v>973</v>
      </c>
      <c r="F21" s="1732" t="s">
        <v>1032</v>
      </c>
      <c r="G21" s="2444" t="s">
        <v>1145</v>
      </c>
      <c r="H21" s="2467"/>
      <c r="I21" s="1737" t="str">
        <f>+"*"&amp;E21&amp;"*"</f>
        <v>*973*</v>
      </c>
      <c r="M21" s="1727"/>
      <c r="R21" s="1726"/>
    </row>
    <row r="22" spans="1:18" ht="17.100000000000001" customHeight="1">
      <c r="A22" s="1618" t="s">
        <v>1047</v>
      </c>
      <c r="B22" s="1619"/>
      <c r="C22" s="1620"/>
      <c r="D22" s="1619"/>
      <c r="E22" s="1621"/>
      <c r="F22" s="1622"/>
      <c r="G22" s="1736"/>
      <c r="H22" s="1736"/>
      <c r="I22" s="1738"/>
    </row>
    <row r="23" spans="1:18" ht="39" customHeight="1">
      <c r="A23" s="1605"/>
      <c r="B23" s="1611" t="s">
        <v>1049</v>
      </c>
      <c r="C23" s="1611"/>
      <c r="D23" s="1607"/>
      <c r="E23" s="1624">
        <f>+I9-40</f>
        <v>2237</v>
      </c>
      <c r="F23" s="1625" t="s">
        <v>1032</v>
      </c>
      <c r="G23" s="2444" t="s">
        <v>1033</v>
      </c>
      <c r="H23" s="2445"/>
      <c r="I23" s="1626" t="str">
        <f>+"*"&amp;E23&amp;"*"</f>
        <v>*2237*</v>
      </c>
    </row>
    <row r="24" spans="1:18" ht="17.100000000000001" customHeight="1">
      <c r="A24" s="1627" t="s">
        <v>1051</v>
      </c>
      <c r="B24" s="1628"/>
      <c r="C24" s="1628"/>
      <c r="D24" s="1629"/>
      <c r="E24" s="1630"/>
      <c r="F24" s="1622"/>
      <c r="G24" s="1628"/>
      <c r="H24" s="1628"/>
      <c r="I24" s="1631"/>
      <c r="J24" s="1567"/>
    </row>
    <row r="25" spans="1:18" ht="23.25" customHeight="1">
      <c r="A25" s="1605"/>
      <c r="B25" s="1606" t="s">
        <v>1052</v>
      </c>
      <c r="C25" s="1632"/>
      <c r="D25" s="1607"/>
      <c r="E25" s="1633">
        <f>+I9*2+600</f>
        <v>5154</v>
      </c>
      <c r="F25" s="1625" t="s">
        <v>1060</v>
      </c>
      <c r="G25" s="2468" t="s">
        <v>1082</v>
      </c>
      <c r="H25" s="2469"/>
      <c r="I25" s="1634"/>
      <c r="J25" s="1567"/>
    </row>
    <row r="26" spans="1:18" s="1639" customFormat="1" ht="17.100000000000001" customHeight="1">
      <c r="A26" s="1618" t="s">
        <v>1055</v>
      </c>
      <c r="B26" s="1619"/>
      <c r="C26" s="1619"/>
      <c r="D26" s="1619"/>
      <c r="E26" s="1635"/>
      <c r="F26" s="1636"/>
      <c r="G26" s="1637"/>
      <c r="H26" s="1637"/>
      <c r="I26" s="1638"/>
      <c r="J26" s="1580"/>
    </row>
    <row r="27" spans="1:18" s="1639" customFormat="1" ht="27" customHeight="1">
      <c r="A27" s="1640"/>
      <c r="B27" s="1613" t="s">
        <v>1056</v>
      </c>
      <c r="C27" s="1641"/>
      <c r="D27" s="1642"/>
      <c r="E27" s="1643">
        <f>+DATI!W11</f>
        <v>36</v>
      </c>
      <c r="F27" s="1644" t="s">
        <v>1057</v>
      </c>
      <c r="G27" s="2470"/>
      <c r="H27" s="2471"/>
      <c r="I27" s="1626" t="str">
        <f>+"*"&amp;E27&amp;"*"</f>
        <v>*36*</v>
      </c>
      <c r="J27" s="1580"/>
    </row>
    <row r="28" spans="1:18" s="1639" customFormat="1" ht="12.75" hidden="1" customHeight="1">
      <c r="A28" s="1645"/>
      <c r="B28" s="1645"/>
      <c r="C28" s="1645"/>
      <c r="D28" s="1645"/>
      <c r="E28" s="1646"/>
      <c r="F28" s="1647"/>
      <c r="G28" s="1645"/>
      <c r="H28" s="1648"/>
      <c r="I28" s="1645"/>
      <c r="J28" s="1580"/>
    </row>
    <row r="29" spans="1:18" s="1639" customFormat="1" ht="21" hidden="1" customHeight="1">
      <c r="A29" s="1645"/>
      <c r="B29" s="1645"/>
      <c r="C29" s="1645"/>
      <c r="D29" s="1645"/>
      <c r="E29" s="1646"/>
      <c r="F29" s="1647"/>
      <c r="G29" s="1649"/>
      <c r="H29" s="1645"/>
      <c r="I29" s="1645"/>
      <c r="J29" s="1580"/>
    </row>
    <row r="30" spans="1:18" s="1639" customFormat="1" ht="20.25" hidden="1" customHeight="1">
      <c r="A30" s="1645"/>
      <c r="B30" s="1645"/>
      <c r="C30" s="1645"/>
      <c r="D30" s="1645"/>
      <c r="E30" s="1646"/>
      <c r="F30" s="1650"/>
      <c r="G30" s="1645"/>
      <c r="H30" s="1645"/>
      <c r="I30" s="1645"/>
      <c r="J30" s="1580"/>
    </row>
    <row r="31" spans="1:18" s="1639" customFormat="1" ht="0.75" hidden="1" customHeight="1">
      <c r="A31" s="1645"/>
      <c r="B31" s="1645"/>
      <c r="C31" s="1645"/>
      <c r="D31" s="1645"/>
      <c r="E31" s="1648"/>
      <c r="F31" s="1647"/>
      <c r="G31" s="1645"/>
      <c r="H31" s="1645"/>
      <c r="I31" s="1645"/>
      <c r="J31" s="1580"/>
      <c r="M31" s="1651"/>
    </row>
    <row r="32" spans="1:18" s="1639" customFormat="1" ht="0.75" hidden="1" customHeight="1">
      <c r="A32" s="1646"/>
      <c r="B32" s="1646"/>
      <c r="C32" s="1645"/>
      <c r="D32" s="1649"/>
      <c r="E32" s="1646"/>
      <c r="F32" s="1647"/>
      <c r="G32" s="1645"/>
      <c r="H32" s="1645"/>
      <c r="I32" s="1645"/>
      <c r="J32" s="1652"/>
    </row>
    <row r="33" spans="1:15" s="1639" customFormat="1" ht="0.75" customHeight="1">
      <c r="A33" s="1646"/>
      <c r="B33" s="1646"/>
      <c r="C33" s="1645"/>
      <c r="D33" s="1649"/>
      <c r="E33" s="1646"/>
      <c r="F33" s="1647"/>
      <c r="G33" s="1645"/>
      <c r="H33" s="1645"/>
      <c r="I33" s="1645"/>
      <c r="J33" s="1652"/>
    </row>
    <row r="34" spans="1:15" s="1639" customFormat="1" ht="26.25" hidden="1" customHeight="1">
      <c r="A34" s="1646"/>
      <c r="B34" s="1646"/>
      <c r="C34" s="1645"/>
      <c r="D34" s="1649"/>
      <c r="E34" s="1646"/>
      <c r="F34" s="1647"/>
      <c r="G34" s="1645"/>
      <c r="H34" s="1645"/>
      <c r="I34" s="1645"/>
      <c r="J34" s="1652"/>
    </row>
    <row r="35" spans="1:15" s="1639" customFormat="1" ht="17.100000000000001" customHeight="1">
      <c r="A35" s="1627" t="s">
        <v>1058</v>
      </c>
      <c r="B35" s="1628"/>
      <c r="C35" s="1628"/>
      <c r="D35" s="1629"/>
      <c r="E35" s="1653"/>
      <c r="F35" s="1654"/>
      <c r="G35" s="1628"/>
      <c r="H35" s="1655"/>
      <c r="I35" s="1656"/>
      <c r="L35" s="1657"/>
    </row>
    <row r="36" spans="1:15" ht="26.25" customHeight="1">
      <c r="A36" s="1658"/>
      <c r="B36" s="1659" t="s">
        <v>1083</v>
      </c>
      <c r="C36" s="1659"/>
      <c r="D36" s="1660"/>
      <c r="E36" s="1661">
        <f>+IF(E9=1,H9,H9/E9)+80</f>
        <v>1065</v>
      </c>
      <c r="F36" s="1662" t="s">
        <v>1060</v>
      </c>
      <c r="G36" s="2436" t="s">
        <v>1148</v>
      </c>
      <c r="H36" s="2437"/>
      <c r="I36" s="1626" t="str">
        <f>+"*"&amp;E36&amp;"*"</f>
        <v>*1065*</v>
      </c>
    </row>
    <row r="37" spans="1:15" ht="17.100000000000001" customHeight="1">
      <c r="A37" s="1618" t="s">
        <v>1061</v>
      </c>
      <c r="B37" s="1619"/>
      <c r="C37" s="1619"/>
      <c r="D37" s="1619"/>
      <c r="E37" s="1635"/>
      <c r="F37" s="1636"/>
      <c r="G37" s="1663"/>
      <c r="H37" s="1664"/>
      <c r="I37" s="1638"/>
    </row>
    <row r="38" spans="1:15" ht="27" customHeight="1">
      <c r="A38" s="1605"/>
      <c r="B38" s="1611" t="s">
        <v>1062</v>
      </c>
      <c r="C38" s="1665"/>
      <c r="D38" s="1607"/>
      <c r="E38" s="1666">
        <f>ROUND(((H9/E9)*71)/1550,0)</f>
        <v>45</v>
      </c>
      <c r="F38" s="1667" t="s">
        <v>159</v>
      </c>
      <c r="G38" s="1668"/>
      <c r="H38" s="2457"/>
      <c r="I38" s="2458"/>
    </row>
    <row r="39" spans="1:15" ht="15.75" hidden="1">
      <c r="A39" s="1669"/>
      <c r="B39" s="1669" t="s">
        <v>1062</v>
      </c>
      <c r="C39" s="1670"/>
      <c r="D39" s="1669"/>
      <c r="E39" s="1671" t="e">
        <f>IF(AND(#REF!&lt;1600,#REF!&lt;2660),3+ROUNDDOWN((#REF!-95+20)/22,0),"X")</f>
        <v>#REF!</v>
      </c>
      <c r="F39" s="1672" t="s">
        <v>159</v>
      </c>
      <c r="G39" s="1673"/>
      <c r="H39" s="1673"/>
      <c r="I39" s="1673"/>
    </row>
    <row r="40" spans="1:15" ht="23.25" customHeight="1">
      <c r="A40" s="1627" t="s">
        <v>1063</v>
      </c>
      <c r="B40" s="1628"/>
      <c r="C40" s="1628"/>
      <c r="D40" s="1628"/>
      <c r="E40" s="1635"/>
      <c r="F40" s="1636"/>
      <c r="G40" s="1674"/>
      <c r="H40" s="1675"/>
      <c r="I40" s="1676"/>
      <c r="N40" s="1121"/>
      <c r="O40" s="1121"/>
    </row>
    <row r="41" spans="1:15" ht="27" customHeight="1">
      <c r="A41" s="1677"/>
      <c r="B41" s="1613" t="s">
        <v>408</v>
      </c>
      <c r="C41" s="1678"/>
      <c r="D41" s="1642"/>
      <c r="E41" s="1679" t="str">
        <f>IF(H9&lt;1000,"1","2")</f>
        <v>1</v>
      </c>
      <c r="F41" s="1680" t="s">
        <v>159</v>
      </c>
      <c r="G41" s="1681" t="s">
        <v>1064</v>
      </c>
      <c r="H41" s="1682">
        <f>+IF(E41=1,(E38-2)/2,(E38-2)/3)</f>
        <v>14.333333333333334</v>
      </c>
      <c r="I41" s="1668" t="s">
        <v>1065</v>
      </c>
    </row>
    <row r="42" spans="1:15" ht="17.100000000000001" customHeight="1">
      <c r="A42" s="1683" t="s">
        <v>1066</v>
      </c>
      <c r="B42" s="1684"/>
      <c r="C42" s="1684"/>
      <c r="D42" s="1684"/>
      <c r="E42" s="1635"/>
      <c r="F42" s="1685"/>
      <c r="G42" s="1686"/>
      <c r="H42" s="1687"/>
      <c r="I42" s="1688"/>
    </row>
    <row r="43" spans="1:15" ht="23.25" customHeight="1">
      <c r="A43" s="2459" t="s">
        <v>1067</v>
      </c>
      <c r="B43" s="2460"/>
      <c r="C43" s="2460"/>
      <c r="D43" s="2460"/>
      <c r="E43" s="2461" t="str">
        <f>F1</f>
        <v>ROSARIO</v>
      </c>
      <c r="F43" s="2462"/>
      <c r="G43" s="2462"/>
      <c r="H43" s="2462"/>
      <c r="I43" s="2463"/>
      <c r="J43" s="1689"/>
      <c r="K43" s="1689"/>
    </row>
    <row r="44" spans="1:15" ht="23.25" customHeight="1">
      <c r="A44" s="2459" t="s">
        <v>1068</v>
      </c>
      <c r="B44" s="2460"/>
      <c r="C44" s="2460"/>
      <c r="D44" s="2460"/>
      <c r="E44" s="2464">
        <f>+H9</f>
        <v>985</v>
      </c>
      <c r="F44" s="2465"/>
      <c r="G44" s="2466"/>
      <c r="H44" s="2464">
        <f>+I9</f>
        <v>2277</v>
      </c>
      <c r="I44" s="2466"/>
      <c r="J44" s="1690"/>
      <c r="K44" s="1691"/>
      <c r="L44" s="1692"/>
    </row>
    <row r="45" spans="1:15" ht="23.25" customHeight="1">
      <c r="A45" s="2446"/>
      <c r="B45" s="2446"/>
      <c r="C45" s="2446"/>
      <c r="D45" s="2447"/>
      <c r="E45" s="1693" t="s">
        <v>1069</v>
      </c>
      <c r="F45" s="1694"/>
      <c r="G45" s="1695"/>
      <c r="H45" s="1695"/>
      <c r="I45" s="1696"/>
      <c r="J45" s="1039"/>
      <c r="K45" s="1697"/>
    </row>
    <row r="46" spans="1:15" ht="23.25" customHeight="1">
      <c r="A46" s="2446"/>
      <c r="B46" s="2446"/>
      <c r="C46" s="2446"/>
      <c r="D46" s="2447"/>
      <c r="E46" s="1698"/>
      <c r="F46" s="1699"/>
      <c r="G46" s="1699"/>
      <c r="H46" s="1699"/>
      <c r="I46" s="1700"/>
      <c r="J46" s="1701"/>
      <c r="K46" s="1702"/>
    </row>
    <row r="47" spans="1:15" ht="23.25" customHeight="1">
      <c r="A47" s="2448"/>
      <c r="B47" s="2448"/>
      <c r="C47" s="2448"/>
      <c r="D47" s="2449"/>
      <c r="E47" s="1703" t="s">
        <v>1070</v>
      </c>
      <c r="F47" s="1704"/>
      <c r="G47" s="1704"/>
      <c r="H47" s="1704"/>
      <c r="I47" s="1705"/>
      <c r="J47" s="2450"/>
      <c r="K47" s="2450"/>
    </row>
    <row r="48" spans="1:15" ht="16.5" customHeight="1">
      <c r="A48" s="1039"/>
      <c r="B48" s="1039"/>
      <c r="C48" s="1039"/>
      <c r="D48" s="1039"/>
      <c r="E48" s="2451"/>
      <c r="F48" s="2451"/>
      <c r="G48" s="2451"/>
      <c r="H48" s="2451"/>
      <c r="I48" s="2451"/>
      <c r="J48" s="1039"/>
      <c r="K48" s="1039"/>
    </row>
    <row r="49" spans="1:12" ht="21">
      <c r="A49" s="1039"/>
      <c r="B49" s="1039"/>
      <c r="C49" s="1039"/>
      <c r="D49" s="1039"/>
      <c r="E49" s="2371"/>
      <c r="F49" s="2371"/>
      <c r="G49" s="2371"/>
      <c r="H49" s="2371"/>
      <c r="I49" s="2371"/>
      <c r="J49" s="1706"/>
      <c r="K49" s="1706"/>
    </row>
    <row r="50" spans="1:12" hidden="1">
      <c r="A50" s="1568"/>
      <c r="B50" s="1568"/>
      <c r="C50" s="1568"/>
      <c r="D50" s="1568"/>
      <c r="E50" s="1707"/>
      <c r="F50" s="1568"/>
      <c r="G50" s="1568"/>
      <c r="H50" s="1568"/>
      <c r="I50" s="1568"/>
    </row>
    <row r="51" spans="1:12" ht="23.25" customHeight="1">
      <c r="J51" s="1121"/>
      <c r="K51" s="1121"/>
      <c r="L51" s="1121"/>
    </row>
    <row r="52" spans="1:12" ht="15.75" customHeight="1">
      <c r="A52" s="1708"/>
      <c r="B52" s="1709"/>
      <c r="C52" s="1709"/>
      <c r="D52" s="1709"/>
      <c r="E52" s="1710"/>
      <c r="F52" s="1709"/>
      <c r="G52" s="1709"/>
      <c r="H52" s="1709"/>
      <c r="I52" s="1709"/>
      <c r="J52" s="1121"/>
      <c r="K52" s="1121"/>
      <c r="L52" s="1121"/>
    </row>
    <row r="53" spans="1:12" ht="23.25" customHeight="1">
      <c r="A53" s="1708"/>
      <c r="B53" s="1709"/>
      <c r="C53" s="1709"/>
      <c r="D53" s="1709"/>
      <c r="E53" s="1710"/>
      <c r="F53" s="1709"/>
      <c r="G53" s="1711"/>
      <c r="H53" s="1711"/>
      <c r="I53" s="1647"/>
      <c r="J53" s="1121"/>
      <c r="K53" s="1121"/>
      <c r="L53" s="1121"/>
    </row>
    <row r="54" spans="1:12" ht="23.25" customHeight="1">
      <c r="A54" s="1709"/>
      <c r="B54" s="1709"/>
      <c r="C54" s="1711"/>
      <c r="D54" s="1709"/>
      <c r="E54" s="1712"/>
      <c r="F54" s="1709"/>
      <c r="G54" s="1709"/>
      <c r="H54" s="1566"/>
      <c r="I54" s="1566"/>
      <c r="J54" s="1121"/>
      <c r="K54" s="1121"/>
      <c r="L54" s="1121"/>
    </row>
    <row r="55" spans="1:12">
      <c r="A55" s="1566"/>
      <c r="B55" s="1566"/>
      <c r="C55" s="1566"/>
      <c r="D55" s="1566"/>
      <c r="E55" s="1566"/>
      <c r="F55" s="1566"/>
      <c r="G55" s="1566"/>
      <c r="H55" s="1566"/>
      <c r="I55" s="1566"/>
      <c r="J55" s="1121"/>
      <c r="K55" s="1121"/>
      <c r="L55" s="1121"/>
    </row>
    <row r="56" spans="1:12">
      <c r="A56" s="1566"/>
      <c r="B56" s="1566"/>
      <c r="C56" s="1566"/>
      <c r="D56" s="1566"/>
      <c r="E56" s="1566"/>
      <c r="F56" s="1566"/>
      <c r="G56" s="1566"/>
      <c r="H56" s="1566"/>
      <c r="I56" s="1566"/>
      <c r="J56" s="1121"/>
      <c r="K56" s="1121"/>
      <c r="L56" s="1121"/>
    </row>
    <row r="57" spans="1:12">
      <c r="A57" s="1566"/>
      <c r="B57" s="1566"/>
      <c r="C57" s="1566"/>
      <c r="D57" s="1566"/>
      <c r="E57" s="1566"/>
      <c r="F57" s="1566"/>
      <c r="G57" s="1713"/>
      <c r="H57" s="1713"/>
      <c r="I57" s="1714"/>
      <c r="J57" s="1121"/>
      <c r="K57" s="1121"/>
      <c r="L57" s="1121"/>
    </row>
    <row r="58" spans="1:12">
      <c r="A58" s="1566"/>
      <c r="B58" s="1566"/>
      <c r="C58" s="1566"/>
      <c r="D58" s="1566"/>
      <c r="E58" s="1566"/>
      <c r="F58" s="1566"/>
      <c r="G58" s="1566"/>
      <c r="H58" s="1566"/>
      <c r="I58" s="1566"/>
      <c r="J58" s="1121"/>
      <c r="K58" s="1121"/>
      <c r="L58" s="1121"/>
    </row>
    <row r="59" spans="1:12">
      <c r="A59" s="1568"/>
      <c r="B59" s="1568"/>
      <c r="C59" s="1568"/>
      <c r="D59" s="1568"/>
      <c r="E59" s="1568"/>
      <c r="F59" s="1568"/>
      <c r="G59" s="1568"/>
      <c r="H59" s="1568"/>
      <c r="I59" s="1568"/>
    </row>
    <row r="60" spans="1:12">
      <c r="A60" s="1568"/>
      <c r="B60" s="1568"/>
      <c r="C60" s="1568"/>
      <c r="D60" s="1743"/>
      <c r="E60" s="1568"/>
      <c r="F60" s="1568"/>
      <c r="G60" s="1568"/>
      <c r="H60" s="1568"/>
      <c r="I60" s="1568"/>
    </row>
    <row r="61" spans="1:12">
      <c r="A61" s="1562" t="s">
        <v>1013</v>
      </c>
      <c r="B61" s="1568"/>
      <c r="C61" s="1568"/>
      <c r="D61" s="1743"/>
      <c r="E61" s="1568"/>
      <c r="F61" s="1568"/>
      <c r="G61" s="1568"/>
      <c r="H61" s="1568"/>
      <c r="I61" s="1568"/>
    </row>
    <row r="62" spans="1:12">
      <c r="A62" s="1567" t="s">
        <v>1014</v>
      </c>
      <c r="D62" s="1743"/>
    </row>
    <row r="63" spans="1:12">
      <c r="A63" s="1567" t="s">
        <v>1016</v>
      </c>
      <c r="D63" s="1743"/>
    </row>
    <row r="64" spans="1:12">
      <c r="A64" s="1567" t="s">
        <v>1018</v>
      </c>
      <c r="D64" s="1743"/>
    </row>
    <row r="65" spans="1:4">
      <c r="A65" s="1567" t="s">
        <v>1021</v>
      </c>
      <c r="D65" s="1743"/>
    </row>
    <row r="66" spans="1:4">
      <c r="A66" s="1567" t="s">
        <v>1022</v>
      </c>
      <c r="D66" s="1743"/>
    </row>
    <row r="67" spans="1:4">
      <c r="A67" s="1580" t="s">
        <v>1023</v>
      </c>
      <c r="D67" s="1743"/>
    </row>
    <row r="68" spans="1:4">
      <c r="A68" s="1580" t="s">
        <v>1024</v>
      </c>
      <c r="D68" s="1743"/>
    </row>
    <row r="69" spans="1:4">
      <c r="A69" s="1580" t="s">
        <v>1027</v>
      </c>
      <c r="D69" s="1743"/>
    </row>
    <row r="70" spans="1:4">
      <c r="A70" s="1580" t="s">
        <v>1028</v>
      </c>
      <c r="D70" s="1743"/>
    </row>
    <row r="71" spans="1:4">
      <c r="A71" s="1580" t="s">
        <v>1030</v>
      </c>
      <c r="D71" s="1743"/>
    </row>
    <row r="72" spans="1:4">
      <c r="A72" s="1580" t="s">
        <v>1034</v>
      </c>
      <c r="D72" s="1743"/>
    </row>
    <row r="73" spans="1:4">
      <c r="A73" s="1580" t="s">
        <v>1035</v>
      </c>
      <c r="D73" s="1743"/>
    </row>
    <row r="74" spans="1:4">
      <c r="A74" s="1580" t="s">
        <v>1038</v>
      </c>
      <c r="D74" s="1743"/>
    </row>
    <row r="75" spans="1:4">
      <c r="A75" s="1580" t="s">
        <v>1040</v>
      </c>
      <c r="D75" s="1743"/>
    </row>
    <row r="76" spans="1:4">
      <c r="A76" s="1580" t="s">
        <v>1042</v>
      </c>
      <c r="D76" s="1743"/>
    </row>
    <row r="77" spans="1:4">
      <c r="A77" s="1580" t="s">
        <v>1044</v>
      </c>
      <c r="D77" s="1743"/>
    </row>
    <row r="78" spans="1:4">
      <c r="A78" s="1567" t="s">
        <v>1046</v>
      </c>
      <c r="D78" s="1743"/>
    </row>
    <row r="79" spans="1:4">
      <c r="A79" s="1567" t="s">
        <v>1048</v>
      </c>
      <c r="D79" s="1743"/>
    </row>
    <row r="80" spans="1:4">
      <c r="A80" s="1567" t="s">
        <v>1050</v>
      </c>
      <c r="D80" s="1743"/>
    </row>
    <row r="81" spans="4:4">
      <c r="D81" s="1743"/>
    </row>
    <row r="82" spans="4:4">
      <c r="D82" s="1743"/>
    </row>
    <row r="83" spans="4:4">
      <c r="D83" s="1743"/>
    </row>
    <row r="84" spans="4:4">
      <c r="D84" s="1743"/>
    </row>
    <row r="85" spans="4:4">
      <c r="D85" s="1743"/>
    </row>
    <row r="86" spans="4:4">
      <c r="D86" s="1743"/>
    </row>
    <row r="87" spans="4:4">
      <c r="D87" s="1743"/>
    </row>
    <row r="88" spans="4:4">
      <c r="D88" s="1743"/>
    </row>
    <row r="89" spans="4:4">
      <c r="D89" s="1743"/>
    </row>
    <row r="90" spans="4:4">
      <c r="D90" s="1743"/>
    </row>
  </sheetData>
  <mergeCells count="43">
    <mergeCell ref="C16:D16"/>
    <mergeCell ref="C20:D20"/>
    <mergeCell ref="C19:D19"/>
    <mergeCell ref="C18:D18"/>
    <mergeCell ref="C17:D17"/>
    <mergeCell ref="A45:D47"/>
    <mergeCell ref="J47:K47"/>
    <mergeCell ref="E48:I49"/>
    <mergeCell ref="I15:I16"/>
    <mergeCell ref="F15:F16"/>
    <mergeCell ref="E15:E16"/>
    <mergeCell ref="H38:I38"/>
    <mergeCell ref="A43:D43"/>
    <mergeCell ref="E43:I43"/>
    <mergeCell ref="A44:D44"/>
    <mergeCell ref="E44:G44"/>
    <mergeCell ref="H44:I44"/>
    <mergeCell ref="G23:H23"/>
    <mergeCell ref="G25:H25"/>
    <mergeCell ref="G27:H27"/>
    <mergeCell ref="G36:H36"/>
    <mergeCell ref="G21:H21"/>
    <mergeCell ref="G20:H20"/>
    <mergeCell ref="G19:H19"/>
    <mergeCell ref="G15:H16"/>
    <mergeCell ref="G18:H18"/>
    <mergeCell ref="G17:H17"/>
    <mergeCell ref="A5:C7"/>
    <mergeCell ref="E8:F8"/>
    <mergeCell ref="E9:F9"/>
    <mergeCell ref="A11:I11"/>
    <mergeCell ref="F13:F14"/>
    <mergeCell ref="I13:I14"/>
    <mergeCell ref="E13:E14"/>
    <mergeCell ref="G13:H14"/>
    <mergeCell ref="C13:D13"/>
    <mergeCell ref="C14:D14"/>
    <mergeCell ref="D1:E2"/>
    <mergeCell ref="F1:I2"/>
    <mergeCell ref="L1:L9"/>
    <mergeCell ref="D3:E4"/>
    <mergeCell ref="F3:G4"/>
    <mergeCell ref="H3:I4"/>
  </mergeCells>
  <pageMargins left="0.19685039370078741" right="0.19685039370078741" top="0.35433070866141736" bottom="0.23622047244094491" header="0.27559055118110237" footer="0.19685039370078741"/>
  <pageSetup paperSize="9" orientation="portrait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9">
    <tabColor theme="9"/>
    <pageSetUpPr fitToPage="1"/>
  </sheetPr>
  <dimension ref="A1:AA74"/>
  <sheetViews>
    <sheetView zoomScale="25" zoomScaleNormal="25" workbookViewId="0"/>
  </sheetViews>
  <sheetFormatPr defaultColWidth="10.28515625" defaultRowHeight="15"/>
  <cols>
    <col min="1" max="1" width="34.85546875" style="97" customWidth="1"/>
    <col min="2" max="2" width="4.5703125" style="97" customWidth="1"/>
    <col min="3" max="3" width="32" style="97" customWidth="1"/>
    <col min="4" max="4" width="13.28515625" style="97" customWidth="1"/>
    <col min="5" max="5" width="21.140625" style="97" customWidth="1"/>
    <col min="6" max="6" width="15" style="97" customWidth="1"/>
    <col min="7" max="7" width="17.85546875" style="97" customWidth="1"/>
    <col min="8" max="9" width="9.28515625" style="97" customWidth="1"/>
    <col min="10" max="10" width="6.42578125" style="97" customWidth="1"/>
    <col min="11" max="11" width="9.85546875" style="97" customWidth="1"/>
    <col min="12" max="12" width="4.7109375" style="97" customWidth="1"/>
    <col min="13" max="13" width="3.7109375" style="97" customWidth="1"/>
    <col min="14" max="14" width="17.85546875" style="97" customWidth="1"/>
    <col min="15" max="15" width="13.85546875" style="97" customWidth="1"/>
    <col min="16" max="16" width="16.28515625" style="97" customWidth="1"/>
    <col min="17" max="17" width="9.7109375" style="97" customWidth="1"/>
    <col min="18" max="18" width="11.140625" style="97" customWidth="1"/>
    <col min="19" max="19" width="9.5703125" style="97" customWidth="1"/>
    <col min="20" max="20" width="19" style="97" customWidth="1"/>
    <col min="21" max="21" width="11.42578125" style="97" customWidth="1"/>
    <col min="22" max="22" width="6.5703125" style="97" customWidth="1"/>
    <col min="23" max="16384" width="10.28515625" style="97"/>
  </cols>
  <sheetData>
    <row r="1" spans="1:22" ht="18">
      <c r="A1" s="6"/>
    </row>
    <row r="2" spans="1:22" ht="33.75">
      <c r="A2" s="6"/>
      <c r="B2" s="2240" t="s">
        <v>481</v>
      </c>
      <c r="C2" s="2241"/>
      <c r="D2" s="2241"/>
      <c r="E2" s="2241"/>
      <c r="F2" s="2241"/>
      <c r="G2" s="2241"/>
      <c r="H2" s="2241"/>
      <c r="I2" s="2241"/>
      <c r="J2" s="2241"/>
      <c r="K2" s="2241"/>
      <c r="L2" s="2241"/>
      <c r="M2" s="2241"/>
      <c r="N2" s="2241"/>
      <c r="O2" s="2241"/>
      <c r="P2" s="2241"/>
      <c r="Q2" s="2241"/>
      <c r="R2" s="2241"/>
      <c r="S2" s="2241"/>
      <c r="T2" s="2241"/>
      <c r="U2" s="2241"/>
      <c r="V2" s="2241"/>
    </row>
    <row r="3" spans="1:22" ht="18.75" thickBot="1">
      <c r="A3" s="6"/>
    </row>
    <row r="4" spans="1:22" ht="44.25" customHeight="1">
      <c r="A4" s="6"/>
      <c r="B4" s="220"/>
      <c r="C4" s="219" t="s">
        <v>40</v>
      </c>
      <c r="D4" s="215"/>
      <c r="E4" s="2197" t="s">
        <v>41</v>
      </c>
      <c r="F4" s="2197"/>
      <c r="G4" s="2197"/>
      <c r="H4" s="2197"/>
      <c r="I4" s="2197"/>
      <c r="J4" s="2197"/>
      <c r="K4" s="2197"/>
      <c r="L4" s="2197"/>
      <c r="M4" s="2197"/>
      <c r="N4" s="2197"/>
      <c r="O4" s="2197"/>
      <c r="P4" s="216"/>
      <c r="Q4" s="215"/>
      <c r="R4" s="215"/>
      <c r="S4" s="215"/>
      <c r="T4" s="215"/>
      <c r="U4" s="215"/>
      <c r="V4" s="217"/>
    </row>
    <row r="5" spans="1:22" ht="18">
      <c r="A5" s="6"/>
      <c r="B5" s="98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100"/>
    </row>
    <row r="6" spans="1:22" ht="30.75">
      <c r="A6" s="6"/>
      <c r="B6" s="98"/>
      <c r="C6" s="14" t="s">
        <v>42</v>
      </c>
      <c r="D6" s="2198">
        <f>+DATI!C6</f>
        <v>0</v>
      </c>
      <c r="E6" s="2198"/>
      <c r="F6" s="2198"/>
      <c r="G6" s="2198"/>
      <c r="H6" s="101"/>
      <c r="I6" s="101"/>
      <c r="J6" s="101"/>
      <c r="K6" s="102"/>
      <c r="L6" s="103"/>
      <c r="M6" s="104"/>
      <c r="N6" s="2242" t="s">
        <v>43</v>
      </c>
      <c r="O6" s="2243"/>
      <c r="P6" s="14" t="s">
        <v>4</v>
      </c>
      <c r="Q6" s="19"/>
      <c r="R6" s="2213" t="s">
        <v>5</v>
      </c>
      <c r="S6" s="2229"/>
      <c r="T6" s="99"/>
      <c r="U6" s="99"/>
      <c r="V6" s="100"/>
    </row>
    <row r="7" spans="1:22" ht="29.25" customHeight="1">
      <c r="A7" s="6"/>
      <c r="B7" s="98"/>
      <c r="C7" s="99"/>
      <c r="D7" s="99" t="s">
        <v>37</v>
      </c>
      <c r="E7" s="99"/>
      <c r="F7" s="99"/>
      <c r="G7" s="99"/>
      <c r="H7" s="99"/>
      <c r="I7" s="99"/>
      <c r="J7" s="99"/>
      <c r="K7" s="99"/>
      <c r="L7" s="103"/>
      <c r="M7" s="104"/>
      <c r="N7" s="2244"/>
      <c r="O7" s="2245"/>
      <c r="P7" s="23">
        <f>+DATI!C7</f>
        <v>1400</v>
      </c>
      <c r="Q7" s="24" t="s">
        <v>44</v>
      </c>
      <c r="R7" s="2246">
        <f>+DATI!C8</f>
        <v>2200</v>
      </c>
      <c r="S7" s="2247"/>
      <c r="T7" s="99"/>
      <c r="U7" s="99"/>
      <c r="V7" s="100"/>
    </row>
    <row r="8" spans="1:22" ht="30.75">
      <c r="A8" s="6"/>
      <c r="B8" s="98"/>
      <c r="C8" s="14" t="s">
        <v>45</v>
      </c>
      <c r="D8" s="105">
        <f>+DATI!C4</f>
        <v>0</v>
      </c>
      <c r="E8" s="105"/>
      <c r="F8" s="105"/>
      <c r="G8" s="105"/>
      <c r="H8" s="101"/>
      <c r="I8" s="101"/>
      <c r="J8" s="101"/>
      <c r="K8" s="102"/>
      <c r="L8" s="103"/>
      <c r="M8" s="104"/>
      <c r="N8" s="99"/>
      <c r="O8" s="99"/>
      <c r="P8" s="99"/>
      <c r="Q8" s="99"/>
      <c r="R8" s="106"/>
      <c r="S8" s="99"/>
      <c r="T8" s="99"/>
      <c r="U8" s="99"/>
      <c r="V8" s="100"/>
    </row>
    <row r="9" spans="1:22" ht="30.75">
      <c r="A9" s="6"/>
      <c r="B9" s="98"/>
      <c r="C9" s="99"/>
      <c r="D9" s="99"/>
      <c r="E9" s="99"/>
      <c r="F9" s="99"/>
      <c r="G9" s="99"/>
      <c r="H9" s="99"/>
      <c r="I9" s="99"/>
      <c r="J9" s="99"/>
      <c r="K9" s="99"/>
      <c r="L9" s="103"/>
      <c r="M9" s="104"/>
      <c r="N9" s="2212" t="s">
        <v>46</v>
      </c>
      <c r="O9" s="2229"/>
      <c r="P9" s="2238" t="str">
        <f>+DATI!C10</f>
        <v>06.NERO</v>
      </c>
      <c r="Q9" s="2203"/>
      <c r="R9" s="2203"/>
      <c r="S9" s="2204"/>
      <c r="T9" s="99"/>
      <c r="U9" s="99"/>
      <c r="V9" s="100"/>
    </row>
    <row r="10" spans="1:22" ht="30.75">
      <c r="A10" s="6"/>
      <c r="B10" s="98"/>
      <c r="C10" s="14" t="s">
        <v>47</v>
      </c>
      <c r="D10" s="2202">
        <f>+DATI!C5</f>
        <v>42370</v>
      </c>
      <c r="E10" s="2203"/>
      <c r="F10" s="2203"/>
      <c r="G10" s="2203"/>
      <c r="H10" s="101"/>
      <c r="I10" s="101"/>
      <c r="J10" s="101"/>
      <c r="K10" s="102"/>
      <c r="L10" s="103"/>
      <c r="M10" s="104"/>
      <c r="N10" s="107"/>
      <c r="O10" s="99"/>
      <c r="P10" s="99"/>
      <c r="Q10" s="99"/>
      <c r="R10" s="99"/>
      <c r="S10" s="99"/>
      <c r="T10" s="99"/>
      <c r="U10" s="99"/>
      <c r="V10" s="100"/>
    </row>
    <row r="11" spans="1:22" ht="30.75">
      <c r="A11" s="6"/>
      <c r="B11" s="98"/>
      <c r="C11" s="99"/>
      <c r="D11" s="99"/>
      <c r="E11" s="99"/>
      <c r="F11" s="99"/>
      <c r="G11" s="99"/>
      <c r="H11" s="99"/>
      <c r="I11" s="99"/>
      <c r="J11" s="99"/>
      <c r="K11" s="99"/>
      <c r="L11" s="103"/>
      <c r="M11" s="104"/>
      <c r="N11" s="2232" t="s">
        <v>48</v>
      </c>
      <c r="O11" s="2239"/>
      <c r="P11" s="33" t="str">
        <f>+DATI!C11</f>
        <v>1</v>
      </c>
      <c r="Q11" s="99"/>
      <c r="R11" s="99"/>
      <c r="S11" s="99"/>
      <c r="T11" s="99"/>
      <c r="U11" s="99"/>
      <c r="V11" s="100"/>
    </row>
    <row r="12" spans="1:22" ht="30.75">
      <c r="A12" s="6"/>
      <c r="B12" s="98"/>
      <c r="C12" s="14" t="s">
        <v>49</v>
      </c>
      <c r="D12" s="34">
        <f>IF((P7*R7/1000000)&lt;=2,2*P11,IF((P7*R7/1000000)&gt;2,(P7*R7/1000000)*P11))</f>
        <v>3.08</v>
      </c>
      <c r="E12" s="99"/>
      <c r="F12" s="99"/>
      <c r="G12" s="99"/>
      <c r="H12" s="99"/>
      <c r="I12" s="99"/>
      <c r="J12" s="99"/>
      <c r="K12" s="99"/>
      <c r="L12" s="103"/>
      <c r="M12" s="104"/>
      <c r="N12" s="99"/>
      <c r="O12" s="99"/>
      <c r="P12" s="109" t="s">
        <v>37</v>
      </c>
      <c r="Q12" s="99"/>
      <c r="R12" s="99"/>
      <c r="S12" s="99"/>
      <c r="T12" s="110" t="s">
        <v>37</v>
      </c>
      <c r="U12" s="110"/>
      <c r="V12" s="100"/>
    </row>
    <row r="13" spans="1:22" ht="18.75" thickBot="1">
      <c r="A13" s="6"/>
      <c r="B13" s="98"/>
      <c r="C13" s="107"/>
      <c r="D13" s="99"/>
      <c r="E13" s="111"/>
      <c r="F13" s="112"/>
      <c r="G13" s="111"/>
      <c r="H13" s="113"/>
      <c r="I13" s="113"/>
      <c r="J13" s="113"/>
      <c r="K13" s="99"/>
      <c r="L13" s="99"/>
      <c r="M13" s="99"/>
      <c r="N13" s="99"/>
      <c r="O13" s="99"/>
      <c r="P13" s="99"/>
      <c r="Q13" s="99"/>
      <c r="R13" s="114"/>
      <c r="S13" s="99"/>
      <c r="T13" s="115" t="s">
        <v>37</v>
      </c>
      <c r="U13" s="115"/>
      <c r="V13" s="100"/>
    </row>
    <row r="14" spans="1:22" ht="44.25" customHeight="1">
      <c r="B14" s="220"/>
      <c r="C14" s="219" t="s">
        <v>50</v>
      </c>
      <c r="D14" s="2248" t="s">
        <v>51</v>
      </c>
      <c r="E14" s="2248"/>
      <c r="F14" s="2248"/>
      <c r="G14" s="2248"/>
      <c r="H14" s="2248"/>
      <c r="I14" s="2248"/>
      <c r="J14" s="2248"/>
      <c r="K14" s="2248"/>
      <c r="L14" s="2249"/>
      <c r="M14" s="220"/>
      <c r="N14" s="219" t="s">
        <v>52</v>
      </c>
      <c r="O14" s="2250" t="s">
        <v>79</v>
      </c>
      <c r="P14" s="2250"/>
      <c r="Q14" s="2250"/>
      <c r="R14" s="2250"/>
      <c r="S14" s="2250"/>
      <c r="T14" s="2250"/>
      <c r="U14" s="2250"/>
      <c r="V14" s="2251"/>
    </row>
    <row r="15" spans="1:22" ht="31.5" customHeight="1">
      <c r="B15" s="116"/>
      <c r="C15" s="99"/>
      <c r="D15" s="99"/>
      <c r="E15" s="99"/>
      <c r="F15" s="2298" t="e">
        <f>CONCATENATE("*",DATI!$L$14,"0",D16,REPT("0",4-LEN(F22)),F22,DATI!L13,"*")</f>
        <v>#VALUE!</v>
      </c>
      <c r="G15" s="2298"/>
      <c r="H15" s="2298"/>
      <c r="I15" s="2298"/>
      <c r="J15" s="2298"/>
      <c r="K15" s="133"/>
      <c r="L15" s="118"/>
      <c r="M15" s="98"/>
      <c r="N15" s="99"/>
      <c r="O15" s="99" t="s">
        <v>37</v>
      </c>
      <c r="P15" s="119" t="s">
        <v>37</v>
      </c>
      <c r="Q15" s="99"/>
      <c r="R15" s="99"/>
      <c r="S15" s="99"/>
      <c r="T15" s="120"/>
      <c r="U15" s="120"/>
      <c r="V15" s="100"/>
    </row>
    <row r="16" spans="1:22" ht="30.75" customHeight="1">
      <c r="B16" s="121"/>
      <c r="C16" s="122" t="s">
        <v>80</v>
      </c>
      <c r="D16" s="123">
        <f>2+ROUNDUP((R7-60)*0.0471,0)</f>
        <v>103</v>
      </c>
      <c r="E16" s="99"/>
      <c r="F16" s="2298"/>
      <c r="G16" s="2298"/>
      <c r="H16" s="2298"/>
      <c r="I16" s="2298"/>
      <c r="J16" s="2298"/>
      <c r="K16" s="133"/>
      <c r="L16" s="124"/>
      <c r="M16" s="121"/>
      <c r="N16" s="125"/>
      <c r="O16" s="125"/>
      <c r="P16" s="2232" t="s">
        <v>54</v>
      </c>
      <c r="Q16" s="2239"/>
      <c r="R16" s="126">
        <f>IF(F22&lt;=574,2,IF(F22&lt;=1428,4,IF(F22&lt;=2328,6,8)))</f>
        <v>4</v>
      </c>
      <c r="S16" s="120"/>
      <c r="T16" s="115"/>
      <c r="U16" s="115"/>
      <c r="V16" s="127"/>
    </row>
    <row r="17" spans="2:27" s="129" customFormat="1" ht="15" customHeight="1">
      <c r="B17" s="98"/>
      <c r="C17" s="99"/>
      <c r="D17" s="99"/>
      <c r="E17" s="99"/>
      <c r="F17" s="2298"/>
      <c r="G17" s="2298"/>
      <c r="H17" s="2298"/>
      <c r="I17" s="2298"/>
      <c r="J17" s="2298"/>
      <c r="K17" s="133"/>
      <c r="L17" s="99"/>
      <c r="M17" s="98"/>
      <c r="N17" s="99"/>
      <c r="O17" s="99"/>
      <c r="P17" s="99"/>
      <c r="Q17" s="128"/>
      <c r="R17" s="99"/>
      <c r="S17" s="99"/>
      <c r="T17" s="99"/>
      <c r="U17" s="99"/>
      <c r="V17" s="100"/>
      <c r="X17" s="97"/>
      <c r="Y17" s="97"/>
      <c r="Z17" s="97"/>
      <c r="AA17" s="97"/>
    </row>
    <row r="18" spans="2:27" ht="49.5" customHeight="1">
      <c r="B18" s="98"/>
      <c r="C18" s="99"/>
      <c r="D18" s="109"/>
      <c r="E18" s="109"/>
      <c r="F18" s="2298"/>
      <c r="G18" s="2298"/>
      <c r="H18" s="2298"/>
      <c r="I18" s="2298"/>
      <c r="J18" s="2298"/>
      <c r="K18" s="133"/>
      <c r="L18" s="99"/>
      <c r="M18" s="98"/>
      <c r="N18" s="99"/>
      <c r="O18" s="99"/>
      <c r="P18" s="99"/>
      <c r="Q18" s="130"/>
      <c r="R18" s="99"/>
      <c r="S18" s="99"/>
      <c r="T18" s="99"/>
      <c r="U18" s="99"/>
      <c r="V18" s="100"/>
    </row>
    <row r="19" spans="2:27" ht="15" customHeight="1">
      <c r="B19" s="98"/>
      <c r="C19" s="99"/>
      <c r="D19" s="109"/>
      <c r="E19" s="109"/>
      <c r="F19" s="2298"/>
      <c r="G19" s="2298"/>
      <c r="H19" s="2298"/>
      <c r="I19" s="2298"/>
      <c r="J19" s="2298"/>
      <c r="K19" s="133"/>
      <c r="L19" s="99"/>
      <c r="M19" s="98"/>
      <c r="N19" s="99"/>
      <c r="O19" s="99"/>
      <c r="P19" s="131" t="s">
        <v>37</v>
      </c>
      <c r="Q19" s="99"/>
      <c r="R19" s="132" t="s">
        <v>37</v>
      </c>
      <c r="S19" s="99"/>
      <c r="T19" s="99"/>
      <c r="U19" s="99"/>
      <c r="V19" s="100"/>
    </row>
    <row r="20" spans="2:27">
      <c r="B20" s="98"/>
      <c r="C20" s="99"/>
      <c r="D20" s="109"/>
      <c r="E20" s="109"/>
      <c r="F20" s="2298"/>
      <c r="G20" s="2298"/>
      <c r="H20" s="2298"/>
      <c r="I20" s="2298"/>
      <c r="J20" s="2298"/>
      <c r="K20" s="133"/>
      <c r="L20" s="99"/>
      <c r="M20" s="134"/>
      <c r="N20" s="99"/>
      <c r="O20" s="99"/>
      <c r="P20" s="99"/>
      <c r="Q20" s="135"/>
      <c r="R20" s="135"/>
      <c r="S20" s="99"/>
      <c r="T20" s="107"/>
      <c r="U20" s="107"/>
      <c r="V20" s="100"/>
    </row>
    <row r="21" spans="2:27">
      <c r="B21" s="98"/>
      <c r="C21" s="99"/>
      <c r="D21" s="109"/>
      <c r="E21" s="99"/>
      <c r="F21" s="119" t="s">
        <v>37</v>
      </c>
      <c r="G21" s="99"/>
      <c r="H21" s="136"/>
      <c r="I21" s="136"/>
      <c r="J21" s="136"/>
      <c r="K21" s="109" t="s">
        <v>37</v>
      </c>
      <c r="L21" s="99"/>
      <c r="M21" s="134"/>
      <c r="N21" s="99"/>
      <c r="O21" s="99"/>
      <c r="P21" s="99"/>
      <c r="Q21" s="99"/>
      <c r="R21" s="128"/>
      <c r="S21" s="99"/>
      <c r="T21" s="135"/>
      <c r="U21" s="135"/>
      <c r="V21" s="100"/>
    </row>
    <row r="22" spans="2:27" ht="30.75">
      <c r="B22" s="98"/>
      <c r="C22" s="2212" t="s">
        <v>480</v>
      </c>
      <c r="D22" s="2213"/>
      <c r="E22" s="2213"/>
      <c r="F22" s="65">
        <f>+P7-37</f>
        <v>1363</v>
      </c>
      <c r="G22" s="66"/>
      <c r="H22" s="26"/>
      <c r="I22" s="26"/>
      <c r="J22" s="26"/>
      <c r="K22" s="25"/>
      <c r="L22" s="99"/>
      <c r="M22" s="134"/>
      <c r="N22" s="99"/>
      <c r="O22" s="99"/>
      <c r="P22" s="136" t="s">
        <v>37</v>
      </c>
      <c r="Q22" s="99" t="s">
        <v>37</v>
      </c>
      <c r="R22" s="99"/>
      <c r="S22" s="99"/>
      <c r="T22" s="130"/>
      <c r="U22" s="130"/>
      <c r="V22" s="100"/>
    </row>
    <row r="23" spans="2:27">
      <c r="B23" s="98"/>
      <c r="C23" s="99"/>
      <c r="D23" s="109"/>
      <c r="E23" s="99"/>
      <c r="F23" s="119"/>
      <c r="G23" s="120"/>
      <c r="H23" s="136"/>
      <c r="I23" s="136"/>
      <c r="J23" s="136"/>
      <c r="K23" s="109"/>
      <c r="L23" s="99"/>
      <c r="M23" s="134"/>
      <c r="N23" s="99"/>
      <c r="O23" s="99"/>
      <c r="P23" s="136"/>
      <c r="Q23" s="99"/>
      <c r="R23" s="99"/>
      <c r="S23" s="99"/>
      <c r="T23" s="130"/>
      <c r="U23" s="130"/>
      <c r="V23" s="100"/>
    </row>
    <row r="24" spans="2:27">
      <c r="B24" s="98"/>
      <c r="C24" s="99"/>
      <c r="D24" s="109"/>
      <c r="E24" s="99"/>
      <c r="F24" s="119"/>
      <c r="G24" s="120"/>
      <c r="H24" s="136"/>
      <c r="I24" s="136"/>
      <c r="J24" s="136"/>
      <c r="K24" s="109"/>
      <c r="L24" s="99"/>
      <c r="M24" s="134"/>
      <c r="N24" s="99"/>
      <c r="O24" s="99"/>
      <c r="P24" s="136"/>
      <c r="Q24" s="99"/>
      <c r="R24" s="99"/>
      <c r="S24" s="99"/>
      <c r="T24" s="130"/>
      <c r="U24" s="130"/>
      <c r="V24" s="100"/>
    </row>
    <row r="25" spans="2:27">
      <c r="B25" s="98"/>
      <c r="C25" s="99"/>
      <c r="D25" s="109"/>
      <c r="E25" s="99"/>
      <c r="F25" s="119"/>
      <c r="G25" s="120"/>
      <c r="H25" s="136"/>
      <c r="I25" s="136"/>
      <c r="J25" s="136"/>
      <c r="K25" s="109"/>
      <c r="L25" s="99"/>
      <c r="M25" s="98"/>
      <c r="N25" s="99"/>
      <c r="O25" s="99"/>
      <c r="P25" s="136"/>
      <c r="Q25" s="99"/>
      <c r="R25" s="99"/>
      <c r="S25" s="99"/>
      <c r="T25" s="130"/>
      <c r="U25" s="130"/>
      <c r="V25" s="100"/>
    </row>
    <row r="26" spans="2:27">
      <c r="B26" s="98"/>
      <c r="C26" s="99"/>
      <c r="D26" s="109"/>
      <c r="E26" s="99"/>
      <c r="F26" s="119"/>
      <c r="G26" s="120"/>
      <c r="H26" s="136"/>
      <c r="I26" s="136"/>
      <c r="J26" s="136"/>
      <c r="K26" s="109"/>
      <c r="L26" s="99"/>
      <c r="M26" s="98"/>
      <c r="N26" s="99"/>
      <c r="O26" s="99"/>
      <c r="P26" s="99"/>
      <c r="Q26" s="99"/>
      <c r="R26" s="99"/>
      <c r="S26" s="109"/>
      <c r="T26" s="99"/>
      <c r="U26" s="99"/>
      <c r="V26" s="100"/>
    </row>
    <row r="27" spans="2:27" ht="30.75">
      <c r="B27" s="98"/>
      <c r="C27" s="69">
        <v>40</v>
      </c>
      <c r="D27" s="109"/>
      <c r="E27" s="99"/>
      <c r="F27" s="119"/>
      <c r="G27" s="120"/>
      <c r="H27" s="136"/>
      <c r="I27" s="136"/>
      <c r="J27" s="136"/>
      <c r="K27" s="109"/>
      <c r="L27" s="99"/>
      <c r="M27" s="98"/>
      <c r="N27" s="99"/>
      <c r="O27" s="99"/>
      <c r="P27" s="99"/>
      <c r="Q27" s="99"/>
      <c r="R27" s="99"/>
      <c r="S27" s="99"/>
      <c r="T27" s="99"/>
      <c r="U27" s="99"/>
      <c r="V27" s="100"/>
    </row>
    <row r="28" spans="2:27" ht="36" customHeight="1">
      <c r="B28" s="98"/>
      <c r="C28" s="16">
        <f>+C27+F40</f>
        <v>468</v>
      </c>
      <c r="D28" s="109"/>
      <c r="E28" s="99"/>
      <c r="F28" s="119"/>
      <c r="G28" s="120"/>
      <c r="H28" s="136"/>
      <c r="I28" s="136"/>
      <c r="J28" s="136"/>
      <c r="K28" s="109"/>
      <c r="L28" s="99"/>
      <c r="M28" s="98"/>
      <c r="N28" s="99"/>
      <c r="O28" s="99"/>
      <c r="P28" s="136" t="s">
        <v>37</v>
      </c>
      <c r="Q28" s="99"/>
      <c r="R28" s="99"/>
      <c r="S28" s="109"/>
      <c r="T28" s="99"/>
      <c r="U28" s="99"/>
      <c r="V28" s="100"/>
    </row>
    <row r="29" spans="2:27" ht="36" customHeight="1">
      <c r="B29" s="98"/>
      <c r="C29" s="99"/>
      <c r="D29" s="70">
        <f>IF(R16&gt;2,C28+F40,"")</f>
        <v>896</v>
      </c>
      <c r="E29" s="99"/>
      <c r="F29" s="119"/>
      <c r="G29" s="120"/>
      <c r="H29" s="136"/>
      <c r="I29" s="136"/>
      <c r="J29" s="136"/>
      <c r="K29" s="109"/>
      <c r="L29" s="99"/>
      <c r="M29" s="98"/>
      <c r="N29" s="99"/>
      <c r="O29" s="99"/>
      <c r="P29" s="99"/>
      <c r="Q29" s="99"/>
      <c r="R29" s="99"/>
      <c r="S29" s="99"/>
      <c r="T29" s="99"/>
      <c r="U29" s="99"/>
      <c r="V29" s="100"/>
    </row>
    <row r="30" spans="2:27" ht="36" customHeight="1">
      <c r="B30" s="98"/>
      <c r="C30" s="99"/>
      <c r="D30" s="109"/>
      <c r="E30" s="16">
        <f>IF(R16&gt;=4,D29+F40,"")</f>
        <v>1324</v>
      </c>
      <c r="F30" s="119"/>
      <c r="G30" s="120"/>
      <c r="H30" s="136"/>
      <c r="I30" s="136"/>
      <c r="J30" s="136"/>
      <c r="K30" s="109"/>
      <c r="L30" s="99"/>
      <c r="M30" s="98"/>
      <c r="N30" s="99"/>
      <c r="O30" s="99"/>
      <c r="P30" s="109" t="s">
        <v>37</v>
      </c>
      <c r="Q30" s="99"/>
      <c r="R30" s="99"/>
      <c r="S30" s="99"/>
      <c r="T30" s="99"/>
      <c r="U30" s="99"/>
      <c r="V30" s="100"/>
    </row>
    <row r="31" spans="2:27" ht="36" customHeight="1">
      <c r="B31" s="98"/>
      <c r="C31" s="99"/>
      <c r="D31" s="109"/>
      <c r="E31" s="99"/>
      <c r="F31" s="2215" t="str">
        <f>IF(R16&gt;=5,E30+F40,"")</f>
        <v/>
      </c>
      <c r="G31" s="2215"/>
      <c r="H31" s="136"/>
      <c r="I31" s="136"/>
      <c r="J31" s="136"/>
      <c r="K31" s="109"/>
      <c r="L31" s="99"/>
      <c r="M31" s="98"/>
      <c r="N31" s="99"/>
      <c r="O31" s="99"/>
      <c r="P31" s="99"/>
      <c r="Q31" s="99"/>
      <c r="R31" s="99"/>
      <c r="S31" s="99"/>
      <c r="T31" s="99"/>
      <c r="U31" s="99"/>
      <c r="V31" s="100"/>
    </row>
    <row r="32" spans="2:27" ht="36" customHeight="1">
      <c r="B32" s="98"/>
      <c r="C32" s="99"/>
      <c r="D32" s="109"/>
      <c r="E32" s="99"/>
      <c r="F32" s="119"/>
      <c r="G32" s="2292" t="str">
        <f>IF(R16&gt;=6,F31+F40,"")</f>
        <v/>
      </c>
      <c r="H32" s="2292"/>
      <c r="I32" s="136"/>
      <c r="J32" s="136"/>
      <c r="K32" s="109"/>
      <c r="L32" s="99"/>
      <c r="M32" s="98"/>
      <c r="N32" s="99"/>
      <c r="O32" s="99"/>
      <c r="P32" s="99"/>
      <c r="Q32" s="133"/>
      <c r="R32" s="99"/>
      <c r="S32" s="99"/>
      <c r="T32" s="99"/>
      <c r="U32" s="99"/>
      <c r="V32" s="100"/>
    </row>
    <row r="33" spans="2:27" ht="36" customHeight="1">
      <c r="B33" s="98"/>
      <c r="C33" s="99"/>
      <c r="D33" s="109"/>
      <c r="E33" s="99"/>
      <c r="F33" s="119"/>
      <c r="G33" s="120"/>
      <c r="H33" s="2275" t="str">
        <f>IF(R16&gt;=7,G32+F40,"")</f>
        <v/>
      </c>
      <c r="I33" s="2275"/>
      <c r="J33" s="136"/>
      <c r="K33" s="109"/>
      <c r="L33" s="99"/>
      <c r="M33" s="98"/>
      <c r="N33" s="99"/>
      <c r="O33" s="99"/>
      <c r="P33" s="99"/>
      <c r="Q33" s="99"/>
      <c r="R33" s="99"/>
      <c r="S33" s="99"/>
      <c r="T33" s="99"/>
      <c r="U33" s="99"/>
      <c r="V33" s="100"/>
    </row>
    <row r="34" spans="2:27" ht="36" customHeight="1">
      <c r="B34" s="98"/>
      <c r="C34" s="99"/>
      <c r="D34" s="109"/>
      <c r="E34" s="99"/>
      <c r="F34" s="119"/>
      <c r="G34" s="120"/>
      <c r="H34" s="136"/>
      <c r="I34" s="136"/>
      <c r="J34" s="2215" t="str">
        <f>IF(R16=8,H33+F40,"")</f>
        <v/>
      </c>
      <c r="K34" s="2215"/>
      <c r="L34" s="100"/>
      <c r="M34" s="99"/>
      <c r="N34" s="99"/>
      <c r="O34" s="205"/>
      <c r="P34" s="205"/>
      <c r="Q34" s="107"/>
      <c r="R34" s="99"/>
      <c r="S34" s="99"/>
      <c r="T34" s="99"/>
      <c r="U34" s="99"/>
      <c r="V34" s="100"/>
    </row>
    <row r="35" spans="2:27" ht="30.75" customHeight="1">
      <c r="B35" s="98"/>
      <c r="C35" s="99"/>
      <c r="D35" s="109"/>
      <c r="E35" s="99"/>
      <c r="F35" s="119"/>
      <c r="G35" s="120"/>
      <c r="H35" s="136"/>
      <c r="I35" s="136"/>
      <c r="J35" s="136"/>
      <c r="K35" s="109"/>
      <c r="L35" s="100"/>
      <c r="M35" s="99"/>
      <c r="N35" s="2490" t="str">
        <f>CONCATENATE("Cord. 1-2"," lung.      ",TEXT(ROUND((60*2+R7-60+P7-(-37)-C27+60+150+50),-1),0))</f>
        <v>Cord. 1-2 lung.      3920</v>
      </c>
      <c r="O35" s="2490"/>
      <c r="P35" s="2490"/>
      <c r="Q35" s="2490"/>
      <c r="R35" s="2490"/>
      <c r="S35" s="2490"/>
      <c r="T35" s="2490"/>
      <c r="U35" s="2490"/>
      <c r="V35" s="100"/>
    </row>
    <row r="36" spans="2:27" ht="30.75" customHeight="1">
      <c r="B36" s="98"/>
      <c r="C36" s="2242" t="s">
        <v>91</v>
      </c>
      <c r="D36" s="2293"/>
      <c r="E36" s="2293"/>
      <c r="F36" s="2293"/>
      <c r="G36" s="2293"/>
      <c r="H36" s="2293"/>
      <c r="I36" s="2243"/>
      <c r="J36" s="136"/>
      <c r="K36" s="109"/>
      <c r="L36" s="100"/>
      <c r="M36" s="207"/>
      <c r="N36" s="206" t="str">
        <f>IF(R16&lt;=2,"NO",CONCATENATE("Cord. 3-4 lung.      ",TEXT(ROUND((60*2+R7-60+F40+C27+30+150+50),-1),"0")))</f>
        <v>Cord. 3-4 lung.      2960</v>
      </c>
      <c r="O36" s="208"/>
      <c r="P36" s="208"/>
      <c r="Q36" s="139"/>
      <c r="R36" s="99"/>
      <c r="S36" s="99"/>
      <c r="T36" s="99"/>
      <c r="U36" s="99"/>
      <c r="V36" s="100"/>
    </row>
    <row r="37" spans="2:27" ht="36" customHeight="1">
      <c r="B37" s="98"/>
      <c r="C37" s="2294" t="s">
        <v>118</v>
      </c>
      <c r="D37" s="2295"/>
      <c r="E37" s="2295"/>
      <c r="F37" s="2295"/>
      <c r="G37" s="2295"/>
      <c r="H37" s="2295"/>
      <c r="I37" s="2296"/>
      <c r="J37" s="99"/>
      <c r="K37" s="99"/>
      <c r="L37" s="100"/>
      <c r="M37" s="209"/>
      <c r="N37" s="210" t="str">
        <f>IF(R16&lt;=4,"NO",CONCATENATE("Cord. 5-6 lung.      ",TEXT(ROUND((60*2+R7-60+2*F40+C27+30+150+50),-1),"0")))</f>
        <v>NO</v>
      </c>
      <c r="O37" s="210"/>
      <c r="P37" s="210"/>
      <c r="Q37" s="119"/>
      <c r="R37" s="107"/>
      <c r="S37" s="109"/>
      <c r="T37" s="99"/>
      <c r="U37" s="99"/>
      <c r="V37" s="141"/>
    </row>
    <row r="38" spans="2:27" ht="33" customHeight="1">
      <c r="B38" s="98"/>
      <c r="C38" s="2244"/>
      <c r="D38" s="2297"/>
      <c r="E38" s="2297"/>
      <c r="F38" s="2297"/>
      <c r="G38" s="2297"/>
      <c r="H38" s="2297"/>
      <c r="I38" s="2245"/>
      <c r="J38" s="99"/>
      <c r="K38" s="99"/>
      <c r="L38" s="100"/>
      <c r="M38" s="209"/>
      <c r="N38" s="210" t="str">
        <f>IF(R16&lt;=6,"",CONCATENATE("Cord. 7-8 lung.      ",TEXT(ROUND((60*2+R7-60+3*F40+C27+30+150+50),-1),"0")))</f>
        <v/>
      </c>
      <c r="O38" s="208"/>
      <c r="P38" s="210"/>
      <c r="Q38" s="119"/>
      <c r="R38" s="107"/>
      <c r="S38" s="109"/>
      <c r="T38" s="99"/>
      <c r="U38" s="99"/>
      <c r="V38" s="141"/>
    </row>
    <row r="39" spans="2:27" ht="21.75" customHeight="1">
      <c r="B39" s="98"/>
      <c r="C39" s="99"/>
      <c r="D39" s="99"/>
      <c r="E39" s="99"/>
      <c r="F39" s="99"/>
      <c r="G39" s="99"/>
      <c r="H39" s="99"/>
      <c r="I39" s="99"/>
      <c r="J39" s="99"/>
      <c r="K39" s="99"/>
      <c r="L39" s="100"/>
      <c r="M39" s="140"/>
      <c r="N39" s="107"/>
      <c r="O39" s="211"/>
      <c r="P39" s="211"/>
      <c r="Q39" s="119"/>
      <c r="R39" s="107"/>
      <c r="S39" s="109"/>
      <c r="T39" s="99"/>
      <c r="U39" s="99"/>
      <c r="V39" s="141"/>
    </row>
    <row r="40" spans="2:27" ht="28.5">
      <c r="B40" s="98"/>
      <c r="C40" s="2212" t="s">
        <v>60</v>
      </c>
      <c r="D40" s="2491"/>
      <c r="E40" s="2491"/>
      <c r="F40" s="74">
        <f>ROUND((F22-40*2)/(R16-1),0)</f>
        <v>428</v>
      </c>
      <c r="G40" s="2220"/>
      <c r="H40" s="2220"/>
      <c r="I40" s="2220"/>
      <c r="J40" s="2220"/>
      <c r="K40" s="2221"/>
      <c r="L40" s="100"/>
      <c r="M40" s="2258" t="s">
        <v>57</v>
      </c>
      <c r="N40" s="2259"/>
      <c r="O40" s="2259"/>
      <c r="P40" s="2259"/>
      <c r="Q40" s="2259"/>
      <c r="R40" s="2259"/>
      <c r="S40" s="2259"/>
      <c r="T40" s="2259"/>
      <c r="U40" s="2259"/>
      <c r="V40" s="2260"/>
    </row>
    <row r="41" spans="2:27" ht="28.5">
      <c r="B41" s="98"/>
      <c r="C41" s="142"/>
      <c r="D41" s="143"/>
      <c r="E41" s="143"/>
      <c r="F41" s="22"/>
      <c r="G41" s="144"/>
      <c r="H41" s="144"/>
      <c r="I41" s="144"/>
      <c r="J41" s="144"/>
      <c r="K41" s="144"/>
      <c r="L41" s="99"/>
      <c r="M41" s="2258" t="s">
        <v>83</v>
      </c>
      <c r="N41" s="2259"/>
      <c r="O41" s="2259"/>
      <c r="P41" s="2259"/>
      <c r="Q41" s="2259"/>
      <c r="R41" s="2259"/>
      <c r="S41" s="2259"/>
      <c r="T41" s="2259"/>
      <c r="U41" s="2259"/>
      <c r="V41" s="2260"/>
    </row>
    <row r="42" spans="2:27" ht="15.75" thickBot="1">
      <c r="B42" s="145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45"/>
      <c r="N42" s="146"/>
      <c r="O42" s="114"/>
      <c r="P42" s="114"/>
      <c r="Q42" s="114"/>
      <c r="R42" s="114"/>
      <c r="S42" s="114"/>
      <c r="T42" s="147"/>
      <c r="U42" s="147"/>
      <c r="V42" s="148"/>
    </row>
    <row r="43" spans="2:27" ht="44.25" customHeight="1">
      <c r="B43" s="220"/>
      <c r="C43" s="219" t="s">
        <v>63</v>
      </c>
      <c r="D43" s="2248" t="s">
        <v>84</v>
      </c>
      <c r="E43" s="2248"/>
      <c r="F43" s="2248"/>
      <c r="G43" s="2248"/>
      <c r="H43" s="2248"/>
      <c r="I43" s="2248"/>
      <c r="J43" s="2248"/>
      <c r="K43" s="2248"/>
      <c r="L43" s="2249"/>
      <c r="M43" s="220"/>
      <c r="N43" s="219" t="s">
        <v>58</v>
      </c>
      <c r="O43" s="2250" t="s">
        <v>59</v>
      </c>
      <c r="P43" s="2250"/>
      <c r="Q43" s="2250"/>
      <c r="R43" s="2250"/>
      <c r="S43" s="2250"/>
      <c r="T43" s="2250"/>
      <c r="U43" s="2250"/>
      <c r="V43" s="2251"/>
      <c r="AA43" s="914" t="s">
        <v>489</v>
      </c>
    </row>
    <row r="44" spans="2:27" ht="31.5" customHeight="1">
      <c r="B44" s="149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13"/>
      <c r="N44" s="54"/>
      <c r="O44" s="17"/>
      <c r="P44" s="17"/>
      <c r="Q44" s="17"/>
      <c r="R44" s="17"/>
      <c r="S44" s="99"/>
      <c r="T44" s="113"/>
      <c r="U44" s="113"/>
      <c r="V44" s="21"/>
    </row>
    <row r="45" spans="2:27" ht="27.75">
      <c r="B45" s="149"/>
      <c r="C45" s="150"/>
      <c r="D45" s="150"/>
      <c r="E45" s="150"/>
      <c r="F45" s="150"/>
      <c r="G45" s="151" t="s">
        <v>85</v>
      </c>
      <c r="H45" s="150"/>
      <c r="I45" s="150"/>
      <c r="J45" s="150"/>
      <c r="K45" s="150"/>
      <c r="L45" s="150"/>
      <c r="M45" s="13"/>
      <c r="N45" s="2222" t="s">
        <v>484</v>
      </c>
      <c r="O45" s="2223"/>
      <c r="P45" s="2223"/>
      <c r="Q45" s="2223"/>
      <c r="R45" s="2223"/>
      <c r="S45" s="2223"/>
      <c r="T45" s="2224"/>
      <c r="V45" s="21"/>
    </row>
    <row r="46" spans="2:27" ht="31.5" customHeight="1">
      <c r="B46" s="149"/>
      <c r="C46" s="152" t="s">
        <v>119</v>
      </c>
      <c r="D46" s="153">
        <f>+P7</f>
        <v>1400</v>
      </c>
      <c r="E46" s="154" t="s">
        <v>129</v>
      </c>
      <c r="F46" s="154" t="s">
        <v>89</v>
      </c>
      <c r="G46" s="155">
        <f>+D46+E46</f>
        <v>1850</v>
      </c>
      <c r="H46" s="156"/>
      <c r="I46" s="150"/>
      <c r="J46" s="150"/>
      <c r="K46" s="150"/>
      <c r="L46" s="150"/>
      <c r="M46" s="13"/>
      <c r="N46" s="54"/>
      <c r="V46" s="21"/>
    </row>
    <row r="47" spans="2:27" ht="31.5" thickBot="1">
      <c r="B47" s="149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77"/>
      <c r="N47" s="56" t="s">
        <v>48</v>
      </c>
      <c r="O47" s="57" t="str">
        <f>+P11&amp;"+"&amp;P11</f>
        <v>1+1</v>
      </c>
      <c r="P47" s="113"/>
      <c r="Q47" s="113"/>
      <c r="R47" s="99"/>
      <c r="S47" s="113"/>
      <c r="T47" s="113"/>
      <c r="U47" s="113"/>
      <c r="V47" s="12"/>
    </row>
    <row r="48" spans="2:27" ht="18.75">
      <c r="B48" s="221"/>
      <c r="C48" s="222"/>
      <c r="D48" s="222"/>
      <c r="E48" s="222"/>
      <c r="F48" s="222"/>
      <c r="G48" s="222"/>
      <c r="H48" s="222"/>
      <c r="I48" s="222"/>
      <c r="J48" s="222"/>
      <c r="K48" s="222"/>
      <c r="L48" s="223"/>
      <c r="M48" s="13"/>
      <c r="N48" s="17"/>
      <c r="O48" s="17"/>
      <c r="P48" s="17"/>
      <c r="Q48" s="17"/>
      <c r="R48" s="99"/>
      <c r="S48" s="113"/>
      <c r="T48" s="113"/>
      <c r="U48" s="113"/>
      <c r="V48" s="21"/>
    </row>
    <row r="49" spans="2:22" ht="30.75">
      <c r="B49" s="224"/>
      <c r="C49" s="2261" t="str">
        <f>+IF(DATI!$C$12=1,"","RETE GRIGIA")</f>
        <v>RETE GRIGIA</v>
      </c>
      <c r="D49" s="2261"/>
      <c r="E49" s="2261"/>
      <c r="F49" s="2261"/>
      <c r="G49" s="2261"/>
      <c r="H49" s="2261"/>
      <c r="I49" s="2261"/>
      <c r="J49" s="2261"/>
      <c r="K49" s="225"/>
      <c r="L49" s="225"/>
      <c r="M49" s="81"/>
      <c r="N49" s="56" t="s">
        <v>482</v>
      </c>
      <c r="O49" s="158"/>
      <c r="P49" s="101"/>
      <c r="Q49" s="101"/>
      <c r="R49" s="2227">
        <f>+P7-35</f>
        <v>1365</v>
      </c>
      <c r="S49" s="2228"/>
      <c r="T49" s="113"/>
      <c r="U49" s="113"/>
      <c r="V49" s="82"/>
    </row>
    <row r="50" spans="2:22" ht="18.75">
      <c r="B50" s="224"/>
      <c r="C50" s="2261"/>
      <c r="D50" s="2261"/>
      <c r="E50" s="2261"/>
      <c r="F50" s="2261"/>
      <c r="G50" s="2261"/>
      <c r="H50" s="2261"/>
      <c r="I50" s="2261"/>
      <c r="J50" s="2261"/>
      <c r="K50" s="225"/>
      <c r="L50" s="225"/>
      <c r="M50" s="13"/>
      <c r="N50" s="17"/>
      <c r="O50" s="17"/>
      <c r="P50" s="17"/>
      <c r="Q50" s="17"/>
      <c r="R50" s="99"/>
      <c r="S50" s="113"/>
      <c r="T50" s="113"/>
      <c r="U50" s="113"/>
      <c r="V50" s="21"/>
    </row>
    <row r="51" spans="2:22" ht="31.5" thickBot="1">
      <c r="B51" s="224"/>
      <c r="C51" s="225"/>
      <c r="D51" s="225"/>
      <c r="E51" s="225"/>
      <c r="F51" s="225"/>
      <c r="G51" s="225"/>
      <c r="H51" s="225"/>
      <c r="I51" s="225"/>
      <c r="J51" s="225"/>
      <c r="K51" s="225"/>
      <c r="L51" s="225"/>
      <c r="M51" s="13"/>
      <c r="N51" s="56" t="s">
        <v>67</v>
      </c>
      <c r="O51" s="158"/>
      <c r="P51" s="101"/>
      <c r="Q51" s="101"/>
      <c r="R51" s="2227">
        <f>+P7-35</f>
        <v>1365</v>
      </c>
      <c r="S51" s="2228"/>
      <c r="T51" s="113"/>
      <c r="U51" s="113"/>
      <c r="V51" s="21"/>
    </row>
    <row r="52" spans="2:22" ht="44.25" customHeight="1">
      <c r="B52" s="220"/>
      <c r="C52" s="219" t="s">
        <v>69</v>
      </c>
      <c r="D52" s="2248" t="s">
        <v>90</v>
      </c>
      <c r="E52" s="2248"/>
      <c r="F52" s="2248"/>
      <c r="G52" s="2248"/>
      <c r="H52" s="2248"/>
      <c r="I52" s="2248"/>
      <c r="J52" s="2248"/>
      <c r="K52" s="2248"/>
      <c r="L52" s="2249"/>
      <c r="M52" s="13"/>
      <c r="N52" s="159"/>
      <c r="O52" s="159"/>
      <c r="P52" s="99"/>
      <c r="Q52" s="99"/>
      <c r="R52" s="16"/>
      <c r="S52" s="16"/>
      <c r="T52" s="113"/>
      <c r="U52" s="113"/>
      <c r="V52" s="21"/>
    </row>
    <row r="53" spans="2:22" ht="30.75">
      <c r="B53" s="98"/>
      <c r="C53" s="99"/>
      <c r="D53" s="99"/>
      <c r="E53" s="99"/>
      <c r="F53" s="99"/>
      <c r="G53" s="99"/>
      <c r="H53" s="99"/>
      <c r="I53" s="99"/>
      <c r="J53" s="99"/>
      <c r="K53" s="99"/>
      <c r="L53" s="100"/>
      <c r="M53" s="13"/>
      <c r="N53" s="159"/>
      <c r="O53" s="159"/>
      <c r="P53" s="99"/>
      <c r="Q53" s="99"/>
      <c r="R53" s="16"/>
      <c r="S53" s="16"/>
      <c r="T53" s="113"/>
      <c r="U53" s="113"/>
      <c r="V53" s="21"/>
    </row>
    <row r="54" spans="2:22" ht="30.75">
      <c r="B54" s="98"/>
      <c r="C54" s="165" t="s">
        <v>92</v>
      </c>
      <c r="D54" s="166"/>
      <c r="E54" s="167"/>
      <c r="F54" s="99"/>
      <c r="G54" s="168"/>
      <c r="H54" s="99"/>
      <c r="I54" s="99"/>
      <c r="J54" s="99"/>
      <c r="K54" s="99"/>
      <c r="L54" s="100"/>
      <c r="M54" s="13"/>
      <c r="N54" s="159"/>
      <c r="O54" s="159"/>
      <c r="P54" s="99"/>
      <c r="Q54" s="99"/>
      <c r="R54" s="16"/>
      <c r="S54" s="16"/>
      <c r="T54" s="113"/>
      <c r="U54" s="113"/>
      <c r="V54" s="21"/>
    </row>
    <row r="55" spans="2:22" ht="28.5">
      <c r="B55" s="98"/>
      <c r="C55" s="165"/>
      <c r="D55" s="166"/>
      <c r="E55" s="167"/>
      <c r="F55" s="99"/>
      <c r="G55" s="168"/>
      <c r="H55" s="99"/>
      <c r="I55" s="99"/>
      <c r="J55" s="99"/>
      <c r="K55" s="99"/>
      <c r="L55" s="100"/>
      <c r="M55" s="84"/>
      <c r="N55" s="892"/>
      <c r="O55" s="29"/>
      <c r="P55" s="29"/>
      <c r="Q55" s="29"/>
      <c r="R55" s="29"/>
      <c r="S55" s="29"/>
      <c r="T55" s="29"/>
      <c r="U55" s="29"/>
      <c r="V55" s="85"/>
    </row>
    <row r="56" spans="2:22" ht="28.5">
      <c r="B56" s="98"/>
      <c r="C56" s="172"/>
      <c r="D56" s="173" t="s">
        <v>94</v>
      </c>
      <c r="E56" s="99"/>
      <c r="F56" s="168"/>
      <c r="G56" s="168"/>
      <c r="H56" s="99"/>
      <c r="I56" s="99"/>
      <c r="J56" s="99"/>
      <c r="K56" s="99"/>
      <c r="L56" s="100"/>
      <c r="M56" s="13"/>
      <c r="N56" s="54"/>
      <c r="O56" s="17"/>
      <c r="P56" s="17"/>
      <c r="Q56" s="17"/>
      <c r="R56" s="17"/>
      <c r="S56" s="99"/>
      <c r="T56" s="113"/>
      <c r="U56" s="113"/>
      <c r="V56" s="21"/>
    </row>
    <row r="57" spans="2:22" ht="28.5">
      <c r="B57" s="98"/>
      <c r="C57" s="174"/>
      <c r="D57" s="173" t="s">
        <v>95</v>
      </c>
      <c r="E57" s="99"/>
      <c r="F57" s="119"/>
      <c r="G57" s="107"/>
      <c r="H57" s="99"/>
      <c r="I57" s="99"/>
      <c r="J57" s="99"/>
      <c r="K57" s="99"/>
      <c r="L57" s="100"/>
      <c r="M57" s="13"/>
      <c r="N57" s="2222" t="s">
        <v>483</v>
      </c>
      <c r="O57" s="2223"/>
      <c r="P57" s="2223"/>
      <c r="Q57" s="2223"/>
      <c r="R57" s="2223"/>
      <c r="S57" s="2223"/>
      <c r="T57" s="2224"/>
      <c r="U57" s="212"/>
      <c r="V57" s="21"/>
    </row>
    <row r="58" spans="2:22" ht="28.5">
      <c r="B58" s="98"/>
      <c r="C58" s="174"/>
      <c r="D58" s="173" t="s">
        <v>96</v>
      </c>
      <c r="E58" s="99"/>
      <c r="F58" s="119"/>
      <c r="G58" s="107"/>
      <c r="H58" s="99"/>
      <c r="I58" s="99"/>
      <c r="J58" s="99"/>
      <c r="K58" s="99"/>
      <c r="L58" s="100"/>
      <c r="M58" s="13"/>
      <c r="N58" s="17"/>
      <c r="O58" s="17"/>
      <c r="P58" s="17"/>
      <c r="Q58" s="17"/>
      <c r="R58" s="99"/>
      <c r="S58" s="113"/>
      <c r="T58" s="113"/>
      <c r="U58" s="113"/>
      <c r="V58" s="21"/>
    </row>
    <row r="59" spans="2:22" ht="30.75">
      <c r="B59" s="175"/>
      <c r="C59" s="176"/>
      <c r="D59" s="177"/>
      <c r="E59" s="177"/>
      <c r="F59" s="177"/>
      <c r="G59" s="177"/>
      <c r="H59" s="177"/>
      <c r="I59" s="177"/>
      <c r="J59" s="177"/>
      <c r="K59" s="177"/>
      <c r="L59" s="178"/>
      <c r="M59" s="13"/>
      <c r="N59" s="78" t="s">
        <v>48</v>
      </c>
      <c r="O59" s="57" t="str">
        <f>+P11</f>
        <v>1</v>
      </c>
      <c r="P59" s="80"/>
      <c r="Q59" s="80"/>
      <c r="R59" s="99"/>
      <c r="S59" s="113"/>
      <c r="T59" s="113"/>
      <c r="U59" s="113"/>
      <c r="V59" s="21"/>
    </row>
    <row r="60" spans="2:22" ht="21">
      <c r="B60" s="179" t="s">
        <v>37</v>
      </c>
      <c r="C60" s="180"/>
      <c r="D60" s="180"/>
      <c r="E60" s="180"/>
      <c r="F60" s="180"/>
      <c r="G60" s="180"/>
      <c r="H60" s="180"/>
      <c r="I60" s="180"/>
      <c r="J60" s="180"/>
      <c r="K60" s="180"/>
      <c r="L60" s="181"/>
      <c r="M60" s="13"/>
      <c r="N60" s="17"/>
      <c r="O60" s="17"/>
      <c r="P60" s="17"/>
      <c r="Q60" s="17"/>
      <c r="R60" s="99"/>
      <c r="S60" s="113"/>
      <c r="T60" s="113"/>
      <c r="U60" s="113"/>
      <c r="V60" s="21"/>
    </row>
    <row r="61" spans="2:22" ht="30.75">
      <c r="B61" s="182" t="s">
        <v>37</v>
      </c>
      <c r="C61" s="183"/>
      <c r="D61" s="184" t="s">
        <v>98</v>
      </c>
      <c r="E61" s="184" t="s">
        <v>99</v>
      </c>
      <c r="F61" s="184" t="s">
        <v>100</v>
      </c>
      <c r="G61" s="183"/>
      <c r="H61" s="183"/>
      <c r="I61" s="183"/>
      <c r="J61" s="183"/>
      <c r="K61" s="183"/>
      <c r="L61" s="185"/>
      <c r="M61" s="13"/>
      <c r="N61" s="2212" t="s">
        <v>485</v>
      </c>
      <c r="O61" s="2213"/>
      <c r="P61" s="2213"/>
      <c r="Q61" s="2213"/>
      <c r="R61" s="2227">
        <f>+P7-47</f>
        <v>1353</v>
      </c>
      <c r="S61" s="2228"/>
      <c r="T61" s="113"/>
      <c r="U61" s="113"/>
      <c r="V61" s="21"/>
    </row>
    <row r="62" spans="2:22" ht="21">
      <c r="B62" s="186"/>
      <c r="C62" s="183"/>
      <c r="D62" s="187" t="s">
        <v>44</v>
      </c>
      <c r="E62" s="188"/>
      <c r="F62" s="188"/>
      <c r="G62" s="189"/>
      <c r="H62" s="183"/>
      <c r="I62" s="183"/>
      <c r="J62" s="183"/>
      <c r="K62" s="183"/>
      <c r="L62" s="185"/>
      <c r="M62" s="13"/>
      <c r="N62" s="17"/>
      <c r="O62" s="17"/>
      <c r="P62" s="17"/>
      <c r="Q62" s="17"/>
      <c r="R62" s="99"/>
      <c r="S62" s="113"/>
      <c r="T62" s="113"/>
      <c r="U62" s="113"/>
      <c r="V62" s="21"/>
    </row>
    <row r="63" spans="2:22" ht="21">
      <c r="B63" s="190"/>
      <c r="C63" s="183"/>
      <c r="D63" s="191">
        <v>0.05</v>
      </c>
      <c r="E63" s="192">
        <v>0.17499999999999999</v>
      </c>
      <c r="F63" s="193" t="s">
        <v>102</v>
      </c>
      <c r="G63" s="192">
        <f>(R7+300)/1000</f>
        <v>2.5</v>
      </c>
      <c r="H63" s="183"/>
      <c r="I63" s="183"/>
      <c r="J63" s="183"/>
      <c r="K63" s="183"/>
      <c r="L63" s="185"/>
      <c r="M63" s="13"/>
      <c r="N63" s="17"/>
      <c r="O63" s="17"/>
      <c r="P63" s="17"/>
      <c r="Q63" s="17"/>
      <c r="R63" s="99"/>
      <c r="S63" s="113"/>
      <c r="T63" s="113"/>
      <c r="U63" s="113"/>
      <c r="V63" s="21"/>
    </row>
    <row r="64" spans="2:22" ht="21">
      <c r="B64" s="194"/>
      <c r="C64" s="183"/>
      <c r="D64" s="191" t="s">
        <v>103</v>
      </c>
      <c r="E64" s="191"/>
      <c r="F64" s="192" t="str">
        <f>P11</f>
        <v>1</v>
      </c>
      <c r="G64" s="191" t="s">
        <v>104</v>
      </c>
      <c r="H64" s="183"/>
      <c r="I64" s="183"/>
      <c r="J64" s="183"/>
      <c r="K64" s="183"/>
      <c r="L64" s="185"/>
      <c r="M64" s="88"/>
      <c r="N64" s="893"/>
      <c r="O64" s="89"/>
      <c r="P64" s="89"/>
      <c r="Q64" s="89"/>
      <c r="R64" s="89"/>
      <c r="S64" s="89"/>
      <c r="T64" s="89"/>
      <c r="U64" s="89"/>
      <c r="V64" s="90"/>
    </row>
    <row r="65" spans="2:22" ht="21.75" thickBot="1">
      <c r="B65" s="195"/>
      <c r="C65" s="196"/>
      <c r="D65" s="197" t="s">
        <v>105</v>
      </c>
      <c r="E65" s="197"/>
      <c r="F65" s="198">
        <f>(D63*E63*G63)*F64</f>
        <v>2.1874999999999999E-2</v>
      </c>
      <c r="G65" s="197" t="s">
        <v>106</v>
      </c>
      <c r="H65" s="196"/>
      <c r="I65" s="196"/>
      <c r="J65" s="196"/>
      <c r="K65" s="196"/>
      <c r="L65" s="199"/>
      <c r="M65" s="13"/>
      <c r="N65" s="54"/>
      <c r="O65" s="17"/>
      <c r="P65" s="17"/>
      <c r="Q65" s="17"/>
      <c r="R65" s="17"/>
      <c r="S65" s="99"/>
      <c r="T65" s="113"/>
      <c r="U65" s="113"/>
      <c r="V65" s="21"/>
    </row>
    <row r="66" spans="2:22" ht="44.25" customHeight="1">
      <c r="B66" s="220"/>
      <c r="C66" s="219" t="s">
        <v>107</v>
      </c>
      <c r="D66" s="2268" t="s">
        <v>108</v>
      </c>
      <c r="E66" s="2268"/>
      <c r="F66" s="2268"/>
      <c r="G66" s="2268"/>
      <c r="H66" s="2268"/>
      <c r="I66" s="2268"/>
      <c r="J66" s="2268"/>
      <c r="K66" s="2268"/>
      <c r="L66" s="2269"/>
      <c r="M66" s="13"/>
      <c r="N66" s="2222" t="s">
        <v>111</v>
      </c>
      <c r="O66" s="2223"/>
      <c r="P66" s="2223"/>
      <c r="Q66" s="2223"/>
      <c r="R66" s="2223"/>
      <c r="S66" s="2223"/>
      <c r="T66" s="2224"/>
      <c r="U66" s="212"/>
      <c r="V66" s="21"/>
    </row>
    <row r="67" spans="2:22" ht="21">
      <c r="B67" s="2270" t="s">
        <v>109</v>
      </c>
      <c r="C67" s="2271"/>
      <c r="D67" s="2271"/>
      <c r="E67" s="2272"/>
      <c r="F67" s="2273" t="s">
        <v>110</v>
      </c>
      <c r="G67" s="2271"/>
      <c r="H67" s="2271"/>
      <c r="I67" s="2271"/>
      <c r="J67" s="2271"/>
      <c r="K67" s="2271"/>
      <c r="L67" s="2274"/>
      <c r="M67" s="13"/>
      <c r="N67" s="17"/>
      <c r="O67" s="17"/>
      <c r="P67" s="17"/>
      <c r="Q67" s="17"/>
      <c r="R67" s="99"/>
      <c r="S67" s="99"/>
      <c r="T67" s="99"/>
      <c r="U67" s="99"/>
      <c r="V67" s="21"/>
    </row>
    <row r="68" spans="2:22" ht="30.75">
      <c r="B68" s="2264" t="s">
        <v>112</v>
      </c>
      <c r="C68" s="2265"/>
      <c r="D68" s="2266" t="s">
        <v>113</v>
      </c>
      <c r="E68" s="2267"/>
      <c r="F68" s="2301">
        <f>+DATI!C13</f>
        <v>0</v>
      </c>
      <c r="G68" s="2485"/>
      <c r="H68" s="2485"/>
      <c r="I68" s="2485"/>
      <c r="J68" s="2485"/>
      <c r="K68" s="2485"/>
      <c r="L68" s="2486"/>
      <c r="M68" s="13"/>
      <c r="N68" s="78" t="s">
        <v>48</v>
      </c>
      <c r="O68" s="57" t="str">
        <f>+P11</f>
        <v>1</v>
      </c>
      <c r="P68" s="80"/>
      <c r="Q68" s="80"/>
      <c r="R68" s="99"/>
      <c r="S68" s="99"/>
      <c r="T68" s="99"/>
      <c r="U68" s="99"/>
      <c r="V68" s="21"/>
    </row>
    <row r="69" spans="2:22" ht="18.75">
      <c r="B69" s="2282"/>
      <c r="C69" s="2283"/>
      <c r="D69" s="2286"/>
      <c r="E69" s="2287"/>
      <c r="F69" s="2487"/>
      <c r="G69" s="2488"/>
      <c r="H69" s="2488"/>
      <c r="I69" s="2488"/>
      <c r="J69" s="2488"/>
      <c r="K69" s="2488"/>
      <c r="L69" s="2489"/>
      <c r="M69" s="13"/>
      <c r="N69" s="17"/>
      <c r="O69" s="17"/>
      <c r="P69" s="17"/>
      <c r="Q69" s="17"/>
      <c r="R69" s="99"/>
      <c r="S69" s="99"/>
      <c r="T69" s="99"/>
      <c r="U69" s="99"/>
      <c r="V69" s="21"/>
    </row>
    <row r="70" spans="2:22" ht="28.5">
      <c r="B70" s="2282"/>
      <c r="C70" s="2283"/>
      <c r="D70" s="2286"/>
      <c r="E70" s="2287"/>
      <c r="F70" s="2273" t="s">
        <v>114</v>
      </c>
      <c r="G70" s="2271"/>
      <c r="H70" s="2271"/>
      <c r="I70" s="2271"/>
      <c r="J70" s="2271"/>
      <c r="K70" s="2273" t="s">
        <v>115</v>
      </c>
      <c r="L70" s="2274"/>
      <c r="M70" s="13"/>
      <c r="N70" s="56" t="s">
        <v>486</v>
      </c>
      <c r="O70" s="158"/>
      <c r="P70" s="101"/>
      <c r="Q70" s="101"/>
      <c r="R70" s="2236">
        <f>+R7-2</f>
        <v>2198</v>
      </c>
      <c r="S70" s="2237"/>
      <c r="T70" s="99"/>
      <c r="U70" s="99"/>
      <c r="V70" s="21"/>
    </row>
    <row r="71" spans="2:22" ht="21">
      <c r="B71" s="2282"/>
      <c r="C71" s="2283"/>
      <c r="D71" s="2286"/>
      <c r="E71" s="2287"/>
      <c r="F71" s="2301" t="str">
        <f>+IF(DATI!$C$12=1,"","RETE GRIGIA")</f>
        <v>RETE GRIGIA</v>
      </c>
      <c r="G71" s="2485"/>
      <c r="H71" s="2485"/>
      <c r="I71" s="2485"/>
      <c r="J71" s="2485"/>
      <c r="K71" s="201"/>
      <c r="L71" s="185"/>
      <c r="M71" s="13"/>
      <c r="N71" s="54"/>
      <c r="O71" s="17"/>
      <c r="P71" s="17"/>
      <c r="Q71" s="17"/>
      <c r="R71" s="17"/>
      <c r="S71" s="17"/>
      <c r="T71" s="17"/>
      <c r="U71" s="17"/>
      <c r="V71" s="21"/>
    </row>
    <row r="72" spans="2:22" ht="21.75" thickBot="1">
      <c r="B72" s="2284"/>
      <c r="C72" s="2285"/>
      <c r="D72" s="2288"/>
      <c r="E72" s="2289"/>
      <c r="F72" s="2288"/>
      <c r="G72" s="2285"/>
      <c r="H72" s="2285"/>
      <c r="I72" s="2285"/>
      <c r="J72" s="2285"/>
      <c r="K72" s="202"/>
      <c r="L72" s="203"/>
      <c r="M72" s="75"/>
      <c r="N72" s="44"/>
      <c r="O72" s="44"/>
      <c r="P72" s="44"/>
      <c r="Q72" s="44"/>
      <c r="R72" s="44"/>
      <c r="S72" s="44"/>
      <c r="T72" s="44"/>
      <c r="U72" s="44"/>
      <c r="V72" s="73"/>
    </row>
    <row r="74" spans="2:22" ht="99.75">
      <c r="V74" s="204"/>
    </row>
  </sheetData>
  <mergeCells count="49">
    <mergeCell ref="B2:V2"/>
    <mergeCell ref="E4:O4"/>
    <mergeCell ref="D6:G6"/>
    <mergeCell ref="N6:O7"/>
    <mergeCell ref="R6:S6"/>
    <mergeCell ref="R7:S7"/>
    <mergeCell ref="H33:I33"/>
    <mergeCell ref="N9:O9"/>
    <mergeCell ref="P9:S9"/>
    <mergeCell ref="D10:G10"/>
    <mergeCell ref="N11:O11"/>
    <mergeCell ref="D14:L14"/>
    <mergeCell ref="O14:V14"/>
    <mergeCell ref="F15:J20"/>
    <mergeCell ref="P16:Q16"/>
    <mergeCell ref="C22:E22"/>
    <mergeCell ref="F31:G31"/>
    <mergeCell ref="G32:H32"/>
    <mergeCell ref="R51:S51"/>
    <mergeCell ref="D52:L52"/>
    <mergeCell ref="N57:T57"/>
    <mergeCell ref="J34:K34"/>
    <mergeCell ref="N35:U35"/>
    <mergeCell ref="C36:I36"/>
    <mergeCell ref="C37:I38"/>
    <mergeCell ref="C40:E40"/>
    <mergeCell ref="G40:K40"/>
    <mergeCell ref="M40:V40"/>
    <mergeCell ref="M41:V41"/>
    <mergeCell ref="D43:L43"/>
    <mergeCell ref="O43:V43"/>
    <mergeCell ref="N45:T45"/>
    <mergeCell ref="C49:J50"/>
    <mergeCell ref="R49:S49"/>
    <mergeCell ref="R61:S61"/>
    <mergeCell ref="D66:L66"/>
    <mergeCell ref="N66:T66"/>
    <mergeCell ref="F71:J72"/>
    <mergeCell ref="B67:E67"/>
    <mergeCell ref="F67:L67"/>
    <mergeCell ref="B68:C68"/>
    <mergeCell ref="D68:E68"/>
    <mergeCell ref="F68:L69"/>
    <mergeCell ref="R70:S70"/>
    <mergeCell ref="B69:C72"/>
    <mergeCell ref="D69:E72"/>
    <mergeCell ref="F70:J70"/>
    <mergeCell ref="K70:L70"/>
    <mergeCell ref="N61:Q61"/>
  </mergeCells>
  <printOptions horizontalCentered="1" headings="1" gridLines="1" gridLinesSet="0"/>
  <pageMargins left="0" right="0" top="0" bottom="0" header="0" footer="0"/>
  <pageSetup paperSize="9" scale="38" orientation="portrait" horizontalDpi="1200" verticalDpi="1200" r:id="rId1"/>
  <headerFooter alignWithMargins="0">
    <oddFooter>&amp;LREV. 09/05 - VER.1&amp;R&amp;D</oddFooter>
  </headerFooter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8">
    <tabColor rgb="FF92D050"/>
    <pageSetUpPr fitToPage="1"/>
  </sheetPr>
  <dimension ref="A1:AA74"/>
  <sheetViews>
    <sheetView showGridLines="0" topLeftCell="A43" zoomScale="50" zoomScaleNormal="50" workbookViewId="0">
      <selection activeCell="R71" sqref="R71"/>
    </sheetView>
  </sheetViews>
  <sheetFormatPr defaultColWidth="10.28515625" defaultRowHeight="15"/>
  <cols>
    <col min="1" max="1" width="34.85546875" style="918" customWidth="1"/>
    <col min="2" max="2" width="4.5703125" style="918" customWidth="1"/>
    <col min="3" max="3" width="32" style="918" customWidth="1"/>
    <col min="4" max="4" width="13.28515625" style="918" customWidth="1"/>
    <col min="5" max="5" width="21.140625" style="918" customWidth="1"/>
    <col min="6" max="6" width="15" style="918" customWidth="1"/>
    <col min="7" max="7" width="17.85546875" style="918" customWidth="1"/>
    <col min="8" max="9" width="9.28515625" style="918" customWidth="1"/>
    <col min="10" max="10" width="6.42578125" style="918" customWidth="1"/>
    <col min="11" max="11" width="9.85546875" style="918" customWidth="1"/>
    <col min="12" max="12" width="4.7109375" style="918" customWidth="1"/>
    <col min="13" max="13" width="3.7109375" style="918" customWidth="1"/>
    <col min="14" max="14" width="17.85546875" style="918" customWidth="1"/>
    <col min="15" max="15" width="13.85546875" style="918" customWidth="1"/>
    <col min="16" max="16" width="16.28515625" style="918" customWidth="1"/>
    <col min="17" max="17" width="9.7109375" style="918" customWidth="1"/>
    <col min="18" max="18" width="11.140625" style="918" customWidth="1"/>
    <col min="19" max="19" width="9.5703125" style="918" customWidth="1"/>
    <col min="20" max="20" width="19" style="918" customWidth="1"/>
    <col min="21" max="21" width="11.42578125" style="918" customWidth="1"/>
    <col min="22" max="22" width="6.5703125" style="918" customWidth="1"/>
    <col min="23" max="24" width="10.28515625" style="918"/>
    <col min="25" max="25" width="17" style="918" bestFit="1" customWidth="1"/>
    <col min="26" max="16384" width="10.28515625" style="918"/>
  </cols>
  <sheetData>
    <row r="1" spans="1:22" ht="18">
      <c r="A1" s="917"/>
    </row>
    <row r="2" spans="1:22" ht="33.75">
      <c r="A2" s="917"/>
      <c r="B2" s="2305" t="s">
        <v>770</v>
      </c>
      <c r="C2" s="2306"/>
      <c r="D2" s="2306"/>
      <c r="E2" s="2306"/>
      <c r="F2" s="2306"/>
      <c r="G2" s="2306"/>
      <c r="H2" s="2306"/>
      <c r="I2" s="2306"/>
      <c r="J2" s="2306"/>
      <c r="K2" s="2306"/>
      <c r="L2" s="2306"/>
      <c r="M2" s="2306"/>
      <c r="N2" s="2306"/>
      <c r="O2" s="2306"/>
      <c r="P2" s="2306"/>
      <c r="Q2" s="2306"/>
      <c r="R2" s="2306"/>
      <c r="S2" s="2306"/>
      <c r="T2" s="2306"/>
      <c r="U2" s="2306"/>
      <c r="V2" s="2306"/>
    </row>
    <row r="3" spans="1:22" ht="18.75" thickBot="1">
      <c r="A3" s="917"/>
    </row>
    <row r="4" spans="1:22" ht="44.25" customHeight="1">
      <c r="A4" s="917"/>
      <c r="B4" s="919"/>
      <c r="C4" s="920" t="str">
        <f>+VLOOKUP(108,TRADUZIONI,DATI!$C$2-1,0)</f>
        <v>QUADRO A</v>
      </c>
      <c r="D4" s="921"/>
      <c r="E4" s="2307" t="str">
        <f>+VLOOKUP(109,TRADUZIONI,DATI!$C$2-1,0)</f>
        <v>DATI ORDINE</v>
      </c>
      <c r="F4" s="2307"/>
      <c r="G4" s="2307"/>
      <c r="H4" s="2307"/>
      <c r="I4" s="2307"/>
      <c r="J4" s="2307"/>
      <c r="K4" s="2307"/>
      <c r="L4" s="2307"/>
      <c r="M4" s="2307"/>
      <c r="N4" s="2307"/>
      <c r="O4" s="2307"/>
      <c r="P4" s="922"/>
      <c r="Q4" s="921"/>
      <c r="R4" s="921"/>
      <c r="S4" s="921"/>
      <c r="T4" s="921"/>
      <c r="U4" s="921"/>
      <c r="V4" s="923"/>
    </row>
    <row r="5" spans="1:22" ht="18">
      <c r="A5" s="917"/>
      <c r="B5" s="924"/>
      <c r="C5" s="925"/>
      <c r="D5" s="925"/>
      <c r="E5" s="925"/>
      <c r="F5" s="925"/>
      <c r="G5" s="925"/>
      <c r="H5" s="925"/>
      <c r="I5" s="925"/>
      <c r="J5" s="925"/>
      <c r="K5" s="925"/>
      <c r="L5" s="925"/>
      <c r="M5" s="925"/>
      <c r="N5" s="925"/>
      <c r="O5" s="925"/>
      <c r="P5" s="925"/>
      <c r="Q5" s="925"/>
      <c r="R5" s="925"/>
      <c r="S5" s="925"/>
      <c r="T5" s="925"/>
      <c r="U5" s="925"/>
      <c r="V5" s="926"/>
    </row>
    <row r="6" spans="1:22" ht="30.75">
      <c r="A6" s="917"/>
      <c r="B6" s="924"/>
      <c r="C6" s="1432" t="str">
        <f>+VLOOKUP(22,TRADUZIONI,DATI!C2-1,0)</f>
        <v>CLIENTE</v>
      </c>
      <c r="D6" s="2308">
        <f>+DATI!C6</f>
        <v>0</v>
      </c>
      <c r="E6" s="2308"/>
      <c r="F6" s="2308"/>
      <c r="G6" s="2308"/>
      <c r="H6" s="928"/>
      <c r="I6" s="928"/>
      <c r="J6" s="928"/>
      <c r="K6" s="929"/>
      <c r="L6" s="930"/>
      <c r="M6" s="931"/>
      <c r="N6" s="2309" t="str">
        <f>+VLOOKUP(115,TRADUZIONI,DATI!C2-1,0)</f>
        <v xml:space="preserve">DIMENSIONI </v>
      </c>
      <c r="O6" s="2310"/>
      <c r="P6" s="1434" t="str">
        <f>+VLOOKUP(96,TRADUZIONI,DATI!C2-1,0)</f>
        <v>BASE</v>
      </c>
      <c r="Q6" s="932"/>
      <c r="R6" s="2313" t="str">
        <f>+VLOOKUP(97,TRADUZIONI,DATI!C2-1,0)</f>
        <v>ALTEZZA</v>
      </c>
      <c r="S6" s="2314"/>
      <c r="T6" s="925"/>
      <c r="U6" s="925"/>
      <c r="V6" s="926"/>
    </row>
    <row r="7" spans="1:22" ht="29.25" customHeight="1">
      <c r="A7" s="917"/>
      <c r="B7" s="924"/>
      <c r="C7" s="925"/>
      <c r="D7" s="925" t="s">
        <v>37</v>
      </c>
      <c r="E7" s="925"/>
      <c r="F7" s="925"/>
      <c r="G7" s="925"/>
      <c r="H7" s="925"/>
      <c r="I7" s="925"/>
      <c r="J7" s="925"/>
      <c r="K7" s="925"/>
      <c r="L7" s="930"/>
      <c r="M7" s="931"/>
      <c r="N7" s="2311"/>
      <c r="O7" s="2312"/>
      <c r="P7" s="933">
        <f>+DATI!C7</f>
        <v>1400</v>
      </c>
      <c r="Q7" s="934" t="s">
        <v>44</v>
      </c>
      <c r="R7" s="2315">
        <f>+DATI!C8</f>
        <v>2200</v>
      </c>
      <c r="S7" s="2316"/>
      <c r="T7" s="925"/>
      <c r="U7" s="925"/>
      <c r="V7" s="926"/>
    </row>
    <row r="8" spans="1:22" ht="30.75">
      <c r="A8" s="917"/>
      <c r="B8" s="924"/>
      <c r="C8" s="927" t="str">
        <f>+VLOOKUP(23,TRADUZIONI,DATI!C2-1,0)</f>
        <v>NUM. ORDINE</v>
      </c>
      <c r="D8" s="935">
        <f>+DATI!C4</f>
        <v>0</v>
      </c>
      <c r="E8" s="935"/>
      <c r="F8" s="935"/>
      <c r="G8" s="935"/>
      <c r="H8" s="928"/>
      <c r="I8" s="928"/>
      <c r="J8" s="928"/>
      <c r="K8" s="929"/>
      <c r="L8" s="930"/>
      <c r="M8" s="931"/>
      <c r="N8" s="925"/>
      <c r="O8" s="925"/>
      <c r="P8" s="925"/>
      <c r="Q8" s="925"/>
      <c r="R8" s="936"/>
      <c r="S8" s="925"/>
      <c r="T8" s="925"/>
      <c r="U8" s="925"/>
      <c r="V8" s="926"/>
    </row>
    <row r="9" spans="1:22" ht="30.75">
      <c r="A9" s="917"/>
      <c r="B9" s="924"/>
      <c r="C9" s="925"/>
      <c r="D9" s="925"/>
      <c r="E9" s="925"/>
      <c r="F9" s="925"/>
      <c r="G9" s="925"/>
      <c r="H9" s="925"/>
      <c r="I9" s="925"/>
      <c r="J9" s="925"/>
      <c r="K9" s="925"/>
      <c r="L9" s="930"/>
      <c r="M9" s="931"/>
      <c r="N9" s="2318" t="str">
        <f>+VLOOKUP(99,TRADUZIONI,DATI!C2-1,0)</f>
        <v>COLORE</v>
      </c>
      <c r="O9" s="2314"/>
      <c r="P9" s="2319" t="str">
        <f>+DATI!C10</f>
        <v>06.NERO</v>
      </c>
      <c r="Q9" s="2320"/>
      <c r="R9" s="2320"/>
      <c r="S9" s="2321"/>
      <c r="T9" s="925"/>
      <c r="U9" s="925"/>
      <c r="V9" s="926"/>
    </row>
    <row r="10" spans="1:22" ht="30.75">
      <c r="A10" s="917"/>
      <c r="B10" s="924"/>
      <c r="C10" s="1434" t="str">
        <f>+VLOOKUP(5,TRADUZIONI,DATI!C2-1,0)</f>
        <v>DATA SPEDIZIONE</v>
      </c>
      <c r="D10" s="2393">
        <f>+DATI!C5</f>
        <v>42370</v>
      </c>
      <c r="E10" s="2393"/>
      <c r="F10" s="2393"/>
      <c r="G10" s="2393"/>
      <c r="H10" s="928"/>
      <c r="I10" s="928"/>
      <c r="J10" s="928"/>
      <c r="K10" s="929"/>
      <c r="L10" s="930"/>
      <c r="M10" s="931"/>
      <c r="N10" s="937"/>
      <c r="O10" s="925"/>
      <c r="P10" s="925"/>
      <c r="Q10" s="925"/>
      <c r="R10" s="925"/>
      <c r="S10" s="925"/>
      <c r="T10" s="925"/>
      <c r="U10" s="925"/>
      <c r="V10" s="926"/>
    </row>
    <row r="11" spans="1:22" ht="30.75">
      <c r="A11" s="917"/>
      <c r="B11" s="924"/>
      <c r="C11" s="925"/>
      <c r="D11" s="925"/>
      <c r="E11" s="925"/>
      <c r="F11" s="925"/>
      <c r="G11" s="925"/>
      <c r="H11" s="925"/>
      <c r="I11" s="925"/>
      <c r="J11" s="925"/>
      <c r="K11" s="925"/>
      <c r="L11" s="930"/>
      <c r="M11" s="931"/>
      <c r="N11" s="2323" t="str">
        <f>+VLOOKUP(78,TRADUZIONI,DATI!C2-1,0)</f>
        <v>PEZZI /PZ.</v>
      </c>
      <c r="O11" s="2324"/>
      <c r="P11" s="938" t="str">
        <f>+DATI!C11</f>
        <v>1</v>
      </c>
      <c r="Q11" s="925"/>
      <c r="R11" s="925"/>
      <c r="S11" s="925"/>
      <c r="T11" s="925"/>
      <c r="U11" s="925"/>
      <c r="V11" s="926"/>
    </row>
    <row r="12" spans="1:22" ht="30.75">
      <c r="A12" s="917"/>
      <c r="B12" s="924"/>
      <c r="C12" s="927" t="s">
        <v>49</v>
      </c>
      <c r="D12" s="939">
        <f>IF((P7*R7/1000000)&lt;=2,2*P11,IF((P7*R7/1000000)&gt;2,(P7*R7/1000000)*P11))</f>
        <v>3.08</v>
      </c>
      <c r="E12" s="925"/>
      <c r="F12" s="925"/>
      <c r="G12" s="925"/>
      <c r="H12" s="925"/>
      <c r="I12" s="925"/>
      <c r="J12" s="925"/>
      <c r="K12" s="925"/>
      <c r="L12" s="930"/>
      <c r="M12" s="931"/>
      <c r="N12" s="925"/>
      <c r="O12" s="925"/>
      <c r="P12" s="940" t="s">
        <v>37</v>
      </c>
      <c r="Q12" s="925"/>
      <c r="R12" s="925"/>
      <c r="S12" s="925"/>
      <c r="T12" s="941" t="s">
        <v>37</v>
      </c>
      <c r="U12" s="941"/>
      <c r="V12" s="926"/>
    </row>
    <row r="13" spans="1:22" ht="18.75" thickBot="1">
      <c r="A13" s="917"/>
      <c r="B13" s="924"/>
      <c r="C13" s="937"/>
      <c r="D13" s="925"/>
      <c r="E13" s="942"/>
      <c r="F13" s="943"/>
      <c r="G13" s="942"/>
      <c r="H13" s="944"/>
      <c r="I13" s="944"/>
      <c r="J13" s="944"/>
      <c r="K13" s="925"/>
      <c r="L13" s="925"/>
      <c r="M13" s="925"/>
      <c r="N13" s="925"/>
      <c r="O13" s="925"/>
      <c r="P13" s="925"/>
      <c r="Q13" s="925"/>
      <c r="R13" s="945"/>
      <c r="S13" s="925"/>
      <c r="T13" s="946" t="s">
        <v>37</v>
      </c>
      <c r="U13" s="946"/>
      <c r="V13" s="926"/>
    </row>
    <row r="14" spans="1:22" ht="44.25" customHeight="1">
      <c r="B14" s="919"/>
      <c r="C14" s="920" t="str">
        <f>+VLOOKUP(111,TRADUZIONI,DATI!$C$2-1,0)</f>
        <v>QUADRO B</v>
      </c>
      <c r="D14" s="2325" t="str">
        <f>+VLOOKUP(118,TRADUZIONI,DATI!$C$2-1,0)</f>
        <v>DIMENSIONE RETE E FORI</v>
      </c>
      <c r="E14" s="2325"/>
      <c r="F14" s="2325"/>
      <c r="G14" s="2325"/>
      <c r="H14" s="2325"/>
      <c r="I14" s="2325"/>
      <c r="J14" s="2325"/>
      <c r="K14" s="2325"/>
      <c r="L14" s="2326"/>
      <c r="M14" s="919"/>
      <c r="N14" s="920" t="str">
        <f>+VLOOKUP(138,TRADUZIONI,DATI!$C$2-1,0)</f>
        <v>QUADRO C</v>
      </c>
      <c r="O14" s="2327" t="str">
        <f>+VLOOKUP(117,TRADUZIONI,DATI!$C$2-1,0)</f>
        <v>LUNGHEZZA E NUM. CORDINI</v>
      </c>
      <c r="P14" s="2327"/>
      <c r="Q14" s="2327"/>
      <c r="R14" s="2327"/>
      <c r="S14" s="2327"/>
      <c r="T14" s="2327"/>
      <c r="U14" s="2327"/>
      <c r="V14" s="2328"/>
    </row>
    <row r="15" spans="1:22" ht="31.5" customHeight="1">
      <c r="B15" s="947"/>
      <c r="C15" s="925"/>
      <c r="D15" s="925"/>
      <c r="E15" s="925"/>
      <c r="F15" s="2329" t="e">
        <f>IF(DATI!E13="AUTOMATICA",CONCATENATE("*",DATI!E14,"-",REPT("0",4-LEN(F22)),F22,"*"),CONCATENATE("*",DATI!$L$14,REPT("0",3-LEN(D16)),D16,REPT("0",4-LEN(F22)),F22,DATI!L13,"*"))</f>
        <v>#VALUE!</v>
      </c>
      <c r="G15" s="2329"/>
      <c r="H15" s="2329"/>
      <c r="I15" s="2329"/>
      <c r="J15" s="2329"/>
      <c r="K15" s="948"/>
      <c r="L15" s="949"/>
      <c r="M15" s="924"/>
      <c r="N15" s="925"/>
      <c r="O15" s="925" t="s">
        <v>37</v>
      </c>
      <c r="P15" s="950" t="s">
        <v>37</v>
      </c>
      <c r="Q15" s="925"/>
      <c r="R15" s="925"/>
      <c r="S15" s="925"/>
      <c r="T15" s="951"/>
      <c r="U15" s="951"/>
      <c r="V15" s="926"/>
    </row>
    <row r="16" spans="1:22" ht="30.75" customHeight="1">
      <c r="B16" s="952"/>
      <c r="C16" s="953" t="str">
        <f>+VLOOKUP(19,TRADUZIONI,DATI!C2-1,0)</f>
        <v>PIEGHE</v>
      </c>
      <c r="D16" s="954">
        <f>2+ROUNDUP((R7-55)*0.036,0)</f>
        <v>80</v>
      </c>
      <c r="E16" s="925"/>
      <c r="F16" s="2329"/>
      <c r="G16" s="2329"/>
      <c r="H16" s="2329"/>
      <c r="I16" s="2329"/>
      <c r="J16" s="2329"/>
      <c r="K16" s="948"/>
      <c r="L16" s="955"/>
      <c r="M16" s="952"/>
      <c r="N16" s="956"/>
      <c r="O16" s="956"/>
      <c r="P16" s="2323" t="str">
        <f>+VLOOKUP(149,TRADUZIONI,DATI!C2-1,0)</f>
        <v>CORDINI</v>
      </c>
      <c r="Q16" s="2324"/>
      <c r="R16" s="957">
        <f>IF(F22&lt;=574,2,IF(F22&lt;=1428,4,IF(F22&lt;=2328,6,8)))</f>
        <v>4</v>
      </c>
      <c r="S16" s="951"/>
      <c r="T16" s="946"/>
      <c r="U16" s="946"/>
      <c r="V16" s="958"/>
    </row>
    <row r="17" spans="2:27" s="960" customFormat="1" ht="15" customHeight="1">
      <c r="B17" s="924"/>
      <c r="C17" s="925"/>
      <c r="D17" s="925"/>
      <c r="E17" s="925"/>
      <c r="F17" s="2329"/>
      <c r="G17" s="2329"/>
      <c r="H17" s="2329"/>
      <c r="I17" s="2329"/>
      <c r="J17" s="2329"/>
      <c r="K17" s="948"/>
      <c r="L17" s="925"/>
      <c r="M17" s="924"/>
      <c r="N17" s="925"/>
      <c r="O17" s="925"/>
      <c r="P17" s="925"/>
      <c r="Q17" s="959"/>
      <c r="R17" s="925"/>
      <c r="S17" s="925"/>
      <c r="T17" s="925"/>
      <c r="U17" s="925"/>
      <c r="V17" s="926"/>
      <c r="X17" s="918"/>
      <c r="Y17" s="918"/>
      <c r="Z17" s="918"/>
      <c r="AA17" s="918"/>
    </row>
    <row r="18" spans="2:27" ht="49.5" customHeight="1">
      <c r="B18" s="924"/>
      <c r="C18" s="925"/>
      <c r="D18" s="940"/>
      <c r="E18" s="940"/>
      <c r="F18" s="2329"/>
      <c r="G18" s="2329"/>
      <c r="H18" s="2329"/>
      <c r="I18" s="2329"/>
      <c r="J18" s="2329"/>
      <c r="K18" s="948"/>
      <c r="L18" s="925"/>
      <c r="M18" s="924"/>
      <c r="N18" s="925"/>
      <c r="O18" s="925"/>
      <c r="P18" s="925"/>
      <c r="Q18" s="961"/>
      <c r="R18" s="925"/>
      <c r="S18" s="925"/>
      <c r="T18" s="925"/>
      <c r="U18" s="925"/>
      <c r="V18" s="926"/>
    </row>
    <row r="19" spans="2:27" ht="15" customHeight="1">
      <c r="B19" s="924"/>
      <c r="C19" s="925"/>
      <c r="D19" s="940"/>
      <c r="E19" s="940"/>
      <c r="F19" s="2329"/>
      <c r="G19" s="2329"/>
      <c r="H19" s="2329"/>
      <c r="I19" s="2329"/>
      <c r="J19" s="2329"/>
      <c r="K19" s="948"/>
      <c r="L19" s="925"/>
      <c r="M19" s="924"/>
      <c r="N19" s="925"/>
      <c r="O19" s="925"/>
      <c r="P19" s="962" t="s">
        <v>37</v>
      </c>
      <c r="Q19" s="925"/>
      <c r="R19" s="963" t="s">
        <v>37</v>
      </c>
      <c r="S19" s="925"/>
      <c r="T19" s="925"/>
      <c r="U19" s="925"/>
      <c r="V19" s="926"/>
    </row>
    <row r="20" spans="2:27">
      <c r="B20" s="924"/>
      <c r="C20" s="925"/>
      <c r="D20" s="940"/>
      <c r="E20" s="940"/>
      <c r="F20" s="2329"/>
      <c r="G20" s="2329"/>
      <c r="H20" s="2329"/>
      <c r="I20" s="2329"/>
      <c r="J20" s="2329"/>
      <c r="K20" s="948"/>
      <c r="L20" s="925"/>
      <c r="M20" s="964"/>
      <c r="N20" s="925"/>
      <c r="O20" s="925"/>
      <c r="P20" s="925"/>
      <c r="Q20" s="965"/>
      <c r="R20" s="965"/>
      <c r="S20" s="925"/>
      <c r="T20" s="937"/>
      <c r="U20" s="937"/>
      <c r="V20" s="926"/>
    </row>
    <row r="21" spans="2:27">
      <c r="B21" s="924"/>
      <c r="C21" s="925"/>
      <c r="D21" s="940"/>
      <c r="E21" s="925"/>
      <c r="F21" s="950" t="s">
        <v>37</v>
      </c>
      <c r="G21" s="925"/>
      <c r="H21" s="966"/>
      <c r="I21" s="966"/>
      <c r="J21" s="966"/>
      <c r="K21" s="940" t="s">
        <v>37</v>
      </c>
      <c r="L21" s="925"/>
      <c r="M21" s="964"/>
      <c r="N21" s="925"/>
      <c r="O21" s="925"/>
      <c r="P21" s="925"/>
      <c r="Q21" s="925"/>
      <c r="R21" s="959"/>
      <c r="S21" s="925"/>
      <c r="T21" s="965"/>
      <c r="U21" s="965"/>
      <c r="V21" s="926"/>
    </row>
    <row r="22" spans="2:27" ht="30.75">
      <c r="B22" s="924"/>
      <c r="C22" s="2318" t="str">
        <f>CONCATENATE(VLOOKUP(116,TRADUZIONI,DATI!C2-1,0),"(",VLOOKUP(97,TRADUZIONI,DATI!C2-1,0),"-30)")</f>
        <v>TAGLIO RETE(ALTEZZA-30)</v>
      </c>
      <c r="D22" s="2313"/>
      <c r="E22" s="2313"/>
      <c r="F22" s="967">
        <f>+P7-30</f>
        <v>1370</v>
      </c>
      <c r="G22" s="968"/>
      <c r="H22" s="969"/>
      <c r="I22" s="969"/>
      <c r="J22" s="969"/>
      <c r="K22" s="970"/>
      <c r="L22" s="925"/>
      <c r="M22" s="964"/>
      <c r="N22" s="925"/>
      <c r="O22" s="925"/>
      <c r="P22" s="966" t="s">
        <v>37</v>
      </c>
      <c r="Q22" s="925" t="s">
        <v>37</v>
      </c>
      <c r="R22" s="925"/>
      <c r="S22" s="925"/>
      <c r="T22" s="961"/>
      <c r="U22" s="961"/>
      <c r="V22" s="926"/>
    </row>
    <row r="23" spans="2:27">
      <c r="B23" s="924"/>
      <c r="C23" s="925"/>
      <c r="D23" s="940"/>
      <c r="E23" s="925"/>
      <c r="F23" s="950"/>
      <c r="G23" s="951"/>
      <c r="H23" s="966"/>
      <c r="I23" s="966"/>
      <c r="J23" s="966"/>
      <c r="K23" s="940"/>
      <c r="L23" s="925"/>
      <c r="M23" s="964"/>
      <c r="N23" s="925"/>
      <c r="O23" s="925"/>
      <c r="P23" s="966"/>
      <c r="Q23" s="925"/>
      <c r="R23" s="925"/>
      <c r="S23" s="925"/>
      <c r="T23" s="961"/>
      <c r="U23" s="961"/>
      <c r="V23" s="926"/>
    </row>
    <row r="24" spans="2:27">
      <c r="B24" s="924"/>
      <c r="C24" s="925"/>
      <c r="D24" s="940"/>
      <c r="E24" s="925"/>
      <c r="F24" s="950"/>
      <c r="G24" s="951"/>
      <c r="H24" s="966"/>
      <c r="I24" s="966"/>
      <c r="J24" s="966"/>
      <c r="K24" s="940"/>
      <c r="L24" s="925"/>
      <c r="M24" s="964"/>
      <c r="N24" s="925"/>
      <c r="O24" s="925"/>
      <c r="P24" s="966"/>
      <c r="Q24" s="925"/>
      <c r="R24" s="925"/>
      <c r="S24" s="925"/>
      <c r="T24" s="961"/>
      <c r="U24" s="961"/>
      <c r="V24" s="926"/>
    </row>
    <row r="25" spans="2:27">
      <c r="B25" s="924"/>
      <c r="C25" s="925"/>
      <c r="D25" s="940"/>
      <c r="E25" s="925"/>
      <c r="F25" s="950"/>
      <c r="G25" s="951"/>
      <c r="H25" s="966"/>
      <c r="I25" s="966"/>
      <c r="J25" s="966"/>
      <c r="K25" s="940"/>
      <c r="L25" s="925"/>
      <c r="M25" s="924"/>
      <c r="N25" s="925"/>
      <c r="O25" s="925"/>
      <c r="P25" s="966"/>
      <c r="Q25" s="925"/>
      <c r="R25" s="925"/>
      <c r="S25" s="925"/>
      <c r="T25" s="961"/>
      <c r="U25" s="961"/>
      <c r="V25" s="926"/>
    </row>
    <row r="26" spans="2:27">
      <c r="B26" s="924"/>
      <c r="C26" s="925"/>
      <c r="D26" s="940"/>
      <c r="E26" s="925"/>
      <c r="F26" s="950"/>
      <c r="G26" s="951"/>
      <c r="H26" s="966"/>
      <c r="I26" s="966"/>
      <c r="J26" s="966"/>
      <c r="K26" s="940"/>
      <c r="L26" s="925"/>
      <c r="M26" s="924"/>
      <c r="N26" s="925"/>
      <c r="O26" s="925"/>
      <c r="P26" s="925"/>
      <c r="Q26" s="925"/>
      <c r="R26" s="925"/>
      <c r="S26" s="940"/>
      <c r="T26" s="925"/>
      <c r="U26" s="925"/>
      <c r="V26" s="926"/>
    </row>
    <row r="27" spans="2:27" ht="30.75">
      <c r="B27" s="924"/>
      <c r="C27" s="971">
        <v>50</v>
      </c>
      <c r="D27" s="940"/>
      <c r="E27" s="925"/>
      <c r="F27" s="950"/>
      <c r="G27" s="951"/>
      <c r="H27" s="966"/>
      <c r="I27" s="966"/>
      <c r="J27" s="966"/>
      <c r="K27" s="940"/>
      <c r="L27" s="925"/>
      <c r="M27" s="924"/>
      <c r="N27" s="925"/>
      <c r="O27" s="925"/>
      <c r="P27" s="925"/>
      <c r="Q27" s="925"/>
      <c r="R27" s="925"/>
      <c r="S27" s="925"/>
      <c r="T27" s="925"/>
      <c r="U27" s="925"/>
      <c r="V27" s="926"/>
    </row>
    <row r="28" spans="2:27" ht="36" customHeight="1">
      <c r="B28" s="924"/>
      <c r="C28" s="972">
        <f>+C27+F40</f>
        <v>473</v>
      </c>
      <c r="D28" s="940"/>
      <c r="E28" s="925"/>
      <c r="F28" s="950"/>
      <c r="G28" s="951"/>
      <c r="H28" s="966"/>
      <c r="I28" s="966"/>
      <c r="J28" s="966"/>
      <c r="K28" s="940"/>
      <c r="L28" s="925"/>
      <c r="M28" s="924"/>
      <c r="N28" s="925"/>
      <c r="O28" s="925"/>
      <c r="P28" s="966" t="s">
        <v>37</v>
      </c>
      <c r="Q28" s="925"/>
      <c r="R28" s="925"/>
      <c r="S28" s="940"/>
      <c r="T28" s="925"/>
      <c r="U28" s="925"/>
      <c r="V28" s="926"/>
    </row>
    <row r="29" spans="2:27" ht="36" customHeight="1">
      <c r="B29" s="924"/>
      <c r="C29" s="925"/>
      <c r="D29" s="973">
        <f>IF(R16&gt;2,C28+F40,"")</f>
        <v>896</v>
      </c>
      <c r="E29" s="925"/>
      <c r="F29" s="950"/>
      <c r="G29" s="951"/>
      <c r="H29" s="966"/>
      <c r="I29" s="966"/>
      <c r="J29" s="966"/>
      <c r="K29" s="940"/>
      <c r="L29" s="925"/>
      <c r="M29" s="924"/>
      <c r="N29" s="925"/>
      <c r="O29" s="925"/>
      <c r="P29" s="925"/>
      <c r="Q29" s="925"/>
      <c r="R29" s="925"/>
      <c r="S29" s="925"/>
      <c r="T29" s="925"/>
      <c r="U29" s="925"/>
      <c r="V29" s="926"/>
    </row>
    <row r="30" spans="2:27" ht="36" customHeight="1">
      <c r="B30" s="924"/>
      <c r="C30" s="925"/>
      <c r="D30" s="940"/>
      <c r="E30" s="972">
        <f>IF(R16&gt;=4,D29+F40,"")</f>
        <v>1319</v>
      </c>
      <c r="F30" s="950"/>
      <c r="G30" s="951"/>
      <c r="H30" s="966"/>
      <c r="I30" s="966"/>
      <c r="J30" s="966"/>
      <c r="K30" s="940"/>
      <c r="L30" s="925"/>
      <c r="M30" s="924"/>
      <c r="N30" s="925"/>
      <c r="O30" s="925"/>
      <c r="P30" s="940" t="s">
        <v>37</v>
      </c>
      <c r="Q30" s="925"/>
      <c r="R30" s="925"/>
      <c r="S30" s="925"/>
      <c r="T30" s="925"/>
      <c r="U30" s="925"/>
      <c r="V30" s="926"/>
    </row>
    <row r="31" spans="2:27" ht="36" customHeight="1">
      <c r="B31" s="924"/>
      <c r="C31" s="925"/>
      <c r="D31" s="940"/>
      <c r="E31" s="925"/>
      <c r="F31" s="2330" t="str">
        <f>IF(R16&gt;=5,E30+F40,"")</f>
        <v/>
      </c>
      <c r="G31" s="2330"/>
      <c r="H31" s="966"/>
      <c r="I31" s="966"/>
      <c r="J31" s="966"/>
      <c r="K31" s="940"/>
      <c r="L31" s="925"/>
      <c r="M31" s="924"/>
      <c r="N31" s="925"/>
      <c r="O31" s="925"/>
      <c r="P31" s="925"/>
      <c r="Q31" s="925"/>
      <c r="R31" s="925"/>
      <c r="S31" s="925"/>
      <c r="T31" s="925"/>
      <c r="U31" s="925"/>
      <c r="V31" s="926"/>
    </row>
    <row r="32" spans="2:27" ht="36" customHeight="1">
      <c r="B32" s="924"/>
      <c r="C32" s="925"/>
      <c r="D32" s="940"/>
      <c r="E32" s="925"/>
      <c r="F32" s="950"/>
      <c r="G32" s="2331" t="str">
        <f>IF(R16&gt;=6,F31+F40,"")</f>
        <v/>
      </c>
      <c r="H32" s="2331"/>
      <c r="I32" s="966"/>
      <c r="J32" s="966"/>
      <c r="K32" s="940"/>
      <c r="L32" s="925"/>
      <c r="M32" s="924"/>
      <c r="N32" s="925"/>
      <c r="O32" s="925"/>
      <c r="P32" s="925"/>
      <c r="Q32" s="948"/>
      <c r="R32" s="925"/>
      <c r="S32" s="925"/>
      <c r="T32" s="925"/>
      <c r="U32" s="925"/>
      <c r="V32" s="926"/>
    </row>
    <row r="33" spans="2:27" ht="36" customHeight="1">
      <c r="B33" s="924"/>
      <c r="C33" s="925"/>
      <c r="D33" s="940"/>
      <c r="E33" s="925"/>
      <c r="F33" s="950"/>
      <c r="G33" s="951"/>
      <c r="H33" s="2317" t="str">
        <f>IF(R16&gt;=7,G32+F40,"")</f>
        <v/>
      </c>
      <c r="I33" s="2317"/>
      <c r="J33" s="966"/>
      <c r="K33" s="940"/>
      <c r="L33" s="925"/>
      <c r="M33" s="924"/>
      <c r="N33" s="925"/>
      <c r="O33" s="925"/>
      <c r="P33" s="925"/>
      <c r="Q33" s="925"/>
      <c r="R33" s="925"/>
      <c r="S33" s="925"/>
      <c r="T33" s="925"/>
      <c r="U33" s="925"/>
      <c r="V33" s="926"/>
    </row>
    <row r="34" spans="2:27" ht="36" customHeight="1">
      <c r="B34" s="924"/>
      <c r="C34" s="925"/>
      <c r="D34" s="940"/>
      <c r="E34" s="925"/>
      <c r="F34" s="950"/>
      <c r="G34" s="951"/>
      <c r="H34" s="966"/>
      <c r="I34" s="966"/>
      <c r="J34" s="2330" t="str">
        <f>IF(R16=8,H33+F40,"")</f>
        <v/>
      </c>
      <c r="K34" s="2330"/>
      <c r="L34" s="926"/>
      <c r="M34" s="925"/>
      <c r="N34" s="925"/>
      <c r="O34" s="974"/>
      <c r="P34" s="974"/>
      <c r="Q34" s="937"/>
      <c r="R34" s="925"/>
      <c r="S34" s="925"/>
      <c r="T34" s="925"/>
      <c r="U34" s="925"/>
      <c r="V34" s="926"/>
      <c r="X34" s="97"/>
      <c r="Y34" s="1138" t="str">
        <f>+VLOOKUP(149,TRADUZIONI,DATI!C2-1,0)</f>
        <v>CORDINI</v>
      </c>
    </row>
    <row r="35" spans="2:27" ht="30.75" customHeight="1">
      <c r="B35" s="924"/>
      <c r="C35" s="925"/>
      <c r="D35" s="940"/>
      <c r="E35" s="925"/>
      <c r="F35" s="950"/>
      <c r="G35" s="951"/>
      <c r="H35" s="966"/>
      <c r="I35" s="966"/>
      <c r="J35" s="966"/>
      <c r="K35" s="940"/>
      <c r="L35" s="926"/>
      <c r="M35" s="925"/>
      <c r="N35" s="975" t="str">
        <f>CONCATENATE(Z35,". 1-2 ",AA35,".      ",TEXT(ROUND((60*2+P7-60+R7+37-C27+60+150-20),-1),0))</f>
        <v>Nr. Cord. 1-2 LUNGHEZZA.      3840</v>
      </c>
      <c r="O35" s="975"/>
      <c r="P35" s="975"/>
      <c r="Q35" s="1080"/>
      <c r="R35" s="975"/>
      <c r="S35" s="975"/>
      <c r="T35" s="975"/>
      <c r="U35" s="975"/>
      <c r="V35" s="926"/>
      <c r="X35" s="1381">
        <v>2</v>
      </c>
      <c r="Y35" s="1361">
        <f>ROUND((60*2+P7-60+R7+37-C27+60+150-20),-1)</f>
        <v>3840</v>
      </c>
      <c r="Z35" s="97" t="str">
        <f>+VLOOKUP(144,TRADUZIONI,DATI!$C$2-1,0)</f>
        <v>Nr. Cord</v>
      </c>
      <c r="AA35" s="97" t="str">
        <f>+VLOOKUP(60,TRADUZIONI,DATI!$C$2-1,0)</f>
        <v>LUNGHEZZA</v>
      </c>
    </row>
    <row r="36" spans="2:27" ht="30.75" customHeight="1">
      <c r="B36" s="924"/>
      <c r="C36" s="2309" t="s">
        <v>91</v>
      </c>
      <c r="D36" s="2334"/>
      <c r="E36" s="2334"/>
      <c r="F36" s="2334"/>
      <c r="G36" s="2334"/>
      <c r="H36" s="2334"/>
      <c r="I36" s="2310"/>
      <c r="J36" s="966"/>
      <c r="K36" s="940"/>
      <c r="L36" s="926"/>
      <c r="M36" s="976"/>
      <c r="N36" s="977" t="str">
        <f>IF(R16&lt;=2,"NO",CONCATENATE(Z35,". 3-4 ",AA35,".      ",TEXT(ROUND((60*2+R7-60+F40+C27+30+150-20),-1),"0")))</f>
        <v>Nr. Cord. 3-4 LUNGHEZZA.      2890</v>
      </c>
      <c r="O36" s="978"/>
      <c r="P36" s="978"/>
      <c r="Q36" s="1078"/>
      <c r="R36" s="925"/>
      <c r="S36" s="925"/>
      <c r="T36" s="925"/>
      <c r="U36" s="925"/>
      <c r="V36" s="926"/>
      <c r="X36" s="1381">
        <v>4</v>
      </c>
      <c r="Y36" s="1362">
        <f>IF(R16&lt;=2,0,(ROUND((60*2+R7-60+F40+C27+30+150-20),-1)))</f>
        <v>2890</v>
      </c>
    </row>
    <row r="37" spans="2:27" ht="36" customHeight="1">
      <c r="B37" s="924"/>
      <c r="C37" s="2335" t="s">
        <v>118</v>
      </c>
      <c r="D37" s="2336"/>
      <c r="E37" s="2336"/>
      <c r="F37" s="2336"/>
      <c r="G37" s="2336"/>
      <c r="H37" s="2336"/>
      <c r="I37" s="2337"/>
      <c r="J37" s="925"/>
      <c r="K37" s="925"/>
      <c r="L37" s="926"/>
      <c r="M37" s="980"/>
      <c r="N37" s="975" t="str">
        <f>IF(R16&lt;=4,"NO",CONCATENATE("Cord. 5-6 lung.      ",TEXT(ROUND((60*2+R7-60+2*F40+C27+30+150-20),-1),"0")))</f>
        <v>NO</v>
      </c>
      <c r="O37" s="975"/>
      <c r="P37" s="975"/>
      <c r="Q37" s="1079"/>
      <c r="R37" s="937"/>
      <c r="S37" s="940"/>
      <c r="T37" s="925"/>
      <c r="U37" s="925"/>
      <c r="V37" s="981"/>
      <c r="X37" s="1381">
        <v>6</v>
      </c>
      <c r="Y37" s="1362">
        <f>IF(R16&lt;=4,0,ROUND((60*2+R7-60+2*F40+C27+30+150-20),-1))</f>
        <v>0</v>
      </c>
    </row>
    <row r="38" spans="2:27" ht="33" customHeight="1">
      <c r="B38" s="924"/>
      <c r="C38" s="2311"/>
      <c r="D38" s="2338"/>
      <c r="E38" s="2338"/>
      <c r="F38" s="2338"/>
      <c r="G38" s="2338"/>
      <c r="H38" s="2338"/>
      <c r="I38" s="2312"/>
      <c r="J38" s="925"/>
      <c r="K38" s="925"/>
      <c r="L38" s="926"/>
      <c r="M38" s="980"/>
      <c r="N38" s="975" t="str">
        <f>IF(R16&lt;=6,"",CONCATENATE("Cord. 7-8 lung.      ",TEXT(ROUND((60*2+R7-60+3*F40+C27+30+150-20),-1),"0")))</f>
        <v/>
      </c>
      <c r="O38" s="978"/>
      <c r="P38" s="975"/>
      <c r="Q38" s="950"/>
      <c r="R38" s="937"/>
      <c r="S38" s="940"/>
      <c r="T38" s="925"/>
      <c r="U38" s="925"/>
      <c r="V38" s="981"/>
      <c r="X38" s="1381">
        <v>8</v>
      </c>
      <c r="Y38" s="1362">
        <f>IF(R16&lt;=6,0,ROUND((60*2+R7-60+3*F40+C27+30+150-20),-1))</f>
        <v>0</v>
      </c>
    </row>
    <row r="39" spans="2:27" ht="21.75" customHeight="1">
      <c r="B39" s="924"/>
      <c r="C39" s="925"/>
      <c r="D39" s="925"/>
      <c r="E39" s="925"/>
      <c r="F39" s="925"/>
      <c r="G39" s="925"/>
      <c r="H39" s="925"/>
      <c r="I39" s="925"/>
      <c r="J39" s="925"/>
      <c r="K39" s="925"/>
      <c r="L39" s="926"/>
      <c r="M39" s="982"/>
      <c r="N39" s="937"/>
      <c r="O39" s="983"/>
      <c r="P39" s="983"/>
      <c r="Q39" s="950"/>
      <c r="R39" s="937"/>
      <c r="S39" s="940"/>
      <c r="T39" s="925"/>
      <c r="U39" s="925"/>
      <c r="V39" s="981"/>
    </row>
    <row r="40" spans="2:27" ht="28.5">
      <c r="B40" s="924"/>
      <c r="C40" s="2318" t="str">
        <f>+VLOOKUP(41,TRADUZIONI,DATI!$C$2-1,0)</f>
        <v>DIST.STD TRA FORI RETE</v>
      </c>
      <c r="D40" s="2339"/>
      <c r="E40" s="2339"/>
      <c r="F40" s="984">
        <f>ROUND((F22-50*2)/(R16-1),0)</f>
        <v>423</v>
      </c>
      <c r="G40" s="2340"/>
      <c r="H40" s="2340"/>
      <c r="I40" s="2340"/>
      <c r="J40" s="2340"/>
      <c r="K40" s="2341"/>
      <c r="L40" s="926"/>
      <c r="M40" s="2258" t="str">
        <f>+VLOOKUP(128,TRADUZIONI,DATI!$C$2-1,0)</f>
        <v>INFILARE I CORDINI SENZA TAGLIARLI</v>
      </c>
      <c r="N40" s="2259"/>
      <c r="O40" s="2259"/>
      <c r="P40" s="2259"/>
      <c r="Q40" s="2259"/>
      <c r="R40" s="2259"/>
      <c r="S40" s="2259"/>
      <c r="T40" s="2259"/>
      <c r="U40" s="2259"/>
      <c r="V40" s="2260"/>
    </row>
    <row r="41" spans="2:27" ht="28.5">
      <c r="B41" s="924"/>
      <c r="C41" s="979"/>
      <c r="D41" s="985"/>
      <c r="E41" s="985"/>
      <c r="F41" s="986"/>
      <c r="G41" s="987"/>
      <c r="H41" s="987"/>
      <c r="I41" s="987"/>
      <c r="J41" s="987"/>
      <c r="K41" s="987"/>
      <c r="L41" s="925"/>
      <c r="M41" s="2342" t="s">
        <v>83</v>
      </c>
      <c r="N41" s="2343"/>
      <c r="O41" s="2343"/>
      <c r="P41" s="2343"/>
      <c r="Q41" s="2343"/>
      <c r="R41" s="2343"/>
      <c r="S41" s="2343"/>
      <c r="T41" s="2343"/>
      <c r="U41" s="2343"/>
      <c r="V41" s="2344"/>
    </row>
    <row r="42" spans="2:27" ht="15.75" thickBot="1">
      <c r="B42" s="988"/>
      <c r="C42" s="945"/>
      <c r="D42" s="945"/>
      <c r="E42" s="945"/>
      <c r="F42" s="945"/>
      <c r="G42" s="945"/>
      <c r="H42" s="945"/>
      <c r="I42" s="945"/>
      <c r="J42" s="945"/>
      <c r="K42" s="945"/>
      <c r="L42" s="945"/>
      <c r="M42" s="988"/>
      <c r="N42" s="989"/>
      <c r="O42" s="945"/>
      <c r="P42" s="945"/>
      <c r="Q42" s="945"/>
      <c r="R42" s="945"/>
      <c r="S42" s="945"/>
      <c r="T42" s="990"/>
      <c r="U42" s="990"/>
      <c r="V42" s="991"/>
    </row>
    <row r="43" spans="2:27" ht="44.25" customHeight="1">
      <c r="B43" s="919"/>
      <c r="C43" s="920" t="str">
        <f>+VLOOKUP(139,TRADUZIONI,DATI!$C$2-1,0)</f>
        <v>QUADRO D</v>
      </c>
      <c r="D43" s="2325" t="str">
        <f>+VLOOKUP(113,TRADUZIONI,DATI!$C$2-1,0)</f>
        <v>CONTROLLO CORDINI - POST ASSEMBLAGGIO</v>
      </c>
      <c r="E43" s="2325"/>
      <c r="F43" s="2325"/>
      <c r="G43" s="2325"/>
      <c r="H43" s="2325"/>
      <c r="I43" s="2325"/>
      <c r="J43" s="2325"/>
      <c r="K43" s="2325"/>
      <c r="L43" s="2326"/>
      <c r="M43" s="919"/>
      <c r="N43" s="920" t="str">
        <f>+VLOOKUP(140,TRADUZIONI,DATI!$C$2-1,0)</f>
        <v>QUADRO E</v>
      </c>
      <c r="O43" s="2327" t="s">
        <v>59</v>
      </c>
      <c r="P43" s="2327"/>
      <c r="Q43" s="2327"/>
      <c r="R43" s="2327"/>
      <c r="S43" s="2327"/>
      <c r="T43" s="2327"/>
      <c r="U43" s="2327"/>
      <c r="V43" s="2328"/>
    </row>
    <row r="44" spans="2:27" ht="31.5" customHeight="1">
      <c r="B44" s="992"/>
      <c r="C44" s="993"/>
      <c r="D44" s="993"/>
      <c r="E44" s="993"/>
      <c r="F44" s="993"/>
      <c r="G44" s="993"/>
      <c r="H44" s="993"/>
      <c r="I44" s="993"/>
      <c r="J44" s="993"/>
      <c r="K44" s="993"/>
      <c r="L44" s="993"/>
      <c r="M44" s="994"/>
      <c r="N44" s="995"/>
      <c r="O44" s="996"/>
      <c r="P44" s="996"/>
      <c r="Q44" s="996"/>
      <c r="R44" s="996"/>
      <c r="S44" s="925"/>
      <c r="T44" s="944"/>
      <c r="U44" s="944"/>
      <c r="V44" s="997"/>
    </row>
    <row r="45" spans="2:27" ht="27.75">
      <c r="B45" s="992"/>
      <c r="C45" s="993"/>
      <c r="D45" s="993"/>
      <c r="E45" s="993"/>
      <c r="F45" s="993"/>
      <c r="G45" s="998" t="s">
        <v>85</v>
      </c>
      <c r="H45" s="993"/>
      <c r="I45" s="993"/>
      <c r="J45" s="993"/>
      <c r="K45" s="993"/>
      <c r="L45" s="993"/>
      <c r="M45" s="994"/>
      <c r="N45" s="2345" t="s">
        <v>498</v>
      </c>
      <c r="O45" s="2346"/>
      <c r="P45" s="2346"/>
      <c r="Q45" s="2346"/>
      <c r="R45" s="2346"/>
      <c r="S45" s="2346"/>
      <c r="T45" s="2347"/>
      <c r="V45" s="997"/>
    </row>
    <row r="46" spans="2:27" ht="31.5" customHeight="1">
      <c r="B46" s="992"/>
      <c r="C46" s="999" t="s">
        <v>119</v>
      </c>
      <c r="D46" s="1000">
        <f>+R7</f>
        <v>2200</v>
      </c>
      <c r="E46" s="1001" t="s">
        <v>129</v>
      </c>
      <c r="F46" s="1001" t="s">
        <v>89</v>
      </c>
      <c r="G46" s="1002">
        <f>+D46+E46</f>
        <v>2650</v>
      </c>
      <c r="H46" s="1003"/>
      <c r="I46" s="993"/>
      <c r="J46" s="993"/>
      <c r="K46" s="993"/>
      <c r="L46" s="993"/>
      <c r="M46" s="994"/>
      <c r="N46" s="995"/>
      <c r="V46" s="997"/>
    </row>
    <row r="47" spans="2:27" ht="31.5" thickBot="1">
      <c r="B47" s="992"/>
      <c r="C47" s="993"/>
      <c r="D47" s="993"/>
      <c r="E47" s="993"/>
      <c r="F47" s="993"/>
      <c r="G47" s="993"/>
      <c r="H47" s="993"/>
      <c r="I47" s="993"/>
      <c r="J47" s="993"/>
      <c r="K47" s="993"/>
      <c r="L47" s="993"/>
      <c r="M47" s="1004"/>
      <c r="N47" s="1005" t="str">
        <f>+VLOOKUP(78,TRADUZIONI,DATI!C2-1,0)</f>
        <v>PEZZI /PZ.</v>
      </c>
      <c r="O47" s="967">
        <f>1*P11</f>
        <v>1</v>
      </c>
      <c r="P47" s="2348" t="s">
        <v>333</v>
      </c>
      <c r="Q47" s="2348"/>
      <c r="R47" s="2348"/>
      <c r="S47" s="2348"/>
      <c r="T47" s="2349"/>
      <c r="U47" s="944"/>
      <c r="V47" s="1006"/>
    </row>
    <row r="48" spans="2:27" ht="18.75">
      <c r="B48" s="1007"/>
      <c r="C48" s="1008"/>
      <c r="D48" s="1008"/>
      <c r="E48" s="1008"/>
      <c r="F48" s="1008"/>
      <c r="G48" s="1008"/>
      <c r="H48" s="1008"/>
      <c r="I48" s="1008"/>
      <c r="J48" s="1008"/>
      <c r="K48" s="1008"/>
      <c r="L48" s="1009"/>
      <c r="M48" s="994"/>
      <c r="N48" s="996"/>
      <c r="O48" s="996"/>
      <c r="P48" s="996"/>
      <c r="Q48" s="996"/>
      <c r="R48" s="925"/>
      <c r="S48" s="944"/>
      <c r="T48" s="944"/>
      <c r="U48" s="944"/>
      <c r="V48" s="997"/>
    </row>
    <row r="49" spans="2:22" ht="30.75">
      <c r="B49" s="1010"/>
      <c r="C49" s="2350" t="str">
        <f>+IF(DATI!$C$11=1,"","RETE GRIGIA")</f>
        <v>RETE GRIGIA</v>
      </c>
      <c r="D49" s="2350"/>
      <c r="E49" s="2350"/>
      <c r="F49" s="2350"/>
      <c r="G49" s="2350"/>
      <c r="H49" s="2350"/>
      <c r="I49" s="2350"/>
      <c r="J49" s="2350"/>
      <c r="K49" s="1011"/>
      <c r="L49" s="1011"/>
      <c r="M49" s="1012"/>
      <c r="N49" s="1005" t="s">
        <v>761</v>
      </c>
      <c r="O49" s="1013"/>
      <c r="P49" s="928"/>
      <c r="Q49" s="928"/>
      <c r="R49" s="2332">
        <f>+P7-30</f>
        <v>1370</v>
      </c>
      <c r="S49" s="2333"/>
      <c r="T49" s="944"/>
      <c r="U49" s="944"/>
      <c r="V49" s="1015"/>
    </row>
    <row r="50" spans="2:22" ht="18.75">
      <c r="B50" s="1010"/>
      <c r="C50" s="2350"/>
      <c r="D50" s="2350"/>
      <c r="E50" s="2350"/>
      <c r="F50" s="2350"/>
      <c r="G50" s="2350"/>
      <c r="H50" s="2350"/>
      <c r="I50" s="2350"/>
      <c r="J50" s="2350"/>
      <c r="K50" s="1011"/>
      <c r="L50" s="1011"/>
      <c r="M50" s="994"/>
      <c r="N50" s="996"/>
      <c r="O50" s="996"/>
      <c r="P50" s="996"/>
      <c r="Q50" s="996"/>
      <c r="R50" s="925"/>
      <c r="S50" s="944"/>
      <c r="T50" s="944"/>
      <c r="U50" s="944"/>
      <c r="V50" s="997"/>
    </row>
    <row r="51" spans="2:22" ht="31.5" thickBot="1">
      <c r="B51" s="1010"/>
      <c r="C51" s="1011"/>
      <c r="D51" s="1011"/>
      <c r="E51" s="1011"/>
      <c r="F51" s="1011"/>
      <c r="G51" s="1011"/>
      <c r="H51" s="1011"/>
      <c r="I51" s="1011"/>
      <c r="J51" s="1011"/>
      <c r="K51" s="1011"/>
      <c r="L51" s="1011"/>
      <c r="M51" s="994"/>
      <c r="N51" s="1005" t="s">
        <v>67</v>
      </c>
      <c r="O51" s="1013"/>
      <c r="P51" s="928"/>
      <c r="Q51" s="928"/>
      <c r="R51" s="2332">
        <f>+P7-30</f>
        <v>1370</v>
      </c>
      <c r="S51" s="2333"/>
      <c r="T51" s="944"/>
      <c r="U51" s="944"/>
      <c r="V51" s="997"/>
    </row>
    <row r="52" spans="2:22" ht="44.25" customHeight="1">
      <c r="B52" s="919"/>
      <c r="C52" s="920" t="str">
        <f>+VLOOKUP(141,TRADUZIONI,DATI!$C$2-1,0)</f>
        <v>QUADRO F</v>
      </c>
      <c r="D52" s="2325" t="s">
        <v>90</v>
      </c>
      <c r="E52" s="2325"/>
      <c r="F52" s="2325"/>
      <c r="G52" s="2325"/>
      <c r="H52" s="2325"/>
      <c r="I52" s="2325"/>
      <c r="J52" s="2325"/>
      <c r="K52" s="2325"/>
      <c r="L52" s="2326"/>
      <c r="M52" s="994"/>
      <c r="N52" s="1016"/>
      <c r="O52" s="1016"/>
      <c r="P52" s="925"/>
      <c r="Q52" s="925"/>
      <c r="R52" s="972"/>
      <c r="S52" s="972"/>
      <c r="T52" s="944"/>
      <c r="U52" s="944"/>
      <c r="V52" s="997"/>
    </row>
    <row r="53" spans="2:22" ht="30.75">
      <c r="B53" s="924"/>
      <c r="C53" s="925"/>
      <c r="D53" s="925"/>
      <c r="E53" s="925"/>
      <c r="F53" s="925"/>
      <c r="G53" s="925"/>
      <c r="H53" s="925"/>
      <c r="I53" s="925"/>
      <c r="J53" s="925"/>
      <c r="K53" s="925"/>
      <c r="L53" s="926"/>
      <c r="M53" s="994"/>
      <c r="N53" s="1016"/>
      <c r="O53" s="1016"/>
      <c r="P53" s="925"/>
      <c r="Q53" s="925"/>
      <c r="R53" s="972"/>
      <c r="S53" s="972"/>
      <c r="T53" s="944"/>
      <c r="U53" s="944"/>
      <c r="V53" s="997"/>
    </row>
    <row r="54" spans="2:22" ht="30.75">
      <c r="B54" s="924"/>
      <c r="C54" s="1017" t="s">
        <v>92</v>
      </c>
      <c r="D54" s="1018"/>
      <c r="E54" s="1019"/>
      <c r="F54" s="925"/>
      <c r="G54" s="1020"/>
      <c r="H54" s="925"/>
      <c r="I54" s="925"/>
      <c r="J54" s="925"/>
      <c r="K54" s="925"/>
      <c r="L54" s="926"/>
      <c r="M54" s="994"/>
      <c r="N54" s="1016"/>
      <c r="O54" s="1016"/>
      <c r="P54" s="925"/>
      <c r="Q54" s="925"/>
      <c r="R54" s="972"/>
      <c r="S54" s="972"/>
      <c r="T54" s="944"/>
      <c r="U54" s="944"/>
      <c r="V54" s="997"/>
    </row>
    <row r="55" spans="2:22" ht="29.25" thickBot="1">
      <c r="B55" s="924"/>
      <c r="C55" s="1017"/>
      <c r="D55" s="1018"/>
      <c r="E55" s="1019"/>
      <c r="F55" s="925"/>
      <c r="G55" s="1020"/>
      <c r="H55" s="925"/>
      <c r="I55" s="925"/>
      <c r="J55" s="925"/>
      <c r="K55" s="925"/>
      <c r="L55" s="926"/>
      <c r="M55" s="994"/>
      <c r="N55" s="995"/>
      <c r="O55" s="996"/>
      <c r="P55" s="996"/>
      <c r="Q55" s="996"/>
      <c r="R55" s="996"/>
      <c r="S55" s="996"/>
      <c r="T55" s="996"/>
      <c r="U55" s="996"/>
      <c r="V55" s="997"/>
    </row>
    <row r="56" spans="2:22" ht="28.5">
      <c r="B56" s="924"/>
      <c r="C56" s="1025"/>
      <c r="D56" s="1026" t="s">
        <v>94</v>
      </c>
      <c r="E56" s="925"/>
      <c r="F56" s="1020"/>
      <c r="G56" s="1020"/>
      <c r="H56" s="925"/>
      <c r="I56" s="925"/>
      <c r="J56" s="925"/>
      <c r="K56" s="925"/>
      <c r="L56" s="925"/>
      <c r="M56" s="1398"/>
      <c r="N56" s="1405"/>
      <c r="O56" s="1406"/>
      <c r="P56" s="1406"/>
      <c r="Q56" s="1406"/>
      <c r="R56" s="1406"/>
      <c r="S56" s="1407"/>
      <c r="T56" s="1400"/>
      <c r="U56" s="1400"/>
      <c r="V56" s="1401"/>
    </row>
    <row r="57" spans="2:22" ht="28.5">
      <c r="B57" s="924"/>
      <c r="C57" s="1027"/>
      <c r="D57" s="1026" t="s">
        <v>95</v>
      </c>
      <c r="E57" s="925"/>
      <c r="F57" s="950"/>
      <c r="G57" s="937"/>
      <c r="H57" s="925"/>
      <c r="I57" s="925"/>
      <c r="J57" s="925"/>
      <c r="K57" s="925"/>
      <c r="L57" s="925"/>
      <c r="M57" s="994"/>
      <c r="N57" s="2492"/>
      <c r="O57" s="2492"/>
      <c r="P57" s="2492"/>
      <c r="Q57" s="2492"/>
      <c r="R57" s="2492"/>
      <c r="S57" s="2492"/>
      <c r="T57" s="2492"/>
      <c r="U57" s="1028"/>
      <c r="V57" s="997"/>
    </row>
    <row r="58" spans="2:22" ht="28.5">
      <c r="B58" s="924"/>
      <c r="C58" s="1027"/>
      <c r="D58" s="1026" t="s">
        <v>96</v>
      </c>
      <c r="E58" s="925"/>
      <c r="F58" s="950"/>
      <c r="G58" s="937"/>
      <c r="H58" s="925"/>
      <c r="I58" s="925"/>
      <c r="J58" s="925"/>
      <c r="K58" s="925"/>
      <c r="L58" s="925"/>
      <c r="M58" s="994"/>
      <c r="N58" s="996"/>
      <c r="O58" s="996"/>
      <c r="P58" s="996"/>
      <c r="Q58" s="996"/>
      <c r="R58" s="925"/>
      <c r="S58" s="944"/>
      <c r="T58" s="944"/>
      <c r="U58" s="944"/>
      <c r="V58" s="997"/>
    </row>
    <row r="59" spans="2:22" ht="30.75">
      <c r="B59" s="1029"/>
      <c r="C59" s="1030"/>
      <c r="D59" s="1031"/>
      <c r="E59" s="1031"/>
      <c r="F59" s="1031"/>
      <c r="G59" s="1031"/>
      <c r="H59" s="1031"/>
      <c r="I59" s="1031"/>
      <c r="J59" s="1031"/>
      <c r="K59" s="1031"/>
      <c r="L59" s="1031"/>
      <c r="M59" s="994"/>
      <c r="N59" s="1397"/>
      <c r="O59" s="972"/>
      <c r="P59" s="1034"/>
      <c r="Q59" s="1034"/>
      <c r="R59" s="925"/>
      <c r="S59" s="944"/>
      <c r="T59" s="944"/>
      <c r="U59" s="944"/>
      <c r="V59" s="997"/>
    </row>
    <row r="60" spans="2:22" ht="21">
      <c r="B60" s="1035" t="s">
        <v>37</v>
      </c>
      <c r="C60" s="1036"/>
      <c r="D60" s="1036"/>
      <c r="E60" s="1036"/>
      <c r="F60" s="1036"/>
      <c r="G60" s="1036"/>
      <c r="H60" s="1036"/>
      <c r="I60" s="1036"/>
      <c r="J60" s="1036"/>
      <c r="K60" s="1036"/>
      <c r="L60" s="1036"/>
      <c r="M60" s="994"/>
      <c r="N60" s="996"/>
      <c r="O60" s="996"/>
      <c r="P60" s="996"/>
      <c r="Q60" s="996"/>
      <c r="R60" s="925"/>
      <c r="S60" s="944"/>
      <c r="T60" s="944"/>
      <c r="U60" s="944"/>
      <c r="V60" s="997"/>
    </row>
    <row r="61" spans="2:22" ht="30.75">
      <c r="B61" s="1038" t="s">
        <v>37</v>
      </c>
      <c r="C61" s="1039"/>
      <c r="D61" s="1040" t="s">
        <v>98</v>
      </c>
      <c r="E61" s="1040" t="s">
        <v>99</v>
      </c>
      <c r="F61" s="1040" t="s">
        <v>100</v>
      </c>
      <c r="G61" s="1039"/>
      <c r="H61" s="1039"/>
      <c r="I61" s="1039"/>
      <c r="J61" s="1039"/>
      <c r="K61" s="1039"/>
      <c r="L61" s="1039"/>
      <c r="M61" s="994"/>
      <c r="N61" s="2336"/>
      <c r="O61" s="2336"/>
      <c r="P61" s="2336"/>
      <c r="Q61" s="2336"/>
      <c r="R61" s="2331"/>
      <c r="S61" s="2331"/>
      <c r="T61" s="944"/>
      <c r="U61" s="944"/>
      <c r="V61" s="997"/>
    </row>
    <row r="62" spans="2:22" ht="21">
      <c r="B62" s="1042"/>
      <c r="C62" s="1039"/>
      <c r="D62" s="1043" t="s">
        <v>44</v>
      </c>
      <c r="E62" s="1044"/>
      <c r="F62" s="1044"/>
      <c r="G62" s="1045"/>
      <c r="H62" s="1039"/>
      <c r="I62" s="1039"/>
      <c r="J62" s="1039"/>
      <c r="K62" s="1039"/>
      <c r="L62" s="1039"/>
      <c r="M62" s="994"/>
      <c r="N62" s="996"/>
      <c r="O62" s="996"/>
      <c r="P62" s="996"/>
      <c r="Q62" s="996"/>
      <c r="R62" s="925"/>
      <c r="S62" s="944"/>
      <c r="T62" s="944"/>
      <c r="U62" s="944"/>
      <c r="V62" s="997"/>
    </row>
    <row r="63" spans="2:22" ht="21">
      <c r="B63" s="1046"/>
      <c r="C63" s="1039"/>
      <c r="D63" s="1047">
        <v>0.05</v>
      </c>
      <c r="E63" s="1048">
        <v>0.17499999999999999</v>
      </c>
      <c r="F63" s="1049" t="s">
        <v>102</v>
      </c>
      <c r="G63" s="1048">
        <f>(R7+300)/1000</f>
        <v>2.5</v>
      </c>
      <c r="H63" s="1039"/>
      <c r="I63" s="1039"/>
      <c r="J63" s="1039"/>
      <c r="K63" s="1039"/>
      <c r="L63" s="1039"/>
      <c r="M63" s="994"/>
      <c r="N63" s="996"/>
      <c r="O63" s="996"/>
      <c r="P63" s="996"/>
      <c r="Q63" s="996"/>
      <c r="R63" s="925"/>
      <c r="S63" s="944"/>
      <c r="T63" s="944"/>
      <c r="U63" s="944"/>
      <c r="V63" s="997"/>
    </row>
    <row r="64" spans="2:22" ht="21.75" thickBot="1">
      <c r="B64" s="1050"/>
      <c r="C64" s="1039"/>
      <c r="D64" s="1047" t="s">
        <v>103</v>
      </c>
      <c r="E64" s="1047"/>
      <c r="F64" s="1048" t="str">
        <f>P11</f>
        <v>1</v>
      </c>
      <c r="G64" s="1047" t="s">
        <v>104</v>
      </c>
      <c r="H64" s="1039"/>
      <c r="I64" s="1039"/>
      <c r="J64" s="1039"/>
      <c r="K64" s="1039"/>
      <c r="L64" s="1039"/>
      <c r="M64" s="1402"/>
      <c r="N64" s="1408"/>
      <c r="O64" s="1403"/>
      <c r="P64" s="1403"/>
      <c r="Q64" s="1403"/>
      <c r="R64" s="1403"/>
      <c r="S64" s="1403"/>
      <c r="T64" s="1403"/>
      <c r="U64" s="1403"/>
      <c r="V64" s="1404"/>
    </row>
    <row r="65" spans="2:22" ht="21.75" thickBot="1">
      <c r="B65" s="1055"/>
      <c r="C65" s="1056"/>
      <c r="D65" s="1057" t="s">
        <v>105</v>
      </c>
      <c r="E65" s="1057"/>
      <c r="F65" s="1058">
        <f>(D63*E63*G63)*F64</f>
        <v>2.1874999999999999E-2</v>
      </c>
      <c r="G65" s="1057" t="s">
        <v>106</v>
      </c>
      <c r="H65" s="1056"/>
      <c r="I65" s="1056"/>
      <c r="J65" s="1056"/>
      <c r="K65" s="1056"/>
      <c r="L65" s="1059"/>
      <c r="M65" s="994"/>
      <c r="N65" s="995"/>
      <c r="O65" s="996"/>
      <c r="P65" s="996"/>
      <c r="Q65" s="996"/>
      <c r="R65" s="996"/>
      <c r="S65" s="925"/>
      <c r="T65" s="944"/>
      <c r="U65" s="944"/>
      <c r="V65" s="997"/>
    </row>
    <row r="66" spans="2:22" ht="44.25" customHeight="1">
      <c r="B66" s="919"/>
      <c r="C66" s="920" t="str">
        <f>+VLOOKUP(142,TRADUZIONI,DATI!$C$2-1,0)</f>
        <v>QUADRO G</v>
      </c>
      <c r="D66" s="2355" t="s">
        <v>108</v>
      </c>
      <c r="E66" s="2355"/>
      <c r="F66" s="2355"/>
      <c r="G66" s="2355"/>
      <c r="H66" s="2355"/>
      <c r="I66" s="2355"/>
      <c r="J66" s="2355"/>
      <c r="K66" s="2355"/>
      <c r="L66" s="2356"/>
      <c r="M66" s="994"/>
      <c r="N66" s="2345" t="s">
        <v>111</v>
      </c>
      <c r="O66" s="2346"/>
      <c r="P66" s="2346"/>
      <c r="Q66" s="2346"/>
      <c r="R66" s="2346"/>
      <c r="S66" s="2346"/>
      <c r="T66" s="2347"/>
      <c r="U66" s="1028"/>
      <c r="V66" s="997"/>
    </row>
    <row r="67" spans="2:22" ht="21">
      <c r="B67" s="2363" t="s">
        <v>109</v>
      </c>
      <c r="C67" s="2364"/>
      <c r="D67" s="2364"/>
      <c r="E67" s="2365"/>
      <c r="F67" s="2366" t="s">
        <v>110</v>
      </c>
      <c r="G67" s="2364"/>
      <c r="H67" s="2364"/>
      <c r="I67" s="2364"/>
      <c r="J67" s="2364"/>
      <c r="K67" s="2364"/>
      <c r="L67" s="2367"/>
      <c r="M67" s="994"/>
      <c r="N67" s="996"/>
      <c r="O67" s="996"/>
      <c r="P67" s="996"/>
      <c r="Q67" s="996"/>
      <c r="R67" s="925"/>
      <c r="S67" s="925"/>
      <c r="T67" s="925"/>
      <c r="U67" s="925"/>
      <c r="V67" s="997"/>
    </row>
    <row r="68" spans="2:22" ht="30.75">
      <c r="B68" s="2368" t="s">
        <v>112</v>
      </c>
      <c r="C68" s="2369"/>
      <c r="D68" s="2353" t="s">
        <v>113</v>
      </c>
      <c r="E68" s="2354"/>
      <c r="F68" s="2357">
        <f>+DATI!C12</f>
        <v>0</v>
      </c>
      <c r="G68" s="2358"/>
      <c r="H68" s="2358"/>
      <c r="I68" s="2358"/>
      <c r="J68" s="2358"/>
      <c r="K68" s="2358"/>
      <c r="L68" s="2359"/>
      <c r="M68" s="994"/>
      <c r="N68" s="1033" t="str">
        <f>+VLOOKUP(78,TRADUZIONI,DATI!C2-1,0)</f>
        <v>PEZZI /PZ.</v>
      </c>
      <c r="O68" s="1014">
        <f>2*P11</f>
        <v>2</v>
      </c>
      <c r="P68" s="1034"/>
      <c r="Q68" s="1034"/>
      <c r="R68" s="925"/>
      <c r="S68" s="925"/>
      <c r="T68" s="925"/>
      <c r="U68" s="925"/>
      <c r="V68" s="997"/>
    </row>
    <row r="69" spans="2:22" ht="18.75">
      <c r="B69" s="2370"/>
      <c r="C69" s="2371"/>
      <c r="D69" s="2374"/>
      <c r="E69" s="2375"/>
      <c r="F69" s="2360"/>
      <c r="G69" s="2361"/>
      <c r="H69" s="2361"/>
      <c r="I69" s="2361"/>
      <c r="J69" s="2361"/>
      <c r="K69" s="2361"/>
      <c r="L69" s="2362"/>
      <c r="M69" s="994"/>
      <c r="N69" s="996"/>
      <c r="O69" s="996"/>
      <c r="P69" s="996"/>
      <c r="Q69" s="996"/>
      <c r="R69" s="925"/>
      <c r="S69" s="925"/>
      <c r="T69" s="925"/>
      <c r="U69" s="925"/>
      <c r="V69" s="997"/>
    </row>
    <row r="70" spans="2:22" ht="28.5">
      <c r="B70" s="2370"/>
      <c r="C70" s="2371"/>
      <c r="D70" s="2374"/>
      <c r="E70" s="2375"/>
      <c r="F70" s="2366" t="s">
        <v>114</v>
      </c>
      <c r="G70" s="2364"/>
      <c r="H70" s="2364"/>
      <c r="I70" s="2364"/>
      <c r="J70" s="2364"/>
      <c r="K70" s="2366" t="s">
        <v>115</v>
      </c>
      <c r="L70" s="2367"/>
      <c r="M70" s="994"/>
      <c r="N70" s="1005" t="s">
        <v>942</v>
      </c>
      <c r="O70" s="1013"/>
      <c r="P70" s="928"/>
      <c r="Q70" s="928"/>
      <c r="R70" s="2351">
        <f>+R7-3</f>
        <v>2197</v>
      </c>
      <c r="S70" s="2352"/>
      <c r="T70" s="925"/>
      <c r="U70" s="925"/>
      <c r="V70" s="997"/>
    </row>
    <row r="71" spans="2:22" ht="21">
      <c r="B71" s="2370"/>
      <c r="C71" s="2371"/>
      <c r="D71" s="2374"/>
      <c r="E71" s="2375"/>
      <c r="F71" s="2357" t="str">
        <f>+IF(DATI!$C$11=1,"","RETE GRIGIA")</f>
        <v>RETE GRIGIA</v>
      </c>
      <c r="G71" s="2358"/>
      <c r="H71" s="2358"/>
      <c r="I71" s="2358"/>
      <c r="J71" s="2358"/>
      <c r="K71" s="1060"/>
      <c r="L71" s="1041"/>
      <c r="M71" s="994"/>
      <c r="N71" s="995"/>
      <c r="O71" s="996"/>
      <c r="P71" s="996"/>
      <c r="Q71" s="996"/>
      <c r="R71" s="996"/>
      <c r="S71" s="996"/>
      <c r="T71" s="996"/>
      <c r="U71" s="996"/>
      <c r="V71" s="997"/>
    </row>
    <row r="72" spans="2:22" ht="21.75" thickBot="1">
      <c r="B72" s="2372"/>
      <c r="C72" s="2373"/>
      <c r="D72" s="2376"/>
      <c r="E72" s="2377"/>
      <c r="F72" s="2376"/>
      <c r="G72" s="2373"/>
      <c r="H72" s="2373"/>
      <c r="I72" s="2373"/>
      <c r="J72" s="2373"/>
      <c r="K72" s="1061"/>
      <c r="L72" s="1062"/>
      <c r="M72" s="1063"/>
      <c r="N72" s="1064"/>
      <c r="O72" s="1064"/>
      <c r="P72" s="1064"/>
      <c r="Q72" s="1064"/>
      <c r="R72" s="1064"/>
      <c r="S72" s="1064"/>
      <c r="T72" s="1064"/>
      <c r="U72" s="1064"/>
      <c r="V72" s="1065"/>
    </row>
    <row r="74" spans="2:22" ht="99.75">
      <c r="V74" s="1066"/>
    </row>
  </sheetData>
  <mergeCells count="49">
    <mergeCell ref="B2:V2"/>
    <mergeCell ref="E4:O4"/>
    <mergeCell ref="D6:G6"/>
    <mergeCell ref="N6:O7"/>
    <mergeCell ref="R6:S6"/>
    <mergeCell ref="R7:S7"/>
    <mergeCell ref="H33:I33"/>
    <mergeCell ref="N9:O9"/>
    <mergeCell ref="P9:S9"/>
    <mergeCell ref="D10:G10"/>
    <mergeCell ref="N11:O11"/>
    <mergeCell ref="D14:L14"/>
    <mergeCell ref="O14:V14"/>
    <mergeCell ref="F15:J20"/>
    <mergeCell ref="P16:Q16"/>
    <mergeCell ref="C22:E22"/>
    <mergeCell ref="F31:G31"/>
    <mergeCell ref="G32:H32"/>
    <mergeCell ref="C49:J50"/>
    <mergeCell ref="R49:S49"/>
    <mergeCell ref="R51:S51"/>
    <mergeCell ref="D52:L52"/>
    <mergeCell ref="J34:K34"/>
    <mergeCell ref="C36:I36"/>
    <mergeCell ref="C37:I38"/>
    <mergeCell ref="C40:E40"/>
    <mergeCell ref="G40:K40"/>
    <mergeCell ref="M40:V40"/>
    <mergeCell ref="M41:V41"/>
    <mergeCell ref="D43:L43"/>
    <mergeCell ref="O43:V43"/>
    <mergeCell ref="N45:T45"/>
    <mergeCell ref="P47:T47"/>
    <mergeCell ref="B67:E67"/>
    <mergeCell ref="F67:L67"/>
    <mergeCell ref="B68:C68"/>
    <mergeCell ref="D68:E68"/>
    <mergeCell ref="R70:S70"/>
    <mergeCell ref="F68:L69"/>
    <mergeCell ref="B69:C72"/>
    <mergeCell ref="D69:E72"/>
    <mergeCell ref="F70:J70"/>
    <mergeCell ref="K70:L70"/>
    <mergeCell ref="F71:J72"/>
    <mergeCell ref="N57:T57"/>
    <mergeCell ref="N61:Q61"/>
    <mergeCell ref="R61:S61"/>
    <mergeCell ref="D66:L66"/>
    <mergeCell ref="N66:T66"/>
  </mergeCells>
  <printOptions horizontalCentered="1"/>
  <pageMargins left="0" right="0" top="0" bottom="0" header="0" footer="0"/>
  <pageSetup paperSize="9" scale="38" orientation="portrait" horizontalDpi="1200" verticalDpi="1200" r:id="rId1"/>
  <headerFooter alignWithMargins="0">
    <oddFooter>&amp;LREV. 09/05 - VER.1&amp;R&amp;D</oddFooter>
  </headerFooter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2">
    <tabColor rgb="FF92D050"/>
    <pageSetUpPr fitToPage="1"/>
  </sheetPr>
  <dimension ref="A1:AG74"/>
  <sheetViews>
    <sheetView showGridLines="0" topLeftCell="A11" zoomScale="40" zoomScaleNormal="40" workbookViewId="0">
      <selection activeCell="R51" sqref="R51:S51"/>
    </sheetView>
  </sheetViews>
  <sheetFormatPr defaultColWidth="10.28515625" defaultRowHeight="15"/>
  <cols>
    <col min="1" max="1" width="34.85546875" style="918" customWidth="1"/>
    <col min="2" max="2" width="4.5703125" style="918" customWidth="1"/>
    <col min="3" max="3" width="32" style="918" customWidth="1"/>
    <col min="4" max="4" width="13.28515625" style="918" customWidth="1"/>
    <col min="5" max="5" width="21.140625" style="918" customWidth="1"/>
    <col min="6" max="6" width="15" style="918" customWidth="1"/>
    <col min="7" max="7" width="17.85546875" style="918" customWidth="1"/>
    <col min="8" max="9" width="9.28515625" style="918" customWidth="1"/>
    <col min="10" max="10" width="6.42578125" style="918" customWidth="1"/>
    <col min="11" max="11" width="9.85546875" style="918" customWidth="1"/>
    <col min="12" max="12" width="4.7109375" style="918" customWidth="1"/>
    <col min="13" max="13" width="3.7109375" style="918" customWidth="1"/>
    <col min="14" max="14" width="17.85546875" style="918" customWidth="1"/>
    <col min="15" max="15" width="13.85546875" style="918" customWidth="1"/>
    <col min="16" max="16" width="16.28515625" style="918" customWidth="1"/>
    <col min="17" max="17" width="9.7109375" style="918" customWidth="1"/>
    <col min="18" max="18" width="11.140625" style="918" customWidth="1"/>
    <col min="19" max="19" width="9.5703125" style="918" customWidth="1"/>
    <col min="20" max="20" width="19" style="918" customWidth="1"/>
    <col min="21" max="21" width="11.42578125" style="918" customWidth="1"/>
    <col min="22" max="22" width="6.5703125" style="918" customWidth="1"/>
    <col min="23" max="24" width="10.28515625" style="918"/>
    <col min="25" max="26" width="17" style="918" bestFit="1" customWidth="1"/>
    <col min="27" max="16384" width="10.28515625" style="918"/>
  </cols>
  <sheetData>
    <row r="1" spans="1:33" ht="18">
      <c r="A1" s="917"/>
    </row>
    <row r="2" spans="1:33" ht="33.75">
      <c r="A2" s="917"/>
      <c r="B2" s="2305" t="s">
        <v>771</v>
      </c>
      <c r="C2" s="2306"/>
      <c r="D2" s="2306"/>
      <c r="E2" s="2306"/>
      <c r="F2" s="2306"/>
      <c r="G2" s="2306"/>
      <c r="H2" s="2306"/>
      <c r="I2" s="2306"/>
      <c r="J2" s="2306"/>
      <c r="K2" s="2306"/>
      <c r="L2" s="2306"/>
      <c r="M2" s="2306"/>
      <c r="N2" s="2306"/>
      <c r="O2" s="2306"/>
      <c r="P2" s="2306"/>
      <c r="Q2" s="2306"/>
      <c r="R2" s="2306"/>
      <c r="S2" s="2306"/>
      <c r="T2" s="2306"/>
      <c r="U2" s="2306"/>
      <c r="V2" s="2306"/>
      <c r="AG2" s="918" t="s">
        <v>37</v>
      </c>
    </row>
    <row r="3" spans="1:33" ht="18.75" thickBot="1">
      <c r="A3" s="917"/>
    </row>
    <row r="4" spans="1:33" ht="44.25" customHeight="1">
      <c r="A4" s="917"/>
      <c r="B4" s="919"/>
      <c r="C4" s="920" t="str">
        <f>+VLOOKUP(108,TRADUZIONI,DATI!$C$2-1,0)</f>
        <v>QUADRO A</v>
      </c>
      <c r="D4" s="921"/>
      <c r="E4" s="2307" t="str">
        <f>+VLOOKUP(109,TRADUZIONI,DATI!$C$2-1,0)</f>
        <v>DATI ORDINE</v>
      </c>
      <c r="F4" s="2307"/>
      <c r="G4" s="2307"/>
      <c r="H4" s="2307"/>
      <c r="I4" s="2307"/>
      <c r="J4" s="2307"/>
      <c r="K4" s="2307"/>
      <c r="L4" s="2307"/>
      <c r="M4" s="2307"/>
      <c r="N4" s="2307"/>
      <c r="O4" s="2307"/>
      <c r="P4" s="922"/>
      <c r="Q4" s="921"/>
      <c r="R4" s="921"/>
      <c r="S4" s="921"/>
      <c r="T4" s="921"/>
      <c r="U4" s="921"/>
      <c r="V4" s="923"/>
    </row>
    <row r="5" spans="1:33" ht="18">
      <c r="A5" s="917"/>
      <c r="B5" s="924"/>
      <c r="C5" s="925"/>
      <c r="D5" s="925"/>
      <c r="E5" s="925"/>
      <c r="F5" s="925"/>
      <c r="G5" s="925"/>
      <c r="H5" s="925"/>
      <c r="I5" s="925"/>
      <c r="J5" s="925"/>
      <c r="K5" s="925"/>
      <c r="L5" s="925"/>
      <c r="M5" s="925"/>
      <c r="N5" s="925"/>
      <c r="O5" s="925"/>
      <c r="P5" s="925"/>
      <c r="Q5" s="925"/>
      <c r="R5" s="925"/>
      <c r="S5" s="925"/>
      <c r="T5" s="925"/>
      <c r="U5" s="925"/>
      <c r="V5" s="926"/>
    </row>
    <row r="6" spans="1:33" ht="30.75">
      <c r="B6" s="924"/>
      <c r="C6" s="1432" t="str">
        <f>+VLOOKUP(22,TRADUZIONI,DATI!C2-1,0)</f>
        <v>CLIENTE</v>
      </c>
      <c r="D6" s="2308">
        <f>DATI!C6</f>
        <v>0</v>
      </c>
      <c r="E6" s="2308"/>
      <c r="F6" s="2308"/>
      <c r="G6" s="2308"/>
      <c r="H6" s="928"/>
      <c r="I6" s="928"/>
      <c r="J6" s="928"/>
      <c r="K6" s="929"/>
      <c r="L6" s="930"/>
      <c r="M6" s="931"/>
      <c r="N6" s="2309" t="str">
        <f>+VLOOKUP(115,TRADUZIONI,DATI!C2-1,0)</f>
        <v xml:space="preserve">DIMENSIONI </v>
      </c>
      <c r="O6" s="2310"/>
      <c r="P6" s="1434" t="str">
        <f>+VLOOKUP(96,TRADUZIONI,DATI!C2-1,0)</f>
        <v>BASE</v>
      </c>
      <c r="Q6" s="932"/>
      <c r="R6" s="2313" t="str">
        <f>+VLOOKUP(97,TRADUZIONI,DATI!C2-1,0)</f>
        <v>ALTEZZA</v>
      </c>
      <c r="S6" s="2314"/>
      <c r="T6" s="925"/>
      <c r="U6" s="925"/>
      <c r="V6" s="926"/>
    </row>
    <row r="7" spans="1:33" ht="29.25" customHeight="1">
      <c r="B7" s="924"/>
      <c r="C7" s="925"/>
      <c r="D7" s="925" t="s">
        <v>37</v>
      </c>
      <c r="E7" s="925"/>
      <c r="F7" s="925"/>
      <c r="G7" s="925"/>
      <c r="H7" s="925"/>
      <c r="I7" s="925"/>
      <c r="J7" s="925"/>
      <c r="K7" s="925"/>
      <c r="L7" s="930"/>
      <c r="M7" s="931"/>
      <c r="N7" s="2311"/>
      <c r="O7" s="2312"/>
      <c r="P7" s="933">
        <f>+DATI!C7</f>
        <v>1400</v>
      </c>
      <c r="Q7" s="934" t="s">
        <v>44</v>
      </c>
      <c r="R7" s="2315">
        <f>+DATI!C8</f>
        <v>2200</v>
      </c>
      <c r="S7" s="2316"/>
      <c r="T7" s="925"/>
      <c r="U7" s="925"/>
      <c r="V7" s="926"/>
    </row>
    <row r="8" spans="1:33" ht="30.75">
      <c r="B8" s="924"/>
      <c r="C8" s="927" t="str">
        <f>+VLOOKUP(23,TRADUZIONI,DATI!C2-1,0)</f>
        <v>NUM. ORDINE</v>
      </c>
      <c r="D8" s="935">
        <f>DATI!C4</f>
        <v>0</v>
      </c>
      <c r="E8" s="935"/>
      <c r="F8" s="935"/>
      <c r="G8" s="935"/>
      <c r="H8" s="928"/>
      <c r="I8" s="928"/>
      <c r="J8" s="928"/>
      <c r="K8" s="929"/>
      <c r="L8" s="930"/>
      <c r="M8" s="931"/>
      <c r="N8" s="925"/>
      <c r="O8" s="925"/>
      <c r="P8" s="925"/>
      <c r="Q8" s="925"/>
      <c r="R8" s="936"/>
      <c r="S8" s="925"/>
      <c r="T8" s="925"/>
      <c r="U8" s="925"/>
      <c r="V8" s="926"/>
    </row>
    <row r="9" spans="1:33" ht="30.75">
      <c r="B9" s="924"/>
      <c r="C9" s="925"/>
      <c r="D9" s="925"/>
      <c r="E9" s="925"/>
      <c r="F9" s="925"/>
      <c r="G9" s="925"/>
      <c r="H9" s="925"/>
      <c r="I9" s="925"/>
      <c r="J9" s="925"/>
      <c r="K9" s="925"/>
      <c r="L9" s="930"/>
      <c r="M9" s="931"/>
      <c r="N9" s="2318" t="str">
        <f>+VLOOKUP(99,TRADUZIONI,DATI!C2-1,0)</f>
        <v>COLORE</v>
      </c>
      <c r="O9" s="2314"/>
      <c r="P9" s="2390" t="str">
        <f>DATI!C10</f>
        <v>06.NERO</v>
      </c>
      <c r="Q9" s="2391"/>
      <c r="R9" s="2391"/>
      <c r="S9" s="2392"/>
      <c r="T9" s="925"/>
      <c r="U9" s="925"/>
      <c r="V9" s="926"/>
    </row>
    <row r="10" spans="1:33" ht="30.75">
      <c r="B10" s="924"/>
      <c r="C10" s="1434" t="str">
        <f>+VLOOKUP(5,TRADUZIONI,DATI!C2-1,0)</f>
        <v>DATA SPEDIZIONE</v>
      </c>
      <c r="D10" s="2393">
        <f>DATI!C5</f>
        <v>42370</v>
      </c>
      <c r="E10" s="2393"/>
      <c r="F10" s="2393"/>
      <c r="G10" s="2393"/>
      <c r="H10" s="928"/>
      <c r="I10" s="928"/>
      <c r="J10" s="928"/>
      <c r="K10" s="929"/>
      <c r="L10" s="930"/>
      <c r="M10" s="931"/>
      <c r="N10" s="937"/>
      <c r="O10" s="925"/>
      <c r="P10" s="925"/>
      <c r="Q10" s="925"/>
      <c r="R10" s="925"/>
      <c r="S10" s="925"/>
      <c r="T10" s="925"/>
      <c r="U10" s="925"/>
      <c r="V10" s="926"/>
    </row>
    <row r="11" spans="1:33" ht="30.75">
      <c r="B11" s="924"/>
      <c r="C11" s="925"/>
      <c r="D11" s="925"/>
      <c r="E11" s="925"/>
      <c r="F11" s="925"/>
      <c r="G11" s="925"/>
      <c r="H11" s="925"/>
      <c r="I11" s="925"/>
      <c r="J11" s="925"/>
      <c r="K11" s="925"/>
      <c r="L11" s="930"/>
      <c r="M11" s="931"/>
      <c r="N11" s="2323" t="str">
        <f>+VLOOKUP(78,TRADUZIONI,DATI!C2-1,0)</f>
        <v>PEZZI /PZ.</v>
      </c>
      <c r="O11" s="2324"/>
      <c r="P11" s="938" t="str">
        <f>DATI!C11</f>
        <v>1</v>
      </c>
      <c r="Q11" s="925"/>
      <c r="R11" s="925"/>
      <c r="S11" s="925"/>
      <c r="T11" s="925"/>
      <c r="U11" s="925"/>
      <c r="V11" s="926"/>
    </row>
    <row r="12" spans="1:33" ht="30.75">
      <c r="B12" s="924"/>
      <c r="C12" s="927" t="s">
        <v>49</v>
      </c>
      <c r="D12" s="939">
        <f>IF((P7*R7/1000000)&lt;=2,2*P11,IF((P7*R7/1000000)&gt;2,(P7*R7/1000000)*P11))</f>
        <v>3.08</v>
      </c>
      <c r="E12" s="925"/>
      <c r="F12" s="925"/>
      <c r="G12" s="925"/>
      <c r="H12" s="925"/>
      <c r="I12" s="925"/>
      <c r="J12" s="925"/>
      <c r="K12" s="925"/>
      <c r="L12" s="930"/>
      <c r="M12" s="931"/>
      <c r="N12" s="925"/>
      <c r="O12" s="925"/>
      <c r="P12" s="940" t="s">
        <v>37</v>
      </c>
      <c r="Q12" s="925"/>
      <c r="R12" s="925"/>
      <c r="S12" s="925"/>
      <c r="T12" s="941" t="s">
        <v>37</v>
      </c>
      <c r="U12" s="941"/>
      <c r="V12" s="926"/>
    </row>
    <row r="13" spans="1:33" ht="15.75" thickBot="1">
      <c r="B13" s="924"/>
      <c r="C13" s="937"/>
      <c r="D13" s="925"/>
      <c r="E13" s="942"/>
      <c r="F13" s="943"/>
      <c r="G13" s="942"/>
      <c r="H13" s="944"/>
      <c r="I13" s="944"/>
      <c r="J13" s="944"/>
      <c r="K13" s="925"/>
      <c r="L13" s="925"/>
      <c r="M13" s="925"/>
      <c r="N13" s="925"/>
      <c r="O13" s="925"/>
      <c r="P13" s="925"/>
      <c r="Q13" s="925"/>
      <c r="R13" s="945"/>
      <c r="S13" s="925"/>
      <c r="T13" s="946" t="s">
        <v>37</v>
      </c>
      <c r="U13" s="946"/>
      <c r="V13" s="926"/>
    </row>
    <row r="14" spans="1:33" ht="44.25" customHeight="1">
      <c r="B14" s="919"/>
      <c r="C14" s="920" t="str">
        <f>+VLOOKUP(111,TRADUZIONI,DATI!$C$2-1,0)</f>
        <v>QUADRO B</v>
      </c>
      <c r="D14" s="2325" t="str">
        <f>+VLOOKUP(118,TRADUZIONI,DATI!$C$2-1,0)</f>
        <v>DIMENSIONE RETE E FORI</v>
      </c>
      <c r="E14" s="2325"/>
      <c r="F14" s="2325"/>
      <c r="G14" s="2325"/>
      <c r="H14" s="2325"/>
      <c r="I14" s="2325"/>
      <c r="J14" s="2325"/>
      <c r="K14" s="2325"/>
      <c r="L14" s="2326"/>
      <c r="M14" s="919"/>
      <c r="N14" s="920" t="str">
        <f>+VLOOKUP(138,TRADUZIONI,DATI!$C$2-1,0)</f>
        <v>QUADRO C</v>
      </c>
      <c r="O14" s="2327" t="str">
        <f>+VLOOKUP(117,TRADUZIONI,DATI!$C$2-1,0)</f>
        <v>LUNGHEZZA E NUM. CORDINI</v>
      </c>
      <c r="P14" s="2327"/>
      <c r="Q14" s="2327"/>
      <c r="R14" s="2327"/>
      <c r="S14" s="2327"/>
      <c r="T14" s="2327"/>
      <c r="U14" s="2327"/>
      <c r="V14" s="2328"/>
    </row>
    <row r="15" spans="1:33" ht="31.5" customHeight="1">
      <c r="B15" s="947"/>
      <c r="C15" s="925"/>
      <c r="D15" s="925"/>
      <c r="E15" s="925"/>
      <c r="F15" s="2329" t="e">
        <f>IF(DATI!E13="AUTOMATICA",CONCATENATE("*",DATI!E14,"-",REPT("0",4-LEN(F22)),F22,"*"),CONCATENATE("*",DATI!$L$14,REPT("0",3-LEN(D16)),D16,REPT("0",4-LEN(F22)),F22,DATI!L13,"*"))</f>
        <v>#VALUE!</v>
      </c>
      <c r="G15" s="2329"/>
      <c r="H15" s="2329"/>
      <c r="I15" s="2329"/>
      <c r="J15" s="2329"/>
      <c r="K15" s="948"/>
      <c r="L15" s="949"/>
      <c r="M15" s="924"/>
      <c r="N15" s="925"/>
      <c r="O15" s="925" t="s">
        <v>37</v>
      </c>
      <c r="P15" s="950" t="s">
        <v>37</v>
      </c>
      <c r="Q15" s="925"/>
      <c r="R15" s="925"/>
      <c r="S15" s="925"/>
      <c r="T15" s="951"/>
      <c r="U15" s="951"/>
      <c r="V15" s="926"/>
    </row>
    <row r="16" spans="1:33" ht="30.75" customHeight="1">
      <c r="B16" s="952"/>
      <c r="C16" s="953" t="str">
        <f>+VLOOKUP(19,TRADUZIONI,DATI!C2-1,0)</f>
        <v>PIEGHE</v>
      </c>
      <c r="D16" s="954">
        <f>1+ROUNDUP((P7/2-55)*0.036,0)</f>
        <v>25</v>
      </c>
      <c r="E16" s="925"/>
      <c r="F16" s="2329"/>
      <c r="G16" s="2329"/>
      <c r="H16" s="2329"/>
      <c r="I16" s="2329"/>
      <c r="J16" s="2329"/>
      <c r="K16" s="948"/>
      <c r="L16" s="955"/>
      <c r="M16" s="952"/>
      <c r="N16" s="956"/>
      <c r="O16" s="956"/>
      <c r="P16" s="2323" t="str">
        <f>+VLOOKUP(149,TRADUZIONI,DATI!C2-1,0)</f>
        <v>CORDINI</v>
      </c>
      <c r="Q16" s="2324"/>
      <c r="R16" s="957">
        <f>IF(F22&lt;=576,2,IF(F22&lt;=1430,4,IF(F22&lt;=2330,6,8)))</f>
        <v>6</v>
      </c>
      <c r="S16" s="951"/>
      <c r="T16" s="946"/>
      <c r="U16" s="946"/>
      <c r="V16" s="958"/>
    </row>
    <row r="17" spans="2:22" s="960" customFormat="1" ht="15" customHeight="1">
      <c r="B17" s="924"/>
      <c r="C17" s="925"/>
      <c r="D17" s="925"/>
      <c r="E17" s="925"/>
      <c r="F17" s="2329"/>
      <c r="G17" s="2329"/>
      <c r="H17" s="2329"/>
      <c r="I17" s="2329"/>
      <c r="J17" s="2329"/>
      <c r="K17" s="948"/>
      <c r="L17" s="925"/>
      <c r="M17" s="924"/>
      <c r="N17" s="925"/>
      <c r="O17" s="925"/>
      <c r="P17" s="925"/>
      <c r="Q17" s="959"/>
      <c r="R17" s="925"/>
      <c r="S17" s="925"/>
      <c r="T17" s="925"/>
      <c r="U17" s="925"/>
      <c r="V17" s="926"/>
    </row>
    <row r="18" spans="2:22" ht="49.5" customHeight="1">
      <c r="B18" s="924"/>
      <c r="C18" s="925"/>
      <c r="D18" s="940"/>
      <c r="E18" s="940"/>
      <c r="F18" s="2329"/>
      <c r="G18" s="2329"/>
      <c r="H18" s="2329"/>
      <c r="I18" s="2329"/>
      <c r="J18" s="2329"/>
      <c r="K18" s="948"/>
      <c r="L18" s="925"/>
      <c r="M18" s="924"/>
      <c r="N18" s="925"/>
      <c r="O18" s="925"/>
      <c r="P18" s="925"/>
      <c r="Q18" s="961"/>
      <c r="R18" s="925"/>
      <c r="S18" s="925"/>
      <c r="T18" s="925"/>
      <c r="U18" s="925"/>
      <c r="V18" s="926"/>
    </row>
    <row r="19" spans="2:22" ht="15" customHeight="1">
      <c r="B19" s="924"/>
      <c r="C19" s="925"/>
      <c r="D19" s="940"/>
      <c r="E19" s="940"/>
      <c r="F19" s="2329"/>
      <c r="G19" s="2329"/>
      <c r="H19" s="2329"/>
      <c r="I19" s="2329"/>
      <c r="J19" s="2329"/>
      <c r="K19" s="948"/>
      <c r="L19" s="925"/>
      <c r="M19" s="924"/>
      <c r="N19" s="925"/>
      <c r="O19" s="925"/>
      <c r="P19" s="962" t="s">
        <v>37</v>
      </c>
      <c r="Q19" s="925"/>
      <c r="R19" s="963" t="s">
        <v>37</v>
      </c>
      <c r="S19" s="925"/>
      <c r="T19" s="925"/>
      <c r="U19" s="925"/>
      <c r="V19" s="926"/>
    </row>
    <row r="20" spans="2:22">
      <c r="B20" s="924"/>
      <c r="C20" s="925"/>
      <c r="D20" s="940"/>
      <c r="E20" s="940"/>
      <c r="F20" s="2329"/>
      <c r="G20" s="2329"/>
      <c r="H20" s="2329"/>
      <c r="I20" s="2329"/>
      <c r="J20" s="2329"/>
      <c r="K20" s="948"/>
      <c r="L20" s="925"/>
      <c r="M20" s="964"/>
      <c r="N20" s="925"/>
      <c r="O20" s="925"/>
      <c r="P20" s="925"/>
      <c r="Q20" s="965"/>
      <c r="R20" s="965"/>
      <c r="S20" s="925"/>
      <c r="T20" s="937"/>
      <c r="U20" s="937"/>
      <c r="V20" s="926"/>
    </row>
    <row r="21" spans="2:22">
      <c r="B21" s="924"/>
      <c r="C21" s="925"/>
      <c r="D21" s="940"/>
      <c r="E21" s="925"/>
      <c r="F21" s="950" t="s">
        <v>37</v>
      </c>
      <c r="G21" s="925"/>
      <c r="H21" s="966"/>
      <c r="I21" s="966"/>
      <c r="J21" s="966"/>
      <c r="K21" s="940" t="s">
        <v>37</v>
      </c>
      <c r="L21" s="925"/>
      <c r="M21" s="964"/>
      <c r="N21" s="925"/>
      <c r="O21" s="925"/>
      <c r="P21" s="925"/>
      <c r="Q21" s="925"/>
      <c r="R21" s="959"/>
      <c r="S21" s="925"/>
      <c r="T21" s="965"/>
      <c r="U21" s="965"/>
      <c r="V21" s="926"/>
    </row>
    <row r="22" spans="2:22" ht="30.75">
      <c r="B22" s="924"/>
      <c r="C22" s="2318" t="str">
        <f>CONCATENATE(VLOOKUP(116,TRADUZIONI,DATI!C2-1,0),"(",VLOOKUP(97,TRADUZIONI,DATI!C2-1,0),"-24*)")</f>
        <v>TAGLIO RETE(ALTEZZA-24*)</v>
      </c>
      <c r="D22" s="2313"/>
      <c r="E22" s="2313"/>
      <c r="F22" s="967">
        <f>+R7-24</f>
        <v>2176</v>
      </c>
      <c r="G22" s="968"/>
      <c r="H22" s="969"/>
      <c r="I22" s="969"/>
      <c r="J22" s="969"/>
      <c r="K22" s="970"/>
      <c r="L22" s="925"/>
      <c r="M22" s="964"/>
      <c r="N22" s="925"/>
      <c r="O22" s="925"/>
      <c r="P22" s="966" t="s">
        <v>37</v>
      </c>
      <c r="Q22" s="925" t="s">
        <v>37</v>
      </c>
      <c r="R22" s="925"/>
      <c r="S22" s="925"/>
      <c r="T22" s="961"/>
      <c r="U22" s="961"/>
      <c r="V22" s="926"/>
    </row>
    <row r="23" spans="2:22">
      <c r="B23" s="924"/>
      <c r="C23" s="925"/>
      <c r="D23" s="940"/>
      <c r="E23" s="925"/>
      <c r="F23" s="950"/>
      <c r="G23" s="951"/>
      <c r="H23" s="966"/>
      <c r="I23" s="966"/>
      <c r="J23" s="966"/>
      <c r="K23" s="940"/>
      <c r="L23" s="925"/>
      <c r="M23" s="964"/>
      <c r="N23" s="925"/>
      <c r="O23" s="925"/>
      <c r="P23" s="966"/>
      <c r="Q23" s="925"/>
      <c r="R23" s="925"/>
      <c r="S23" s="925"/>
      <c r="T23" s="961"/>
      <c r="U23" s="961"/>
      <c r="V23" s="926"/>
    </row>
    <row r="24" spans="2:22">
      <c r="B24" s="924"/>
      <c r="C24" s="925"/>
      <c r="D24" s="940"/>
      <c r="E24" s="925"/>
      <c r="F24" s="950"/>
      <c r="G24" s="951"/>
      <c r="H24" s="966"/>
      <c r="I24" s="966"/>
      <c r="J24" s="966"/>
      <c r="K24" s="940"/>
      <c r="L24" s="925"/>
      <c r="M24" s="964"/>
      <c r="N24" s="925"/>
      <c r="O24" s="925"/>
      <c r="P24" s="966"/>
      <c r="Q24" s="925"/>
      <c r="R24" s="925"/>
      <c r="S24" s="925"/>
      <c r="T24" s="961"/>
      <c r="U24" s="961"/>
      <c r="V24" s="926"/>
    </row>
    <row r="25" spans="2:22">
      <c r="B25" s="924"/>
      <c r="C25" s="925"/>
      <c r="D25" s="940"/>
      <c r="E25" s="925"/>
      <c r="F25" s="950"/>
      <c r="G25" s="951"/>
      <c r="H25" s="966"/>
      <c r="I25" s="966"/>
      <c r="J25" s="966"/>
      <c r="K25" s="940"/>
      <c r="L25" s="925"/>
      <c r="M25" s="924"/>
      <c r="N25" s="925"/>
      <c r="O25" s="925"/>
      <c r="P25" s="966"/>
      <c r="Q25" s="925"/>
      <c r="R25" s="925"/>
      <c r="S25" s="925"/>
      <c r="T25" s="961"/>
      <c r="U25" s="961"/>
      <c r="V25" s="926"/>
    </row>
    <row r="26" spans="2:22">
      <c r="B26" s="924"/>
      <c r="C26" s="925"/>
      <c r="D26" s="940"/>
      <c r="E26" s="925"/>
      <c r="F26" s="950"/>
      <c r="G26" s="951"/>
      <c r="H26" s="966"/>
      <c r="I26" s="966"/>
      <c r="J26" s="966"/>
      <c r="K26" s="940"/>
      <c r="L26" s="925"/>
      <c r="M26" s="924"/>
      <c r="N26" s="925"/>
      <c r="O26" s="925"/>
      <c r="P26" s="925"/>
      <c r="Q26" s="925"/>
      <c r="R26" s="925"/>
      <c r="S26" s="940"/>
      <c r="T26" s="925"/>
      <c r="U26" s="925"/>
      <c r="V26" s="926"/>
    </row>
    <row r="27" spans="2:22" ht="30.75">
      <c r="B27" s="924"/>
      <c r="C27" s="971">
        <v>40</v>
      </c>
      <c r="D27" s="940"/>
      <c r="E27" s="925"/>
      <c r="F27" s="950"/>
      <c r="G27" s="951"/>
      <c r="H27" s="966"/>
      <c r="I27" s="966"/>
      <c r="J27" s="966"/>
      <c r="K27" s="940"/>
      <c r="L27" s="925"/>
      <c r="M27" s="924"/>
      <c r="N27" s="925"/>
      <c r="O27" s="925"/>
      <c r="P27" s="925"/>
      <c r="Q27" s="925"/>
      <c r="R27" s="925"/>
      <c r="S27" s="925"/>
      <c r="T27" s="925"/>
      <c r="U27" s="925"/>
      <c r="V27" s="926"/>
    </row>
    <row r="28" spans="2:22" ht="36" customHeight="1">
      <c r="B28" s="924"/>
      <c r="C28" s="972">
        <f>+C27+F40</f>
        <v>459</v>
      </c>
      <c r="D28" s="940"/>
      <c r="E28" s="925"/>
      <c r="F28" s="950"/>
      <c r="G28" s="951"/>
      <c r="H28" s="966"/>
      <c r="I28" s="966"/>
      <c r="J28" s="966"/>
      <c r="K28" s="940"/>
      <c r="L28" s="925"/>
      <c r="M28" s="924"/>
      <c r="N28" s="925"/>
      <c r="O28" s="925"/>
      <c r="P28" s="966" t="s">
        <v>37</v>
      </c>
      <c r="Q28" s="925"/>
      <c r="R28" s="925"/>
      <c r="S28" s="940"/>
      <c r="T28" s="925"/>
      <c r="U28" s="925"/>
      <c r="V28" s="926"/>
    </row>
    <row r="29" spans="2:22" ht="36" customHeight="1">
      <c r="B29" s="924"/>
      <c r="C29" s="925"/>
      <c r="D29" s="973">
        <f>IF(R16&gt;2,C28+F40,"")</f>
        <v>878</v>
      </c>
      <c r="E29" s="925"/>
      <c r="F29" s="950"/>
      <c r="G29" s="951"/>
      <c r="H29" s="966"/>
      <c r="I29" s="966"/>
      <c r="J29" s="966"/>
      <c r="K29" s="940"/>
      <c r="L29" s="925"/>
      <c r="M29" s="924"/>
      <c r="N29" s="925"/>
      <c r="O29" s="925"/>
      <c r="P29" s="925"/>
      <c r="Q29" s="925"/>
      <c r="R29" s="925"/>
      <c r="S29" s="925"/>
      <c r="T29" s="925"/>
      <c r="U29" s="925"/>
      <c r="V29" s="926"/>
    </row>
    <row r="30" spans="2:22" ht="36" customHeight="1">
      <c r="B30" s="924"/>
      <c r="C30" s="925"/>
      <c r="D30" s="940"/>
      <c r="E30" s="972">
        <f>IF(R16&gt;=4,D29+F40,"")</f>
        <v>1297</v>
      </c>
      <c r="F30" s="950"/>
      <c r="G30" s="951"/>
      <c r="H30" s="966"/>
      <c r="I30" s="966"/>
      <c r="J30" s="966"/>
      <c r="K30" s="940"/>
      <c r="L30" s="925"/>
      <c r="M30" s="924"/>
      <c r="N30" s="925"/>
      <c r="O30" s="925"/>
      <c r="P30" s="940" t="s">
        <v>37</v>
      </c>
      <c r="Q30" s="925"/>
      <c r="R30" s="925"/>
      <c r="S30" s="925"/>
      <c r="T30" s="925"/>
      <c r="U30" s="925"/>
      <c r="V30" s="926"/>
    </row>
    <row r="31" spans="2:22" ht="36" customHeight="1">
      <c r="B31" s="924"/>
      <c r="C31" s="925"/>
      <c r="D31" s="940"/>
      <c r="E31" s="925"/>
      <c r="F31" s="2330">
        <f>IF(R16&gt;=5,E30+F40,"")</f>
        <v>1716</v>
      </c>
      <c r="G31" s="2330"/>
      <c r="H31" s="966"/>
      <c r="I31" s="966"/>
      <c r="J31" s="966"/>
      <c r="K31" s="940"/>
      <c r="L31" s="925"/>
      <c r="M31" s="924"/>
      <c r="N31" s="925"/>
      <c r="O31" s="925"/>
      <c r="P31" s="925"/>
      <c r="Q31" s="925"/>
      <c r="R31" s="925"/>
      <c r="S31" s="925"/>
      <c r="T31" s="925"/>
      <c r="U31" s="925"/>
      <c r="V31" s="926"/>
    </row>
    <row r="32" spans="2:22" ht="36" customHeight="1">
      <c r="B32" s="924"/>
      <c r="C32" s="925"/>
      <c r="D32" s="940"/>
      <c r="E32" s="925"/>
      <c r="F32" s="950"/>
      <c r="G32" s="2331">
        <f>IF(R16&gt;=6,F31+F40,"")</f>
        <v>2135</v>
      </c>
      <c r="H32" s="2331"/>
      <c r="I32" s="966"/>
      <c r="J32" s="966"/>
      <c r="K32" s="940"/>
      <c r="L32" s="925"/>
      <c r="M32" s="924"/>
      <c r="N32" s="925"/>
      <c r="O32" s="925"/>
      <c r="P32" s="925"/>
      <c r="Q32" s="948"/>
      <c r="R32" s="925"/>
      <c r="S32" s="925"/>
      <c r="T32" s="925"/>
      <c r="U32" s="925"/>
      <c r="V32" s="926"/>
    </row>
    <row r="33" spans="2:27" ht="36" customHeight="1">
      <c r="B33" s="924"/>
      <c r="C33" s="925"/>
      <c r="D33" s="940"/>
      <c r="E33" s="925"/>
      <c r="F33" s="950"/>
      <c r="G33" s="951"/>
      <c r="H33" s="2317" t="str">
        <f>IF(R16&gt;=7,G32+F40,"")</f>
        <v/>
      </c>
      <c r="I33" s="2317"/>
      <c r="J33" s="966"/>
      <c r="K33" s="940"/>
      <c r="L33" s="925"/>
      <c r="M33" s="924"/>
      <c r="N33" s="925"/>
      <c r="O33" s="925"/>
      <c r="P33" s="925"/>
      <c r="Q33" s="925"/>
      <c r="R33" s="925"/>
      <c r="S33" s="925"/>
      <c r="T33" s="925"/>
      <c r="U33" s="925"/>
      <c r="V33" s="926"/>
    </row>
    <row r="34" spans="2:27" ht="36" customHeight="1">
      <c r="B34" s="924"/>
      <c r="C34" s="925"/>
      <c r="D34" s="940"/>
      <c r="E34" s="925"/>
      <c r="F34" s="950"/>
      <c r="G34" s="951"/>
      <c r="H34" s="966"/>
      <c r="I34" s="966"/>
      <c r="J34" s="2330" t="str">
        <f>IF(R16=8,H33+F40,"")</f>
        <v/>
      </c>
      <c r="K34" s="2330"/>
      <c r="L34" s="926"/>
      <c r="M34" s="925"/>
      <c r="N34" s="925"/>
      <c r="O34" s="974"/>
      <c r="P34" s="974"/>
      <c r="Q34" s="937"/>
      <c r="R34" s="925"/>
      <c r="S34" s="925"/>
      <c r="T34" s="925"/>
      <c r="U34" s="925"/>
      <c r="V34" s="926"/>
      <c r="X34" s="97"/>
      <c r="Y34" s="1369" t="str">
        <f>+VLOOKUP(149,TRADUZIONI,DATI!C2-1,0)</f>
        <v>CORDINI</v>
      </c>
    </row>
    <row r="35" spans="2:27" ht="57" customHeight="1">
      <c r="B35" s="924"/>
      <c r="C35" s="925"/>
      <c r="D35" s="940"/>
      <c r="E35" s="925"/>
      <c r="F35" s="950"/>
      <c r="G35" s="951"/>
      <c r="H35" s="966"/>
      <c r="I35" s="966"/>
      <c r="J35" s="966"/>
      <c r="K35" s="940"/>
      <c r="L35" s="926"/>
      <c r="M35" s="925"/>
      <c r="N35" s="977" t="str">
        <f>CONCATENATE(Z35,". 1-2-3-4 ",AA35,".",TEXT(ROUND((60*4+P7+R7-22-40+40+F40+50-150),-1),0))</f>
        <v>Nr. Cord. 1-2-3-4 LUNGHEZZA.4140</v>
      </c>
      <c r="O35" s="978"/>
      <c r="P35" s="978"/>
      <c r="Q35" s="1074"/>
      <c r="R35" s="993"/>
      <c r="S35" s="925"/>
      <c r="T35" s="925"/>
      <c r="U35" s="925"/>
      <c r="V35" s="926"/>
      <c r="X35" s="1379" t="s">
        <v>125</v>
      </c>
      <c r="Y35" s="1361">
        <f>ROUND((60*4+P7+R7-22-40+40+F40+50-150),-1)</f>
        <v>4140</v>
      </c>
      <c r="Z35" s="97" t="str">
        <f>+VLOOKUP(144,TRADUZIONI,DATI!$C$2-1,0)</f>
        <v>Nr. Cord</v>
      </c>
      <c r="AA35" s="97" t="str">
        <f>+VLOOKUP(60,TRADUZIONI,DATI!$C$2-1,0)</f>
        <v>LUNGHEZZA</v>
      </c>
    </row>
    <row r="36" spans="2:27" ht="30.75" customHeight="1">
      <c r="B36" s="924"/>
      <c r="C36" s="2309" t="s">
        <v>91</v>
      </c>
      <c r="D36" s="2334"/>
      <c r="E36" s="2334"/>
      <c r="F36" s="2334"/>
      <c r="G36" s="2334"/>
      <c r="H36" s="2334"/>
      <c r="I36" s="2310"/>
      <c r="J36" s="966"/>
      <c r="K36" s="940"/>
      <c r="L36" s="926"/>
      <c r="M36" s="976"/>
      <c r="N36" s="977" t="str">
        <f>IF(R16&lt;=4,"NO",CONCATENATE(Z35,". 5-6 ",AA35,".      ",TEXT(ROUND((60*4+P7+2*(2*F40+40)+50-150),-1),0)))</f>
        <v>Nr. Cord. 5-6 LUNGHEZZA.      3300</v>
      </c>
      <c r="O36" s="978"/>
      <c r="P36" s="978"/>
      <c r="Q36" s="1078"/>
      <c r="R36" s="993"/>
      <c r="S36" s="925"/>
      <c r="T36" s="925"/>
      <c r="U36" s="925"/>
      <c r="V36" s="926"/>
      <c r="X36" s="1380">
        <v>4</v>
      </c>
      <c r="Y36" s="1363">
        <f>+Y35</f>
        <v>4140</v>
      </c>
    </row>
    <row r="37" spans="2:27" ht="36" customHeight="1">
      <c r="B37" s="924"/>
      <c r="C37" s="2335" t="s">
        <v>118</v>
      </c>
      <c r="D37" s="2336"/>
      <c r="E37" s="2336"/>
      <c r="F37" s="2336"/>
      <c r="G37" s="2336"/>
      <c r="H37" s="2336"/>
      <c r="I37" s="2337"/>
      <c r="J37" s="925"/>
      <c r="K37" s="925"/>
      <c r="L37" s="926"/>
      <c r="M37" s="980"/>
      <c r="N37" s="975" t="str">
        <f>IF(R16&lt;=6,"NO",CONCATENATE("Cord. 7-8 lung.      ",TEXT(ROUND((60*4+P7+2*(3*F40+40)+50-150),-1),"0")))</f>
        <v>NO</v>
      </c>
      <c r="O37" s="975"/>
      <c r="P37" s="975"/>
      <c r="Q37" s="1079"/>
      <c r="R37" s="1074"/>
      <c r="S37" s="940"/>
      <c r="T37" s="925"/>
      <c r="U37" s="925"/>
      <c r="V37" s="981"/>
      <c r="X37" s="1380">
        <v>6</v>
      </c>
      <c r="Y37" s="1362">
        <f>IF(R16&lt;=4,0,ROUND((60*4+P7+2*(2*F40+40)+50-150),-1))</f>
        <v>3300</v>
      </c>
    </row>
    <row r="38" spans="2:27" ht="33" customHeight="1">
      <c r="B38" s="924"/>
      <c r="C38" s="2311"/>
      <c r="D38" s="2338"/>
      <c r="E38" s="2338"/>
      <c r="F38" s="2338"/>
      <c r="G38" s="2338"/>
      <c r="H38" s="2338"/>
      <c r="I38" s="2312"/>
      <c r="J38" s="925"/>
      <c r="K38" s="925"/>
      <c r="L38" s="926"/>
      <c r="M38" s="980"/>
      <c r="N38" s="975"/>
      <c r="O38" s="978"/>
      <c r="P38" s="975"/>
      <c r="Q38" s="950"/>
      <c r="R38" s="937"/>
      <c r="S38" s="940"/>
      <c r="T38" s="925"/>
      <c r="U38" s="925"/>
      <c r="V38" s="981"/>
      <c r="X38" s="1380">
        <v>8</v>
      </c>
      <c r="Y38" s="1362">
        <f>IF(R16&lt;=6,0,ROUND((60*4+P7+2*(3*F40+40)+50-150),-1))</f>
        <v>0</v>
      </c>
    </row>
    <row r="39" spans="2:27" ht="21.75" customHeight="1">
      <c r="B39" s="924"/>
      <c r="C39" s="925"/>
      <c r="D39" s="925"/>
      <c r="E39" s="925"/>
      <c r="F39" s="925"/>
      <c r="G39" s="925"/>
      <c r="H39" s="925"/>
      <c r="I39" s="925"/>
      <c r="J39" s="925"/>
      <c r="K39" s="925"/>
      <c r="L39" s="926"/>
      <c r="M39" s="982"/>
      <c r="N39" s="937"/>
      <c r="O39" s="983"/>
      <c r="P39" s="983"/>
      <c r="Q39" s="950"/>
      <c r="R39" s="937"/>
      <c r="S39" s="940"/>
      <c r="T39" s="925"/>
      <c r="U39" s="925"/>
      <c r="V39" s="981"/>
    </row>
    <row r="40" spans="2:27" ht="28.5">
      <c r="B40" s="924"/>
      <c r="C40" s="2318" t="str">
        <f>+VLOOKUP(41,TRADUZIONI,DATI!$C$2-1,0)</f>
        <v>DIST.STD TRA FORI RETE</v>
      </c>
      <c r="D40" s="2339"/>
      <c r="E40" s="2339"/>
      <c r="F40" s="984">
        <f>ROUND((+F22-80)/(R16-1),0)</f>
        <v>419</v>
      </c>
      <c r="G40" s="2340"/>
      <c r="H40" s="2340"/>
      <c r="I40" s="2340"/>
      <c r="J40" s="2340"/>
      <c r="K40" s="2341"/>
      <c r="L40" s="926"/>
      <c r="M40" s="2258" t="str">
        <f>+VLOOKUP(128,TRADUZIONI,DATI!$C$2-1,0)</f>
        <v>INFILARE I CORDINI SENZA TAGLIARLI</v>
      </c>
      <c r="N40" s="2259"/>
      <c r="O40" s="2259"/>
      <c r="P40" s="2259"/>
      <c r="Q40" s="2259"/>
      <c r="R40" s="2259"/>
      <c r="S40" s="2259"/>
      <c r="T40" s="2259"/>
      <c r="U40" s="2259"/>
      <c r="V40" s="2260"/>
    </row>
    <row r="41" spans="2:27" ht="28.5">
      <c r="B41" s="924"/>
      <c r="C41" s="979"/>
      <c r="D41" s="985"/>
      <c r="E41" s="985"/>
      <c r="F41" s="986"/>
      <c r="G41" s="987"/>
      <c r="H41" s="987"/>
      <c r="I41" s="987"/>
      <c r="J41" s="987"/>
      <c r="K41" s="987"/>
      <c r="L41" s="925"/>
      <c r="M41" s="2342" t="s">
        <v>83</v>
      </c>
      <c r="N41" s="2343"/>
      <c r="O41" s="2343"/>
      <c r="P41" s="2343"/>
      <c r="Q41" s="2343"/>
      <c r="R41" s="2343"/>
      <c r="S41" s="2343"/>
      <c r="T41" s="2343"/>
      <c r="U41" s="2343"/>
      <c r="V41" s="2344"/>
    </row>
    <row r="42" spans="2:27" ht="15.75" thickBot="1">
      <c r="B42" s="988"/>
      <c r="C42" s="945"/>
      <c r="D42" s="945"/>
      <c r="E42" s="945"/>
      <c r="F42" s="945"/>
      <c r="G42" s="945"/>
      <c r="H42" s="945"/>
      <c r="I42" s="945"/>
      <c r="J42" s="945"/>
      <c r="K42" s="945"/>
      <c r="L42" s="945"/>
      <c r="M42" s="988"/>
      <c r="N42" s="989"/>
      <c r="O42" s="945"/>
      <c r="P42" s="945"/>
      <c r="Q42" s="945"/>
      <c r="R42" s="945"/>
      <c r="S42" s="945"/>
      <c r="T42" s="990"/>
      <c r="U42" s="990"/>
      <c r="V42" s="991"/>
    </row>
    <row r="43" spans="2:27" ht="44.25" customHeight="1">
      <c r="B43" s="919"/>
      <c r="C43" s="920" t="str">
        <f>+VLOOKUP(139,TRADUZIONI,DATI!$C$2-1,0)</f>
        <v>QUADRO D</v>
      </c>
      <c r="D43" s="2325" t="str">
        <f>+VLOOKUP(113,TRADUZIONI,DATI!$C$2-1,0)</f>
        <v>CONTROLLO CORDINI - POST ASSEMBLAGGIO</v>
      </c>
      <c r="E43" s="2325"/>
      <c r="F43" s="2325"/>
      <c r="G43" s="2325"/>
      <c r="H43" s="2325"/>
      <c r="I43" s="2325"/>
      <c r="J43" s="2325"/>
      <c r="K43" s="2325"/>
      <c r="L43" s="2326"/>
      <c r="M43" s="919"/>
      <c r="N43" s="920" t="str">
        <f>+VLOOKUP(140,TRADUZIONI,DATI!$C$2-1,0)</f>
        <v>QUADRO E</v>
      </c>
      <c r="O43" s="2327" t="s">
        <v>500</v>
      </c>
      <c r="P43" s="2327"/>
      <c r="Q43" s="2327"/>
      <c r="R43" s="2327"/>
      <c r="S43" s="2327"/>
      <c r="T43" s="2327"/>
      <c r="U43" s="2327"/>
      <c r="V43" s="2328"/>
    </row>
    <row r="44" spans="2:27" ht="31.5" customHeight="1">
      <c r="B44" s="992"/>
      <c r="C44" s="993"/>
      <c r="D44" s="993"/>
      <c r="E44" s="993"/>
      <c r="F44" s="993"/>
      <c r="G44" s="993"/>
      <c r="H44" s="993"/>
      <c r="I44" s="993"/>
      <c r="J44" s="993"/>
      <c r="K44" s="993"/>
      <c r="L44" s="993"/>
      <c r="M44" s="994"/>
      <c r="N44" s="996"/>
      <c r="O44" s="996"/>
      <c r="P44" s="996"/>
      <c r="Q44" s="996"/>
      <c r="R44" s="925"/>
      <c r="S44" s="944"/>
      <c r="T44" s="944"/>
      <c r="U44" s="944"/>
      <c r="V44" s="997"/>
    </row>
    <row r="45" spans="2:27" ht="27.75">
      <c r="B45" s="992"/>
      <c r="C45" s="993"/>
      <c r="D45" s="993"/>
      <c r="E45" s="993"/>
      <c r="F45" s="993"/>
      <c r="G45" s="998" t="s">
        <v>85</v>
      </c>
      <c r="H45" s="993"/>
      <c r="I45" s="993"/>
      <c r="J45" s="993"/>
      <c r="K45" s="993"/>
      <c r="L45" s="993"/>
      <c r="M45" s="994"/>
      <c r="N45" s="2345" t="s">
        <v>498</v>
      </c>
      <c r="O45" s="2346"/>
      <c r="P45" s="2346"/>
      <c r="Q45" s="2346"/>
      <c r="R45" s="2346"/>
      <c r="S45" s="2346"/>
      <c r="T45" s="2347"/>
      <c r="U45" s="1028"/>
      <c r="V45" s="997"/>
    </row>
    <row r="46" spans="2:27" ht="31.5" customHeight="1">
      <c r="B46" s="992"/>
      <c r="C46" s="999" t="s">
        <v>119</v>
      </c>
      <c r="D46" s="1000">
        <f>+P7</f>
        <v>1400</v>
      </c>
      <c r="E46" s="1001" t="s">
        <v>88</v>
      </c>
      <c r="F46" s="1001" t="s">
        <v>89</v>
      </c>
      <c r="G46" s="1002">
        <f>+D46+E46</f>
        <v>1600</v>
      </c>
      <c r="H46" s="1003"/>
      <c r="I46" s="993"/>
      <c r="J46" s="993"/>
      <c r="K46" s="993"/>
      <c r="L46" s="993"/>
      <c r="M46" s="994"/>
      <c r="N46" s="996"/>
      <c r="O46" s="996"/>
      <c r="P46" s="996"/>
      <c r="Q46" s="996"/>
      <c r="R46" s="925"/>
      <c r="S46" s="944"/>
      <c r="T46" s="944"/>
      <c r="U46" s="944"/>
      <c r="V46" s="997"/>
    </row>
    <row r="47" spans="2:27" ht="31.5" thickBot="1">
      <c r="B47" s="992"/>
      <c r="C47" s="993"/>
      <c r="D47" s="993"/>
      <c r="E47" s="993"/>
      <c r="F47" s="993"/>
      <c r="G47" s="993"/>
      <c r="H47" s="993"/>
      <c r="I47" s="993"/>
      <c r="J47" s="993"/>
      <c r="K47" s="993"/>
      <c r="L47" s="993"/>
      <c r="M47" s="1004"/>
      <c r="N47" s="1005" t="str">
        <f>+VLOOKUP(78,TRADUZIONI,DATI!C2-1,0)</f>
        <v>PEZZI /PZ.</v>
      </c>
      <c r="O47" s="967">
        <f>2*P11</f>
        <v>2</v>
      </c>
      <c r="P47" s="1070"/>
      <c r="Q47" s="2348" t="s">
        <v>333</v>
      </c>
      <c r="R47" s="2348"/>
      <c r="S47" s="2348"/>
      <c r="T47" s="2349"/>
      <c r="U47" s="944"/>
      <c r="V47" s="1006"/>
    </row>
    <row r="48" spans="2:27" ht="18.75">
      <c r="B48" s="1007"/>
      <c r="C48" s="1008"/>
      <c r="D48" s="1008"/>
      <c r="E48" s="1008"/>
      <c r="F48" s="1008"/>
      <c r="G48" s="1008"/>
      <c r="H48" s="1008"/>
      <c r="I48" s="1008"/>
      <c r="J48" s="1008"/>
      <c r="K48" s="1008"/>
      <c r="L48" s="1009"/>
      <c r="M48" s="994"/>
      <c r="N48" s="996"/>
      <c r="O48" s="996"/>
      <c r="P48" s="996"/>
      <c r="Q48" s="996"/>
      <c r="R48" s="925"/>
      <c r="S48" s="944"/>
      <c r="T48" s="944"/>
      <c r="U48" s="944"/>
      <c r="V48" s="997"/>
    </row>
    <row r="49" spans="2:22" ht="30.75">
      <c r="B49" s="1010"/>
      <c r="C49" s="2350" t="str">
        <f>+IF(DATI!$C$11=1,"","RETE GRIGIA")</f>
        <v>RETE GRIGIA</v>
      </c>
      <c r="D49" s="2350"/>
      <c r="E49" s="2350"/>
      <c r="F49" s="2350"/>
      <c r="G49" s="2350"/>
      <c r="H49" s="2350"/>
      <c r="I49" s="2350"/>
      <c r="J49" s="2350"/>
      <c r="K49" s="1011"/>
      <c r="L49" s="1011"/>
      <c r="M49" s="1012"/>
      <c r="N49" s="1005" t="s">
        <v>702</v>
      </c>
      <c r="O49" s="1013"/>
      <c r="P49" s="1071"/>
      <c r="Q49" s="1071"/>
      <c r="R49" s="2332">
        <f>+R7-30</f>
        <v>2170</v>
      </c>
      <c r="S49" s="2333"/>
      <c r="T49" s="944"/>
      <c r="U49" s="944"/>
      <c r="V49" s="1015"/>
    </row>
    <row r="50" spans="2:22" ht="18.75">
      <c r="B50" s="1010"/>
      <c r="C50" s="2350"/>
      <c r="D50" s="2350"/>
      <c r="E50" s="2350"/>
      <c r="F50" s="2350"/>
      <c r="G50" s="2350"/>
      <c r="H50" s="2350"/>
      <c r="I50" s="2350"/>
      <c r="J50" s="2350"/>
      <c r="K50" s="1011"/>
      <c r="L50" s="1011"/>
      <c r="M50" s="994"/>
      <c r="N50" s="996"/>
      <c r="O50" s="996"/>
      <c r="P50" s="996"/>
      <c r="Q50" s="996"/>
      <c r="R50" s="925"/>
      <c r="S50" s="944"/>
      <c r="T50" s="944"/>
      <c r="U50" s="944"/>
      <c r="V50" s="997"/>
    </row>
    <row r="51" spans="2:22" ht="31.5" thickBot="1">
      <c r="B51" s="1010"/>
      <c r="C51" s="1011"/>
      <c r="D51" s="1011"/>
      <c r="E51" s="1011"/>
      <c r="F51" s="1011"/>
      <c r="G51" s="1011"/>
      <c r="H51" s="1011"/>
      <c r="I51" s="1011"/>
      <c r="J51" s="1011"/>
      <c r="K51" s="1011"/>
      <c r="L51" s="1011"/>
      <c r="M51" s="994"/>
      <c r="N51" s="1005" t="s">
        <v>703</v>
      </c>
      <c r="O51" s="1013"/>
      <c r="P51" s="928"/>
      <c r="Q51" s="928"/>
      <c r="R51" s="2332">
        <f>+R7-25</f>
        <v>2175</v>
      </c>
      <c r="S51" s="2333"/>
      <c r="T51" s="944"/>
      <c r="U51" s="944"/>
      <c r="V51" s="997"/>
    </row>
    <row r="52" spans="2:22" ht="44.25" customHeight="1">
      <c r="B52" s="919"/>
      <c r="C52" s="920" t="str">
        <f>+VLOOKUP(141,TRADUZIONI,DATI!$C$2-1,0)</f>
        <v>QUADRO F</v>
      </c>
      <c r="D52" s="2325" t="s">
        <v>90</v>
      </c>
      <c r="E52" s="2325"/>
      <c r="F52" s="2325"/>
      <c r="G52" s="2325"/>
      <c r="H52" s="2325"/>
      <c r="I52" s="2325"/>
      <c r="J52" s="2325"/>
      <c r="K52" s="2325"/>
      <c r="L52" s="2326"/>
      <c r="M52" s="994"/>
      <c r="N52" s="1016"/>
      <c r="O52" s="1016"/>
      <c r="P52" s="925"/>
      <c r="Q52" s="925"/>
      <c r="R52" s="972"/>
      <c r="S52" s="972"/>
      <c r="T52" s="944"/>
      <c r="U52" s="944"/>
      <c r="V52" s="997"/>
    </row>
    <row r="53" spans="2:22" ht="30.75">
      <c r="B53" s="924"/>
      <c r="C53" s="925"/>
      <c r="D53" s="925"/>
      <c r="E53" s="925"/>
      <c r="F53" s="925"/>
      <c r="G53" s="925"/>
      <c r="H53" s="925"/>
      <c r="I53" s="925"/>
      <c r="J53" s="925"/>
      <c r="K53" s="925"/>
      <c r="L53" s="926"/>
      <c r="M53" s="994"/>
      <c r="N53" s="2336"/>
      <c r="O53" s="2336"/>
      <c r="P53" s="2336"/>
      <c r="Q53" s="2336"/>
      <c r="R53" s="2331"/>
      <c r="S53" s="2331"/>
      <c r="T53" s="944"/>
      <c r="U53" s="944"/>
      <c r="V53" s="997"/>
    </row>
    <row r="54" spans="2:22" ht="29.25" thickBot="1">
      <c r="B54" s="924"/>
      <c r="C54" s="1017" t="s">
        <v>92</v>
      </c>
      <c r="D54" s="1018"/>
      <c r="E54" s="1019"/>
      <c r="F54" s="925"/>
      <c r="G54" s="1020"/>
      <c r="H54" s="925"/>
      <c r="I54" s="925"/>
      <c r="J54" s="925"/>
      <c r="K54" s="925"/>
      <c r="L54" s="926"/>
      <c r="M54" s="994"/>
      <c r="N54" s="996"/>
      <c r="O54" s="996"/>
      <c r="P54" s="996"/>
      <c r="Q54" s="996"/>
      <c r="R54" s="996"/>
      <c r="S54" s="996"/>
      <c r="T54" s="996"/>
      <c r="U54" s="996"/>
      <c r="V54" s="997"/>
    </row>
    <row r="55" spans="2:22" ht="28.5">
      <c r="B55" s="924"/>
      <c r="C55" s="1017"/>
      <c r="D55" s="1018"/>
      <c r="E55" s="1019"/>
      <c r="F55" s="925"/>
      <c r="G55" s="1020"/>
      <c r="H55" s="925"/>
      <c r="I55" s="925"/>
      <c r="J55" s="925"/>
      <c r="K55" s="925"/>
      <c r="L55" s="925"/>
      <c r="M55" s="1398"/>
      <c r="N55" s="1399"/>
      <c r="O55" s="1400"/>
      <c r="P55" s="1400"/>
      <c r="Q55" s="1400"/>
      <c r="R55" s="1400"/>
      <c r="S55" s="1400"/>
      <c r="T55" s="1400"/>
      <c r="U55" s="1400"/>
      <c r="V55" s="1401"/>
    </row>
    <row r="56" spans="2:22" ht="28.5">
      <c r="B56" s="924"/>
      <c r="C56" s="1025"/>
      <c r="D56" s="1026" t="s">
        <v>94</v>
      </c>
      <c r="E56" s="925"/>
      <c r="F56" s="1020"/>
      <c r="G56" s="1020"/>
      <c r="H56" s="925"/>
      <c r="I56" s="925"/>
      <c r="J56" s="925"/>
      <c r="K56" s="925"/>
      <c r="L56" s="925"/>
      <c r="M56" s="924"/>
      <c r="N56" s="925"/>
      <c r="O56" s="925"/>
      <c r="P56" s="925"/>
      <c r="Q56" s="925"/>
      <c r="R56" s="925"/>
      <c r="S56" s="925"/>
      <c r="T56" s="925"/>
      <c r="U56" s="925"/>
      <c r="V56" s="981"/>
    </row>
    <row r="57" spans="2:22" ht="28.5">
      <c r="B57" s="924"/>
      <c r="C57" s="1027"/>
      <c r="D57" s="1026" t="s">
        <v>95</v>
      </c>
      <c r="E57" s="925"/>
      <c r="F57" s="950"/>
      <c r="G57" s="937"/>
      <c r="H57" s="925"/>
      <c r="I57" s="925"/>
      <c r="J57" s="925"/>
      <c r="K57" s="925"/>
      <c r="L57" s="925"/>
      <c r="M57" s="994"/>
      <c r="N57" s="2492"/>
      <c r="O57" s="2492"/>
      <c r="P57" s="2492"/>
      <c r="Q57" s="2492"/>
      <c r="R57" s="2492"/>
      <c r="S57" s="2492"/>
      <c r="T57" s="2492"/>
      <c r="U57" s="944"/>
      <c r="V57" s="997"/>
    </row>
    <row r="58" spans="2:22" ht="28.5">
      <c r="B58" s="924"/>
      <c r="C58" s="1027"/>
      <c r="D58" s="1026" t="s">
        <v>96</v>
      </c>
      <c r="E58" s="925"/>
      <c r="F58" s="950"/>
      <c r="G58" s="937"/>
      <c r="H58" s="925"/>
      <c r="I58" s="925"/>
      <c r="J58" s="925"/>
      <c r="K58" s="925"/>
      <c r="L58" s="925"/>
      <c r="M58" s="994"/>
      <c r="N58" s="925"/>
      <c r="O58" s="925"/>
      <c r="P58" s="925"/>
      <c r="Q58" s="925"/>
      <c r="R58" s="925"/>
      <c r="S58" s="925"/>
      <c r="T58" s="925"/>
      <c r="U58" s="1028"/>
      <c r="V58" s="997"/>
    </row>
    <row r="59" spans="2:22" ht="18.75">
      <c r="B59" s="1029"/>
      <c r="C59" s="1030"/>
      <c r="D59" s="1031"/>
      <c r="E59" s="1031"/>
      <c r="F59" s="1031"/>
      <c r="G59" s="1031"/>
      <c r="H59" s="1031"/>
      <c r="I59" s="1031"/>
      <c r="J59" s="1031"/>
      <c r="K59" s="1031"/>
      <c r="L59" s="1031"/>
      <c r="M59" s="994"/>
      <c r="N59" s="996"/>
      <c r="O59" s="996"/>
      <c r="P59" s="996"/>
      <c r="Q59" s="996"/>
      <c r="R59" s="925"/>
      <c r="S59" s="944"/>
      <c r="T59" s="944"/>
      <c r="U59" s="944"/>
      <c r="V59" s="997"/>
    </row>
    <row r="60" spans="2:22" ht="30.75">
      <c r="B60" s="1035" t="s">
        <v>37</v>
      </c>
      <c r="C60" s="1036"/>
      <c r="D60" s="1036"/>
      <c r="E60" s="1036"/>
      <c r="F60" s="1036"/>
      <c r="G60" s="1036"/>
      <c r="H60" s="1036"/>
      <c r="I60" s="1036"/>
      <c r="J60" s="1036"/>
      <c r="K60" s="1036"/>
      <c r="L60" s="1036"/>
      <c r="M60" s="994"/>
      <c r="N60" s="1397"/>
      <c r="O60" s="972"/>
      <c r="P60" s="1034"/>
      <c r="Q60" s="1034"/>
      <c r="R60" s="925"/>
      <c r="S60" s="944"/>
      <c r="T60" s="944"/>
      <c r="U60" s="944"/>
      <c r="V60" s="997"/>
    </row>
    <row r="61" spans="2:22" ht="21">
      <c r="B61" s="1038" t="s">
        <v>37</v>
      </c>
      <c r="C61" s="1039"/>
      <c r="D61" s="1040" t="s">
        <v>98</v>
      </c>
      <c r="E61" s="1040" t="s">
        <v>99</v>
      </c>
      <c r="F61" s="1040" t="s">
        <v>100</v>
      </c>
      <c r="G61" s="1039"/>
      <c r="H61" s="1039"/>
      <c r="I61" s="1039"/>
      <c r="J61" s="1039"/>
      <c r="K61" s="1039"/>
      <c r="L61" s="1039"/>
      <c r="M61" s="994"/>
      <c r="N61" s="996"/>
      <c r="O61" s="996"/>
      <c r="P61" s="996"/>
      <c r="Q61" s="996"/>
      <c r="R61" s="925"/>
      <c r="S61" s="944"/>
      <c r="T61" s="944"/>
      <c r="U61" s="944"/>
      <c r="V61" s="997"/>
    </row>
    <row r="62" spans="2:22" ht="21">
      <c r="B62" s="1042"/>
      <c r="C62" s="1039"/>
      <c r="D62" s="1043" t="s">
        <v>44</v>
      </c>
      <c r="E62" s="1044"/>
      <c r="F62" s="1044"/>
      <c r="G62" s="1045"/>
      <c r="H62" s="1039"/>
      <c r="I62" s="1039"/>
      <c r="J62" s="1039"/>
      <c r="K62" s="1039"/>
      <c r="L62" s="1039"/>
      <c r="M62" s="994"/>
      <c r="N62" s="925"/>
      <c r="O62" s="925"/>
      <c r="P62" s="925"/>
      <c r="Q62" s="925"/>
      <c r="R62" s="925"/>
      <c r="S62" s="925"/>
      <c r="T62" s="944"/>
      <c r="U62" s="944"/>
      <c r="V62" s="997"/>
    </row>
    <row r="63" spans="2:22" ht="30.75">
      <c r="B63" s="1046"/>
      <c r="C63" s="1039"/>
      <c r="D63" s="1047">
        <v>0.05</v>
      </c>
      <c r="E63" s="1048">
        <v>0.17499999999999999</v>
      </c>
      <c r="F63" s="1049" t="s">
        <v>102</v>
      </c>
      <c r="G63" s="1048">
        <f>(R7+300)/1000</f>
        <v>2.5</v>
      </c>
      <c r="H63" s="1039"/>
      <c r="I63" s="1039"/>
      <c r="J63" s="1039"/>
      <c r="K63" s="1039"/>
      <c r="L63" s="1039"/>
      <c r="M63" s="994"/>
      <c r="N63" s="2336"/>
      <c r="O63" s="2336"/>
      <c r="P63" s="2336"/>
      <c r="Q63" s="2336"/>
      <c r="R63" s="2331"/>
      <c r="S63" s="2331"/>
      <c r="T63" s="944"/>
      <c r="U63" s="944"/>
      <c r="V63" s="997"/>
    </row>
    <row r="64" spans="2:22" ht="30.75">
      <c r="B64" s="1050"/>
      <c r="C64" s="1039"/>
      <c r="D64" s="1047" t="s">
        <v>103</v>
      </c>
      <c r="E64" s="1047"/>
      <c r="F64" s="1048" t="str">
        <f>P11</f>
        <v>1</v>
      </c>
      <c r="G64" s="1047" t="s">
        <v>104</v>
      </c>
      <c r="H64" s="1039"/>
      <c r="I64" s="1039"/>
      <c r="J64" s="1039"/>
      <c r="K64" s="1039"/>
      <c r="L64" s="1039"/>
      <c r="M64" s="994"/>
      <c r="N64" s="2336"/>
      <c r="O64" s="2336"/>
      <c r="P64" s="2336"/>
      <c r="Q64" s="2336"/>
      <c r="R64" s="2331"/>
      <c r="S64" s="2331"/>
      <c r="T64" s="944"/>
      <c r="U64" s="944"/>
      <c r="V64" s="997"/>
    </row>
    <row r="65" spans="2:22" ht="21.75" thickBot="1">
      <c r="B65" s="1055"/>
      <c r="C65" s="1056"/>
      <c r="D65" s="1057" t="s">
        <v>105</v>
      </c>
      <c r="E65" s="1057"/>
      <c r="F65" s="1058">
        <f>(D63*E63*G63)*F64</f>
        <v>2.1874999999999999E-2</v>
      </c>
      <c r="G65" s="1057" t="s">
        <v>106</v>
      </c>
      <c r="H65" s="1056"/>
      <c r="I65" s="1056"/>
      <c r="J65" s="1056"/>
      <c r="K65" s="1056"/>
      <c r="L65" s="1056"/>
      <c r="M65" s="1402"/>
      <c r="N65" s="1403"/>
      <c r="O65" s="1403"/>
      <c r="P65" s="1403"/>
      <c r="Q65" s="1403"/>
      <c r="R65" s="1403"/>
      <c r="S65" s="1403"/>
      <c r="T65" s="1403"/>
      <c r="U65" s="1403"/>
      <c r="V65" s="1404"/>
    </row>
    <row r="66" spans="2:22" ht="44.25" customHeight="1">
      <c r="B66" s="919"/>
      <c r="C66" s="920" t="str">
        <f>+VLOOKUP(142,TRADUZIONI,DATI!$C$2-1,0)</f>
        <v>QUADRO G</v>
      </c>
      <c r="D66" s="2355" t="s">
        <v>108</v>
      </c>
      <c r="E66" s="2355"/>
      <c r="F66" s="2355"/>
      <c r="G66" s="2355"/>
      <c r="H66" s="2355"/>
      <c r="I66" s="2355"/>
      <c r="J66" s="2355"/>
      <c r="K66" s="2355"/>
      <c r="L66" s="2356"/>
      <c r="M66" s="994"/>
      <c r="N66" s="996"/>
      <c r="O66" s="996"/>
      <c r="P66" s="996"/>
      <c r="Q66" s="996"/>
      <c r="R66" s="925"/>
      <c r="S66" s="944"/>
      <c r="T66" s="944"/>
      <c r="U66" s="944"/>
      <c r="V66" s="997"/>
    </row>
    <row r="67" spans="2:22" ht="27.75">
      <c r="B67" s="2363" t="s">
        <v>109</v>
      </c>
      <c r="C67" s="2364"/>
      <c r="D67" s="2364"/>
      <c r="E67" s="2365"/>
      <c r="F67" s="2366" t="s">
        <v>110</v>
      </c>
      <c r="G67" s="2364"/>
      <c r="H67" s="2364"/>
      <c r="I67" s="2364"/>
      <c r="J67" s="2364"/>
      <c r="K67" s="2364"/>
      <c r="L67" s="2367"/>
      <c r="M67" s="994"/>
      <c r="N67" s="2345" t="s">
        <v>111</v>
      </c>
      <c r="O67" s="2346"/>
      <c r="P67" s="2346"/>
      <c r="Q67" s="2346"/>
      <c r="R67" s="2346"/>
      <c r="S67" s="2346"/>
      <c r="T67" s="2346"/>
      <c r="U67" s="2347"/>
      <c r="V67" s="997"/>
    </row>
    <row r="68" spans="2:22" ht="21">
      <c r="B68" s="2368" t="s">
        <v>112</v>
      </c>
      <c r="C68" s="2369"/>
      <c r="D68" s="2353" t="s">
        <v>113</v>
      </c>
      <c r="E68" s="2354"/>
      <c r="F68" s="2384">
        <f>+DATI!C12</f>
        <v>0</v>
      </c>
      <c r="G68" s="2385"/>
      <c r="H68" s="2385"/>
      <c r="I68" s="2385"/>
      <c r="J68" s="2385"/>
      <c r="K68" s="2385"/>
      <c r="L68" s="2386"/>
      <c r="M68" s="994"/>
      <c r="N68" s="996"/>
      <c r="O68" s="996"/>
      <c r="P68" s="996"/>
      <c r="Q68" s="996"/>
      <c r="R68" s="925"/>
      <c r="S68" s="925"/>
      <c r="T68" s="925"/>
      <c r="U68" s="925"/>
      <c r="V68" s="997"/>
    </row>
    <row r="69" spans="2:22" ht="28.5">
      <c r="B69" s="2370"/>
      <c r="C69" s="2371"/>
      <c r="D69" s="2374"/>
      <c r="E69" s="2375"/>
      <c r="F69" s="2387"/>
      <c r="G69" s="2388"/>
      <c r="H69" s="2388"/>
      <c r="I69" s="2388"/>
      <c r="J69" s="2388"/>
      <c r="K69" s="2388"/>
      <c r="L69" s="2389"/>
      <c r="M69" s="994"/>
      <c r="N69" s="1005" t="s">
        <v>707</v>
      </c>
      <c r="O69" s="928"/>
      <c r="P69" s="1068"/>
      <c r="Q69" s="2351">
        <f>+P7-2</f>
        <v>1398</v>
      </c>
      <c r="R69" s="2352"/>
      <c r="S69" s="925"/>
      <c r="T69" s="1033" t="str">
        <f>+VLOOKUP(78,TRADUZIONI,DATI!C2-1,0)</f>
        <v>PEZZI /PZ.</v>
      </c>
      <c r="U69" s="1069" t="s">
        <v>122</v>
      </c>
      <c r="V69" s="997"/>
    </row>
    <row r="70" spans="2:22" ht="21">
      <c r="B70" s="2370"/>
      <c r="C70" s="2371"/>
      <c r="D70" s="2374"/>
      <c r="E70" s="2375"/>
      <c r="F70" s="2366" t="s">
        <v>114</v>
      </c>
      <c r="G70" s="2364"/>
      <c r="H70" s="2364"/>
      <c r="I70" s="2364"/>
      <c r="J70" s="2364"/>
      <c r="K70" s="2366" t="s">
        <v>115</v>
      </c>
      <c r="L70" s="2367"/>
      <c r="M70" s="994"/>
      <c r="N70" s="996"/>
      <c r="O70" s="996"/>
      <c r="P70" s="996"/>
      <c r="Q70" s="996"/>
      <c r="R70" s="925"/>
      <c r="S70" s="925"/>
      <c r="T70" s="925"/>
      <c r="U70" s="925"/>
      <c r="V70" s="997"/>
    </row>
    <row r="71" spans="2:22" ht="28.5">
      <c r="B71" s="2370"/>
      <c r="C71" s="2371"/>
      <c r="D71" s="2374"/>
      <c r="E71" s="2375"/>
      <c r="F71" s="2380" t="str">
        <f>+IF(DATI!$C$11=1,"","RETE GRIGIA")</f>
        <v>RETE GRIGIA</v>
      </c>
      <c r="G71" s="2381"/>
      <c r="H71" s="2381"/>
      <c r="I71" s="2381"/>
      <c r="J71" s="2381"/>
      <c r="K71" s="1060"/>
      <c r="L71" s="1041"/>
      <c r="M71" s="994"/>
      <c r="N71" s="1005" t="s">
        <v>708</v>
      </c>
      <c r="O71" s="1013"/>
      <c r="P71" s="928"/>
      <c r="Q71" s="2351">
        <f>+P7-2</f>
        <v>1398</v>
      </c>
      <c r="R71" s="2352"/>
      <c r="S71" s="925"/>
      <c r="T71" s="1033" t="str">
        <f>+VLOOKUP(78,TRADUZIONI,DATI!C2-1,0)</f>
        <v>PEZZI /PZ.</v>
      </c>
      <c r="U71" s="1069" t="s">
        <v>122</v>
      </c>
      <c r="V71" s="997"/>
    </row>
    <row r="72" spans="2:22" ht="21.75" thickBot="1">
      <c r="B72" s="2372"/>
      <c r="C72" s="2373"/>
      <c r="D72" s="2376"/>
      <c r="E72" s="2377"/>
      <c r="F72" s="2382"/>
      <c r="G72" s="2383"/>
      <c r="H72" s="2383"/>
      <c r="I72" s="2383"/>
      <c r="J72" s="2383"/>
      <c r="K72" s="1061"/>
      <c r="L72" s="1062"/>
      <c r="M72" s="1063"/>
      <c r="N72" s="1064"/>
      <c r="O72" s="1064"/>
      <c r="P72" s="1064"/>
      <c r="Q72" s="1064"/>
      <c r="R72" s="1064"/>
      <c r="S72" s="1064"/>
      <c r="T72" s="1064"/>
      <c r="U72" s="1064"/>
      <c r="V72" s="1065"/>
    </row>
    <row r="74" spans="2:22" ht="99.75">
      <c r="V74" s="1066"/>
    </row>
  </sheetData>
  <mergeCells count="54">
    <mergeCell ref="B2:V2"/>
    <mergeCell ref="E4:O4"/>
    <mergeCell ref="D6:G6"/>
    <mergeCell ref="N6:O7"/>
    <mergeCell ref="R6:S6"/>
    <mergeCell ref="R7:S7"/>
    <mergeCell ref="N9:O9"/>
    <mergeCell ref="P9:S9"/>
    <mergeCell ref="D10:G10"/>
    <mergeCell ref="N11:O11"/>
    <mergeCell ref="D14:L14"/>
    <mergeCell ref="O14:V14"/>
    <mergeCell ref="M40:V40"/>
    <mergeCell ref="F15:J20"/>
    <mergeCell ref="P16:Q16"/>
    <mergeCell ref="C22:E22"/>
    <mergeCell ref="F31:G31"/>
    <mergeCell ref="G32:H32"/>
    <mergeCell ref="H33:I33"/>
    <mergeCell ref="J34:K34"/>
    <mergeCell ref="C36:I36"/>
    <mergeCell ref="C37:I38"/>
    <mergeCell ref="C40:E40"/>
    <mergeCell ref="G40:K40"/>
    <mergeCell ref="N63:Q63"/>
    <mergeCell ref="R63:S63"/>
    <mergeCell ref="M41:V41"/>
    <mergeCell ref="D43:L43"/>
    <mergeCell ref="O43:V43"/>
    <mergeCell ref="N45:T45"/>
    <mergeCell ref="Q47:T47"/>
    <mergeCell ref="C49:J50"/>
    <mergeCell ref="R49:S49"/>
    <mergeCell ref="R51:S51"/>
    <mergeCell ref="D52:L52"/>
    <mergeCell ref="N53:Q53"/>
    <mergeCell ref="R53:S53"/>
    <mergeCell ref="N57:T57"/>
    <mergeCell ref="N64:Q64"/>
    <mergeCell ref="R64:S64"/>
    <mergeCell ref="D66:L66"/>
    <mergeCell ref="B67:E67"/>
    <mergeCell ref="F67:L67"/>
    <mergeCell ref="N67:U67"/>
    <mergeCell ref="Q69:R69"/>
    <mergeCell ref="F70:J70"/>
    <mergeCell ref="K70:L70"/>
    <mergeCell ref="F71:J72"/>
    <mergeCell ref="Q71:R71"/>
    <mergeCell ref="B68:C68"/>
    <mergeCell ref="D68:E68"/>
    <mergeCell ref="F68:L69"/>
    <mergeCell ref="B69:C72"/>
    <mergeCell ref="D69:E72"/>
  </mergeCells>
  <printOptions horizontalCentered="1"/>
  <pageMargins left="0" right="0" top="0" bottom="0" header="0" footer="0"/>
  <pageSetup paperSize="9" scale="38" orientation="portrait" horizontalDpi="1200" verticalDpi="1200" r:id="rId1"/>
  <headerFooter alignWithMargins="0">
    <oddFooter>&amp;LREV. 09/05 - VER.1&amp;R&amp;D</oddFooter>
  </headerFooter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4">
    <tabColor rgb="FF92D050"/>
    <pageSetUpPr fitToPage="1"/>
  </sheetPr>
  <dimension ref="A1:AG74"/>
  <sheetViews>
    <sheetView showGridLines="0" topLeftCell="B25" zoomScale="40" zoomScaleNormal="40" workbookViewId="0">
      <selection activeCell="Q69" sqref="Q69:R69"/>
    </sheetView>
  </sheetViews>
  <sheetFormatPr defaultColWidth="10.28515625" defaultRowHeight="15"/>
  <cols>
    <col min="1" max="1" width="34.85546875" style="918" customWidth="1"/>
    <col min="2" max="2" width="4.5703125" style="918" customWidth="1"/>
    <col min="3" max="3" width="32" style="918" customWidth="1"/>
    <col min="4" max="4" width="13.28515625" style="918" customWidth="1"/>
    <col min="5" max="5" width="21.140625" style="918" customWidth="1"/>
    <col min="6" max="6" width="15" style="918" customWidth="1"/>
    <col min="7" max="7" width="17.85546875" style="918" customWidth="1"/>
    <col min="8" max="9" width="9.28515625" style="918" customWidth="1"/>
    <col min="10" max="10" width="6.42578125" style="918" customWidth="1"/>
    <col min="11" max="11" width="9.85546875" style="918" customWidth="1"/>
    <col min="12" max="12" width="4.7109375" style="918" customWidth="1"/>
    <col min="13" max="13" width="3.7109375" style="918" customWidth="1"/>
    <col min="14" max="14" width="17.85546875" style="918" customWidth="1"/>
    <col min="15" max="15" width="13.85546875" style="918" customWidth="1"/>
    <col min="16" max="16" width="16.28515625" style="918" customWidth="1"/>
    <col min="17" max="17" width="9.7109375" style="918" customWidth="1"/>
    <col min="18" max="18" width="11.140625" style="918" customWidth="1"/>
    <col min="19" max="19" width="9.5703125" style="918" customWidth="1"/>
    <col min="20" max="20" width="19" style="918" customWidth="1"/>
    <col min="21" max="21" width="11.42578125" style="918" customWidth="1"/>
    <col min="22" max="22" width="6.5703125" style="918" customWidth="1"/>
    <col min="23" max="24" width="10.28515625" style="918"/>
    <col min="25" max="25" width="14.42578125" style="918" bestFit="1" customWidth="1"/>
    <col min="26" max="16384" width="10.28515625" style="918"/>
  </cols>
  <sheetData>
    <row r="1" spans="1:33" ht="18">
      <c r="A1" s="917"/>
    </row>
    <row r="2" spans="1:33" ht="33.75">
      <c r="A2" s="917"/>
      <c r="B2" s="2305" t="s">
        <v>773</v>
      </c>
      <c r="C2" s="2306"/>
      <c r="D2" s="2306"/>
      <c r="E2" s="2306"/>
      <c r="F2" s="2306"/>
      <c r="G2" s="2306"/>
      <c r="H2" s="2306"/>
      <c r="I2" s="2306"/>
      <c r="J2" s="2306"/>
      <c r="K2" s="2306"/>
      <c r="L2" s="2306"/>
      <c r="M2" s="2306"/>
      <c r="N2" s="2306"/>
      <c r="O2" s="2306"/>
      <c r="P2" s="2306"/>
      <c r="Q2" s="2306"/>
      <c r="R2" s="2306"/>
      <c r="S2" s="2306"/>
      <c r="T2" s="2306"/>
      <c r="U2" s="2306"/>
      <c r="V2" s="2306"/>
      <c r="AG2" s="918" t="s">
        <v>37</v>
      </c>
    </row>
    <row r="3" spans="1:33" ht="18.75" thickBot="1">
      <c r="A3" s="917"/>
    </row>
    <row r="4" spans="1:33" ht="44.25" customHeight="1">
      <c r="A4" s="917"/>
      <c r="B4" s="919"/>
      <c r="C4" s="920" t="str">
        <f>+VLOOKUP(108,TRADUZIONI,DATI!$C$2-1,0)</f>
        <v>QUADRO A</v>
      </c>
      <c r="D4" s="921"/>
      <c r="E4" s="2307" t="str">
        <f>+VLOOKUP(109,TRADUZIONI,DATI!$C$2-1,0)</f>
        <v>DATI ORDINE</v>
      </c>
      <c r="F4" s="2307"/>
      <c r="G4" s="2307"/>
      <c r="H4" s="2307"/>
      <c r="I4" s="2307"/>
      <c r="J4" s="2307"/>
      <c r="K4" s="2307"/>
      <c r="L4" s="2307"/>
      <c r="M4" s="2307"/>
      <c r="N4" s="2307"/>
      <c r="O4" s="2307"/>
      <c r="P4" s="922"/>
      <c r="Q4" s="921"/>
      <c r="R4" s="921"/>
      <c r="S4" s="921"/>
      <c r="T4" s="921"/>
      <c r="U4" s="921"/>
      <c r="V4" s="923"/>
    </row>
    <row r="5" spans="1:33" ht="18">
      <c r="A5" s="917"/>
      <c r="B5" s="924"/>
      <c r="C5" s="925"/>
      <c r="D5" s="925"/>
      <c r="E5" s="925"/>
      <c r="F5" s="925"/>
      <c r="G5" s="925"/>
      <c r="H5" s="925"/>
      <c r="I5" s="925"/>
      <c r="J5" s="925"/>
      <c r="K5" s="925"/>
      <c r="L5" s="925"/>
      <c r="M5" s="925"/>
      <c r="N5" s="925"/>
      <c r="O5" s="925"/>
      <c r="P5" s="925"/>
      <c r="Q5" s="925"/>
      <c r="R5" s="925"/>
      <c r="S5" s="925"/>
      <c r="T5" s="925"/>
      <c r="U5" s="925"/>
      <c r="V5" s="926"/>
    </row>
    <row r="6" spans="1:33" ht="30.75">
      <c r="B6" s="924"/>
      <c r="C6" s="1432" t="str">
        <f>+VLOOKUP(22,TRADUZIONI,DATI!C2-1,0)</f>
        <v>CLIENTE</v>
      </c>
      <c r="D6" s="2308">
        <f>+DATI!C6</f>
        <v>0</v>
      </c>
      <c r="E6" s="2308"/>
      <c r="F6" s="2308"/>
      <c r="G6" s="2308"/>
      <c r="H6" s="928"/>
      <c r="I6" s="928"/>
      <c r="J6" s="928"/>
      <c r="K6" s="929"/>
      <c r="L6" s="930"/>
      <c r="M6" s="931"/>
      <c r="N6" s="2309" t="str">
        <f>+VLOOKUP(115,TRADUZIONI,DATI!C2-1,0)</f>
        <v xml:space="preserve">DIMENSIONI </v>
      </c>
      <c r="O6" s="2310"/>
      <c r="P6" s="1434" t="str">
        <f>+VLOOKUP(96,TRADUZIONI,DATI!C2-1,0)</f>
        <v>BASE</v>
      </c>
      <c r="Q6" s="932"/>
      <c r="R6" s="2313" t="str">
        <f>+VLOOKUP(97,TRADUZIONI,DATI!C2-1,0)</f>
        <v>ALTEZZA</v>
      </c>
      <c r="S6" s="2314"/>
      <c r="T6" s="925"/>
      <c r="U6" s="925"/>
      <c r="V6" s="926"/>
    </row>
    <row r="7" spans="1:33" ht="29.25" customHeight="1">
      <c r="B7" s="924"/>
      <c r="C7" s="925"/>
      <c r="D7" s="925" t="s">
        <v>37</v>
      </c>
      <c r="E7" s="925"/>
      <c r="F7" s="925"/>
      <c r="G7" s="925"/>
      <c r="H7" s="925"/>
      <c r="I7" s="925"/>
      <c r="J7" s="925"/>
      <c r="K7" s="925"/>
      <c r="L7" s="930"/>
      <c r="M7" s="931"/>
      <c r="N7" s="2311"/>
      <c r="O7" s="2312"/>
      <c r="P7" s="933">
        <f>+DATI!C7</f>
        <v>1400</v>
      </c>
      <c r="Q7" s="934" t="s">
        <v>44</v>
      </c>
      <c r="R7" s="2315">
        <f>+DATI!C8</f>
        <v>2200</v>
      </c>
      <c r="S7" s="2316"/>
      <c r="T7" s="925"/>
      <c r="U7" s="925"/>
      <c r="V7" s="926"/>
    </row>
    <row r="8" spans="1:33" ht="30.75">
      <c r="B8" s="924"/>
      <c r="C8" s="927" t="str">
        <f>+VLOOKUP(23,TRADUZIONI,DATI!C2-1,0)</f>
        <v>NUM. ORDINE</v>
      </c>
      <c r="D8" s="935">
        <f>+DATI!C4</f>
        <v>0</v>
      </c>
      <c r="E8" s="935"/>
      <c r="F8" s="935"/>
      <c r="G8" s="935"/>
      <c r="H8" s="928"/>
      <c r="I8" s="928"/>
      <c r="J8" s="928"/>
      <c r="K8" s="929"/>
      <c r="L8" s="930"/>
      <c r="M8" s="931"/>
      <c r="N8" s="925"/>
      <c r="O8" s="925"/>
      <c r="P8" s="925"/>
      <c r="Q8" s="925"/>
      <c r="R8" s="936"/>
      <c r="S8" s="925"/>
      <c r="T8" s="925"/>
      <c r="U8" s="925"/>
      <c r="V8" s="926"/>
    </row>
    <row r="9" spans="1:33" ht="30.75">
      <c r="B9" s="924"/>
      <c r="C9" s="925"/>
      <c r="D9" s="925"/>
      <c r="E9" s="925"/>
      <c r="F9" s="925"/>
      <c r="G9" s="925"/>
      <c r="H9" s="925"/>
      <c r="I9" s="925"/>
      <c r="J9" s="925"/>
      <c r="K9" s="925"/>
      <c r="L9" s="930"/>
      <c r="M9" s="931"/>
      <c r="N9" s="2318" t="str">
        <f>+VLOOKUP(99,TRADUZIONI,DATI!C2-1,0)</f>
        <v>COLORE</v>
      </c>
      <c r="O9" s="2314"/>
      <c r="P9" s="2319" t="str">
        <f>+DATI!C10</f>
        <v>06.NERO</v>
      </c>
      <c r="Q9" s="2320"/>
      <c r="R9" s="2320"/>
      <c r="S9" s="2321"/>
      <c r="T9" s="925"/>
      <c r="U9" s="925"/>
      <c r="V9" s="926"/>
    </row>
    <row r="10" spans="1:33" ht="30.75">
      <c r="B10" s="924"/>
      <c r="C10" s="1434" t="str">
        <f>+VLOOKUP(5,TRADUZIONI,DATI!C2-1,0)</f>
        <v>DATA SPEDIZIONE</v>
      </c>
      <c r="D10" s="2393">
        <f>DATI!C5</f>
        <v>42370</v>
      </c>
      <c r="E10" s="2393"/>
      <c r="F10" s="2393"/>
      <c r="G10" s="2393"/>
      <c r="H10" s="928"/>
      <c r="I10" s="928"/>
      <c r="J10" s="928"/>
      <c r="K10" s="929"/>
      <c r="L10" s="930"/>
      <c r="M10" s="931"/>
      <c r="N10" s="937"/>
      <c r="O10" s="925"/>
      <c r="P10" s="925"/>
      <c r="Q10" s="925"/>
      <c r="R10" s="925"/>
      <c r="S10" s="925"/>
      <c r="T10" s="925"/>
      <c r="U10" s="925"/>
      <c r="V10" s="926"/>
    </row>
    <row r="11" spans="1:33" ht="30.75">
      <c r="B11" s="924"/>
      <c r="C11" s="925"/>
      <c r="D11" s="925"/>
      <c r="E11" s="925"/>
      <c r="F11" s="925"/>
      <c r="G11" s="925"/>
      <c r="H11" s="925"/>
      <c r="I11" s="925"/>
      <c r="J11" s="925"/>
      <c r="K11" s="925"/>
      <c r="L11" s="930"/>
      <c r="M11" s="931"/>
      <c r="N11" s="2323" t="str">
        <f>+VLOOKUP(78,TRADUZIONI,DATI!C2-1,0)</f>
        <v>PEZZI /PZ.</v>
      </c>
      <c r="O11" s="2324"/>
      <c r="P11" s="938" t="str">
        <f>DATI!C11</f>
        <v>1</v>
      </c>
      <c r="Q11" s="925"/>
      <c r="R11" s="925"/>
      <c r="S11" s="925"/>
      <c r="T11" s="925"/>
      <c r="U11" s="925"/>
      <c r="V11" s="926"/>
    </row>
    <row r="12" spans="1:33" ht="30.75">
      <c r="B12" s="924"/>
      <c r="C12" s="927" t="s">
        <v>49</v>
      </c>
      <c r="D12" s="939">
        <f>IF((P7*R7/1000000)&lt;=2,2*P11,IF((P7*R7/1000000)&gt;2,(P7*R7/1000000)*P11))</f>
        <v>3.08</v>
      </c>
      <c r="E12" s="925"/>
      <c r="F12" s="925"/>
      <c r="G12" s="925"/>
      <c r="H12" s="925"/>
      <c r="I12" s="925"/>
      <c r="J12" s="925"/>
      <c r="K12" s="925"/>
      <c r="L12" s="930"/>
      <c r="M12" s="931"/>
      <c r="N12" s="925"/>
      <c r="O12" s="925"/>
      <c r="P12" s="940" t="s">
        <v>37</v>
      </c>
      <c r="Q12" s="925"/>
      <c r="R12" s="925"/>
      <c r="S12" s="925"/>
      <c r="T12" s="941" t="s">
        <v>37</v>
      </c>
      <c r="U12" s="941"/>
      <c r="V12" s="926"/>
    </row>
    <row r="13" spans="1:33" ht="15.75" thickBot="1">
      <c r="B13" s="924"/>
      <c r="C13" s="937"/>
      <c r="D13" s="925"/>
      <c r="E13" s="942"/>
      <c r="F13" s="943"/>
      <c r="G13" s="942"/>
      <c r="H13" s="944"/>
      <c r="I13" s="944"/>
      <c r="J13" s="944"/>
      <c r="K13" s="925"/>
      <c r="L13" s="925"/>
      <c r="M13" s="925"/>
      <c r="N13" s="925"/>
      <c r="O13" s="925"/>
      <c r="P13" s="925"/>
      <c r="Q13" s="925"/>
      <c r="R13" s="945"/>
      <c r="S13" s="925"/>
      <c r="T13" s="946" t="s">
        <v>37</v>
      </c>
      <c r="U13" s="946"/>
      <c r="V13" s="926"/>
    </row>
    <row r="14" spans="1:33" ht="44.25" customHeight="1">
      <c r="B14" s="919"/>
      <c r="C14" s="920" t="str">
        <f>+VLOOKUP(111,TRADUZIONI,DATI!$C$2-1,0)</f>
        <v>QUADRO B</v>
      </c>
      <c r="D14" s="2325" t="str">
        <f>+VLOOKUP(118,TRADUZIONI,DATI!$C$2-1,0)</f>
        <v>DIMENSIONE RETE E FORI</v>
      </c>
      <c r="E14" s="2325"/>
      <c r="F14" s="2325"/>
      <c r="G14" s="2325"/>
      <c r="H14" s="2325"/>
      <c r="I14" s="2325"/>
      <c r="J14" s="2325"/>
      <c r="K14" s="2325"/>
      <c r="L14" s="2326"/>
      <c r="M14" s="919"/>
      <c r="N14" s="920" t="str">
        <f>+VLOOKUP(138,TRADUZIONI,DATI!$C$2-1,0)</f>
        <v>QUADRO C</v>
      </c>
      <c r="O14" s="2327" t="str">
        <f>+VLOOKUP(117,TRADUZIONI,DATI!$C$2-1,0)</f>
        <v>LUNGHEZZA E NUM. CORDINI</v>
      </c>
      <c r="P14" s="2327"/>
      <c r="Q14" s="2327"/>
      <c r="R14" s="2327"/>
      <c r="S14" s="2327"/>
      <c r="T14" s="2327"/>
      <c r="U14" s="2327"/>
      <c r="V14" s="2328"/>
    </row>
    <row r="15" spans="1:33" ht="31.5" customHeight="1">
      <c r="B15" s="947"/>
      <c r="C15" s="925"/>
      <c r="D15" s="925"/>
      <c r="E15" s="925"/>
      <c r="F15" s="2329" t="e">
        <f>IF(DATI!E13="AUTOMATICA",CONCATENATE("*",DATI!E14,"-",REPT("0",4-LEN(F22)),F22,"*"),CONCATENATE("*",DATI!$L$14,REPT("0",3-LEN(D16)),D16,REPT("0",4-LEN(F22)),F22,DATI!L13,"*"))</f>
        <v>#VALUE!</v>
      </c>
      <c r="G15" s="2329"/>
      <c r="H15" s="2329"/>
      <c r="I15" s="2329"/>
      <c r="J15" s="2329"/>
      <c r="K15" s="948"/>
      <c r="L15" s="949"/>
      <c r="M15" s="924"/>
      <c r="N15" s="925"/>
      <c r="O15" s="925" t="s">
        <v>37</v>
      </c>
      <c r="P15" s="950" t="s">
        <v>37</v>
      </c>
      <c r="Q15" s="925"/>
      <c r="R15" s="925"/>
      <c r="S15" s="925"/>
      <c r="T15" s="951"/>
      <c r="U15" s="951"/>
      <c r="V15" s="926"/>
    </row>
    <row r="16" spans="1:33" ht="30.75" customHeight="1">
      <c r="B16" s="952"/>
      <c r="C16" s="953" t="str">
        <f>+VLOOKUP(19,TRADUZIONI,DATI!C2-1,0)</f>
        <v>PIEGHE</v>
      </c>
      <c r="D16" s="954">
        <f>2+ROUNDUP((P7-75)*0.036,0)</f>
        <v>50</v>
      </c>
      <c r="E16" s="925"/>
      <c r="F16" s="2329"/>
      <c r="G16" s="2329"/>
      <c r="H16" s="2329"/>
      <c r="I16" s="2329"/>
      <c r="J16" s="2329"/>
      <c r="K16" s="948"/>
      <c r="L16" s="955"/>
      <c r="M16" s="952"/>
      <c r="N16" s="956"/>
      <c r="O16" s="956"/>
      <c r="P16" s="2323" t="str">
        <f>+VLOOKUP(149,TRADUZIONI,DATI!C2-1,0)</f>
        <v>CORDINI</v>
      </c>
      <c r="Q16" s="2324"/>
      <c r="R16" s="957">
        <f>IF(F22&lt;=820,2,IF(F22&lt;=1680,4,IF(F22&lt;=2600,6,8)))</f>
        <v>6</v>
      </c>
      <c r="S16" s="951"/>
      <c r="T16" s="946"/>
      <c r="U16" s="946"/>
      <c r="V16" s="958"/>
    </row>
    <row r="17" spans="2:27" s="960" customFormat="1" ht="15" customHeight="1">
      <c r="B17" s="924"/>
      <c r="C17" s="925"/>
      <c r="D17" s="925"/>
      <c r="E17" s="925"/>
      <c r="F17" s="2329"/>
      <c r="G17" s="2329"/>
      <c r="H17" s="2329"/>
      <c r="I17" s="2329"/>
      <c r="J17" s="2329"/>
      <c r="K17" s="948"/>
      <c r="L17" s="925"/>
      <c r="M17" s="924"/>
      <c r="N17" s="925"/>
      <c r="O17" s="925"/>
      <c r="P17" s="925"/>
      <c r="Q17" s="959"/>
      <c r="R17" s="925"/>
      <c r="S17" s="925"/>
      <c r="T17" s="925"/>
      <c r="U17" s="925"/>
      <c r="V17" s="926"/>
    </row>
    <row r="18" spans="2:27" ht="49.5" customHeight="1">
      <c r="B18" s="924"/>
      <c r="C18" s="925"/>
      <c r="D18" s="940"/>
      <c r="E18" s="940"/>
      <c r="F18" s="2329"/>
      <c r="G18" s="2329"/>
      <c r="H18" s="2329"/>
      <c r="I18" s="2329"/>
      <c r="J18" s="2329"/>
      <c r="K18" s="948"/>
      <c r="L18" s="925"/>
      <c r="M18" s="924"/>
      <c r="N18" s="925"/>
      <c r="O18" s="925"/>
      <c r="P18" s="925"/>
      <c r="Q18" s="961"/>
      <c r="R18" s="925"/>
      <c r="S18" s="925"/>
      <c r="T18" s="925"/>
      <c r="U18" s="925"/>
      <c r="V18" s="926"/>
    </row>
    <row r="19" spans="2:27" ht="15" customHeight="1">
      <c r="B19" s="924"/>
      <c r="C19" s="925"/>
      <c r="D19" s="940"/>
      <c r="E19" s="940"/>
      <c r="F19" s="2329"/>
      <c r="G19" s="2329"/>
      <c r="H19" s="2329"/>
      <c r="I19" s="2329"/>
      <c r="J19" s="2329"/>
      <c r="K19" s="948"/>
      <c r="L19" s="925"/>
      <c r="M19" s="924"/>
      <c r="N19" s="925"/>
      <c r="O19" s="925"/>
      <c r="P19" s="962" t="s">
        <v>37</v>
      </c>
      <c r="Q19" s="925"/>
      <c r="R19" s="963" t="s">
        <v>37</v>
      </c>
      <c r="S19" s="925"/>
      <c r="T19" s="925"/>
      <c r="U19" s="925"/>
      <c r="V19" s="926"/>
    </row>
    <row r="20" spans="2:27">
      <c r="B20" s="924"/>
      <c r="C20" s="925"/>
      <c r="D20" s="940"/>
      <c r="E20" s="940"/>
      <c r="F20" s="2329"/>
      <c r="G20" s="2329"/>
      <c r="H20" s="2329"/>
      <c r="I20" s="2329"/>
      <c r="J20" s="2329"/>
      <c r="K20" s="948"/>
      <c r="L20" s="925"/>
      <c r="M20" s="964"/>
      <c r="N20" s="925"/>
      <c r="O20" s="925"/>
      <c r="P20" s="925"/>
      <c r="Q20" s="965"/>
      <c r="R20" s="965"/>
      <c r="S20" s="925"/>
      <c r="T20" s="937"/>
      <c r="U20" s="937"/>
      <c r="V20" s="926"/>
    </row>
    <row r="21" spans="2:27">
      <c r="B21" s="924"/>
      <c r="C21" s="925"/>
      <c r="D21" s="940"/>
      <c r="E21" s="925"/>
      <c r="F21" s="950" t="s">
        <v>37</v>
      </c>
      <c r="G21" s="925"/>
      <c r="H21" s="966"/>
      <c r="I21" s="966"/>
      <c r="J21" s="966"/>
      <c r="K21" s="940" t="s">
        <v>37</v>
      </c>
      <c r="L21" s="925"/>
      <c r="M21" s="964"/>
      <c r="N21" s="925"/>
      <c r="O21" s="925"/>
      <c r="P21" s="925"/>
      <c r="Q21" s="925"/>
      <c r="R21" s="959"/>
      <c r="S21" s="925"/>
      <c r="T21" s="965"/>
      <c r="U21" s="965"/>
      <c r="V21" s="926"/>
    </row>
    <row r="22" spans="2:27" ht="30.75">
      <c r="B22" s="924"/>
      <c r="C22" s="2318" t="str">
        <f>CONCATENATE(VLOOKUP(116,TRADUZIONI,DATI!C2-1,0),"(",VLOOKUP(97,TRADUZIONI,DATI!C2-1,0),"-24*)")</f>
        <v>TAGLIO RETE(ALTEZZA-24*)</v>
      </c>
      <c r="D22" s="2313"/>
      <c r="E22" s="2313"/>
      <c r="F22" s="967">
        <f>+R7-24</f>
        <v>2176</v>
      </c>
      <c r="G22" s="968"/>
      <c r="H22" s="969"/>
      <c r="I22" s="969"/>
      <c r="J22" s="969"/>
      <c r="K22" s="970"/>
      <c r="L22" s="925"/>
      <c r="M22" s="964"/>
      <c r="N22" s="925"/>
      <c r="O22" s="925"/>
      <c r="P22" s="966" t="s">
        <v>37</v>
      </c>
      <c r="Q22" s="925" t="s">
        <v>37</v>
      </c>
      <c r="R22" s="925"/>
      <c r="S22" s="925"/>
      <c r="T22" s="961"/>
      <c r="U22" s="961"/>
      <c r="V22" s="926"/>
    </row>
    <row r="23" spans="2:27">
      <c r="B23" s="924"/>
      <c r="C23" s="925"/>
      <c r="D23" s="940"/>
      <c r="E23" s="925"/>
      <c r="F23" s="950"/>
      <c r="G23" s="951"/>
      <c r="H23" s="966"/>
      <c r="I23" s="966"/>
      <c r="J23" s="966"/>
      <c r="K23" s="940"/>
      <c r="L23" s="925"/>
      <c r="M23" s="964"/>
      <c r="N23" s="925"/>
      <c r="O23" s="925"/>
      <c r="P23" s="966"/>
      <c r="Q23" s="925"/>
      <c r="R23" s="925"/>
      <c r="S23" s="925"/>
      <c r="T23" s="961"/>
      <c r="U23" s="961"/>
      <c r="V23" s="926"/>
    </row>
    <row r="24" spans="2:27">
      <c r="B24" s="924"/>
      <c r="C24" s="925"/>
      <c r="D24" s="940"/>
      <c r="E24" s="925"/>
      <c r="F24" s="950"/>
      <c r="G24" s="951"/>
      <c r="H24" s="966"/>
      <c r="I24" s="966"/>
      <c r="J24" s="966"/>
      <c r="K24" s="940"/>
      <c r="L24" s="925"/>
      <c r="M24" s="964"/>
      <c r="N24" s="925"/>
      <c r="O24" s="925"/>
      <c r="P24" s="966"/>
      <c r="Q24" s="925"/>
      <c r="R24" s="925"/>
      <c r="S24" s="925"/>
      <c r="T24" s="961"/>
      <c r="U24" s="961"/>
      <c r="V24" s="926"/>
    </row>
    <row r="25" spans="2:27">
      <c r="B25" s="924"/>
      <c r="C25" s="925"/>
      <c r="D25" s="940"/>
      <c r="E25" s="925"/>
      <c r="F25" s="950"/>
      <c r="G25" s="951"/>
      <c r="H25" s="966"/>
      <c r="I25" s="966"/>
      <c r="J25" s="966"/>
      <c r="K25" s="940"/>
      <c r="L25" s="925"/>
      <c r="M25" s="924"/>
      <c r="N25" s="925"/>
      <c r="O25" s="925"/>
      <c r="P25" s="966"/>
      <c r="Q25" s="925"/>
      <c r="R25" s="925"/>
      <c r="S25" s="925"/>
      <c r="T25" s="961"/>
      <c r="U25" s="961"/>
      <c r="V25" s="926"/>
    </row>
    <row r="26" spans="2:27">
      <c r="B26" s="924"/>
      <c r="C26" s="925"/>
      <c r="D26" s="940"/>
      <c r="E26" s="925"/>
      <c r="F26" s="950"/>
      <c r="G26" s="951"/>
      <c r="H26" s="966"/>
      <c r="I26" s="966"/>
      <c r="J26" s="966"/>
      <c r="K26" s="940"/>
      <c r="L26" s="925"/>
      <c r="M26" s="924"/>
      <c r="N26" s="925"/>
      <c r="O26" s="925"/>
      <c r="P26" s="925"/>
      <c r="Q26" s="925"/>
      <c r="R26" s="925"/>
      <c r="S26" s="940"/>
      <c r="T26" s="925"/>
      <c r="U26" s="925"/>
      <c r="V26" s="926"/>
    </row>
    <row r="27" spans="2:27" ht="30.75">
      <c r="B27" s="924"/>
      <c r="C27" s="971">
        <f>40+250</f>
        <v>290</v>
      </c>
      <c r="D27" s="940"/>
      <c r="E27" s="925"/>
      <c r="F27" s="950"/>
      <c r="G27" s="951"/>
      <c r="H27" s="966"/>
      <c r="I27" s="966"/>
      <c r="J27" s="966"/>
      <c r="K27" s="940"/>
      <c r="L27" s="925"/>
      <c r="M27" s="924"/>
      <c r="N27" s="925"/>
      <c r="O27" s="925"/>
      <c r="P27" s="925"/>
      <c r="Q27" s="925"/>
      <c r="R27" s="925"/>
      <c r="S27" s="925"/>
      <c r="T27" s="925"/>
      <c r="U27" s="925"/>
      <c r="V27" s="926"/>
    </row>
    <row r="28" spans="2:27" ht="36" customHeight="1">
      <c r="B28" s="924"/>
      <c r="C28" s="972">
        <f>+C27+F40</f>
        <v>659</v>
      </c>
      <c r="D28" s="940"/>
      <c r="E28" s="925"/>
      <c r="F28" s="950"/>
      <c r="G28" s="951"/>
      <c r="H28" s="966"/>
      <c r="I28" s="966"/>
      <c r="J28" s="966"/>
      <c r="K28" s="940"/>
      <c r="L28" s="925"/>
      <c r="M28" s="924"/>
      <c r="N28" s="925"/>
      <c r="O28" s="925"/>
      <c r="P28" s="966" t="s">
        <v>37</v>
      </c>
      <c r="Q28" s="925"/>
      <c r="R28" s="925"/>
      <c r="S28" s="940"/>
      <c r="T28" s="925"/>
      <c r="U28" s="925"/>
      <c r="V28" s="926"/>
    </row>
    <row r="29" spans="2:27" ht="36" customHeight="1">
      <c r="B29" s="924"/>
      <c r="C29" s="925"/>
      <c r="D29" s="973">
        <f>IF(R16&gt;2,C28+F40,"")</f>
        <v>1028</v>
      </c>
      <c r="E29" s="925"/>
      <c r="F29" s="950"/>
      <c r="G29" s="951"/>
      <c r="H29" s="966"/>
      <c r="I29" s="966"/>
      <c r="J29" s="966"/>
      <c r="K29" s="940"/>
      <c r="L29" s="925"/>
      <c r="M29" s="924"/>
      <c r="N29" s="925"/>
      <c r="O29" s="925"/>
      <c r="P29" s="925"/>
      <c r="Q29" s="925"/>
      <c r="R29" s="925"/>
      <c r="S29" s="925"/>
      <c r="T29" s="925"/>
      <c r="U29" s="925"/>
      <c r="V29" s="926"/>
    </row>
    <row r="30" spans="2:27" ht="36" customHeight="1">
      <c r="B30" s="924"/>
      <c r="C30" s="925"/>
      <c r="D30" s="940"/>
      <c r="E30" s="972">
        <f>IF(R16&gt;=4,D29+F40,"")</f>
        <v>1397</v>
      </c>
      <c r="F30" s="950"/>
      <c r="G30" s="951"/>
      <c r="H30" s="966"/>
      <c r="I30" s="966"/>
      <c r="J30" s="966"/>
      <c r="K30" s="940"/>
      <c r="L30" s="925"/>
      <c r="M30" s="924"/>
      <c r="N30" s="925"/>
      <c r="O30" s="925"/>
      <c r="P30" s="940" t="s">
        <v>37</v>
      </c>
      <c r="Q30" s="925"/>
      <c r="R30" s="925"/>
      <c r="S30" s="925"/>
      <c r="T30" s="925"/>
      <c r="U30" s="925"/>
      <c r="V30" s="926"/>
      <c r="Y30" s="1138" t="str">
        <f>+VLOOKUP(149,TRADUZIONI,DATI!C2-1,0)</f>
        <v>CORDINI</v>
      </c>
    </row>
    <row r="31" spans="2:27" ht="36" customHeight="1">
      <c r="B31" s="924"/>
      <c r="C31" s="925"/>
      <c r="D31" s="940"/>
      <c r="E31" s="925"/>
      <c r="F31" s="2330">
        <f>IF(R16&gt;=5,E30+F40,"")</f>
        <v>1766</v>
      </c>
      <c r="G31" s="2330"/>
      <c r="H31" s="966"/>
      <c r="I31" s="966"/>
      <c r="J31" s="966"/>
      <c r="K31" s="940"/>
      <c r="L31" s="925"/>
      <c r="M31" s="924"/>
      <c r="N31" s="1545" t="str">
        <f>CONCATENATE(Z31," 1 ",AA31,"  ",TEXT(Y31,0))</f>
        <v>Nr. Cord 1 LUNGHEZZA  3420</v>
      </c>
      <c r="O31" s="925"/>
      <c r="P31" s="925"/>
      <c r="Q31" s="925"/>
      <c r="R31" s="925"/>
      <c r="S31" s="925"/>
      <c r="T31" s="925"/>
      <c r="U31" s="925"/>
      <c r="V31" s="926"/>
      <c r="X31" s="1365" t="s">
        <v>125</v>
      </c>
      <c r="Y31" s="1366">
        <f>ROUND((F22-160+P7),-1)</f>
        <v>3420</v>
      </c>
      <c r="Z31" s="97" t="str">
        <f>+VLOOKUP(144,TRADUZIONI,DATI!$C$2-1,0)</f>
        <v>Nr. Cord</v>
      </c>
      <c r="AA31" s="97" t="str">
        <f>+VLOOKUP(60,TRADUZIONI,DATI!$C$2-1,0)</f>
        <v>LUNGHEZZA</v>
      </c>
    </row>
    <row r="32" spans="2:27" ht="36" customHeight="1">
      <c r="B32" s="924"/>
      <c r="C32" s="925"/>
      <c r="D32" s="940"/>
      <c r="E32" s="925"/>
      <c r="F32" s="950"/>
      <c r="G32" s="2331">
        <f>IF(R16&gt;=6,F31+F40,"")</f>
        <v>2135</v>
      </c>
      <c r="H32" s="2331"/>
      <c r="I32" s="966"/>
      <c r="J32" s="966"/>
      <c r="K32" s="940"/>
      <c r="L32" s="925"/>
      <c r="M32" s="924"/>
      <c r="N32" s="1545" t="str">
        <f>CONCATENATE(Z31," 2 ",AA31,"  ",TEXT(Y32,0))</f>
        <v>Nr. Cord 2 LUNGHEZZA  3680</v>
      </c>
      <c r="O32" s="925"/>
      <c r="P32" s="925"/>
      <c r="Q32" s="948"/>
      <c r="R32" s="925"/>
      <c r="S32" s="925"/>
      <c r="T32" s="925"/>
      <c r="U32" s="925"/>
      <c r="V32" s="926"/>
      <c r="X32" s="97"/>
      <c r="Y32" s="1366">
        <f>ROUND((F22+P7+100),-1)</f>
        <v>3680</v>
      </c>
    </row>
    <row r="33" spans="2:25" ht="36" customHeight="1">
      <c r="B33" s="924"/>
      <c r="C33" s="925"/>
      <c r="D33" s="940"/>
      <c r="E33" s="925"/>
      <c r="F33" s="950"/>
      <c r="G33" s="951"/>
      <c r="H33" s="2317" t="str">
        <f>IF(R16&gt;=7,G32+F40,"")</f>
        <v/>
      </c>
      <c r="I33" s="2317"/>
      <c r="J33" s="966"/>
      <c r="K33" s="940"/>
      <c r="L33" s="925"/>
      <c r="M33" s="924"/>
      <c r="N33" s="1545" t="str">
        <f>IF(R16&lt;=2,"",CONCATENATE(Z31," 3 ",AA31,"  ",TEXT(ROUND(Y33,-1),0)))</f>
        <v>Nr. Cord 3 LUNGHEZZA  1940</v>
      </c>
      <c r="O33" s="925"/>
      <c r="P33" s="925"/>
      <c r="Q33" s="925"/>
      <c r="R33" s="925"/>
      <c r="S33" s="925"/>
      <c r="T33" s="925"/>
      <c r="U33" s="925"/>
      <c r="V33" s="926"/>
      <c r="X33" s="1367">
        <v>4</v>
      </c>
      <c r="Y33" s="1388">
        <f>IF(R16&lt;=2,0,ROUND((P7+175+F40),-1))</f>
        <v>1940</v>
      </c>
    </row>
    <row r="34" spans="2:25" ht="36" customHeight="1">
      <c r="B34" s="924"/>
      <c r="C34" s="925"/>
      <c r="D34" s="940"/>
      <c r="E34" s="925"/>
      <c r="F34" s="950"/>
      <c r="G34" s="951"/>
      <c r="H34" s="966"/>
      <c r="I34" s="966"/>
      <c r="J34" s="2330" t="str">
        <f>IF(R16=8,H33+F40,"")</f>
        <v/>
      </c>
      <c r="K34" s="2330"/>
      <c r="L34" s="926"/>
      <c r="M34" s="925"/>
      <c r="N34" s="1545" t="str">
        <f>IF(R16&lt;=2,"",CONCATENATE(Z31," 4 ",AA31,"  ",TEXT(ROUND(Y34,-1),0)))</f>
        <v>Nr. Cord 4 LUNGHEZZA  2200</v>
      </c>
      <c r="O34" s="974"/>
      <c r="P34" s="974"/>
      <c r="Q34" s="937"/>
      <c r="R34" s="925"/>
      <c r="S34" s="925"/>
      <c r="T34" s="925"/>
      <c r="U34" s="925"/>
      <c r="V34" s="926"/>
      <c r="Y34" s="1388">
        <f>IF(R16&lt;=2,0,ROUND((P7+435+F40),-1))</f>
        <v>2200</v>
      </c>
    </row>
    <row r="35" spans="2:25" ht="33.75" customHeight="1">
      <c r="B35" s="924"/>
      <c r="C35" s="925"/>
      <c r="D35" s="940"/>
      <c r="E35" s="925"/>
      <c r="F35" s="950"/>
      <c r="G35" s="951"/>
      <c r="H35" s="966"/>
      <c r="I35" s="966"/>
      <c r="J35" s="966"/>
      <c r="K35" s="940"/>
      <c r="L35" s="926"/>
      <c r="M35" s="925"/>
      <c r="N35" s="1545" t="str">
        <f>IF(R16&lt;=4,"",CONCATENATE(Z31," 5 ",AA31,"  ",TEXT(ROUND(Y35,-1),"0")))</f>
        <v>Nr. Cord 5 LUNGHEZZA  2310</v>
      </c>
      <c r="O35" s="978"/>
      <c r="P35" s="978"/>
      <c r="Q35" s="937"/>
      <c r="R35" s="925"/>
      <c r="S35" s="925"/>
      <c r="T35" s="925"/>
      <c r="U35" s="925"/>
      <c r="V35" s="926"/>
      <c r="X35" s="1367">
        <v>6</v>
      </c>
      <c r="Y35" s="1369">
        <f>IF(R16&lt;=4,0,ROUND(Y33+F40,-1))</f>
        <v>2310</v>
      </c>
    </row>
    <row r="36" spans="2:25" ht="30.75" customHeight="1">
      <c r="B36" s="924"/>
      <c r="C36" s="2309" t="s">
        <v>91</v>
      </c>
      <c r="D36" s="2334"/>
      <c r="E36" s="2334"/>
      <c r="F36" s="2334"/>
      <c r="G36" s="2334"/>
      <c r="H36" s="2334"/>
      <c r="I36" s="2310"/>
      <c r="J36" s="966"/>
      <c r="K36" s="940"/>
      <c r="L36" s="926"/>
      <c r="M36" s="976"/>
      <c r="N36" s="975" t="str">
        <f>IF(R16&lt;=4,"",CONCATENATE(Z31," 6 ",AA31,"  ",TEXT(Y36,"0")))</f>
        <v>Nr. Cord 6 LUNGHEZZA  2570</v>
      </c>
      <c r="O36" s="978"/>
      <c r="P36" s="978"/>
      <c r="Q36" s="1076"/>
      <c r="R36" s="925"/>
      <c r="S36" s="925"/>
      <c r="T36" s="925"/>
      <c r="U36" s="925"/>
      <c r="V36" s="926"/>
      <c r="Y36" s="1389">
        <f>IF(R16&lt;=4,0,ROUND(Y34+F40,-1))</f>
        <v>2570</v>
      </c>
    </row>
    <row r="37" spans="2:25" ht="36" customHeight="1">
      <c r="B37" s="924"/>
      <c r="C37" s="2335" t="s">
        <v>118</v>
      </c>
      <c r="D37" s="2336"/>
      <c r="E37" s="2336"/>
      <c r="F37" s="2336"/>
      <c r="G37" s="2336"/>
      <c r="H37" s="2336"/>
      <c r="I37" s="2337"/>
      <c r="J37" s="925"/>
      <c r="K37" s="925"/>
      <c r="L37" s="926"/>
      <c r="M37" s="980"/>
      <c r="N37" s="975" t="str">
        <f>IF(R16&lt;=6,"",CONCATENATE(Z31," 7 ",AA31,"  ",TEXT(Y37,"0")))</f>
        <v/>
      </c>
      <c r="O37" s="975"/>
      <c r="P37" s="975"/>
      <c r="Q37" s="950"/>
      <c r="R37" s="937"/>
      <c r="S37" s="940"/>
      <c r="T37" s="925"/>
      <c r="U37" s="925"/>
      <c r="V37" s="981"/>
      <c r="X37" s="1367">
        <v>8</v>
      </c>
      <c r="Y37" s="1369">
        <f>IF(R16&lt;=6,0,ROUND(Y33+2*F40,-1))</f>
        <v>0</v>
      </c>
    </row>
    <row r="38" spans="2:25" ht="33" customHeight="1">
      <c r="B38" s="924"/>
      <c r="C38" s="2311"/>
      <c r="D38" s="2338"/>
      <c r="E38" s="2338"/>
      <c r="F38" s="2338"/>
      <c r="G38" s="2338"/>
      <c r="H38" s="2338"/>
      <c r="I38" s="2312"/>
      <c r="J38" s="925"/>
      <c r="K38" s="925"/>
      <c r="L38" s="926"/>
      <c r="M38" s="980"/>
      <c r="N38" s="975" t="str">
        <f>IF(R16&lt;=6,"",CONCATENATE(Z31," 8 ",AA31,"  ",TEXT(Y38,"0")))</f>
        <v/>
      </c>
      <c r="O38" s="978"/>
      <c r="P38" s="975"/>
      <c r="Q38" s="950"/>
      <c r="R38" s="937"/>
      <c r="S38" s="940"/>
      <c r="T38" s="925"/>
      <c r="U38" s="925"/>
      <c r="V38" s="981"/>
      <c r="Y38" s="1369">
        <f>IF(R16&lt;=6,0,ROUND(Y34+2*F40,-1))</f>
        <v>0</v>
      </c>
    </row>
    <row r="39" spans="2:25" ht="21.75" customHeight="1">
      <c r="B39" s="924"/>
      <c r="C39" s="925"/>
      <c r="D39" s="925"/>
      <c r="E39" s="925"/>
      <c r="F39" s="925"/>
      <c r="G39" s="925"/>
      <c r="H39" s="925"/>
      <c r="I39" s="925"/>
      <c r="J39" s="925"/>
      <c r="K39" s="925"/>
      <c r="L39" s="926"/>
      <c r="M39" s="982"/>
      <c r="N39" s="937"/>
      <c r="O39" s="983"/>
      <c r="P39" s="983"/>
      <c r="Q39" s="950"/>
      <c r="R39" s="937"/>
      <c r="S39" s="940"/>
      <c r="T39" s="925"/>
      <c r="U39" s="925"/>
      <c r="V39" s="981"/>
    </row>
    <row r="40" spans="2:25" ht="28.5">
      <c r="B40" s="924"/>
      <c r="C40" s="2318" t="str">
        <f>+VLOOKUP(41,TRADUZIONI,DATI!$C$2-1,0)</f>
        <v>DIST.STD TRA FORI RETE</v>
      </c>
      <c r="D40" s="2339"/>
      <c r="E40" s="2339"/>
      <c r="F40" s="984">
        <f>ROUND((+F22-80-250)/(R16-1),0)</f>
        <v>369</v>
      </c>
      <c r="G40" s="2340"/>
      <c r="H40" s="2340"/>
      <c r="I40" s="2340"/>
      <c r="J40" s="2340"/>
      <c r="K40" s="2341"/>
      <c r="L40" s="926"/>
      <c r="M40" s="2258" t="str">
        <f>+VLOOKUP(128,TRADUZIONI,DATI!$C$2-1,0)</f>
        <v>INFILARE I CORDINI SENZA TAGLIARLI</v>
      </c>
      <c r="N40" s="2259"/>
      <c r="O40" s="2259"/>
      <c r="P40" s="2259"/>
      <c r="Q40" s="2259"/>
      <c r="R40" s="2259"/>
      <c r="S40" s="2259"/>
      <c r="T40" s="2259"/>
      <c r="U40" s="2259"/>
      <c r="V40" s="2260"/>
    </row>
    <row r="41" spans="2:25" ht="28.5">
      <c r="B41" s="924"/>
      <c r="C41" s="979"/>
      <c r="D41" s="985"/>
      <c r="E41" s="985"/>
      <c r="F41" s="986"/>
      <c r="G41" s="987"/>
      <c r="H41" s="987"/>
      <c r="I41" s="987"/>
      <c r="J41" s="987"/>
      <c r="K41" s="987"/>
      <c r="L41" s="925"/>
      <c r="M41" s="2342" t="s">
        <v>83</v>
      </c>
      <c r="N41" s="2343"/>
      <c r="O41" s="2343"/>
      <c r="P41" s="2343"/>
      <c r="Q41" s="2343"/>
      <c r="R41" s="2343"/>
      <c r="S41" s="2343"/>
      <c r="T41" s="2343"/>
      <c r="U41" s="2343"/>
      <c r="V41" s="2344"/>
    </row>
    <row r="42" spans="2:25" ht="15.75" thickBot="1">
      <c r="B42" s="988"/>
      <c r="C42" s="945"/>
      <c r="D42" s="945"/>
      <c r="E42" s="945"/>
      <c r="F42" s="945"/>
      <c r="G42" s="945"/>
      <c r="H42" s="945"/>
      <c r="I42" s="945"/>
      <c r="J42" s="945"/>
      <c r="K42" s="945"/>
      <c r="L42" s="945"/>
      <c r="M42" s="988"/>
      <c r="N42" s="989"/>
      <c r="O42" s="945"/>
      <c r="P42" s="945"/>
      <c r="Q42" s="945"/>
      <c r="R42" s="945"/>
      <c r="S42" s="945"/>
      <c r="T42" s="990"/>
      <c r="U42" s="990"/>
      <c r="V42" s="991"/>
    </row>
    <row r="43" spans="2:25" ht="44.25" customHeight="1">
      <c r="B43" s="919"/>
      <c r="C43" s="920" t="str">
        <f>+VLOOKUP(139,TRADUZIONI,DATI!$C$2-1,0)</f>
        <v>QUADRO D</v>
      </c>
      <c r="D43" s="2325" t="str">
        <f>+VLOOKUP(113,TRADUZIONI,DATI!$C$2-1,0)</f>
        <v>CONTROLLO CORDINI - POST ASSEMBLAGGIO</v>
      </c>
      <c r="E43" s="2325"/>
      <c r="F43" s="2325"/>
      <c r="G43" s="2325"/>
      <c r="H43" s="2325"/>
      <c r="I43" s="2325"/>
      <c r="J43" s="2325"/>
      <c r="K43" s="2325"/>
      <c r="L43" s="2326"/>
      <c r="M43" s="919"/>
      <c r="N43" s="920" t="str">
        <f>+VLOOKUP(140,TRADUZIONI,DATI!$C$2-1,0)</f>
        <v>QUADRO E</v>
      </c>
      <c r="O43" s="2327" t="s">
        <v>500</v>
      </c>
      <c r="P43" s="2327"/>
      <c r="Q43" s="2327"/>
      <c r="R43" s="2327"/>
      <c r="S43" s="2327"/>
      <c r="T43" s="2327"/>
      <c r="U43" s="2327"/>
      <c r="V43" s="2328"/>
    </row>
    <row r="44" spans="2:25" ht="31.5" customHeight="1">
      <c r="B44" s="992"/>
      <c r="C44" s="993"/>
      <c r="D44" s="993"/>
      <c r="E44" s="993"/>
      <c r="F44" s="993"/>
      <c r="G44" s="993"/>
      <c r="H44" s="993"/>
      <c r="I44" s="993"/>
      <c r="J44" s="993"/>
      <c r="K44" s="993"/>
      <c r="L44" s="993"/>
      <c r="M44" s="994"/>
      <c r="N44" s="996"/>
      <c r="O44" s="996"/>
      <c r="P44" s="996"/>
      <c r="Q44" s="996"/>
      <c r="R44" s="925"/>
      <c r="S44" s="944"/>
      <c r="T44" s="944"/>
      <c r="U44" s="944"/>
      <c r="V44" s="997"/>
    </row>
    <row r="45" spans="2:25" ht="27.75">
      <c r="B45" s="992"/>
      <c r="C45" s="993"/>
      <c r="D45" s="993"/>
      <c r="E45" s="993"/>
      <c r="F45" s="993"/>
      <c r="G45" s="998" t="s">
        <v>85</v>
      </c>
      <c r="H45" s="993"/>
      <c r="I45" s="993"/>
      <c r="J45" s="993"/>
      <c r="K45" s="993"/>
      <c r="L45" s="993"/>
      <c r="M45" s="994"/>
      <c r="N45" s="2345" t="s">
        <v>487</v>
      </c>
      <c r="O45" s="2346"/>
      <c r="P45" s="2346"/>
      <c r="Q45" s="2346"/>
      <c r="R45" s="2346"/>
      <c r="S45" s="2346"/>
      <c r="T45" s="2347"/>
      <c r="U45" s="1028"/>
      <c r="V45" s="997"/>
    </row>
    <row r="46" spans="2:25" ht="31.5" customHeight="1">
      <c r="B46" s="992"/>
      <c r="C46" s="999" t="s">
        <v>119</v>
      </c>
      <c r="D46" s="1000">
        <f>+P7</f>
        <v>1400</v>
      </c>
      <c r="E46" s="1001" t="s">
        <v>88</v>
      </c>
      <c r="F46" s="1001" t="s">
        <v>89</v>
      </c>
      <c r="G46" s="1002">
        <f>+D46+E46</f>
        <v>1600</v>
      </c>
      <c r="H46" s="1003"/>
      <c r="I46" s="993"/>
      <c r="J46" s="993"/>
      <c r="K46" s="993"/>
      <c r="L46" s="993"/>
      <c r="M46" s="994"/>
      <c r="N46" s="996"/>
      <c r="O46" s="996"/>
      <c r="P46" s="996"/>
      <c r="Q46" s="996"/>
      <c r="R46" s="925"/>
      <c r="S46" s="944"/>
      <c r="T46" s="944"/>
      <c r="U46" s="944"/>
      <c r="V46" s="997"/>
    </row>
    <row r="47" spans="2:25" ht="31.5" thickBot="1">
      <c r="B47" s="992"/>
      <c r="C47" s="993"/>
      <c r="D47" s="993"/>
      <c r="E47" s="993"/>
      <c r="F47" s="993"/>
      <c r="G47" s="993"/>
      <c r="H47" s="993"/>
      <c r="I47" s="993"/>
      <c r="J47" s="993"/>
      <c r="K47" s="993"/>
      <c r="L47" s="993"/>
      <c r="M47" s="1004"/>
      <c r="N47" s="1005" t="str">
        <f>+VLOOKUP(78,TRADUZIONI,DATI!C2-1,0)</f>
        <v>PEZZI /PZ.</v>
      </c>
      <c r="O47" s="967">
        <f>1*P11</f>
        <v>1</v>
      </c>
      <c r="P47" s="1067" t="str">
        <f>CONCATENATE("/   ",TEXT(2*1,1))</f>
        <v>/   1</v>
      </c>
      <c r="Q47" s="2378" t="str">
        <f>CONCATENATE("/   ",TEXT(2*1,1))</f>
        <v>/   1</v>
      </c>
      <c r="R47" s="2379"/>
      <c r="S47" s="944"/>
      <c r="T47" s="944"/>
      <c r="U47" s="944"/>
      <c r="V47" s="1006"/>
    </row>
    <row r="48" spans="2:25" ht="18.75">
      <c r="B48" s="1007"/>
      <c r="C48" s="1008"/>
      <c r="D48" s="1008"/>
      <c r="E48" s="1008"/>
      <c r="F48" s="1008"/>
      <c r="G48" s="1008"/>
      <c r="H48" s="1008"/>
      <c r="I48" s="1008"/>
      <c r="J48" s="1008"/>
      <c r="K48" s="1008"/>
      <c r="L48" s="1009"/>
      <c r="M48" s="994"/>
      <c r="N48" s="996"/>
      <c r="O48" s="996"/>
      <c r="P48" s="996"/>
      <c r="Q48" s="996"/>
      <c r="R48" s="925"/>
      <c r="S48" s="944"/>
      <c r="T48" s="944"/>
      <c r="U48" s="944"/>
      <c r="V48" s="997"/>
    </row>
    <row r="49" spans="2:22" ht="30.75">
      <c r="B49" s="1010"/>
      <c r="C49" s="2350" t="str">
        <f>+IF(DATI!$C$11=1,"","RETE GRIGIA")</f>
        <v>RETE GRIGIA</v>
      </c>
      <c r="D49" s="2350"/>
      <c r="E49" s="2350"/>
      <c r="F49" s="2350"/>
      <c r="G49" s="2350"/>
      <c r="H49" s="2350"/>
      <c r="I49" s="2350"/>
      <c r="J49" s="2350"/>
      <c r="K49" s="1011"/>
      <c r="L49" s="1011"/>
      <c r="M49" s="1012"/>
      <c r="N49" s="1005" t="s">
        <v>702</v>
      </c>
      <c r="O49" s="1013"/>
      <c r="P49" s="928"/>
      <c r="Q49" s="928"/>
      <c r="R49" s="2332">
        <f>+R7-30</f>
        <v>2170</v>
      </c>
      <c r="S49" s="2333"/>
      <c r="T49" s="944"/>
      <c r="U49" s="944"/>
      <c r="V49" s="1015"/>
    </row>
    <row r="50" spans="2:22" ht="18.75">
      <c r="B50" s="1010"/>
      <c r="C50" s="2350"/>
      <c r="D50" s="2350"/>
      <c r="E50" s="2350"/>
      <c r="F50" s="2350"/>
      <c r="G50" s="2350"/>
      <c r="H50" s="2350"/>
      <c r="I50" s="2350"/>
      <c r="J50" s="2350"/>
      <c r="K50" s="1011"/>
      <c r="L50" s="1011"/>
      <c r="M50" s="994"/>
      <c r="N50" s="996"/>
      <c r="O50" s="996"/>
      <c r="P50" s="996"/>
      <c r="Q50" s="996"/>
      <c r="R50" s="925"/>
      <c r="S50" s="944"/>
      <c r="T50" s="944"/>
      <c r="U50" s="944"/>
      <c r="V50" s="997"/>
    </row>
    <row r="51" spans="2:22" ht="31.5" thickBot="1">
      <c r="B51" s="1010"/>
      <c r="C51" s="1011"/>
      <c r="D51" s="1011"/>
      <c r="E51" s="1011"/>
      <c r="F51" s="1011"/>
      <c r="G51" s="1011"/>
      <c r="H51" s="1011"/>
      <c r="I51" s="1011"/>
      <c r="J51" s="1011"/>
      <c r="K51" s="1011"/>
      <c r="L51" s="1011"/>
      <c r="M51" s="994"/>
      <c r="N51" s="1005" t="s">
        <v>703</v>
      </c>
      <c r="O51" s="1013"/>
      <c r="P51" s="928"/>
      <c r="Q51" s="928"/>
      <c r="R51" s="2332">
        <f>+R7-25</f>
        <v>2175</v>
      </c>
      <c r="S51" s="2333"/>
      <c r="T51" s="944"/>
      <c r="U51" s="944"/>
      <c r="V51" s="997"/>
    </row>
    <row r="52" spans="2:22" ht="44.25" customHeight="1">
      <c r="B52" s="919"/>
      <c r="C52" s="920" t="str">
        <f>+VLOOKUP(141,TRADUZIONI,DATI!$C$2-1,0)</f>
        <v>QUADRO F</v>
      </c>
      <c r="D52" s="2325" t="s">
        <v>90</v>
      </c>
      <c r="E52" s="2325"/>
      <c r="F52" s="2325"/>
      <c r="G52" s="2325"/>
      <c r="H52" s="2325"/>
      <c r="I52" s="2325"/>
      <c r="J52" s="2325"/>
      <c r="K52" s="2325"/>
      <c r="L52" s="2326"/>
      <c r="M52" s="994"/>
      <c r="N52" s="1016"/>
      <c r="O52" s="1016"/>
      <c r="P52" s="925"/>
      <c r="Q52" s="925"/>
      <c r="R52" s="972"/>
      <c r="S52" s="972"/>
      <c r="T52" s="944"/>
      <c r="U52" s="944"/>
      <c r="V52" s="997"/>
    </row>
    <row r="53" spans="2:22" ht="30.75">
      <c r="B53" s="924"/>
      <c r="C53" s="925"/>
      <c r="D53" s="925"/>
      <c r="E53" s="925"/>
      <c r="F53" s="925"/>
      <c r="G53" s="925"/>
      <c r="H53" s="925"/>
      <c r="I53" s="925"/>
      <c r="J53" s="925"/>
      <c r="K53" s="925"/>
      <c r="L53" s="926"/>
      <c r="M53" s="994"/>
      <c r="N53" s="2318" t="s">
        <v>704</v>
      </c>
      <c r="O53" s="2313"/>
      <c r="P53" s="2313"/>
      <c r="Q53" s="2313"/>
      <c r="R53" s="2332">
        <f>+R7-30</f>
        <v>2170</v>
      </c>
      <c r="S53" s="2333"/>
      <c r="T53" s="944"/>
      <c r="U53" s="944"/>
      <c r="V53" s="997"/>
    </row>
    <row r="54" spans="2:22" ht="29.25" thickBot="1">
      <c r="B54" s="924"/>
      <c r="C54" s="1017" t="s">
        <v>92</v>
      </c>
      <c r="D54" s="1018"/>
      <c r="E54" s="1019"/>
      <c r="F54" s="925"/>
      <c r="G54" s="1020"/>
      <c r="H54" s="925"/>
      <c r="I54" s="925"/>
      <c r="J54" s="925"/>
      <c r="K54" s="925"/>
      <c r="L54" s="926"/>
      <c r="M54" s="994"/>
      <c r="N54" s="996"/>
      <c r="O54" s="996"/>
      <c r="P54" s="996"/>
      <c r="Q54" s="996"/>
      <c r="R54" s="996"/>
      <c r="S54" s="996"/>
      <c r="T54" s="996"/>
      <c r="U54" s="996"/>
      <c r="V54" s="997"/>
    </row>
    <row r="55" spans="2:22" ht="28.5">
      <c r="B55" s="924"/>
      <c r="C55" s="1017"/>
      <c r="D55" s="1018"/>
      <c r="E55" s="1019"/>
      <c r="F55" s="925"/>
      <c r="G55" s="1020"/>
      <c r="H55" s="925"/>
      <c r="I55" s="925"/>
      <c r="J55" s="925"/>
      <c r="K55" s="925"/>
      <c r="L55" s="925"/>
      <c r="M55" s="1398"/>
      <c r="N55" s="1399"/>
      <c r="O55" s="1400"/>
      <c r="P55" s="1400"/>
      <c r="Q55" s="1400"/>
      <c r="R55" s="1400"/>
      <c r="S55" s="1400"/>
      <c r="T55" s="1400"/>
      <c r="U55" s="1400"/>
      <c r="V55" s="1401"/>
    </row>
    <row r="56" spans="2:22" ht="28.5">
      <c r="B56" s="924"/>
      <c r="C56" s="1025"/>
      <c r="D56" s="1026" t="s">
        <v>94</v>
      </c>
      <c r="E56" s="925"/>
      <c r="F56" s="1020"/>
      <c r="G56" s="1020"/>
      <c r="H56" s="925"/>
      <c r="I56" s="925"/>
      <c r="J56" s="925"/>
      <c r="K56" s="925"/>
      <c r="L56" s="925"/>
      <c r="M56" s="924"/>
      <c r="N56" s="925"/>
      <c r="O56" s="925"/>
      <c r="P56" s="925"/>
      <c r="Q56" s="925"/>
      <c r="R56" s="925"/>
      <c r="S56" s="925"/>
      <c r="T56" s="925"/>
      <c r="U56" s="925"/>
      <c r="V56" s="981"/>
    </row>
    <row r="57" spans="2:22" ht="28.5">
      <c r="B57" s="924"/>
      <c r="C57" s="1027"/>
      <c r="D57" s="1026" t="s">
        <v>95</v>
      </c>
      <c r="E57" s="925"/>
      <c r="F57" s="950"/>
      <c r="G57" s="937"/>
      <c r="H57" s="925"/>
      <c r="I57" s="925"/>
      <c r="J57" s="925"/>
      <c r="K57" s="925"/>
      <c r="L57" s="925"/>
      <c r="M57" s="994"/>
      <c r="N57" s="2492"/>
      <c r="O57" s="2492"/>
      <c r="P57" s="2492"/>
      <c r="Q57" s="2492"/>
      <c r="R57" s="2492"/>
      <c r="S57" s="2492"/>
      <c r="T57" s="2492"/>
      <c r="U57" s="944"/>
      <c r="V57" s="997"/>
    </row>
    <row r="58" spans="2:22" ht="28.5">
      <c r="B58" s="924"/>
      <c r="C58" s="1027"/>
      <c r="D58" s="1026" t="s">
        <v>96</v>
      </c>
      <c r="E58" s="925"/>
      <c r="F58" s="950"/>
      <c r="G58" s="937"/>
      <c r="H58" s="925"/>
      <c r="I58" s="925"/>
      <c r="J58" s="925"/>
      <c r="K58" s="925"/>
      <c r="L58" s="925"/>
      <c r="M58" s="994"/>
      <c r="N58" s="925"/>
      <c r="O58" s="925"/>
      <c r="P58" s="925"/>
      <c r="Q58" s="925"/>
      <c r="R58" s="925"/>
      <c r="S58" s="925"/>
      <c r="T58" s="925"/>
      <c r="U58" s="1028"/>
      <c r="V58" s="997"/>
    </row>
    <row r="59" spans="2:22" ht="18.75">
      <c r="B59" s="1029"/>
      <c r="C59" s="1030"/>
      <c r="D59" s="1031"/>
      <c r="E59" s="1031"/>
      <c r="F59" s="1031"/>
      <c r="G59" s="1031"/>
      <c r="H59" s="1031"/>
      <c r="I59" s="1031"/>
      <c r="J59" s="1031"/>
      <c r="K59" s="1031"/>
      <c r="L59" s="1031"/>
      <c r="M59" s="994"/>
      <c r="N59" s="996"/>
      <c r="O59" s="996"/>
      <c r="P59" s="996"/>
      <c r="Q59" s="996"/>
      <c r="R59" s="925"/>
      <c r="S59" s="944"/>
      <c r="T59" s="944"/>
      <c r="U59" s="944"/>
      <c r="V59" s="997"/>
    </row>
    <row r="60" spans="2:22" ht="30.75">
      <c r="B60" s="1035" t="s">
        <v>37</v>
      </c>
      <c r="C60" s="1036"/>
      <c r="D60" s="1036"/>
      <c r="E60" s="1036"/>
      <c r="F60" s="1036"/>
      <c r="G60" s="1036"/>
      <c r="H60" s="1036"/>
      <c r="I60" s="1036"/>
      <c r="J60" s="1036"/>
      <c r="K60" s="1036"/>
      <c r="L60" s="1036"/>
      <c r="M60" s="994"/>
      <c r="N60" s="1397"/>
      <c r="O60" s="972"/>
      <c r="P60" s="1034"/>
      <c r="Q60" s="1034"/>
      <c r="R60" s="925"/>
      <c r="S60" s="944"/>
      <c r="T60" s="944"/>
      <c r="U60" s="944"/>
      <c r="V60" s="997"/>
    </row>
    <row r="61" spans="2:22" ht="21">
      <c r="B61" s="1038" t="s">
        <v>37</v>
      </c>
      <c r="C61" s="1039"/>
      <c r="D61" s="1040" t="s">
        <v>98</v>
      </c>
      <c r="E61" s="1040" t="s">
        <v>99</v>
      </c>
      <c r="F61" s="1040" t="s">
        <v>100</v>
      </c>
      <c r="G61" s="1039"/>
      <c r="H61" s="1039"/>
      <c r="I61" s="1039"/>
      <c r="J61" s="1039"/>
      <c r="K61" s="1039"/>
      <c r="L61" s="1039"/>
      <c r="M61" s="994"/>
      <c r="N61" s="996"/>
      <c r="O61" s="996"/>
      <c r="P61" s="996"/>
      <c r="Q61" s="996"/>
      <c r="R61" s="925"/>
      <c r="S61" s="944"/>
      <c r="T61" s="944"/>
      <c r="U61" s="944"/>
      <c r="V61" s="997"/>
    </row>
    <row r="62" spans="2:22" ht="30.75">
      <c r="B62" s="1042"/>
      <c r="C62" s="1039"/>
      <c r="D62" s="1043" t="s">
        <v>44</v>
      </c>
      <c r="E62" s="1044"/>
      <c r="F62" s="1044"/>
      <c r="G62" s="1045"/>
      <c r="H62" s="1039"/>
      <c r="I62" s="1039"/>
      <c r="J62" s="1039"/>
      <c r="K62" s="1039"/>
      <c r="L62" s="1039"/>
      <c r="M62" s="994"/>
      <c r="N62" s="2336"/>
      <c r="O62" s="2336"/>
      <c r="P62" s="2336"/>
      <c r="Q62" s="2336"/>
      <c r="R62" s="2331"/>
      <c r="S62" s="2331"/>
      <c r="T62" s="944"/>
      <c r="U62" s="944"/>
      <c r="V62" s="997"/>
    </row>
    <row r="63" spans="2:22" ht="21">
      <c r="B63" s="1046"/>
      <c r="C63" s="1039"/>
      <c r="D63" s="1047">
        <v>0.05</v>
      </c>
      <c r="E63" s="1048">
        <v>0.17499999999999999</v>
      </c>
      <c r="F63" s="1049" t="s">
        <v>102</v>
      </c>
      <c r="G63" s="1048">
        <f>(R7+300)/1000</f>
        <v>2.5</v>
      </c>
      <c r="H63" s="1039"/>
      <c r="I63" s="1039"/>
      <c r="J63" s="1039"/>
      <c r="K63" s="1039"/>
      <c r="L63" s="1039"/>
      <c r="M63" s="994"/>
      <c r="N63" s="996"/>
      <c r="O63" s="996"/>
      <c r="P63" s="996"/>
      <c r="Q63" s="996"/>
      <c r="R63" s="925"/>
      <c r="S63" s="944"/>
      <c r="T63" s="944"/>
      <c r="U63" s="944"/>
      <c r="V63" s="997"/>
    </row>
    <row r="64" spans="2:22" ht="30.75">
      <c r="B64" s="1050"/>
      <c r="C64" s="1039"/>
      <c r="D64" s="1047" t="s">
        <v>103</v>
      </c>
      <c r="E64" s="1047"/>
      <c r="F64" s="1048" t="str">
        <f>P11</f>
        <v>1</v>
      </c>
      <c r="G64" s="1047" t="s">
        <v>104</v>
      </c>
      <c r="H64" s="1039"/>
      <c r="I64" s="1039"/>
      <c r="J64" s="1039"/>
      <c r="K64" s="1039"/>
      <c r="L64" s="1039"/>
      <c r="M64" s="994"/>
      <c r="N64" s="2336"/>
      <c r="O64" s="2336"/>
      <c r="P64" s="2336"/>
      <c r="Q64" s="2336"/>
      <c r="R64" s="2331"/>
      <c r="S64" s="2331"/>
      <c r="T64" s="944"/>
      <c r="U64" s="944"/>
      <c r="V64" s="997"/>
    </row>
    <row r="65" spans="2:22" ht="21.75" thickBot="1">
      <c r="B65" s="1055"/>
      <c r="C65" s="1056"/>
      <c r="D65" s="1057" t="s">
        <v>105</v>
      </c>
      <c r="E65" s="1057"/>
      <c r="F65" s="1058">
        <f>(D63*E63*G63)*F64</f>
        <v>2.1874999999999999E-2</v>
      </c>
      <c r="G65" s="1057" t="s">
        <v>106</v>
      </c>
      <c r="H65" s="1056"/>
      <c r="I65" s="1056"/>
      <c r="J65" s="1056"/>
      <c r="K65" s="1056"/>
      <c r="L65" s="1056"/>
      <c r="M65" s="1402"/>
      <c r="N65" s="1403"/>
      <c r="O65" s="1403"/>
      <c r="P65" s="1403"/>
      <c r="Q65" s="1403"/>
      <c r="R65" s="1403"/>
      <c r="S65" s="1403"/>
      <c r="T65" s="1403"/>
      <c r="U65" s="1403"/>
      <c r="V65" s="1404"/>
    </row>
    <row r="66" spans="2:22" ht="44.25" customHeight="1">
      <c r="B66" s="919"/>
      <c r="C66" s="920" t="str">
        <f>+VLOOKUP(142,TRADUZIONI,DATI!$C$2-1,0)</f>
        <v>QUADRO G</v>
      </c>
      <c r="D66" s="2355" t="s">
        <v>108</v>
      </c>
      <c r="E66" s="2355"/>
      <c r="F66" s="2355"/>
      <c r="G66" s="2355"/>
      <c r="H66" s="2355"/>
      <c r="I66" s="2355"/>
      <c r="J66" s="2355"/>
      <c r="K66" s="2355"/>
      <c r="L66" s="2356"/>
      <c r="M66" s="994"/>
      <c r="N66" s="996"/>
      <c r="O66" s="996"/>
      <c r="P66" s="996"/>
      <c r="Q66" s="996"/>
      <c r="R66" s="925"/>
      <c r="S66" s="944"/>
      <c r="T66" s="944"/>
      <c r="U66" s="944"/>
      <c r="V66" s="997"/>
    </row>
    <row r="67" spans="2:22" ht="27.75">
      <c r="B67" s="2363" t="s">
        <v>109</v>
      </c>
      <c r="C67" s="2364"/>
      <c r="D67" s="2364"/>
      <c r="E67" s="2365"/>
      <c r="F67" s="2366" t="s">
        <v>110</v>
      </c>
      <c r="G67" s="2364"/>
      <c r="H67" s="2364"/>
      <c r="I67" s="2364"/>
      <c r="J67" s="2364"/>
      <c r="K67" s="2364"/>
      <c r="L67" s="2367"/>
      <c r="M67" s="994"/>
      <c r="N67" s="2345" t="s">
        <v>111</v>
      </c>
      <c r="O67" s="2346"/>
      <c r="P67" s="2346"/>
      <c r="Q67" s="2346"/>
      <c r="R67" s="2346"/>
      <c r="S67" s="2346"/>
      <c r="T67" s="2346"/>
      <c r="U67" s="2347"/>
      <c r="V67" s="997"/>
    </row>
    <row r="68" spans="2:22" ht="21">
      <c r="B68" s="2368" t="s">
        <v>112</v>
      </c>
      <c r="C68" s="2369"/>
      <c r="D68" s="2353" t="s">
        <v>113</v>
      </c>
      <c r="E68" s="2354"/>
      <c r="F68" s="2384">
        <f>+DATI!C12</f>
        <v>0</v>
      </c>
      <c r="G68" s="2385"/>
      <c r="H68" s="2385"/>
      <c r="I68" s="2385"/>
      <c r="J68" s="2385"/>
      <c r="K68" s="2385"/>
      <c r="L68" s="2386"/>
      <c r="M68" s="994"/>
      <c r="N68" s="996"/>
      <c r="O68" s="996"/>
      <c r="P68" s="996"/>
      <c r="Q68" s="996"/>
      <c r="R68" s="925"/>
      <c r="S68" s="925"/>
      <c r="T68" s="925"/>
      <c r="U68" s="925"/>
      <c r="V68" s="997"/>
    </row>
    <row r="69" spans="2:22" ht="28.5">
      <c r="B69" s="2370"/>
      <c r="C69" s="2371"/>
      <c r="D69" s="2374"/>
      <c r="E69" s="2375"/>
      <c r="F69" s="2387"/>
      <c r="G69" s="2388"/>
      <c r="H69" s="2388"/>
      <c r="I69" s="2388"/>
      <c r="J69" s="2388"/>
      <c r="K69" s="2388"/>
      <c r="L69" s="2389"/>
      <c r="M69" s="994"/>
      <c r="N69" s="1005" t="s">
        <v>705</v>
      </c>
      <c r="O69" s="928"/>
      <c r="P69" s="1068"/>
      <c r="Q69" s="2351">
        <f>+P7-2</f>
        <v>1398</v>
      </c>
      <c r="R69" s="2352"/>
      <c r="S69" s="925"/>
      <c r="T69" s="1033" t="str">
        <f>+VLOOKUP(78,TRADUZIONI,DATI!C2-1,0)</f>
        <v>PEZZI /PZ.</v>
      </c>
      <c r="U69" s="1069" t="s">
        <v>122</v>
      </c>
      <c r="V69" s="997"/>
    </row>
    <row r="70" spans="2:22" ht="21">
      <c r="B70" s="2370"/>
      <c r="C70" s="2371"/>
      <c r="D70" s="2374"/>
      <c r="E70" s="2375"/>
      <c r="F70" s="2366" t="s">
        <v>114</v>
      </c>
      <c r="G70" s="2364"/>
      <c r="H70" s="2364"/>
      <c r="I70" s="2364"/>
      <c r="J70" s="2364"/>
      <c r="K70" s="2366" t="s">
        <v>115</v>
      </c>
      <c r="L70" s="2367"/>
      <c r="M70" s="994"/>
      <c r="N70" s="996"/>
      <c r="O70" s="996"/>
      <c r="P70" s="996"/>
      <c r="Q70" s="996"/>
      <c r="R70" s="925"/>
      <c r="S70" s="925"/>
      <c r="T70" s="925"/>
      <c r="U70" s="925"/>
      <c r="V70" s="997"/>
    </row>
    <row r="71" spans="2:22" ht="28.5">
      <c r="B71" s="2370"/>
      <c r="C71" s="2371"/>
      <c r="D71" s="2374"/>
      <c r="E71" s="2375"/>
      <c r="F71" s="2380" t="str">
        <f>+IF(DATI!$C$11=1,"","RETE GRIGIA")</f>
        <v>RETE GRIGIA</v>
      </c>
      <c r="G71" s="2381"/>
      <c r="H71" s="2381"/>
      <c r="I71" s="2381"/>
      <c r="J71" s="2381"/>
      <c r="K71" s="1060"/>
      <c r="L71" s="1041"/>
      <c r="M71" s="994"/>
      <c r="N71" s="1005" t="s">
        <v>706</v>
      </c>
      <c r="O71" s="1013"/>
      <c r="P71" s="928"/>
      <c r="Q71" s="2351">
        <f>+P7-2</f>
        <v>1398</v>
      </c>
      <c r="R71" s="2352"/>
      <c r="S71" s="925"/>
      <c r="T71" s="1033" t="str">
        <f>+VLOOKUP(78,TRADUZIONI,DATI!C2-1,0)</f>
        <v>PEZZI /PZ.</v>
      </c>
      <c r="U71" s="1069" t="s">
        <v>122</v>
      </c>
      <c r="V71" s="997"/>
    </row>
    <row r="72" spans="2:22" ht="21.75" thickBot="1">
      <c r="B72" s="2372"/>
      <c r="C72" s="2373"/>
      <c r="D72" s="2376"/>
      <c r="E72" s="2377"/>
      <c r="F72" s="2382"/>
      <c r="G72" s="2383"/>
      <c r="H72" s="2383"/>
      <c r="I72" s="2383"/>
      <c r="J72" s="2383"/>
      <c r="K72" s="1061"/>
      <c r="L72" s="1062"/>
      <c r="M72" s="1063"/>
      <c r="N72" s="1064"/>
      <c r="O72" s="1064"/>
      <c r="P72" s="1064"/>
      <c r="Q72" s="1064"/>
      <c r="R72" s="1064"/>
      <c r="S72" s="1064"/>
      <c r="T72" s="1064"/>
      <c r="U72" s="1064"/>
      <c r="V72" s="1065"/>
    </row>
    <row r="74" spans="2:22" ht="99.75">
      <c r="V74" s="1066"/>
    </row>
  </sheetData>
  <mergeCells count="54">
    <mergeCell ref="B2:V2"/>
    <mergeCell ref="E4:O4"/>
    <mergeCell ref="D6:G6"/>
    <mergeCell ref="N6:O7"/>
    <mergeCell ref="R6:S6"/>
    <mergeCell ref="R7:S7"/>
    <mergeCell ref="N9:O9"/>
    <mergeCell ref="P9:S9"/>
    <mergeCell ref="D10:G10"/>
    <mergeCell ref="N11:O11"/>
    <mergeCell ref="D14:L14"/>
    <mergeCell ref="O14:V14"/>
    <mergeCell ref="M40:V40"/>
    <mergeCell ref="F15:J20"/>
    <mergeCell ref="P16:Q16"/>
    <mergeCell ref="C22:E22"/>
    <mergeCell ref="F31:G31"/>
    <mergeCell ref="G32:H32"/>
    <mergeCell ref="H33:I33"/>
    <mergeCell ref="J34:K34"/>
    <mergeCell ref="C36:I36"/>
    <mergeCell ref="C37:I38"/>
    <mergeCell ref="C40:E40"/>
    <mergeCell ref="G40:K40"/>
    <mergeCell ref="N62:Q62"/>
    <mergeCell ref="R62:S62"/>
    <mergeCell ref="M41:V41"/>
    <mergeCell ref="D43:L43"/>
    <mergeCell ref="O43:V43"/>
    <mergeCell ref="N45:T45"/>
    <mergeCell ref="Q47:R47"/>
    <mergeCell ref="C49:J50"/>
    <mergeCell ref="R49:S49"/>
    <mergeCell ref="R51:S51"/>
    <mergeCell ref="D52:L52"/>
    <mergeCell ref="N53:Q53"/>
    <mergeCell ref="R53:S53"/>
    <mergeCell ref="N57:T57"/>
    <mergeCell ref="N64:Q64"/>
    <mergeCell ref="R64:S64"/>
    <mergeCell ref="D66:L66"/>
    <mergeCell ref="B67:E67"/>
    <mergeCell ref="F67:L67"/>
    <mergeCell ref="N67:U67"/>
    <mergeCell ref="Q69:R69"/>
    <mergeCell ref="F70:J70"/>
    <mergeCell ref="K70:L70"/>
    <mergeCell ref="F71:J72"/>
    <mergeCell ref="Q71:R71"/>
    <mergeCell ref="B68:C68"/>
    <mergeCell ref="D68:E68"/>
    <mergeCell ref="F68:L69"/>
    <mergeCell ref="B69:C72"/>
    <mergeCell ref="D69:E72"/>
  </mergeCells>
  <printOptions horizontalCentered="1"/>
  <pageMargins left="0" right="0" top="0" bottom="0" header="0" footer="0"/>
  <pageSetup paperSize="9" scale="38" orientation="portrait" r:id="rId1"/>
  <headerFooter alignWithMargins="0">
    <oddFooter>&amp;LREV. 09/05 - VER.1&amp;R&amp;D</oddFooter>
  </headerFooter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5">
    <tabColor rgb="FF92D050"/>
    <pageSetUpPr fitToPage="1"/>
  </sheetPr>
  <dimension ref="A1:AA94"/>
  <sheetViews>
    <sheetView showGridLines="0" zoomScale="50" zoomScaleNormal="50" workbookViewId="0"/>
  </sheetViews>
  <sheetFormatPr defaultColWidth="10.28515625" defaultRowHeight="15"/>
  <cols>
    <col min="1" max="1" width="34.85546875" style="918" customWidth="1"/>
    <col min="2" max="2" width="4.5703125" style="918" customWidth="1"/>
    <col min="3" max="3" width="32" style="918" customWidth="1"/>
    <col min="4" max="4" width="30.140625" style="918" customWidth="1"/>
    <col min="5" max="5" width="21.140625" style="918" customWidth="1"/>
    <col min="6" max="6" width="15" style="918" customWidth="1"/>
    <col min="7" max="7" width="17.85546875" style="918" customWidth="1"/>
    <col min="8" max="9" width="9.28515625" style="918" customWidth="1"/>
    <col min="10" max="10" width="6.42578125" style="918" customWidth="1"/>
    <col min="11" max="11" width="9.85546875" style="918" customWidth="1"/>
    <col min="12" max="12" width="4.7109375" style="918" customWidth="1"/>
    <col min="13" max="13" width="3.7109375" style="918" customWidth="1"/>
    <col min="14" max="14" width="17.85546875" style="918" customWidth="1"/>
    <col min="15" max="15" width="13.85546875" style="918" customWidth="1"/>
    <col min="16" max="16" width="16.28515625" style="918" customWidth="1"/>
    <col min="17" max="17" width="9.7109375" style="918" customWidth="1"/>
    <col min="18" max="18" width="11.140625" style="918" customWidth="1"/>
    <col min="19" max="19" width="9.5703125" style="918" customWidth="1"/>
    <col min="20" max="20" width="19" style="918" customWidth="1"/>
    <col min="21" max="21" width="11.42578125" style="918" customWidth="1"/>
    <col min="22" max="22" width="6.5703125" style="918" customWidth="1"/>
    <col min="23" max="24" width="10.28515625" style="918"/>
    <col min="25" max="25" width="17.28515625" style="918" bestFit="1" customWidth="1"/>
    <col min="26" max="16384" width="10.28515625" style="918"/>
  </cols>
  <sheetData>
    <row r="1" spans="1:22" ht="18">
      <c r="A1" s="917"/>
    </row>
    <row r="2" spans="1:22" ht="33.75">
      <c r="A2" s="917"/>
      <c r="B2" s="2305" t="s">
        <v>772</v>
      </c>
      <c r="C2" s="2306"/>
      <c r="D2" s="2306"/>
      <c r="E2" s="2306"/>
      <c r="F2" s="2306"/>
      <c r="G2" s="2306"/>
      <c r="H2" s="2306"/>
      <c r="I2" s="2306"/>
      <c r="J2" s="2306"/>
      <c r="K2" s="2306"/>
      <c r="L2" s="2306"/>
      <c r="M2" s="2306"/>
      <c r="N2" s="2306"/>
      <c r="O2" s="2306"/>
      <c r="P2" s="2306"/>
      <c r="Q2" s="2306"/>
      <c r="R2" s="2306"/>
      <c r="S2" s="2306"/>
      <c r="T2" s="2306"/>
      <c r="U2" s="2306"/>
      <c r="V2" s="2306"/>
    </row>
    <row r="3" spans="1:22" ht="18.75" thickBot="1">
      <c r="A3" s="917"/>
    </row>
    <row r="4" spans="1:22" ht="44.25" customHeight="1">
      <c r="A4" s="917"/>
      <c r="B4" s="919"/>
      <c r="C4" s="920" t="str">
        <f>+VLOOKUP(108,TRADUZIONI,DATI!$C$2-1,0)</f>
        <v>QUADRO A</v>
      </c>
      <c r="D4" s="921"/>
      <c r="E4" s="2307" t="str">
        <f>+VLOOKUP(109,TRADUZIONI,DATI!$C$2-1,0)</f>
        <v>DATI ORDINE</v>
      </c>
      <c r="F4" s="2307"/>
      <c r="G4" s="2307"/>
      <c r="H4" s="2307"/>
      <c r="I4" s="2307"/>
      <c r="J4" s="2307"/>
      <c r="K4" s="2307"/>
      <c r="L4" s="2307"/>
      <c r="M4" s="2307"/>
      <c r="N4" s="2307"/>
      <c r="O4" s="2307"/>
      <c r="P4" s="922"/>
      <c r="Q4" s="921"/>
      <c r="R4" s="921"/>
      <c r="S4" s="921"/>
      <c r="T4" s="921"/>
      <c r="U4" s="921"/>
      <c r="V4" s="923"/>
    </row>
    <row r="5" spans="1:22" ht="18">
      <c r="A5" s="917"/>
      <c r="B5" s="924"/>
      <c r="C5" s="925"/>
      <c r="D5" s="925"/>
      <c r="E5" s="925"/>
      <c r="F5" s="925"/>
      <c r="G5" s="925"/>
      <c r="H5" s="925"/>
      <c r="I5" s="925"/>
      <c r="J5" s="925"/>
      <c r="K5" s="925"/>
      <c r="L5" s="925"/>
      <c r="M5" s="925"/>
      <c r="N5" s="925"/>
      <c r="O5" s="925"/>
      <c r="P5" s="925"/>
      <c r="Q5" s="925"/>
      <c r="R5" s="925"/>
      <c r="S5" s="925"/>
      <c r="T5" s="925"/>
      <c r="U5" s="925"/>
      <c r="V5" s="926"/>
    </row>
    <row r="6" spans="1:22" ht="30.75">
      <c r="A6" s="917"/>
      <c r="B6" s="924"/>
      <c r="C6" s="1432" t="str">
        <f>+VLOOKUP(22,TRADUZIONI,DATI!C2-1,0)</f>
        <v>CLIENTE</v>
      </c>
      <c r="D6" s="2308">
        <f>+DATI!C6</f>
        <v>0</v>
      </c>
      <c r="E6" s="2308"/>
      <c r="F6" s="2308"/>
      <c r="G6" s="2308"/>
      <c r="H6" s="928"/>
      <c r="I6" s="928"/>
      <c r="J6" s="928"/>
      <c r="K6" s="929"/>
      <c r="L6" s="930"/>
      <c r="M6" s="931"/>
      <c r="N6" s="2309" t="str">
        <f>+VLOOKUP(115,TRADUZIONI,DATI!C2-1,0)</f>
        <v xml:space="preserve">DIMENSIONI </v>
      </c>
      <c r="O6" s="2310"/>
      <c r="P6" s="927" t="str">
        <f>+VLOOKUP(96,TRADUZIONI,DATI!C2-1,0)</f>
        <v>BASE</v>
      </c>
      <c r="Q6" s="932"/>
      <c r="R6" s="2313" t="str">
        <f>+VLOOKUP(97,TRADUZIONI,DATI!C2-1,0)</f>
        <v>ALTEZZA</v>
      </c>
      <c r="S6" s="2314"/>
      <c r="T6" s="925"/>
      <c r="U6" s="925"/>
      <c r="V6" s="926"/>
    </row>
    <row r="7" spans="1:22" ht="29.25" customHeight="1">
      <c r="A7" s="917"/>
      <c r="B7" s="924"/>
      <c r="C7" s="925"/>
      <c r="D7" s="925" t="s">
        <v>37</v>
      </c>
      <c r="E7" s="925"/>
      <c r="F7" s="925"/>
      <c r="G7" s="925"/>
      <c r="H7" s="925"/>
      <c r="I7" s="925"/>
      <c r="J7" s="925"/>
      <c r="K7" s="925"/>
      <c r="L7" s="930"/>
      <c r="M7" s="931"/>
      <c r="N7" s="2311"/>
      <c r="O7" s="2312"/>
      <c r="P7" s="933">
        <f>+DATI!C7</f>
        <v>1400</v>
      </c>
      <c r="Q7" s="934" t="s">
        <v>44</v>
      </c>
      <c r="R7" s="2315">
        <f>+DATI!C8</f>
        <v>2200</v>
      </c>
      <c r="S7" s="2316"/>
      <c r="T7" s="925"/>
      <c r="U7" s="925"/>
      <c r="V7" s="926"/>
    </row>
    <row r="8" spans="1:22" ht="30.75">
      <c r="A8" s="917"/>
      <c r="B8" s="924"/>
      <c r="C8" s="927" t="str">
        <f>+VLOOKUP(23,TRADUZIONI,DATI!C2-1,0)</f>
        <v>NUM. ORDINE</v>
      </c>
      <c r="D8" s="935">
        <f>+DATI!C4</f>
        <v>0</v>
      </c>
      <c r="E8" s="935"/>
      <c r="F8" s="935"/>
      <c r="G8" s="935"/>
      <c r="H8" s="928"/>
      <c r="I8" s="928"/>
      <c r="J8" s="928"/>
      <c r="K8" s="929"/>
      <c r="L8" s="930"/>
      <c r="M8" s="931"/>
      <c r="N8" s="925"/>
      <c r="O8" s="925"/>
      <c r="P8" s="925"/>
      <c r="Q8" s="925"/>
      <c r="R8" s="936"/>
      <c r="S8" s="925"/>
      <c r="T8" s="925"/>
      <c r="U8" s="925"/>
      <c r="V8" s="926"/>
    </row>
    <row r="9" spans="1:22" ht="30.75">
      <c r="A9" s="917"/>
      <c r="B9" s="924"/>
      <c r="C9" s="925"/>
      <c r="D9" s="925"/>
      <c r="E9" s="925"/>
      <c r="F9" s="925"/>
      <c r="G9" s="925"/>
      <c r="H9" s="925"/>
      <c r="I9" s="925"/>
      <c r="J9" s="925"/>
      <c r="K9" s="925"/>
      <c r="L9" s="930"/>
      <c r="M9" s="931"/>
      <c r="N9" s="2318" t="str">
        <f>+VLOOKUP(99,TRADUZIONI,DATI!C2-1,0)</f>
        <v>COLORE</v>
      </c>
      <c r="O9" s="2314"/>
      <c r="P9" s="2319" t="str">
        <f>+DATI!C10</f>
        <v>06.NERO</v>
      </c>
      <c r="Q9" s="2320"/>
      <c r="R9" s="2320"/>
      <c r="S9" s="2321"/>
      <c r="T9" s="925"/>
      <c r="U9" s="925"/>
      <c r="V9" s="926"/>
    </row>
    <row r="10" spans="1:22" ht="30.75">
      <c r="A10" s="917"/>
      <c r="B10" s="924"/>
      <c r="C10" s="1434" t="str">
        <f>+VLOOKUP(5,TRADUZIONI,DATI!C2-1,0)</f>
        <v>DATA SPEDIZIONE</v>
      </c>
      <c r="D10" s="2495">
        <f>+DATI!C5</f>
        <v>42370</v>
      </c>
      <c r="E10" s="2495"/>
      <c r="F10" s="2495"/>
      <c r="G10" s="2495"/>
      <c r="H10" s="928"/>
      <c r="I10" s="928"/>
      <c r="J10" s="928"/>
      <c r="K10" s="929"/>
      <c r="L10" s="930"/>
      <c r="M10" s="931"/>
      <c r="N10" s="937"/>
      <c r="O10" s="925"/>
      <c r="P10" s="925"/>
      <c r="Q10" s="925"/>
      <c r="R10" s="925"/>
      <c r="S10" s="925"/>
      <c r="T10" s="925"/>
      <c r="U10" s="925"/>
      <c r="V10" s="926"/>
    </row>
    <row r="11" spans="1:22" ht="30.75">
      <c r="A11" s="917"/>
      <c r="B11" s="924"/>
      <c r="C11" s="925"/>
      <c r="D11" s="925"/>
      <c r="E11" s="925"/>
      <c r="F11" s="925"/>
      <c r="G11" s="925"/>
      <c r="H11" s="925"/>
      <c r="I11" s="925"/>
      <c r="J11" s="925"/>
      <c r="K11" s="925"/>
      <c r="L11" s="930"/>
      <c r="M11" s="931"/>
      <c r="N11" s="2323" t="str">
        <f>+VLOOKUP(78,TRADUZIONI,DATI!C2-1,0)</f>
        <v>PEZZI /PZ.</v>
      </c>
      <c r="O11" s="2324"/>
      <c r="P11" s="938" t="str">
        <f>+DATI!C11</f>
        <v>1</v>
      </c>
      <c r="Q11" s="925"/>
      <c r="R11" s="925"/>
      <c r="S11" s="925"/>
      <c r="T11" s="925"/>
      <c r="U11" s="925"/>
      <c r="V11" s="926"/>
    </row>
    <row r="12" spans="1:22" ht="30.75">
      <c r="A12" s="917"/>
      <c r="B12" s="924"/>
      <c r="C12" s="927" t="s">
        <v>49</v>
      </c>
      <c r="D12" s="939">
        <f>IF((P7*R7/1000000)&lt;=2,2*P11,IF((P7*R7/1000000)&gt;2,(P7*R7/1000000)*P11))</f>
        <v>3.08</v>
      </c>
      <c r="E12" s="925"/>
      <c r="F12" s="925"/>
      <c r="G12" s="925"/>
      <c r="H12" s="925"/>
      <c r="I12" s="925"/>
      <c r="J12" s="925"/>
      <c r="K12" s="925"/>
      <c r="L12" s="930"/>
      <c r="M12" s="931"/>
      <c r="N12" s="925"/>
      <c r="O12" s="925"/>
      <c r="P12" s="940" t="s">
        <v>37</v>
      </c>
      <c r="Q12" s="925"/>
      <c r="R12" s="925"/>
      <c r="S12" s="925"/>
      <c r="T12" s="941" t="s">
        <v>37</v>
      </c>
      <c r="U12" s="941"/>
      <c r="V12" s="926"/>
    </row>
    <row r="13" spans="1:22" ht="18.75" thickBot="1">
      <c r="A13" s="917"/>
      <c r="B13" s="924"/>
      <c r="C13" s="937"/>
      <c r="D13" s="925"/>
      <c r="E13" s="942"/>
      <c r="F13" s="943"/>
      <c r="G13" s="942"/>
      <c r="H13" s="944"/>
      <c r="I13" s="944"/>
      <c r="J13" s="944"/>
      <c r="K13" s="925"/>
      <c r="L13" s="925"/>
      <c r="M13" s="925"/>
      <c r="N13" s="925"/>
      <c r="O13" s="925"/>
      <c r="P13" s="925"/>
      <c r="Q13" s="925"/>
      <c r="R13" s="945"/>
      <c r="S13" s="925"/>
      <c r="T13" s="946" t="s">
        <v>37</v>
      </c>
      <c r="U13" s="946"/>
      <c r="V13" s="926"/>
    </row>
    <row r="14" spans="1:22" ht="44.25" customHeight="1">
      <c r="B14" s="919"/>
      <c r="C14" s="920" t="str">
        <f>+VLOOKUP(111,TRADUZIONI,DATI!$C$2-1,0)</f>
        <v>QUADRO B</v>
      </c>
      <c r="D14" s="2325" t="str">
        <f>+VLOOKUP(118,TRADUZIONI,DATI!$C$2-1,0)</f>
        <v>DIMENSIONE RETE E FORI</v>
      </c>
      <c r="E14" s="2325"/>
      <c r="F14" s="2325"/>
      <c r="G14" s="2325"/>
      <c r="H14" s="2325"/>
      <c r="I14" s="2325"/>
      <c r="J14" s="2325"/>
      <c r="K14" s="2325"/>
      <c r="L14" s="2326"/>
      <c r="M14" s="919"/>
      <c r="N14" s="920" t="str">
        <f>+VLOOKUP(138,TRADUZIONI,DATI!$C$2-1,0)</f>
        <v>QUADRO C</v>
      </c>
      <c r="O14" s="2327" t="str">
        <f>+VLOOKUP(117,TRADUZIONI,DATI!$C$2-1,0)</f>
        <v>LUNGHEZZA E NUM. CORDINI</v>
      </c>
      <c r="P14" s="2327"/>
      <c r="Q14" s="2327"/>
      <c r="R14" s="2327"/>
      <c r="S14" s="2327"/>
      <c r="T14" s="2327"/>
      <c r="U14" s="2327"/>
      <c r="V14" s="2328"/>
    </row>
    <row r="15" spans="1:22" ht="31.5" customHeight="1">
      <c r="B15" s="947"/>
      <c r="C15" s="925"/>
      <c r="D15" s="925"/>
      <c r="E15" s="925"/>
      <c r="F15" s="2329" t="e">
        <f>IF(DATI!E13="AUTOMATICA",CONCATENATE("*",DATI!E14,"-",REPT("0",4-LEN(F22)),F22,"*"),CONCATENATE("*",DATI!L14,REPT("0",3-LEN(D16)),D16,REPT("0",4-LEN(F22)),F22,DATI!L14,"*"))</f>
        <v>#VALUE!</v>
      </c>
      <c r="G15" s="2329"/>
      <c r="H15" s="2329"/>
      <c r="I15" s="2329"/>
      <c r="J15" s="2329"/>
      <c r="K15" s="948"/>
      <c r="L15" s="949"/>
      <c r="M15" s="924"/>
      <c r="N15" s="925"/>
      <c r="O15" s="925" t="s">
        <v>37</v>
      </c>
      <c r="P15" s="950" t="s">
        <v>37</v>
      </c>
      <c r="Q15" s="925"/>
      <c r="R15" s="925"/>
      <c r="S15" s="925"/>
      <c r="T15" s="951"/>
      <c r="U15" s="951"/>
      <c r="V15" s="926"/>
    </row>
    <row r="16" spans="1:22" ht="30.75" customHeight="1">
      <c r="B16" s="952"/>
      <c r="C16" s="953" t="str">
        <f>+VLOOKUP(19,TRADUZIONI,DATI!C2-1,0)</f>
        <v>PIEGHE</v>
      </c>
      <c r="D16" s="1394">
        <f>2+ROUNDUP((R7-55)*0.036,0)</f>
        <v>80</v>
      </c>
      <c r="E16" s="925"/>
      <c r="F16" s="2329"/>
      <c r="G16" s="2329"/>
      <c r="H16" s="2329"/>
      <c r="I16" s="2329"/>
      <c r="J16" s="2329"/>
      <c r="K16" s="948"/>
      <c r="L16" s="955"/>
      <c r="M16" s="952"/>
      <c r="N16" s="956"/>
      <c r="O16" s="956"/>
      <c r="P16" s="2323" t="str">
        <f>+VLOOKUP(149,TRADUZIONI,DATI!C2-1,0)</f>
        <v>CORDINI</v>
      </c>
      <c r="Q16" s="2324"/>
      <c r="R16" s="957">
        <f>IF(F22&lt;=930,2,IF(F22&lt;=1800,4,IF(F22&lt;=2700,6,8)))</f>
        <v>4</v>
      </c>
      <c r="S16" s="951"/>
      <c r="T16" s="946"/>
      <c r="U16" s="946"/>
      <c r="V16" s="958"/>
    </row>
    <row r="17" spans="2:27" s="960" customFormat="1" ht="15" customHeight="1">
      <c r="B17" s="924"/>
      <c r="C17" s="925"/>
      <c r="D17" s="925"/>
      <c r="E17" s="925"/>
      <c r="F17" s="2329"/>
      <c r="G17" s="2329"/>
      <c r="H17" s="2329"/>
      <c r="I17" s="2329"/>
      <c r="J17" s="2329"/>
      <c r="K17" s="948"/>
      <c r="L17" s="925"/>
      <c r="M17" s="924"/>
      <c r="N17" s="925"/>
      <c r="O17" s="925"/>
      <c r="P17" s="925"/>
      <c r="Q17" s="959"/>
      <c r="R17" s="925"/>
      <c r="S17" s="925"/>
      <c r="T17" s="925"/>
      <c r="U17" s="925"/>
      <c r="V17" s="926"/>
      <c r="X17" s="918"/>
      <c r="Y17" s="918"/>
      <c r="Z17" s="918"/>
      <c r="AA17" s="918"/>
    </row>
    <row r="18" spans="2:27" ht="49.5" customHeight="1">
      <c r="B18" s="924"/>
      <c r="C18" s="925"/>
      <c r="D18" s="940"/>
      <c r="E18" s="940"/>
      <c r="F18" s="2329"/>
      <c r="G18" s="2329"/>
      <c r="H18" s="2329"/>
      <c r="I18" s="2329"/>
      <c r="J18" s="2329"/>
      <c r="K18" s="948"/>
      <c r="L18" s="925"/>
      <c r="M18" s="924"/>
      <c r="N18" s="925"/>
      <c r="O18" s="925"/>
      <c r="P18" s="925"/>
      <c r="Q18" s="961"/>
      <c r="R18" s="925"/>
      <c r="S18" s="925"/>
      <c r="T18" s="925"/>
      <c r="U18" s="925"/>
      <c r="V18" s="926"/>
    </row>
    <row r="19" spans="2:27" ht="15" customHeight="1">
      <c r="B19" s="924"/>
      <c r="C19" s="925"/>
      <c r="D19" s="940"/>
      <c r="E19" s="940"/>
      <c r="F19" s="2329"/>
      <c r="G19" s="2329"/>
      <c r="H19" s="2329"/>
      <c r="I19" s="2329"/>
      <c r="J19" s="2329"/>
      <c r="K19" s="948"/>
      <c r="L19" s="925"/>
      <c r="M19" s="924"/>
      <c r="N19" s="925"/>
      <c r="O19" s="925"/>
      <c r="P19" s="962" t="s">
        <v>37</v>
      </c>
      <c r="Q19" s="925"/>
      <c r="R19" s="963" t="s">
        <v>37</v>
      </c>
      <c r="S19" s="925"/>
      <c r="T19" s="925"/>
      <c r="U19" s="925"/>
      <c r="V19" s="926"/>
    </row>
    <row r="20" spans="2:27">
      <c r="B20" s="924"/>
      <c r="C20" s="925"/>
      <c r="D20" s="940"/>
      <c r="E20" s="940"/>
      <c r="F20" s="2329"/>
      <c r="G20" s="2329"/>
      <c r="H20" s="2329"/>
      <c r="I20" s="2329"/>
      <c r="J20" s="2329"/>
      <c r="K20" s="948"/>
      <c r="L20" s="925"/>
      <c r="M20" s="964"/>
      <c r="N20" s="925"/>
      <c r="O20" s="925"/>
      <c r="P20" s="925"/>
      <c r="Q20" s="965"/>
      <c r="R20" s="965"/>
      <c r="S20" s="925"/>
      <c r="T20" s="937"/>
      <c r="U20" s="937"/>
      <c r="V20" s="926"/>
    </row>
    <row r="21" spans="2:27">
      <c r="B21" s="924"/>
      <c r="C21" s="925"/>
      <c r="D21" s="940"/>
      <c r="E21" s="925"/>
      <c r="F21" s="950" t="s">
        <v>37</v>
      </c>
      <c r="G21" s="925"/>
      <c r="H21" s="966"/>
      <c r="I21" s="966"/>
      <c r="J21" s="966"/>
      <c r="K21" s="940" t="s">
        <v>37</v>
      </c>
      <c r="L21" s="925"/>
      <c r="M21" s="964"/>
      <c r="N21" s="925"/>
      <c r="O21" s="925"/>
      <c r="P21" s="925"/>
      <c r="Q21" s="925"/>
      <c r="R21" s="959"/>
      <c r="S21" s="925"/>
      <c r="T21" s="965"/>
      <c r="U21" s="965"/>
      <c r="V21" s="926"/>
    </row>
    <row r="22" spans="2:27" ht="30.75">
      <c r="B22" s="924"/>
      <c r="C22" s="2318" t="str">
        <f>CONCATENATE(VLOOKUP(116,TRADUZIONI,DATI!C2-1,0),"(",VLOOKUP(96,TRADUZIONI,DATI!C2-1,0),"-37)")</f>
        <v>TAGLIO RETE(BASE-37)</v>
      </c>
      <c r="D22" s="2313"/>
      <c r="E22" s="2313"/>
      <c r="F22" s="967">
        <f>+P7-37</f>
        <v>1363</v>
      </c>
      <c r="G22" s="968"/>
      <c r="H22" s="969"/>
      <c r="I22" s="969"/>
      <c r="J22" s="969"/>
      <c r="K22" s="970"/>
      <c r="L22" s="925"/>
      <c r="M22" s="964"/>
      <c r="N22" s="925"/>
      <c r="O22" s="925"/>
      <c r="P22" s="966" t="s">
        <v>37</v>
      </c>
      <c r="Q22" s="925" t="s">
        <v>37</v>
      </c>
      <c r="R22" s="925"/>
      <c r="S22" s="925"/>
      <c r="T22" s="961"/>
      <c r="U22" s="961"/>
      <c r="V22" s="926"/>
    </row>
    <row r="23" spans="2:27">
      <c r="B23" s="924"/>
      <c r="C23" s="925"/>
      <c r="D23" s="940"/>
      <c r="E23" s="925"/>
      <c r="F23" s="950"/>
      <c r="G23" s="951"/>
      <c r="H23" s="966"/>
      <c r="I23" s="966"/>
      <c r="J23" s="966"/>
      <c r="K23" s="940"/>
      <c r="L23" s="925"/>
      <c r="M23" s="964"/>
      <c r="N23" s="925"/>
      <c r="O23" s="925"/>
      <c r="P23" s="966"/>
      <c r="Q23" s="925"/>
      <c r="R23" s="925"/>
      <c r="S23" s="925"/>
      <c r="T23" s="961"/>
      <c r="U23" s="961"/>
      <c r="V23" s="926"/>
    </row>
    <row r="24" spans="2:27">
      <c r="B24" s="924"/>
      <c r="C24" s="925"/>
      <c r="D24" s="940"/>
      <c r="E24" s="925"/>
      <c r="F24" s="950"/>
      <c r="G24" s="951"/>
      <c r="H24" s="966"/>
      <c r="I24" s="966"/>
      <c r="J24" s="966"/>
      <c r="K24" s="940"/>
      <c r="L24" s="925"/>
      <c r="M24" s="964"/>
      <c r="N24" s="925"/>
      <c r="O24" s="925"/>
      <c r="P24" s="966"/>
      <c r="Q24" s="925"/>
      <c r="R24" s="925"/>
      <c r="S24" s="925"/>
      <c r="T24" s="961"/>
      <c r="U24" s="961"/>
      <c r="V24" s="926"/>
    </row>
    <row r="25" spans="2:27">
      <c r="B25" s="924"/>
      <c r="C25" s="925"/>
      <c r="D25" s="940"/>
      <c r="E25" s="925"/>
      <c r="F25" s="950"/>
      <c r="G25" s="951"/>
      <c r="H25" s="966"/>
      <c r="I25" s="966"/>
      <c r="J25" s="966"/>
      <c r="K25" s="940"/>
      <c r="L25" s="925"/>
      <c r="M25" s="924"/>
      <c r="N25" s="925"/>
      <c r="O25" s="925"/>
      <c r="P25" s="966"/>
      <c r="Q25" s="925"/>
      <c r="R25" s="925"/>
      <c r="S25" s="925"/>
      <c r="T25" s="961"/>
      <c r="U25" s="961"/>
      <c r="V25" s="926"/>
    </row>
    <row r="26" spans="2:27">
      <c r="B26" s="924"/>
      <c r="C26" s="925"/>
      <c r="D26" s="940"/>
      <c r="E26" s="925"/>
      <c r="F26" s="950"/>
      <c r="G26" s="951"/>
      <c r="H26" s="966"/>
      <c r="I26" s="966"/>
      <c r="J26" s="966"/>
      <c r="K26" s="940"/>
      <c r="L26" s="925"/>
      <c r="M26" s="924"/>
      <c r="N26" s="925"/>
      <c r="O26" s="925"/>
      <c r="P26" s="925"/>
      <c r="Q26" s="925"/>
      <c r="R26" s="925"/>
      <c r="S26" s="940"/>
      <c r="T26" s="925"/>
      <c r="U26" s="925"/>
      <c r="V26" s="926"/>
    </row>
    <row r="27" spans="2:27" ht="30.75">
      <c r="B27" s="924"/>
      <c r="C27" s="971">
        <f>40+125</f>
        <v>165</v>
      </c>
      <c r="D27" s="940"/>
      <c r="E27" s="925"/>
      <c r="F27" s="950"/>
      <c r="G27" s="951"/>
      <c r="H27" s="966"/>
      <c r="I27" s="966"/>
      <c r="J27" s="966"/>
      <c r="K27" s="940"/>
      <c r="L27" s="925"/>
      <c r="M27" s="924"/>
      <c r="N27" s="925"/>
      <c r="O27" s="925"/>
      <c r="P27" s="925"/>
      <c r="Q27" s="925"/>
      <c r="R27" s="925"/>
      <c r="S27" s="925"/>
      <c r="T27" s="925"/>
      <c r="U27" s="925"/>
      <c r="V27" s="926"/>
    </row>
    <row r="28" spans="2:27" ht="36" customHeight="1">
      <c r="B28" s="924"/>
      <c r="C28" s="972">
        <f>+C27+F40</f>
        <v>509</v>
      </c>
      <c r="D28" s="940"/>
      <c r="E28" s="925"/>
      <c r="F28" s="950"/>
      <c r="G28" s="951"/>
      <c r="H28" s="966"/>
      <c r="I28" s="966"/>
      <c r="J28" s="966"/>
      <c r="K28" s="940"/>
      <c r="L28" s="925"/>
      <c r="M28" s="924"/>
      <c r="N28" s="925"/>
      <c r="O28" s="925"/>
      <c r="P28" s="966" t="s">
        <v>37</v>
      </c>
      <c r="Q28" s="925"/>
      <c r="R28" s="925"/>
      <c r="S28" s="940"/>
      <c r="T28" s="925"/>
      <c r="U28" s="925"/>
      <c r="V28" s="926"/>
    </row>
    <row r="29" spans="2:27" ht="36" customHeight="1">
      <c r="B29" s="924"/>
      <c r="C29" s="925"/>
      <c r="D29" s="973">
        <f>IF(R16&gt;2,C28+F40,"")</f>
        <v>853</v>
      </c>
      <c r="E29" s="925"/>
      <c r="F29" s="950"/>
      <c r="G29" s="951"/>
      <c r="H29" s="966"/>
      <c r="I29" s="966"/>
      <c r="J29" s="966"/>
      <c r="K29" s="940"/>
      <c r="L29" s="925"/>
      <c r="M29" s="924"/>
      <c r="N29" s="925"/>
      <c r="O29" s="925"/>
      <c r="P29" s="925"/>
      <c r="Q29" s="925"/>
      <c r="R29" s="925"/>
      <c r="S29" s="925"/>
      <c r="T29" s="925"/>
      <c r="U29" s="925"/>
      <c r="V29" s="926"/>
    </row>
    <row r="30" spans="2:27" ht="36" customHeight="1">
      <c r="B30" s="924"/>
      <c r="C30" s="925"/>
      <c r="D30" s="940"/>
      <c r="E30" s="972">
        <f>IF(R16&gt;=4,D29+F40,"")</f>
        <v>1197</v>
      </c>
      <c r="F30" s="950"/>
      <c r="G30" s="951"/>
      <c r="H30" s="966"/>
      <c r="I30" s="966"/>
      <c r="J30" s="966"/>
      <c r="K30" s="940"/>
      <c r="L30" s="925"/>
      <c r="M30" s="924"/>
      <c r="N30" s="925"/>
      <c r="O30" s="925"/>
      <c r="P30" s="940" t="s">
        <v>37</v>
      </c>
      <c r="Q30" s="925"/>
      <c r="R30" s="925"/>
      <c r="S30" s="925"/>
      <c r="T30" s="925"/>
      <c r="U30" s="925"/>
      <c r="V30" s="926"/>
    </row>
    <row r="31" spans="2:27" ht="36" customHeight="1">
      <c r="B31" s="924"/>
      <c r="C31" s="925"/>
      <c r="D31" s="940"/>
      <c r="E31" s="925"/>
      <c r="F31" s="2330" t="str">
        <f>IF(R16&gt;=5,E30+F40,"")</f>
        <v/>
      </c>
      <c r="G31" s="2330"/>
      <c r="H31" s="966"/>
      <c r="I31" s="966"/>
      <c r="J31" s="966"/>
      <c r="K31" s="940"/>
      <c r="L31" s="925"/>
      <c r="M31" s="924"/>
      <c r="N31" s="925"/>
      <c r="O31" s="925"/>
      <c r="P31" s="925"/>
      <c r="Q31" s="925"/>
      <c r="R31" s="925"/>
      <c r="S31" s="925"/>
      <c r="T31" s="925"/>
      <c r="U31" s="925"/>
      <c r="V31" s="926"/>
    </row>
    <row r="32" spans="2:27" ht="36" customHeight="1">
      <c r="B32" s="924"/>
      <c r="C32" s="925"/>
      <c r="D32" s="940"/>
      <c r="E32" s="925"/>
      <c r="F32" s="950"/>
      <c r="G32" s="2331" t="str">
        <f>IF(R16&gt;=6,F31+F40,"")</f>
        <v/>
      </c>
      <c r="H32" s="2331"/>
      <c r="I32" s="966"/>
      <c r="J32" s="966"/>
      <c r="K32" s="940"/>
      <c r="L32" s="925"/>
      <c r="M32" s="924"/>
      <c r="N32" s="925"/>
      <c r="O32" s="925"/>
      <c r="P32" s="925"/>
      <c r="Q32" s="948"/>
      <c r="R32" s="925"/>
      <c r="S32" s="925"/>
      <c r="T32" s="925"/>
      <c r="U32" s="925"/>
      <c r="V32" s="926"/>
    </row>
    <row r="33" spans="2:27" ht="36" customHeight="1">
      <c r="B33" s="924"/>
      <c r="C33" s="925"/>
      <c r="D33" s="940"/>
      <c r="E33" s="925"/>
      <c r="F33" s="950"/>
      <c r="G33" s="951"/>
      <c r="H33" s="2317" t="str">
        <f>IF(R16&gt;=7,G32+F40,"")</f>
        <v/>
      </c>
      <c r="I33" s="2317"/>
      <c r="J33" s="966"/>
      <c r="K33" s="940"/>
      <c r="L33" s="925"/>
      <c r="M33" s="924"/>
      <c r="N33" s="925"/>
      <c r="O33" s="925"/>
      <c r="P33" s="925"/>
      <c r="Q33" s="925"/>
      <c r="R33" s="925"/>
      <c r="S33" s="925"/>
      <c r="T33" s="925"/>
      <c r="U33" s="925"/>
      <c r="V33" s="926"/>
    </row>
    <row r="34" spans="2:27" ht="36" customHeight="1">
      <c r="B34" s="924"/>
      <c r="C34" s="925"/>
      <c r="D34" s="940"/>
      <c r="E34" s="925"/>
      <c r="F34" s="950"/>
      <c r="G34" s="951"/>
      <c r="H34" s="966"/>
      <c r="I34" s="966"/>
      <c r="J34" s="2330" t="str">
        <f>IF(R16=8,H33+F40,"")</f>
        <v/>
      </c>
      <c r="K34" s="2330"/>
      <c r="L34" s="926"/>
      <c r="M34" s="925"/>
      <c r="N34" s="925"/>
      <c r="O34" s="974"/>
      <c r="P34" s="974"/>
      <c r="Q34" s="937"/>
      <c r="R34" s="925"/>
      <c r="S34" s="925"/>
      <c r="T34" s="925"/>
      <c r="U34" s="925"/>
      <c r="V34" s="926"/>
      <c r="X34" s="97"/>
      <c r="Y34" s="1138" t="str">
        <f>+VLOOKUP(149,TRADUZIONI,DATI!C2-1,0)</f>
        <v>CORDINI</v>
      </c>
    </row>
    <row r="35" spans="2:27" ht="30.75" customHeight="1">
      <c r="B35" s="924"/>
      <c r="C35" s="925"/>
      <c r="D35" s="940"/>
      <c r="E35" s="925"/>
      <c r="F35" s="950"/>
      <c r="G35" s="951"/>
      <c r="H35" s="966"/>
      <c r="I35" s="966"/>
      <c r="J35" s="966"/>
      <c r="K35" s="940"/>
      <c r="L35" s="926"/>
      <c r="M35" s="925"/>
      <c r="N35" s="2399" t="str">
        <f>CONCATENATE(Z35,". 1-2 ",AA35,".      ",TEXT(ROUND((P7-C27+R7+450-37),-1),0))</f>
        <v>Nr. Cord. 1-2 LUNGHEZZA.      3850</v>
      </c>
      <c r="O35" s="2399"/>
      <c r="P35" s="2399"/>
      <c r="Q35" s="2399"/>
      <c r="R35" s="2399"/>
      <c r="S35" s="2399"/>
      <c r="T35" s="2399"/>
      <c r="U35" s="2399"/>
      <c r="V35" s="926"/>
      <c r="X35" s="1365" t="s">
        <v>125</v>
      </c>
      <c r="Y35" s="1366">
        <f>ROUND((P7-C27+R7+450-37),-1)</f>
        <v>3850</v>
      </c>
      <c r="Z35" s="97" t="str">
        <f>+VLOOKUP(144,TRADUZIONI,DATI!$C$2-1,0)</f>
        <v>Nr. Cord</v>
      </c>
      <c r="AA35" s="97" t="str">
        <f>+VLOOKUP(60,TRADUZIONI,DATI!$C$2-1,0)</f>
        <v>LUNGHEZZA</v>
      </c>
    </row>
    <row r="36" spans="2:27" ht="30.75" customHeight="1">
      <c r="B36" s="924"/>
      <c r="C36" s="2309"/>
      <c r="D36" s="2334"/>
      <c r="E36" s="2334"/>
      <c r="F36" s="2334"/>
      <c r="G36" s="2334"/>
      <c r="H36" s="2334"/>
      <c r="I36" s="2310"/>
      <c r="J36" s="966"/>
      <c r="K36" s="940"/>
      <c r="L36" s="926"/>
      <c r="M36" s="976"/>
      <c r="N36" s="977" t="str">
        <f>IF(R16&lt;=2,"NO",CONCATENATE(Z35,". 3-4 ",AA35,".      ",TEXT(ROUND((165+R7+450+F40*1),-1),"0")))</f>
        <v>Nr. Cord. 3-4 LUNGHEZZA.      3160</v>
      </c>
      <c r="O36" s="978"/>
      <c r="P36" s="978"/>
      <c r="Q36" s="1076"/>
      <c r="R36" s="925"/>
      <c r="S36" s="925"/>
      <c r="T36" s="925"/>
      <c r="U36" s="925"/>
      <c r="V36" s="926"/>
      <c r="X36" s="1367">
        <v>4</v>
      </c>
      <c r="Y36" s="1368">
        <f>IF(R16&lt;=2,0,ROUND((165+R7+450+F40*1),-1))</f>
        <v>3160</v>
      </c>
    </row>
    <row r="37" spans="2:27" ht="36" customHeight="1">
      <c r="B37" s="924"/>
      <c r="C37" s="2335"/>
      <c r="D37" s="2336"/>
      <c r="E37" s="2336"/>
      <c r="F37" s="2336"/>
      <c r="G37" s="2336"/>
      <c r="H37" s="2336"/>
      <c r="I37" s="2337"/>
      <c r="J37" s="925"/>
      <c r="K37" s="925"/>
      <c r="L37" s="926"/>
      <c r="M37" s="980"/>
      <c r="N37" s="975" t="str">
        <f>IF(R16&lt;=4,"NO",CONCATENATE("Cord. 5-6 lung.      ",TEXT(ROUND((165+R7+450+F40*3-50),-1),"0")))</f>
        <v>NO</v>
      </c>
      <c r="O37" s="975"/>
      <c r="P37" s="975"/>
      <c r="Q37" s="950"/>
      <c r="R37" s="937"/>
      <c r="S37" s="940"/>
      <c r="T37" s="925"/>
      <c r="U37" s="925"/>
      <c r="V37" s="981"/>
      <c r="X37" s="1367">
        <v>6</v>
      </c>
      <c r="Y37" s="1369">
        <f>IF(R16&lt;=4,0,ROUND((165+R7+450+F40*3-50),-1))</f>
        <v>0</v>
      </c>
    </row>
    <row r="38" spans="2:27" ht="33" customHeight="1">
      <c r="B38" s="924"/>
      <c r="C38" s="2311"/>
      <c r="D38" s="2338"/>
      <c r="E38" s="2338"/>
      <c r="F38" s="2338"/>
      <c r="G38" s="2338"/>
      <c r="H38" s="2338"/>
      <c r="I38" s="2312"/>
      <c r="J38" s="925"/>
      <c r="K38" s="925"/>
      <c r="L38" s="926"/>
      <c r="M38" s="980"/>
      <c r="N38" s="975" t="str">
        <f>IF(R16&lt;=6,"",CONCATENATE("Cord. 7-8 lung.      ",TEXT(ROUND((60*2+R7-60+3*F40+C27+30+150+50),-1),"0")))</f>
        <v/>
      </c>
      <c r="O38" s="978"/>
      <c r="P38" s="975"/>
      <c r="Q38" s="950"/>
      <c r="R38" s="937"/>
      <c r="S38" s="940"/>
      <c r="T38" s="925"/>
      <c r="U38" s="925"/>
      <c r="V38" s="981"/>
      <c r="X38" s="1367">
        <v>8</v>
      </c>
      <c r="Y38" s="1369">
        <f>IF(R16&lt;=6,0,ROUND((60*2+R7-60+3*F40+C27+30+150+50),-1))</f>
        <v>0</v>
      </c>
    </row>
    <row r="39" spans="2:27" ht="21.75" customHeight="1">
      <c r="B39" s="924"/>
      <c r="C39" s="925"/>
      <c r="D39" s="925"/>
      <c r="E39" s="925"/>
      <c r="F39" s="925"/>
      <c r="G39" s="925"/>
      <c r="H39" s="925"/>
      <c r="I39" s="925"/>
      <c r="J39" s="925"/>
      <c r="K39" s="925"/>
      <c r="L39" s="926"/>
      <c r="M39" s="982"/>
      <c r="N39" s="937"/>
      <c r="O39" s="983"/>
      <c r="P39" s="983"/>
      <c r="Q39" s="950"/>
      <c r="R39" s="937"/>
      <c r="S39" s="940"/>
      <c r="T39" s="925"/>
      <c r="U39" s="925"/>
      <c r="V39" s="981"/>
    </row>
    <row r="40" spans="2:27" ht="28.5">
      <c r="B40" s="924"/>
      <c r="C40" s="2318" t="str">
        <f>+VLOOKUP(41,TRADUZIONI,DATI!$C$2-1,0)</f>
        <v>DIST.STD TRA FORI RETE</v>
      </c>
      <c r="D40" s="2339"/>
      <c r="E40" s="2339"/>
      <c r="F40" s="984">
        <f>ROUND((F22-(40+125)*2)/(R16-1),0)</f>
        <v>344</v>
      </c>
      <c r="G40" s="2340"/>
      <c r="H40" s="2340"/>
      <c r="I40" s="2340"/>
      <c r="J40" s="2340"/>
      <c r="K40" s="2341"/>
      <c r="L40" s="926"/>
      <c r="M40" s="2258" t="str">
        <f>+VLOOKUP(128,TRADUZIONI,DATI!$C$2-1,0)</f>
        <v>INFILARE I CORDINI SENZA TAGLIARLI</v>
      </c>
      <c r="N40" s="2259"/>
      <c r="O40" s="2259"/>
      <c r="P40" s="2259"/>
      <c r="Q40" s="2259"/>
      <c r="R40" s="2259"/>
      <c r="S40" s="2259"/>
      <c r="T40" s="2259"/>
      <c r="U40" s="2259"/>
      <c r="V40" s="2260"/>
    </row>
    <row r="41" spans="2:27" ht="28.5">
      <c r="B41" s="924"/>
      <c r="C41" s="979"/>
      <c r="D41" s="985"/>
      <c r="E41" s="985"/>
      <c r="F41" s="986"/>
      <c r="G41" s="987"/>
      <c r="H41" s="987"/>
      <c r="I41" s="987"/>
      <c r="J41" s="987"/>
      <c r="K41" s="987"/>
      <c r="L41" s="925"/>
      <c r="M41" s="2342" t="s">
        <v>83</v>
      </c>
      <c r="N41" s="2343"/>
      <c r="O41" s="2343"/>
      <c r="P41" s="2343"/>
      <c r="Q41" s="2343"/>
      <c r="R41" s="2343"/>
      <c r="S41" s="2343"/>
      <c r="T41" s="2343"/>
      <c r="U41" s="2343"/>
      <c r="V41" s="2344"/>
    </row>
    <row r="42" spans="2:27" ht="15.75" thickBot="1">
      <c r="B42" s="988"/>
      <c r="C42" s="945"/>
      <c r="D42" s="945"/>
      <c r="E42" s="945"/>
      <c r="F42" s="945"/>
      <c r="G42" s="945"/>
      <c r="H42" s="945"/>
      <c r="I42" s="945"/>
      <c r="J42" s="945"/>
      <c r="K42" s="945"/>
      <c r="L42" s="945"/>
      <c r="M42" s="988"/>
      <c r="N42" s="989"/>
      <c r="O42" s="945"/>
      <c r="P42" s="945"/>
      <c r="Q42" s="945"/>
      <c r="R42" s="945"/>
      <c r="S42" s="945"/>
      <c r="T42" s="990"/>
      <c r="U42" s="990"/>
      <c r="V42" s="991"/>
    </row>
    <row r="43" spans="2:27" ht="44.25" customHeight="1">
      <c r="B43" s="919"/>
      <c r="C43" s="920" t="str">
        <f>+VLOOKUP(139,TRADUZIONI,DATI!$C$2-1,0)</f>
        <v>QUADRO D</v>
      </c>
      <c r="D43" s="2325" t="str">
        <f>+VLOOKUP(113,TRADUZIONI,DATI!$C$2-1,0)</f>
        <v>CONTROLLO CORDINI - POST ASSEMBLAGGIO</v>
      </c>
      <c r="E43" s="2325"/>
      <c r="F43" s="2325"/>
      <c r="G43" s="2325"/>
      <c r="H43" s="2325"/>
      <c r="I43" s="2325"/>
      <c r="J43" s="2325"/>
      <c r="K43" s="2325"/>
      <c r="L43" s="2326"/>
      <c r="M43" s="919"/>
      <c r="N43" s="920" t="str">
        <f>+VLOOKUP(140,TRADUZIONI,DATI!$C$2-1,0)</f>
        <v>QUADRO E</v>
      </c>
      <c r="O43" s="2327" t="s">
        <v>59</v>
      </c>
      <c r="P43" s="2327"/>
      <c r="Q43" s="2327"/>
      <c r="R43" s="2327"/>
      <c r="S43" s="2327"/>
      <c r="T43" s="2327"/>
      <c r="U43" s="2327"/>
      <c r="V43" s="2328"/>
      <c r="AA43" s="914" t="s">
        <v>489</v>
      </c>
    </row>
    <row r="44" spans="2:27" ht="31.5" customHeight="1">
      <c r="B44" s="992"/>
      <c r="C44" s="993"/>
      <c r="D44" s="993"/>
      <c r="E44" s="993"/>
      <c r="F44" s="993"/>
      <c r="G44" s="993"/>
      <c r="H44" s="993"/>
      <c r="I44" s="993"/>
      <c r="J44" s="993"/>
      <c r="K44" s="993"/>
      <c r="L44" s="993"/>
      <c r="M44" s="994"/>
      <c r="N44" s="995"/>
      <c r="O44" s="996"/>
      <c r="P44" s="996"/>
      <c r="Q44" s="996"/>
      <c r="R44" s="996"/>
      <c r="S44" s="925"/>
      <c r="T44" s="944"/>
      <c r="U44" s="944"/>
      <c r="V44" s="997"/>
    </row>
    <row r="45" spans="2:27" ht="27.75">
      <c r="B45" s="992"/>
      <c r="C45" s="993"/>
      <c r="D45" s="993"/>
      <c r="E45" s="993"/>
      <c r="F45" s="993"/>
      <c r="G45" s="998" t="s">
        <v>85</v>
      </c>
      <c r="H45" s="993"/>
      <c r="I45" s="993"/>
      <c r="J45" s="993"/>
      <c r="K45" s="993"/>
      <c r="L45" s="993"/>
      <c r="M45" s="994"/>
      <c r="N45" s="2345" t="s">
        <v>127</v>
      </c>
      <c r="O45" s="2346"/>
      <c r="P45" s="2346"/>
      <c r="Q45" s="2346"/>
      <c r="R45" s="2346"/>
      <c r="S45" s="2346"/>
      <c r="T45" s="2347"/>
      <c r="V45" s="997"/>
    </row>
    <row r="46" spans="2:27" ht="31.5" customHeight="1">
      <c r="B46" s="992"/>
      <c r="C46" s="999" t="s">
        <v>119</v>
      </c>
      <c r="D46" s="1000">
        <f>+P7</f>
        <v>1400</v>
      </c>
      <c r="E46" s="1001" t="s">
        <v>129</v>
      </c>
      <c r="F46" s="1001" t="s">
        <v>89</v>
      </c>
      <c r="G46" s="1002">
        <f>+D46+E46</f>
        <v>1850</v>
      </c>
      <c r="H46" s="1003"/>
      <c r="I46" s="993"/>
      <c r="J46" s="993"/>
      <c r="K46" s="993"/>
      <c r="L46" s="993"/>
      <c r="M46" s="994"/>
      <c r="N46" s="995"/>
      <c r="V46" s="997"/>
    </row>
    <row r="47" spans="2:27" ht="31.5" thickBot="1">
      <c r="B47" s="992"/>
      <c r="C47" s="993"/>
      <c r="D47" s="993"/>
      <c r="E47" s="993"/>
      <c r="F47" s="993"/>
      <c r="G47" s="993"/>
      <c r="H47" s="993"/>
      <c r="I47" s="993"/>
      <c r="J47" s="993"/>
      <c r="K47" s="993"/>
      <c r="L47" s="993"/>
      <c r="M47" s="1004"/>
      <c r="N47" s="1005" t="str">
        <f>+VLOOKUP(78,TRADUZIONI,DATI!C2-1,0)</f>
        <v>PEZZI /PZ.</v>
      </c>
      <c r="O47" s="1014" t="str">
        <f>+P11&amp;"+"&amp;P11</f>
        <v>1+1</v>
      </c>
      <c r="P47" s="944"/>
      <c r="Q47" s="944"/>
      <c r="R47" s="925"/>
      <c r="S47" s="944"/>
      <c r="T47" s="944"/>
      <c r="U47" s="944"/>
      <c r="V47" s="1006"/>
    </row>
    <row r="48" spans="2:27" ht="18.75">
      <c r="B48" s="1007"/>
      <c r="C48" s="1008"/>
      <c r="D48" s="1008"/>
      <c r="E48" s="1008"/>
      <c r="F48" s="1008"/>
      <c r="G48" s="1008"/>
      <c r="H48" s="1008"/>
      <c r="I48" s="1008"/>
      <c r="J48" s="1008"/>
      <c r="K48" s="1008"/>
      <c r="L48" s="1009"/>
      <c r="M48" s="994"/>
      <c r="N48" s="996"/>
      <c r="O48" s="996"/>
      <c r="P48" s="996"/>
      <c r="Q48" s="996"/>
      <c r="R48" s="925"/>
      <c r="S48" s="944"/>
      <c r="T48" s="944"/>
      <c r="U48" s="944"/>
      <c r="V48" s="997"/>
    </row>
    <row r="49" spans="2:22" ht="30.75">
      <c r="B49" s="1010"/>
      <c r="C49" s="2350" t="str">
        <f>+IF(DATI!L15=1,"","RETE GRIGIA")</f>
        <v/>
      </c>
      <c r="D49" s="2350"/>
      <c r="E49" s="2350"/>
      <c r="F49" s="2350"/>
      <c r="G49" s="2350"/>
      <c r="H49" s="2350"/>
      <c r="I49" s="2350"/>
      <c r="J49" s="2350"/>
      <c r="K49" s="1011"/>
      <c r="L49" s="1011"/>
      <c r="M49" s="1012"/>
      <c r="N49" s="1005" t="s">
        <v>482</v>
      </c>
      <c r="O49" s="1013"/>
      <c r="P49" s="928"/>
      <c r="Q49" s="928"/>
      <c r="R49" s="2332">
        <f>+P7-35</f>
        <v>1365</v>
      </c>
      <c r="S49" s="2333"/>
      <c r="T49" s="944"/>
      <c r="U49" s="944"/>
      <c r="V49" s="1015"/>
    </row>
    <row r="50" spans="2:22" ht="18.75">
      <c r="B50" s="1010"/>
      <c r="C50" s="2350"/>
      <c r="D50" s="2350"/>
      <c r="E50" s="2350"/>
      <c r="F50" s="2350"/>
      <c r="G50" s="2350"/>
      <c r="H50" s="2350"/>
      <c r="I50" s="2350"/>
      <c r="J50" s="2350"/>
      <c r="K50" s="1011"/>
      <c r="L50" s="1011"/>
      <c r="M50" s="994"/>
      <c r="N50" s="996"/>
      <c r="O50" s="996"/>
      <c r="P50" s="996"/>
      <c r="Q50" s="996"/>
      <c r="R50" s="925"/>
      <c r="S50" s="944"/>
      <c r="T50" s="944"/>
      <c r="U50" s="944"/>
      <c r="V50" s="997"/>
    </row>
    <row r="51" spans="2:22" ht="31.5" thickBot="1">
      <c r="B51" s="1010"/>
      <c r="C51" s="1011"/>
      <c r="D51" s="1011"/>
      <c r="E51" s="1011"/>
      <c r="F51" s="1011"/>
      <c r="G51" s="1011"/>
      <c r="H51" s="1011"/>
      <c r="I51" s="1011"/>
      <c r="J51" s="1011"/>
      <c r="K51" s="1011"/>
      <c r="L51" s="1011"/>
      <c r="M51" s="994"/>
      <c r="N51" s="1005" t="s">
        <v>67</v>
      </c>
      <c r="O51" s="1013"/>
      <c r="P51" s="928"/>
      <c r="Q51" s="928"/>
      <c r="R51" s="2332">
        <f>+P7-35</f>
        <v>1365</v>
      </c>
      <c r="S51" s="2333"/>
      <c r="T51" s="944"/>
      <c r="U51" s="944"/>
      <c r="V51" s="997"/>
    </row>
    <row r="52" spans="2:22" ht="44.25" customHeight="1">
      <c r="B52" s="919"/>
      <c r="C52" s="920" t="str">
        <f>+VLOOKUP(141,TRADUZIONI,DATI!$C$2-1,0)</f>
        <v>QUADRO F</v>
      </c>
      <c r="D52" s="2325" t="s">
        <v>90</v>
      </c>
      <c r="E52" s="2325"/>
      <c r="F52" s="2325"/>
      <c r="G52" s="2325"/>
      <c r="H52" s="2325"/>
      <c r="I52" s="2325"/>
      <c r="J52" s="2325"/>
      <c r="K52" s="2325"/>
      <c r="L52" s="2326"/>
      <c r="M52" s="994"/>
      <c r="N52" s="1016"/>
      <c r="O52" s="1016"/>
      <c r="P52" s="925"/>
      <c r="Q52" s="925"/>
      <c r="R52" s="972"/>
      <c r="S52" s="972"/>
      <c r="T52" s="944"/>
      <c r="U52" s="944"/>
      <c r="V52" s="997"/>
    </row>
    <row r="53" spans="2:22" ht="30.75">
      <c r="B53" s="924"/>
      <c r="C53" s="925"/>
      <c r="D53" s="925"/>
      <c r="E53" s="925"/>
      <c r="F53" s="925"/>
      <c r="G53" s="925"/>
      <c r="H53" s="925"/>
      <c r="I53" s="925"/>
      <c r="J53" s="925"/>
      <c r="K53" s="925"/>
      <c r="L53" s="926"/>
      <c r="M53" s="994"/>
      <c r="N53" s="1016"/>
      <c r="O53" s="1016"/>
      <c r="P53" s="925"/>
      <c r="Q53" s="925"/>
      <c r="R53" s="972"/>
      <c r="S53" s="972"/>
      <c r="T53" s="944"/>
      <c r="U53" s="944"/>
      <c r="V53" s="997"/>
    </row>
    <row r="54" spans="2:22" ht="30.75">
      <c r="B54" s="924"/>
      <c r="C54" s="1017" t="s">
        <v>92</v>
      </c>
      <c r="D54" s="1018"/>
      <c r="E54" s="1019"/>
      <c r="F54" s="925"/>
      <c r="G54" s="1020"/>
      <c r="H54" s="925"/>
      <c r="I54" s="925"/>
      <c r="J54" s="925"/>
      <c r="K54" s="925"/>
      <c r="L54" s="926"/>
      <c r="M54" s="994"/>
      <c r="N54" s="1016"/>
      <c r="O54" s="1016"/>
      <c r="P54" s="925"/>
      <c r="Q54" s="925"/>
      <c r="R54" s="972"/>
      <c r="S54" s="972"/>
      <c r="T54" s="944"/>
      <c r="U54" s="944"/>
      <c r="V54" s="997"/>
    </row>
    <row r="55" spans="2:22" ht="29.25" thickBot="1">
      <c r="B55" s="924"/>
      <c r="C55" s="1017"/>
      <c r="D55" s="1018"/>
      <c r="E55" s="1019"/>
      <c r="F55" s="925"/>
      <c r="G55" s="1020"/>
      <c r="H55" s="925"/>
      <c r="I55" s="925"/>
      <c r="J55" s="925"/>
      <c r="K55" s="925"/>
      <c r="L55" s="926"/>
      <c r="M55" s="994"/>
      <c r="N55" s="995"/>
      <c r="O55" s="996"/>
      <c r="P55" s="996"/>
      <c r="Q55" s="996"/>
      <c r="R55" s="996"/>
      <c r="S55" s="996"/>
      <c r="T55" s="996"/>
      <c r="U55" s="996"/>
      <c r="V55" s="997"/>
    </row>
    <row r="56" spans="2:22" ht="28.5">
      <c r="B56" s="924"/>
      <c r="C56" s="1025"/>
      <c r="D56" s="1026" t="s">
        <v>94</v>
      </c>
      <c r="E56" s="925"/>
      <c r="F56" s="1020"/>
      <c r="G56" s="1020"/>
      <c r="H56" s="925"/>
      <c r="I56" s="925"/>
      <c r="J56" s="925"/>
      <c r="K56" s="925"/>
      <c r="L56" s="925"/>
      <c r="M56" s="1398"/>
      <c r="N56" s="1411"/>
      <c r="O56" s="1412"/>
      <c r="P56" s="1412"/>
      <c r="Q56" s="1412"/>
      <c r="R56" s="1412"/>
      <c r="S56" s="1413"/>
      <c r="T56" s="1414"/>
      <c r="U56" s="1414"/>
      <c r="V56" s="1415"/>
    </row>
    <row r="57" spans="2:22" ht="28.5">
      <c r="B57" s="924"/>
      <c r="C57" s="1027"/>
      <c r="D57" s="1026" t="s">
        <v>95</v>
      </c>
      <c r="E57" s="925"/>
      <c r="F57" s="950"/>
      <c r="G57" s="937"/>
      <c r="H57" s="925"/>
      <c r="I57" s="925"/>
      <c r="J57" s="925"/>
      <c r="K57" s="925"/>
      <c r="L57" s="925"/>
      <c r="M57" s="994"/>
      <c r="N57" s="2494" t="s">
        <v>483</v>
      </c>
      <c r="O57" s="2494"/>
      <c r="P57" s="2494"/>
      <c r="Q57" s="2494"/>
      <c r="R57" s="2494"/>
      <c r="S57" s="2494"/>
      <c r="T57" s="2494"/>
      <c r="U57" s="1196"/>
      <c r="V57" s="1195"/>
    </row>
    <row r="58" spans="2:22" ht="28.5">
      <c r="B58" s="924"/>
      <c r="C58" s="1027"/>
      <c r="D58" s="1026" t="s">
        <v>96</v>
      </c>
      <c r="E58" s="925"/>
      <c r="F58" s="950"/>
      <c r="G58" s="937"/>
      <c r="H58" s="925"/>
      <c r="I58" s="925"/>
      <c r="J58" s="925"/>
      <c r="K58" s="925"/>
      <c r="L58" s="925"/>
      <c r="M58" s="994"/>
      <c r="N58" s="1192"/>
      <c r="O58" s="1192"/>
      <c r="P58" s="1192"/>
      <c r="Q58" s="1192"/>
      <c r="R58" s="1193"/>
      <c r="S58" s="1194"/>
      <c r="T58" s="1194"/>
      <c r="U58" s="1194"/>
      <c r="V58" s="1195"/>
    </row>
    <row r="59" spans="2:22" ht="30.75">
      <c r="B59" s="1029"/>
      <c r="C59" s="1030"/>
      <c r="D59" s="1031"/>
      <c r="E59" s="1031"/>
      <c r="F59" s="1031"/>
      <c r="G59" s="1031"/>
      <c r="H59" s="1031"/>
      <c r="I59" s="1031"/>
      <c r="J59" s="1031"/>
      <c r="K59" s="1031"/>
      <c r="L59" s="1031"/>
      <c r="M59" s="994"/>
      <c r="N59" s="1409" t="s">
        <v>48</v>
      </c>
      <c r="O59" s="1410" t="str">
        <f>+P11</f>
        <v>1</v>
      </c>
      <c r="P59" s="1199"/>
      <c r="Q59" s="1199"/>
      <c r="R59" s="1193"/>
      <c r="S59" s="1194"/>
      <c r="T59" s="1194"/>
      <c r="U59" s="1194"/>
      <c r="V59" s="1195"/>
    </row>
    <row r="60" spans="2:22" ht="21">
      <c r="B60" s="1035" t="s">
        <v>37</v>
      </c>
      <c r="C60" s="1036"/>
      <c r="D60" s="1036"/>
      <c r="E60" s="1036"/>
      <c r="F60" s="1036"/>
      <c r="G60" s="1036"/>
      <c r="H60" s="1036"/>
      <c r="I60" s="1036"/>
      <c r="J60" s="1036"/>
      <c r="K60" s="1036"/>
      <c r="L60" s="1036"/>
      <c r="M60" s="994"/>
      <c r="N60" s="1192"/>
      <c r="O60" s="1192"/>
      <c r="P60" s="1192"/>
      <c r="Q60" s="1192"/>
      <c r="R60" s="1193"/>
      <c r="S60" s="1194"/>
      <c r="T60" s="1194"/>
      <c r="U60" s="1194"/>
      <c r="V60" s="1195"/>
    </row>
    <row r="61" spans="2:22" ht="30.75">
      <c r="B61" s="1038" t="s">
        <v>37</v>
      </c>
      <c r="C61" s="1039"/>
      <c r="D61" s="1040" t="s">
        <v>98</v>
      </c>
      <c r="E61" s="1040" t="s">
        <v>99</v>
      </c>
      <c r="F61" s="1040" t="s">
        <v>100</v>
      </c>
      <c r="G61" s="1039"/>
      <c r="H61" s="1039"/>
      <c r="I61" s="1039"/>
      <c r="J61" s="1039"/>
      <c r="K61" s="1039"/>
      <c r="L61" s="1039"/>
      <c r="M61" s="994"/>
      <c r="N61" s="2494" t="s">
        <v>723</v>
      </c>
      <c r="O61" s="2494"/>
      <c r="P61" s="2494"/>
      <c r="Q61" s="2494"/>
      <c r="R61" s="2493">
        <f>+P7-47+6</f>
        <v>1359</v>
      </c>
      <c r="S61" s="2493"/>
      <c r="T61" s="1194"/>
      <c r="U61" s="1194"/>
      <c r="V61" s="1195"/>
    </row>
    <row r="62" spans="2:22" ht="21">
      <c r="B62" s="1042"/>
      <c r="C62" s="1039"/>
      <c r="D62" s="1043" t="s">
        <v>44</v>
      </c>
      <c r="E62" s="1044"/>
      <c r="F62" s="1044"/>
      <c r="G62" s="1045"/>
      <c r="H62" s="1039"/>
      <c r="I62" s="1039"/>
      <c r="J62" s="1039"/>
      <c r="K62" s="1039"/>
      <c r="L62" s="1039"/>
      <c r="M62" s="994"/>
      <c r="N62" s="1192"/>
      <c r="O62" s="1192"/>
      <c r="P62" s="1192"/>
      <c r="Q62" s="1192"/>
      <c r="R62" s="1193"/>
      <c r="S62" s="1194"/>
      <c r="T62" s="1194"/>
      <c r="U62" s="1194"/>
      <c r="V62" s="1195"/>
    </row>
    <row r="63" spans="2:22" ht="21">
      <c r="B63" s="1046"/>
      <c r="C63" s="1039"/>
      <c r="D63" s="1047">
        <v>0.05</v>
      </c>
      <c r="E63" s="1048">
        <v>0.17499999999999999</v>
      </c>
      <c r="F63" s="1049" t="s">
        <v>102</v>
      </c>
      <c r="G63" s="1048">
        <f>(R7+300)/1000</f>
        <v>2.5</v>
      </c>
      <c r="H63" s="1039"/>
      <c r="I63" s="1039"/>
      <c r="J63" s="1039"/>
      <c r="K63" s="1039"/>
      <c r="L63" s="1039"/>
      <c r="M63" s="994"/>
      <c r="N63" s="1192"/>
      <c r="O63" s="1192"/>
      <c r="P63" s="1192"/>
      <c r="Q63" s="1192"/>
      <c r="R63" s="1193"/>
      <c r="S63" s="1194"/>
      <c r="T63" s="1194"/>
      <c r="U63" s="1194"/>
      <c r="V63" s="1195"/>
    </row>
    <row r="64" spans="2:22" ht="21.75" thickBot="1">
      <c r="B64" s="1050"/>
      <c r="C64" s="1039"/>
      <c r="D64" s="1047" t="s">
        <v>103</v>
      </c>
      <c r="E64" s="1047"/>
      <c r="F64" s="1048" t="str">
        <f>P11</f>
        <v>1</v>
      </c>
      <c r="G64" s="1047" t="s">
        <v>104</v>
      </c>
      <c r="H64" s="1039"/>
      <c r="I64" s="1039"/>
      <c r="J64" s="1039"/>
      <c r="K64" s="1039"/>
      <c r="L64" s="1039"/>
      <c r="M64" s="1402"/>
      <c r="N64" s="1416"/>
      <c r="O64" s="1416"/>
      <c r="P64" s="1416"/>
      <c r="Q64" s="1416"/>
      <c r="R64" s="1416"/>
      <c r="S64" s="1416"/>
      <c r="T64" s="1416"/>
      <c r="U64" s="1416"/>
      <c r="V64" s="1417"/>
    </row>
    <row r="65" spans="1:22" ht="21.75" thickBot="1">
      <c r="B65" s="1055"/>
      <c r="C65" s="1056"/>
      <c r="D65" s="1057" t="s">
        <v>105</v>
      </c>
      <c r="E65" s="1057"/>
      <c r="F65" s="1058">
        <f>(D63*E63*G63)*F64</f>
        <v>2.1874999999999999E-2</v>
      </c>
      <c r="G65" s="1057" t="s">
        <v>106</v>
      </c>
      <c r="H65" s="1056"/>
      <c r="I65" s="1056"/>
      <c r="J65" s="1056"/>
      <c r="K65" s="1056"/>
      <c r="L65" s="1059"/>
      <c r="M65" s="994"/>
      <c r="N65" s="995"/>
      <c r="O65" s="996"/>
      <c r="P65" s="996"/>
      <c r="Q65" s="996"/>
      <c r="R65" s="996"/>
      <c r="S65" s="925"/>
      <c r="T65" s="944"/>
      <c r="U65" s="944"/>
      <c r="V65" s="997"/>
    </row>
    <row r="66" spans="1:22" ht="44.25" customHeight="1">
      <c r="B66" s="919"/>
      <c r="C66" s="920" t="str">
        <f>+VLOOKUP(142,TRADUZIONI,DATI!$C$2-1,0)</f>
        <v>QUADRO G</v>
      </c>
      <c r="D66" s="2355" t="s">
        <v>108</v>
      </c>
      <c r="E66" s="2355"/>
      <c r="F66" s="2355"/>
      <c r="G66" s="2355"/>
      <c r="H66" s="2355"/>
      <c r="I66" s="2355"/>
      <c r="J66" s="2355"/>
      <c r="K66" s="2355"/>
      <c r="L66" s="2356"/>
      <c r="M66" s="994"/>
      <c r="N66" s="2345" t="s">
        <v>111</v>
      </c>
      <c r="O66" s="2346"/>
      <c r="P66" s="2346"/>
      <c r="Q66" s="2346"/>
      <c r="R66" s="2346"/>
      <c r="S66" s="2346"/>
      <c r="T66" s="2347"/>
      <c r="U66" s="1028"/>
      <c r="V66" s="997"/>
    </row>
    <row r="67" spans="1:22" ht="21">
      <c r="B67" s="2363" t="s">
        <v>109</v>
      </c>
      <c r="C67" s="2364"/>
      <c r="D67" s="2364"/>
      <c r="E67" s="2365"/>
      <c r="F67" s="2366" t="s">
        <v>110</v>
      </c>
      <c r="G67" s="2364"/>
      <c r="H67" s="2364"/>
      <c r="I67" s="2364"/>
      <c r="J67" s="2364"/>
      <c r="K67" s="2364"/>
      <c r="L67" s="2367"/>
      <c r="M67" s="994"/>
      <c r="N67" s="996"/>
      <c r="O67" s="996"/>
      <c r="P67" s="996"/>
      <c r="Q67" s="996"/>
      <c r="R67" s="925"/>
      <c r="S67" s="925"/>
      <c r="T67" s="925"/>
      <c r="U67" s="925"/>
      <c r="V67" s="997"/>
    </row>
    <row r="68" spans="1:22" ht="30.75">
      <c r="B68" s="2368" t="s">
        <v>112</v>
      </c>
      <c r="C68" s="2369"/>
      <c r="D68" s="2353" t="s">
        <v>113</v>
      </c>
      <c r="E68" s="2354"/>
      <c r="F68" s="2357">
        <f>DATI!C13</f>
        <v>0</v>
      </c>
      <c r="G68" s="2358"/>
      <c r="H68" s="2358"/>
      <c r="I68" s="2358"/>
      <c r="J68" s="2358"/>
      <c r="K68" s="2358"/>
      <c r="L68" s="2359"/>
      <c r="M68" s="994"/>
      <c r="N68" s="1033" t="str">
        <f>+VLOOKUP(78,TRADUZIONI,DATI!C2-1,0)</f>
        <v>PEZZI /PZ.</v>
      </c>
      <c r="O68" s="1014">
        <f>+P11*2</f>
        <v>2</v>
      </c>
      <c r="P68" s="1034"/>
      <c r="Q68" s="1034"/>
      <c r="R68" s="925"/>
      <c r="S68" s="925"/>
      <c r="T68" s="925"/>
      <c r="U68" s="925"/>
      <c r="V68" s="997"/>
    </row>
    <row r="69" spans="1:22" ht="18.75">
      <c r="B69" s="2370"/>
      <c r="C69" s="2371"/>
      <c r="D69" s="2374"/>
      <c r="E69" s="2375"/>
      <c r="F69" s="2360"/>
      <c r="G69" s="2361"/>
      <c r="H69" s="2361"/>
      <c r="I69" s="2361"/>
      <c r="J69" s="2361"/>
      <c r="K69" s="2361"/>
      <c r="L69" s="2362"/>
      <c r="M69" s="994"/>
      <c r="N69" s="996"/>
      <c r="O69" s="996"/>
      <c r="P69" s="996"/>
      <c r="Q69" s="996"/>
      <c r="R69" s="925"/>
      <c r="S69" s="925"/>
      <c r="T69" s="925"/>
      <c r="U69" s="925"/>
      <c r="V69" s="997"/>
    </row>
    <row r="70" spans="1:22" ht="28.5">
      <c r="B70" s="2370"/>
      <c r="C70" s="2371"/>
      <c r="D70" s="2374"/>
      <c r="E70" s="2375"/>
      <c r="F70" s="2366" t="s">
        <v>114</v>
      </c>
      <c r="G70" s="2364"/>
      <c r="H70" s="2364"/>
      <c r="I70" s="2364"/>
      <c r="J70" s="2364"/>
      <c r="K70" s="2366" t="s">
        <v>115</v>
      </c>
      <c r="L70" s="2367"/>
      <c r="M70" s="994"/>
      <c r="N70" s="1005" t="s">
        <v>486</v>
      </c>
      <c r="O70" s="1013"/>
      <c r="P70" s="928"/>
      <c r="Q70" s="928"/>
      <c r="R70" s="2351">
        <f>+R7-2</f>
        <v>2198</v>
      </c>
      <c r="S70" s="2352"/>
      <c r="T70" s="925"/>
      <c r="U70" s="925"/>
      <c r="V70" s="997"/>
    </row>
    <row r="71" spans="1:22" ht="21">
      <c r="B71" s="2370"/>
      <c r="C71" s="2371"/>
      <c r="D71" s="2374"/>
      <c r="E71" s="2375"/>
      <c r="F71" s="2357" t="str">
        <f>+IF(DATI!L15=1,"","RETE GRIGIA")</f>
        <v/>
      </c>
      <c r="G71" s="2358"/>
      <c r="H71" s="2358"/>
      <c r="I71" s="2358"/>
      <c r="J71" s="2358"/>
      <c r="K71" s="1060"/>
      <c r="L71" s="1041"/>
      <c r="M71" s="994"/>
      <c r="N71" s="995"/>
      <c r="O71" s="996"/>
      <c r="P71" s="996"/>
      <c r="Q71" s="996"/>
      <c r="R71" s="996"/>
      <c r="S71" s="996"/>
      <c r="T71" s="996"/>
      <c r="U71" s="996"/>
      <c r="V71" s="997"/>
    </row>
    <row r="72" spans="1:22" ht="21.75" thickBot="1">
      <c r="B72" s="2372"/>
      <c r="C72" s="2373"/>
      <c r="D72" s="2376"/>
      <c r="E72" s="2377"/>
      <c r="F72" s="2376"/>
      <c r="G72" s="2373"/>
      <c r="H72" s="2373"/>
      <c r="I72" s="2373"/>
      <c r="J72" s="2373"/>
      <c r="K72" s="1061"/>
      <c r="L72" s="1062"/>
      <c r="M72" s="1063"/>
      <c r="N72" s="1064"/>
      <c r="O72" s="1064"/>
      <c r="P72" s="1064"/>
      <c r="Q72" s="1064"/>
      <c r="R72" s="1064"/>
      <c r="S72" s="1064"/>
      <c r="T72" s="1064"/>
      <c r="U72" s="1064"/>
      <c r="V72" s="1065"/>
    </row>
    <row r="74" spans="1:22" ht="69.95" customHeight="1">
      <c r="V74" s="1066"/>
    </row>
    <row r="75" spans="1:22" ht="69.95" customHeight="1">
      <c r="A75" s="1202" t="s">
        <v>724</v>
      </c>
    </row>
    <row r="76" spans="1:22" ht="69.95" customHeight="1"/>
    <row r="77" spans="1:22" ht="69.95" customHeight="1"/>
    <row r="78" spans="1:22" ht="69.95" customHeight="1"/>
    <row r="79" spans="1:22" ht="69.95" customHeight="1"/>
    <row r="80" spans="1:22" ht="69.95" customHeight="1"/>
    <row r="81" ht="69.95" customHeight="1"/>
    <row r="82" ht="69.95" customHeight="1"/>
    <row r="83" ht="69.95" customHeight="1"/>
    <row r="84" ht="69.95" customHeight="1"/>
    <row r="85" ht="69.95" customHeight="1"/>
    <row r="86" ht="69.95" customHeight="1"/>
    <row r="87" ht="69.95" customHeight="1"/>
    <row r="88" ht="69.95" customHeight="1"/>
    <row r="89" ht="69.95" customHeight="1"/>
    <row r="90" ht="69.95" customHeight="1"/>
    <row r="91" ht="69.95" customHeight="1"/>
    <row r="92" ht="69.95" customHeight="1"/>
    <row r="93" ht="69.95" customHeight="1"/>
    <row r="94" ht="69.95" customHeight="1"/>
  </sheetData>
  <mergeCells count="49">
    <mergeCell ref="B2:V2"/>
    <mergeCell ref="E4:O4"/>
    <mergeCell ref="D6:G6"/>
    <mergeCell ref="N6:O7"/>
    <mergeCell ref="R6:S6"/>
    <mergeCell ref="R7:S7"/>
    <mergeCell ref="H33:I33"/>
    <mergeCell ref="N9:O9"/>
    <mergeCell ref="P9:S9"/>
    <mergeCell ref="D10:G10"/>
    <mergeCell ref="N11:O11"/>
    <mergeCell ref="D14:L14"/>
    <mergeCell ref="O14:V14"/>
    <mergeCell ref="F15:J20"/>
    <mergeCell ref="P16:Q16"/>
    <mergeCell ref="C22:E22"/>
    <mergeCell ref="F31:G31"/>
    <mergeCell ref="G32:H32"/>
    <mergeCell ref="R51:S51"/>
    <mergeCell ref="D52:L52"/>
    <mergeCell ref="N57:T57"/>
    <mergeCell ref="J34:K34"/>
    <mergeCell ref="N35:U35"/>
    <mergeCell ref="C36:I36"/>
    <mergeCell ref="C37:I38"/>
    <mergeCell ref="C40:E40"/>
    <mergeCell ref="G40:K40"/>
    <mergeCell ref="M40:V40"/>
    <mergeCell ref="M41:V41"/>
    <mergeCell ref="D43:L43"/>
    <mergeCell ref="O43:V43"/>
    <mergeCell ref="N45:T45"/>
    <mergeCell ref="C49:J50"/>
    <mergeCell ref="R49:S49"/>
    <mergeCell ref="R61:S61"/>
    <mergeCell ref="D66:L66"/>
    <mergeCell ref="N66:T66"/>
    <mergeCell ref="F71:J72"/>
    <mergeCell ref="B67:E67"/>
    <mergeCell ref="F67:L67"/>
    <mergeCell ref="B68:C68"/>
    <mergeCell ref="D68:E68"/>
    <mergeCell ref="F68:L69"/>
    <mergeCell ref="R70:S70"/>
    <mergeCell ref="B69:C72"/>
    <mergeCell ref="D69:E72"/>
    <mergeCell ref="F70:J70"/>
    <mergeCell ref="K70:L70"/>
    <mergeCell ref="N61:Q61"/>
  </mergeCells>
  <printOptions horizontalCentered="1"/>
  <pageMargins left="0" right="0" top="0" bottom="0" header="0" footer="0"/>
  <pageSetup paperSize="9" scale="36" orientation="portrait" horizontalDpi="1200" verticalDpi="1200" r:id="rId1"/>
  <headerFooter alignWithMargins="0">
    <oddFooter>&amp;LREV. 09/05 - VER.1&amp;R&amp;D</oddFooter>
  </headerFooter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B2"/>
  <sheetViews>
    <sheetView workbookViewId="0">
      <selection activeCell="B3" sqref="B3"/>
    </sheetView>
  </sheetViews>
  <sheetFormatPr defaultRowHeight="15"/>
  <cols>
    <col min="1" max="1" width="11" bestFit="1" customWidth="1"/>
  </cols>
  <sheetData>
    <row r="1" spans="1:2">
      <c r="A1" t="s">
        <v>765</v>
      </c>
      <c r="B1" t="s">
        <v>766</v>
      </c>
    </row>
    <row r="2" spans="1:2">
      <c r="A2" t="s">
        <v>767</v>
      </c>
      <c r="B2" t="s">
        <v>768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workbookViewId="0">
      <selection activeCell="D15" sqref="D15"/>
    </sheetView>
  </sheetViews>
  <sheetFormatPr defaultRowHeight="15"/>
  <cols>
    <col min="1" max="1" width="10.7109375" bestFit="1" customWidth="1"/>
    <col min="2" max="2" width="20.85546875" bestFit="1" customWidth="1"/>
    <col min="3" max="3" width="72.85546875" bestFit="1" customWidth="1"/>
  </cols>
  <sheetData>
    <row r="1" spans="1:5">
      <c r="A1" s="1546" t="s">
        <v>1122</v>
      </c>
      <c r="B1" s="1546" t="s">
        <v>1126</v>
      </c>
      <c r="C1" s="1546" t="s">
        <v>865</v>
      </c>
      <c r="D1" s="1546" t="s">
        <v>9</v>
      </c>
      <c r="E1" s="1546" t="s">
        <v>1123</v>
      </c>
    </row>
    <row r="2" spans="1:5">
      <c r="A2" s="1764">
        <v>42520</v>
      </c>
      <c r="B2" s="1764" t="s">
        <v>1127</v>
      </c>
      <c r="C2" t="s">
        <v>1124</v>
      </c>
      <c r="E2" t="s">
        <v>1125</v>
      </c>
    </row>
    <row r="3" spans="1:5">
      <c r="A3" s="1764">
        <v>42520</v>
      </c>
      <c r="B3" s="1764" t="s">
        <v>1128</v>
      </c>
      <c r="C3" t="s">
        <v>1129</v>
      </c>
      <c r="D3" t="s">
        <v>1131</v>
      </c>
      <c r="E3" t="s">
        <v>1125</v>
      </c>
    </row>
    <row r="4" spans="1:5">
      <c r="A4" s="1764">
        <v>42520</v>
      </c>
      <c r="B4" s="1764" t="s">
        <v>1130</v>
      </c>
      <c r="C4" t="s">
        <v>1132</v>
      </c>
      <c r="D4" t="s">
        <v>1131</v>
      </c>
      <c r="E4" t="s">
        <v>1125</v>
      </c>
    </row>
    <row r="5" spans="1:5">
      <c r="A5" s="1764">
        <v>42520</v>
      </c>
      <c r="B5" s="1764" t="s">
        <v>1130</v>
      </c>
      <c r="C5" t="s">
        <v>1133</v>
      </c>
      <c r="D5" t="s">
        <v>1131</v>
      </c>
      <c r="E5" t="s">
        <v>1125</v>
      </c>
    </row>
    <row r="6" spans="1:5">
      <c r="A6" s="1764">
        <v>42520</v>
      </c>
      <c r="B6" s="1764" t="s">
        <v>1130</v>
      </c>
      <c r="C6" t="s">
        <v>1134</v>
      </c>
      <c r="D6" t="s">
        <v>1131</v>
      </c>
      <c r="E6" t="s">
        <v>1125</v>
      </c>
    </row>
    <row r="7" spans="1:5">
      <c r="A7" s="1764">
        <v>42520</v>
      </c>
      <c r="B7" s="1764" t="s">
        <v>1135</v>
      </c>
      <c r="C7" t="s">
        <v>1136</v>
      </c>
      <c r="E7" t="s">
        <v>1125</v>
      </c>
    </row>
    <row r="8" spans="1:5">
      <c r="A8" s="1764">
        <v>42621</v>
      </c>
      <c r="B8" s="1764" t="s">
        <v>1137</v>
      </c>
      <c r="C8" t="s">
        <v>1138</v>
      </c>
      <c r="E8" t="s">
        <v>1139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38</vt:i4>
      </vt:variant>
      <vt:variant>
        <vt:lpstr>Intervalli denominati</vt:lpstr>
      </vt:variant>
      <vt:variant>
        <vt:i4>39</vt:i4>
      </vt:variant>
    </vt:vector>
  </HeadingPairs>
  <TitlesOfParts>
    <vt:vector size="77" baseType="lpstr">
      <vt:lpstr>ElencoProdottiGestiti</vt:lpstr>
      <vt:lpstr>TRAD</vt:lpstr>
      <vt:lpstr>EtPlisse</vt:lpstr>
      <vt:lpstr>EtFlexa</vt:lpstr>
      <vt:lpstr>DATI</vt:lpstr>
      <vt:lpstr>Storico</vt:lpstr>
      <vt:lpstr>Plisse</vt:lpstr>
      <vt:lpstr>Plisse8L</vt:lpstr>
      <vt:lpstr>Plisse8Lmis</vt:lpstr>
      <vt:lpstr>PlisseMOD</vt:lpstr>
      <vt:lpstr>PlisseXL</vt:lpstr>
      <vt:lpstr>Plisse-no8</vt:lpstr>
      <vt:lpstr>MiniPlisse</vt:lpstr>
      <vt:lpstr>MiniPlisse2a</vt:lpstr>
      <vt:lpstr>MiniPlisse N-D</vt:lpstr>
      <vt:lpstr>PlisseZero</vt:lpstr>
      <vt:lpstr>PlisseZeroModulo</vt:lpstr>
      <vt:lpstr>GiocondaCat</vt:lpstr>
      <vt:lpstr>GiocondaFri</vt:lpstr>
      <vt:lpstr>GiocondaLatnew</vt:lpstr>
      <vt:lpstr>GiocondaLatnew2A</vt:lpstr>
      <vt:lpstr>GiocondaRevers</vt:lpstr>
      <vt:lpstr>GiocondaLatmod</vt:lpstr>
      <vt:lpstr>GiocondaFriMOD</vt:lpstr>
      <vt:lpstr>GioFri22</vt:lpstr>
      <vt:lpstr>GioLat22</vt:lpstr>
      <vt:lpstr>GioLat22-2an</vt:lpstr>
      <vt:lpstr>GioLat22Revers</vt:lpstr>
      <vt:lpstr>GioLat22MOD</vt:lpstr>
      <vt:lpstr>GioFri22MOD</vt:lpstr>
      <vt:lpstr>FLEXA</vt:lpstr>
      <vt:lpstr>JOLLY</vt:lpstr>
      <vt:lpstr>MAGN</vt:lpstr>
      <vt:lpstr>GioFri27</vt:lpstr>
      <vt:lpstr>GioLat27-2an</vt:lpstr>
      <vt:lpstr>GioLat27MOD</vt:lpstr>
      <vt:lpstr>GioFri27MOD</vt:lpstr>
      <vt:lpstr>NoteRilascio</vt:lpstr>
      <vt:lpstr>DATI!Area_stampa</vt:lpstr>
      <vt:lpstr>EtFlexa!Area_stampa</vt:lpstr>
      <vt:lpstr>EtPlisse!Area_stampa</vt:lpstr>
      <vt:lpstr>FLEXA!Area_stampa</vt:lpstr>
      <vt:lpstr>GiocondaCat!Area_stampa</vt:lpstr>
      <vt:lpstr>GiocondaFri!Area_stampa</vt:lpstr>
      <vt:lpstr>GiocondaFriMOD!Area_stampa</vt:lpstr>
      <vt:lpstr>GiocondaLatmod!Area_stampa</vt:lpstr>
      <vt:lpstr>GiocondaLatnew!Area_stampa</vt:lpstr>
      <vt:lpstr>GiocondaLatnew2A!Area_stampa</vt:lpstr>
      <vt:lpstr>GiocondaRevers!Area_stampa</vt:lpstr>
      <vt:lpstr>GioFri22!Area_stampa</vt:lpstr>
      <vt:lpstr>GioFri22MOD!Area_stampa</vt:lpstr>
      <vt:lpstr>GioFri27!Area_stampa</vt:lpstr>
      <vt:lpstr>GioFri27MOD!Area_stampa</vt:lpstr>
      <vt:lpstr>GioLat22!Area_stampa</vt:lpstr>
      <vt:lpstr>'GioLat22-2an'!Area_stampa</vt:lpstr>
      <vt:lpstr>GioLat22MOD!Area_stampa</vt:lpstr>
      <vt:lpstr>GioLat22Revers!Area_stampa</vt:lpstr>
      <vt:lpstr>'GioLat27-2an'!Area_stampa</vt:lpstr>
      <vt:lpstr>GioLat27MOD!Area_stampa</vt:lpstr>
      <vt:lpstr>JOLLY!Area_stampa</vt:lpstr>
      <vt:lpstr>MAGN!Area_stampa</vt:lpstr>
      <vt:lpstr>MiniPlisse!Area_stampa</vt:lpstr>
      <vt:lpstr>'MiniPlisse N-D'!Area_stampa</vt:lpstr>
      <vt:lpstr>MiniPlisse2a!Area_stampa</vt:lpstr>
      <vt:lpstr>Plisse!Area_stampa</vt:lpstr>
      <vt:lpstr>Plisse8L!Area_stampa</vt:lpstr>
      <vt:lpstr>Plisse8Lmis!Area_stampa</vt:lpstr>
      <vt:lpstr>PlisseMOD!Area_stampa</vt:lpstr>
      <vt:lpstr>'Plisse-no8'!Area_stampa</vt:lpstr>
      <vt:lpstr>PlisseXL!Area_stampa</vt:lpstr>
      <vt:lpstr>PlisseZero!Area_stampa</vt:lpstr>
      <vt:lpstr>PlisseZeroModulo!Area_stampa</vt:lpstr>
      <vt:lpstr>'Plisse-no8'!colxx</vt:lpstr>
      <vt:lpstr>PlisseXL!colxx</vt:lpstr>
      <vt:lpstr>PlisseZero!colxx</vt:lpstr>
      <vt:lpstr>PlisseZeroModulo!colxx</vt:lpstr>
      <vt:lpstr>TRADUZIONI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cstallo</dc:creator>
  <cp:lastModifiedBy>CRISTINA</cp:lastModifiedBy>
  <cp:lastPrinted>2023-09-13T09:03:47Z</cp:lastPrinted>
  <dcterms:created xsi:type="dcterms:W3CDTF">2010-09-24T13:22:36Z</dcterms:created>
  <dcterms:modified xsi:type="dcterms:W3CDTF">2023-11-17T08:46:02Z</dcterms:modified>
</cp:coreProperties>
</file>