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19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21.xml" ContentType="application/vnd.openxmlformats-officedocument.drawing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24226"/>
  <bookViews>
    <workbookView xWindow="0" yWindow="0" windowWidth="20490" windowHeight="7755" tabRatio="818" firstSheet="1" activeTab="4"/>
  </bookViews>
  <sheets>
    <sheet name="Menu" sheetId="29" r:id="rId1"/>
    <sheet name="Programme" sheetId="1" r:id="rId2"/>
    <sheet name="Espace Admin" sheetId="28" r:id="rId3"/>
    <sheet name="Paramètres" sheetId="2" r:id="rId4"/>
    <sheet name="Données" sheetId="3" r:id="rId5"/>
    <sheet name="Reseaux" sheetId="38" r:id="rId6"/>
    <sheet name="DS" sheetId="39" r:id="rId7"/>
    <sheet name="PS" sheetId="40" r:id="rId8"/>
    <sheet name="ASBL" sheetId="41" r:id="rId9"/>
    <sheet name="RecapGlobal" sheetId="49" r:id="rId10"/>
    <sheet name="Reseaux-mois" sheetId="45" r:id="rId11"/>
    <sheet name="DS-mois" sheetId="46" r:id="rId12"/>
    <sheet name="PS-mois" sheetId="47" r:id="rId13"/>
    <sheet name="ASBL-mois" sheetId="48" r:id="rId14"/>
    <sheet name="Reseaux-Période" sheetId="54" r:id="rId15"/>
    <sheet name="DS-Période" sheetId="55" r:id="rId16"/>
    <sheet name="PS-Période" sheetId="56" r:id="rId17"/>
    <sheet name="ASBL-Période" sheetId="57" r:id="rId18"/>
    <sheet name="Reseaux-année" sheetId="50" r:id="rId19"/>
    <sheet name="DS-année" sheetId="51" r:id="rId20"/>
    <sheet name="PS-année" sheetId="52" r:id="rId21"/>
    <sheet name="ASBL-année" sheetId="53" r:id="rId22"/>
    <sheet name="Accès" sheetId="27" r:id="rId23"/>
  </sheets>
  <functionGroups builtInGroupCount="18"/>
  <definedNames>
    <definedName name="Cible" localSheetId="8">Tableau5[Cible]</definedName>
    <definedName name="Cible" localSheetId="21">Tableau5[Cible]</definedName>
    <definedName name="Cible" localSheetId="13">Tableau5[Cible]</definedName>
    <definedName name="Cible" localSheetId="17">Tableau5[Cible]</definedName>
    <definedName name="Cible" localSheetId="6">Tableau5[Cible]</definedName>
    <definedName name="Cible" localSheetId="19">Tableau5[Cible]</definedName>
    <definedName name="Cible" localSheetId="11">Tableau5[Cible]</definedName>
    <definedName name="Cible" localSheetId="15">Tableau5[Cible]</definedName>
    <definedName name="Cible" localSheetId="2">Tableau5[Cible]</definedName>
    <definedName name="Cible" localSheetId="7">Tableau5[Cible]</definedName>
    <definedName name="Cible" localSheetId="20">Tableau5[Cible]</definedName>
    <definedName name="Cible" localSheetId="12">Tableau5[Cible]</definedName>
    <definedName name="Cible" localSheetId="16">Tableau5[Cible]</definedName>
    <definedName name="Cible" localSheetId="9">Tableau5[Cible]</definedName>
    <definedName name="Cible" localSheetId="5">Tableau5[Cible]</definedName>
    <definedName name="Cible" localSheetId="18">Tableau5[Cible]</definedName>
    <definedName name="Cible" localSheetId="10">Tableau5[Cible]</definedName>
    <definedName name="Cible" localSheetId="14">Tableau5[Cible]</definedName>
    <definedName name="Cible">Tableau5[Cible]</definedName>
    <definedName name="LieuIntervention" localSheetId="8">Tableau9[Lieu d''intervention]</definedName>
    <definedName name="LieuIntervention" localSheetId="21">Tableau9[Lieu d''intervention]</definedName>
    <definedName name="LieuIntervention" localSheetId="13">Tableau9[Lieu d''intervention]</definedName>
    <definedName name="LieuIntervention" localSheetId="17">Tableau9[Lieu d''intervention]</definedName>
    <definedName name="LieuIntervention" localSheetId="6">Tableau9[Lieu d''intervention]</definedName>
    <definedName name="LieuIntervention" localSheetId="19">Tableau9[Lieu d''intervention]</definedName>
    <definedName name="LieuIntervention" localSheetId="11">Tableau9[Lieu d''intervention]</definedName>
    <definedName name="LieuIntervention" localSheetId="15">Tableau9[Lieu d''intervention]</definedName>
    <definedName name="LieuIntervention" localSheetId="2">Tableau9[Lieu d''intervention]</definedName>
    <definedName name="LieuIntervention" localSheetId="7">Tableau9[Lieu d''intervention]</definedName>
    <definedName name="LieuIntervention" localSheetId="20">Tableau9[Lieu d''intervention]</definedName>
    <definedName name="LieuIntervention" localSheetId="12">Tableau9[Lieu d''intervention]</definedName>
    <definedName name="LieuIntervention" localSheetId="16">Tableau9[Lieu d''intervention]</definedName>
    <definedName name="LieuIntervention" localSheetId="9">Tableau9[Lieu d''intervention]</definedName>
    <definedName name="LieuIntervention" localSheetId="5">Tableau9[Lieu d''intervention]</definedName>
    <definedName name="LieuIntervention" localSheetId="18">Tableau9[Lieu d''intervention]</definedName>
    <definedName name="LieuIntervention" localSheetId="10">Tableau9[Lieu d''intervention]</definedName>
    <definedName name="LieuIntervention" localSheetId="14">Tableau9[Lieu d''intervention]</definedName>
    <definedName name="LieuIntervention">Tableau9[Lieu d''intervention]</definedName>
    <definedName name="Matdistribué" localSheetId="8">Tableau1[Matériels distribués]</definedName>
    <definedName name="Matdistribué" localSheetId="21">Tableau1[Matériels distribués]</definedName>
    <definedName name="Matdistribué" localSheetId="13">Tableau1[Matériels distribués]</definedName>
    <definedName name="Matdistribué" localSheetId="17">Tableau1[Matériels distribués]</definedName>
    <definedName name="Matdistribué" localSheetId="6">Tableau1[Matériels distribués]</definedName>
    <definedName name="Matdistribué" localSheetId="19">Tableau1[Matériels distribués]</definedName>
    <definedName name="Matdistribué" localSheetId="11">Tableau1[Matériels distribués]</definedName>
    <definedName name="Matdistribué" localSheetId="15">Tableau1[Matériels distribués]</definedName>
    <definedName name="Matdistribué" localSheetId="2">Tableau1[Matériels distribués]</definedName>
    <definedName name="Matdistribué" localSheetId="7">Tableau1[Matériels distribués]</definedName>
    <definedName name="Matdistribué" localSheetId="20">Tableau1[Matériels distribués]</definedName>
    <definedName name="Matdistribué" localSheetId="12">Tableau1[Matériels distribués]</definedName>
    <definedName name="Matdistribué" localSheetId="16">Tableau1[Matériels distribués]</definedName>
    <definedName name="Matdistribué" localSheetId="9">Tableau1[Matériels distribués]</definedName>
    <definedName name="Matdistribué" localSheetId="5">Tableau1[Matériels distribués]</definedName>
    <definedName name="Matdistribué" localSheetId="18">Tableau1[Matériels distribués]</definedName>
    <definedName name="Matdistribué" localSheetId="10">Tableau1[Matériels distribués]</definedName>
    <definedName name="Matdistribué" localSheetId="14">Tableau1[Matériels distribués]</definedName>
    <definedName name="Matdistribué">Tableau1[Matériels distribués]</definedName>
    <definedName name="Segment_Anim_PE_1">#N/A</definedName>
    <definedName name="Segment_Anim_PE_2">#N/A</definedName>
    <definedName name="Segment_Annee">#N/A</definedName>
    <definedName name="Segment_Cible">#N/A</definedName>
    <definedName name="Segment_Démo_Preservatif">#N/A</definedName>
    <definedName name="Segment_Lieu_d_intervention">#N/A</definedName>
    <definedName name="Segment_Matériel_distribué">#N/A</definedName>
    <definedName name="Segment_Mois1">#N/A</definedName>
    <definedName name="Segment_Rubriques">#N/A</definedName>
    <definedName name="Segment_Témoignage">#N/A</definedName>
    <definedName name="Segment_Thèmes">#N/A</definedName>
    <definedName name="Thèmes">Paramètres!$F$7:$F$13</definedName>
    <definedName name="valuevx">42.314159</definedName>
    <definedName name="Variables">Paramètres!$D$7:$D$8</definedName>
  </definedNames>
  <calcPr calcId="152511" calcMode="autoNoTable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5:slicerCaches>
    </ext>
  </extLst>
</workbook>
</file>

<file path=xl/calcChain.xml><?xml version="1.0" encoding="utf-8"?>
<calcChain xmlns="http://schemas.openxmlformats.org/spreadsheetml/2006/main">
  <c r="N16" i="39" l="1"/>
  <c r="Y51" i="57"/>
  <c r="X51" i="57"/>
  <c r="V51" i="57"/>
  <c r="U51" i="57"/>
  <c r="AB49" i="57"/>
  <c r="X30" i="57"/>
  <c r="W30" i="57"/>
  <c r="V30" i="57"/>
  <c r="U30" i="57"/>
  <c r="AB30" i="57"/>
  <c r="AB4" i="57"/>
  <c r="Y6" i="57"/>
  <c r="Y5" i="57"/>
  <c r="Y4" i="57"/>
  <c r="Y3" i="57"/>
  <c r="X6" i="57"/>
  <c r="X5" i="57"/>
  <c r="X4" i="57"/>
  <c r="X3" i="57"/>
  <c r="W6" i="57"/>
  <c r="W5" i="57"/>
  <c r="W4" i="57"/>
  <c r="W3" i="57"/>
  <c r="V6" i="57"/>
  <c r="V5" i="57"/>
  <c r="V4" i="57"/>
  <c r="V3" i="57"/>
  <c r="S32" i="57"/>
  <c r="S31" i="57"/>
  <c r="R32" i="57"/>
  <c r="R31" i="57"/>
  <c r="Q32" i="57"/>
  <c r="Q31" i="57"/>
  <c r="P32" i="57"/>
  <c r="P31" i="57"/>
  <c r="O32" i="57"/>
  <c r="O31" i="57"/>
  <c r="N32" i="57"/>
  <c r="N31" i="57"/>
  <c r="M32" i="57"/>
  <c r="M31" i="57"/>
  <c r="R4" i="57"/>
  <c r="R3" i="57"/>
  <c r="Q4" i="57"/>
  <c r="Q3" i="57"/>
  <c r="P4" i="57"/>
  <c r="P3" i="57"/>
  <c r="O4" i="57"/>
  <c r="O3" i="57"/>
  <c r="F7" i="57"/>
  <c r="D7" i="57"/>
  <c r="Y51" i="56"/>
  <c r="X51" i="56"/>
  <c r="V51" i="56"/>
  <c r="U51" i="56"/>
  <c r="AB49" i="56"/>
  <c r="X30" i="56"/>
  <c r="W30" i="56"/>
  <c r="V30" i="56"/>
  <c r="U30" i="56"/>
  <c r="AB30" i="56"/>
  <c r="AB4" i="56"/>
  <c r="Y6" i="56"/>
  <c r="Y5" i="56"/>
  <c r="Y4" i="56"/>
  <c r="Y3" i="56"/>
  <c r="X6" i="56"/>
  <c r="X5" i="56"/>
  <c r="X4" i="56"/>
  <c r="X3" i="56"/>
  <c r="W6" i="56"/>
  <c r="W5" i="56"/>
  <c r="W4" i="56"/>
  <c r="W3" i="56"/>
  <c r="V6" i="56"/>
  <c r="V5" i="56"/>
  <c r="V4" i="56"/>
  <c r="V3" i="56"/>
  <c r="S32" i="56"/>
  <c r="S31" i="56"/>
  <c r="R32" i="56"/>
  <c r="R31" i="56"/>
  <c r="Q32" i="56"/>
  <c r="Q31" i="56"/>
  <c r="P32" i="56"/>
  <c r="P31" i="56"/>
  <c r="O32" i="56"/>
  <c r="O31" i="56"/>
  <c r="N32" i="56"/>
  <c r="N31" i="56"/>
  <c r="M32" i="56"/>
  <c r="M31" i="56"/>
  <c r="R4" i="56"/>
  <c r="R3" i="56"/>
  <c r="Q4" i="56"/>
  <c r="Q3" i="56"/>
  <c r="P4" i="56"/>
  <c r="P3" i="56"/>
  <c r="O4" i="56"/>
  <c r="O3" i="56"/>
  <c r="F7" i="56"/>
  <c r="D7" i="56"/>
  <c r="Y51" i="55"/>
  <c r="U51" i="55"/>
  <c r="AB49" i="55"/>
  <c r="V30" i="55"/>
  <c r="U30" i="55"/>
  <c r="Y6" i="55"/>
  <c r="Y5" i="55"/>
  <c r="X6" i="55"/>
  <c r="X5" i="55"/>
  <c r="W6" i="55"/>
  <c r="W5" i="55"/>
  <c r="V6" i="55"/>
  <c r="V5" i="55"/>
  <c r="S32" i="55"/>
  <c r="S31" i="55"/>
  <c r="Q32" i="55"/>
  <c r="Q31" i="55"/>
  <c r="O32" i="55"/>
  <c r="O31" i="55"/>
  <c r="M32" i="55"/>
  <c r="M31" i="55"/>
  <c r="Q4" i="55"/>
  <c r="Q3" i="55"/>
  <c r="O4" i="55"/>
  <c r="O3" i="55"/>
  <c r="K3" i="57"/>
  <c r="I3" i="57"/>
  <c r="K3" i="56"/>
  <c r="I3" i="56"/>
  <c r="K3" i="55"/>
  <c r="F7" i="55" s="1"/>
  <c r="I3" i="55"/>
  <c r="K3" i="54"/>
  <c r="I3" i="54"/>
  <c r="X51" i="54" s="1"/>
  <c r="S58" i="57"/>
  <c r="O58" i="57"/>
  <c r="I42" i="57"/>
  <c r="D42" i="57"/>
  <c r="E33" i="57"/>
  <c r="S30" i="57"/>
  <c r="R30" i="57"/>
  <c r="Q30" i="57"/>
  <c r="P30" i="57"/>
  <c r="O30" i="57"/>
  <c r="N30" i="57"/>
  <c r="M30" i="57"/>
  <c r="X29" i="57"/>
  <c r="W29" i="57"/>
  <c r="V29" i="57"/>
  <c r="U29" i="57"/>
  <c r="N26" i="57"/>
  <c r="U6" i="57"/>
  <c r="U5" i="57"/>
  <c r="U4" i="57"/>
  <c r="U3" i="57"/>
  <c r="Y2" i="57"/>
  <c r="X2" i="57"/>
  <c r="W2" i="57"/>
  <c r="V2" i="57"/>
  <c r="R2" i="57"/>
  <c r="Q2" i="57"/>
  <c r="P2" i="57"/>
  <c r="O2" i="57"/>
  <c r="S58" i="56"/>
  <c r="O58" i="56"/>
  <c r="I42" i="56"/>
  <c r="D42" i="56"/>
  <c r="E33" i="56"/>
  <c r="S30" i="56"/>
  <c r="R30" i="56"/>
  <c r="Q30" i="56"/>
  <c r="P30" i="56"/>
  <c r="O30" i="56"/>
  <c r="N30" i="56"/>
  <c r="M30" i="56"/>
  <c r="X29" i="56"/>
  <c r="W29" i="56"/>
  <c r="V29" i="56"/>
  <c r="U29" i="56"/>
  <c r="N26" i="56"/>
  <c r="U6" i="56"/>
  <c r="U5" i="56"/>
  <c r="U4" i="56"/>
  <c r="U3" i="56"/>
  <c r="Y2" i="56"/>
  <c r="X2" i="56"/>
  <c r="W2" i="56"/>
  <c r="V2" i="56"/>
  <c r="R2" i="56"/>
  <c r="Q2" i="56"/>
  <c r="P2" i="56"/>
  <c r="O2" i="56"/>
  <c r="S58" i="55"/>
  <c r="O58" i="55"/>
  <c r="I42" i="55"/>
  <c r="D42" i="55"/>
  <c r="E33" i="55"/>
  <c r="S30" i="55"/>
  <c r="R30" i="55"/>
  <c r="Q30" i="55"/>
  <c r="P30" i="55"/>
  <c r="O30" i="55"/>
  <c r="N30" i="55"/>
  <c r="M30" i="55"/>
  <c r="X29" i="55"/>
  <c r="W29" i="55"/>
  <c r="V29" i="55"/>
  <c r="U29" i="55"/>
  <c r="N26" i="55"/>
  <c r="U6" i="55"/>
  <c r="U5" i="55"/>
  <c r="U4" i="55"/>
  <c r="U3" i="55"/>
  <c r="Y2" i="55"/>
  <c r="X2" i="55"/>
  <c r="W2" i="55"/>
  <c r="V2" i="55"/>
  <c r="R2" i="55"/>
  <c r="Q2" i="55"/>
  <c r="P2" i="55"/>
  <c r="O2" i="55"/>
  <c r="S58" i="54"/>
  <c r="O58" i="54"/>
  <c r="I42" i="54"/>
  <c r="D42" i="54"/>
  <c r="E33" i="54"/>
  <c r="S30" i="54"/>
  <c r="R30" i="54"/>
  <c r="Q30" i="54"/>
  <c r="P30" i="54"/>
  <c r="O30" i="54"/>
  <c r="N30" i="54"/>
  <c r="M30" i="54"/>
  <c r="X29" i="54"/>
  <c r="W29" i="54"/>
  <c r="V29" i="54"/>
  <c r="U29" i="54"/>
  <c r="N26" i="54"/>
  <c r="U6" i="54"/>
  <c r="U5" i="54"/>
  <c r="U4" i="54"/>
  <c r="U3" i="54"/>
  <c r="Y2" i="54"/>
  <c r="X2" i="54"/>
  <c r="W2" i="54"/>
  <c r="V2" i="54"/>
  <c r="R2" i="54"/>
  <c r="Q2" i="54"/>
  <c r="P2" i="54"/>
  <c r="O2" i="54"/>
  <c r="D7" i="54" l="1"/>
  <c r="P3" i="55"/>
  <c r="P5" i="55" s="1"/>
  <c r="R3" i="55"/>
  <c r="N31" i="55"/>
  <c r="P31" i="55"/>
  <c r="P33" i="55" s="1"/>
  <c r="R31" i="55"/>
  <c r="V3" i="55"/>
  <c r="W3" i="55"/>
  <c r="X3" i="55"/>
  <c r="Y3" i="55"/>
  <c r="AB4" i="55"/>
  <c r="W30" i="55"/>
  <c r="V51" i="55"/>
  <c r="P4" i="55"/>
  <c r="R4" i="55"/>
  <c r="N32" i="55"/>
  <c r="P32" i="55"/>
  <c r="R32" i="55"/>
  <c r="V4" i="55"/>
  <c r="W4" i="55"/>
  <c r="Z4" i="55" s="1"/>
  <c r="X4" i="55"/>
  <c r="Y4" i="55"/>
  <c r="AB30" i="55"/>
  <c r="X30" i="55"/>
  <c r="X51" i="55"/>
  <c r="D7" i="55"/>
  <c r="M31" i="54"/>
  <c r="O31" i="54"/>
  <c r="Q31" i="54"/>
  <c r="S31" i="54"/>
  <c r="V5" i="54"/>
  <c r="W5" i="54"/>
  <c r="X5" i="54"/>
  <c r="Y5" i="54"/>
  <c r="U30" i="54"/>
  <c r="AB49" i="54"/>
  <c r="Y51" i="54"/>
  <c r="M32" i="54"/>
  <c r="O32" i="54"/>
  <c r="Q32" i="54"/>
  <c r="S32" i="54"/>
  <c r="V6" i="54"/>
  <c r="W6" i="54"/>
  <c r="X6" i="54"/>
  <c r="Y6" i="54"/>
  <c r="V30" i="54"/>
  <c r="U51" i="54"/>
  <c r="N31" i="54"/>
  <c r="P31" i="54"/>
  <c r="R31" i="54"/>
  <c r="V3" i="54"/>
  <c r="W3" i="54"/>
  <c r="X3" i="54"/>
  <c r="Y3" i="54"/>
  <c r="AB4" i="54"/>
  <c r="W30" i="54"/>
  <c r="V51" i="54"/>
  <c r="N32" i="54"/>
  <c r="P32" i="54"/>
  <c r="R32" i="54"/>
  <c r="V4" i="54"/>
  <c r="W4" i="54"/>
  <c r="X4" i="54"/>
  <c r="Y4" i="54"/>
  <c r="AB30" i="54"/>
  <c r="X30" i="54"/>
  <c r="Q4" i="54"/>
  <c r="R4" i="54"/>
  <c r="O3" i="54"/>
  <c r="R3" i="54"/>
  <c r="O4" i="54"/>
  <c r="P3" i="54"/>
  <c r="P4" i="54"/>
  <c r="Q3" i="54"/>
  <c r="F7" i="54"/>
  <c r="Z4" i="57"/>
  <c r="P5" i="57"/>
  <c r="O33" i="57"/>
  <c r="S33" i="57"/>
  <c r="P33" i="57"/>
  <c r="O5" i="57"/>
  <c r="Q5" i="57"/>
  <c r="W31" i="57"/>
  <c r="M33" i="57"/>
  <c r="Q33" i="57"/>
  <c r="V31" i="57"/>
  <c r="N33" i="57"/>
  <c r="R33" i="57"/>
  <c r="U52" i="57"/>
  <c r="Y52" i="57"/>
  <c r="Z4" i="56"/>
  <c r="P5" i="56"/>
  <c r="O33" i="56"/>
  <c r="S33" i="56"/>
  <c r="P33" i="56"/>
  <c r="O5" i="56"/>
  <c r="Q5" i="56"/>
  <c r="W31" i="56"/>
  <c r="M33" i="56"/>
  <c r="Q33" i="56"/>
  <c r="N33" i="56"/>
  <c r="R33" i="56"/>
  <c r="U52" i="56"/>
  <c r="O33" i="55"/>
  <c r="S33" i="55"/>
  <c r="O5" i="55"/>
  <c r="Q5" i="55"/>
  <c r="W31" i="55"/>
  <c r="M33" i="55"/>
  <c r="Q33" i="55"/>
  <c r="N33" i="55"/>
  <c r="R33" i="55"/>
  <c r="U52" i="55"/>
  <c r="B15" i="3"/>
  <c r="C15" i="3"/>
  <c r="E15" i="3"/>
  <c r="K15" i="3"/>
  <c r="L15" i="3"/>
  <c r="M15" i="3"/>
  <c r="X15" i="3"/>
  <c r="V52" i="54" l="1"/>
  <c r="Z5" i="57"/>
  <c r="X52" i="57"/>
  <c r="U31" i="57"/>
  <c r="R5" i="57"/>
  <c r="Z5" i="56"/>
  <c r="I7" i="56"/>
  <c r="Z3" i="56"/>
  <c r="R5" i="56"/>
  <c r="Z5" i="55"/>
  <c r="I7" i="55"/>
  <c r="Z3" i="55"/>
  <c r="R5" i="55"/>
  <c r="Z3" i="54"/>
  <c r="I7" i="54"/>
  <c r="Q5" i="54"/>
  <c r="U31" i="54"/>
  <c r="R5" i="54"/>
  <c r="P5" i="54"/>
  <c r="X31" i="54"/>
  <c r="Z6" i="54"/>
  <c r="X52" i="54"/>
  <c r="O33" i="54"/>
  <c r="O5" i="54"/>
  <c r="W31" i="54"/>
  <c r="P33" i="54"/>
  <c r="V31" i="54"/>
  <c r="Q33" i="54"/>
  <c r="Z5" i="54"/>
  <c r="Z4" i="54"/>
  <c r="N33" i="54"/>
  <c r="Y52" i="54"/>
  <c r="R33" i="54"/>
  <c r="M33" i="54"/>
  <c r="S33" i="54"/>
  <c r="U52" i="54"/>
  <c r="Z6" i="57"/>
  <c r="I7" i="57"/>
  <c r="Z3" i="57"/>
  <c r="V52" i="57"/>
  <c r="X31" i="57"/>
  <c r="V52" i="56"/>
  <c r="X31" i="56"/>
  <c r="X52" i="56"/>
  <c r="U31" i="56"/>
  <c r="Z6" i="56"/>
  <c r="Y52" i="56"/>
  <c r="V31" i="56"/>
  <c r="V52" i="55"/>
  <c r="X31" i="55"/>
  <c r="X52" i="55"/>
  <c r="U31" i="55"/>
  <c r="Z6" i="55"/>
  <c r="Y52" i="55"/>
  <c r="V31" i="55"/>
  <c r="G7" i="38"/>
  <c r="E7" i="38"/>
  <c r="E7" i="39"/>
  <c r="Y5" i="49" l="1"/>
  <c r="X6" i="49"/>
  <c r="X3" i="49"/>
  <c r="W6" i="49"/>
  <c r="W5" i="49"/>
  <c r="V6" i="49"/>
  <c r="V5" i="49"/>
  <c r="V4" i="49"/>
  <c r="V3" i="49"/>
  <c r="X29" i="49"/>
  <c r="W29" i="49"/>
  <c r="V29" i="49"/>
  <c r="U29" i="49"/>
  <c r="U6" i="49"/>
  <c r="U5" i="49"/>
  <c r="U4" i="49"/>
  <c r="U3" i="49"/>
  <c r="Y2" i="49"/>
  <c r="X2" i="49"/>
  <c r="W2" i="49"/>
  <c r="W4" i="49" s="1"/>
  <c r="V2" i="49"/>
  <c r="X29" i="53" l="1"/>
  <c r="W29" i="53"/>
  <c r="V29" i="53"/>
  <c r="U29" i="53"/>
  <c r="U6" i="53"/>
  <c r="U5" i="53"/>
  <c r="U4" i="53"/>
  <c r="U3" i="53"/>
  <c r="Y2" i="53"/>
  <c r="X2" i="53"/>
  <c r="W2" i="53"/>
  <c r="V2" i="53"/>
  <c r="X29" i="52"/>
  <c r="W29" i="52"/>
  <c r="V29" i="52"/>
  <c r="U29" i="52"/>
  <c r="U6" i="52"/>
  <c r="U5" i="52"/>
  <c r="U4" i="52"/>
  <c r="U3" i="52"/>
  <c r="Y2" i="52"/>
  <c r="X2" i="52"/>
  <c r="W2" i="52"/>
  <c r="V2" i="52"/>
  <c r="X29" i="51"/>
  <c r="W29" i="51"/>
  <c r="V29" i="51"/>
  <c r="U29" i="51"/>
  <c r="U6" i="51"/>
  <c r="U5" i="51"/>
  <c r="U4" i="51"/>
  <c r="U3" i="51"/>
  <c r="Y2" i="51"/>
  <c r="X2" i="51"/>
  <c r="W2" i="51"/>
  <c r="V2" i="51"/>
  <c r="X30" i="50"/>
  <c r="Y6" i="50"/>
  <c r="Y5" i="50"/>
  <c r="X6" i="50"/>
  <c r="X4" i="50"/>
  <c r="X3" i="50"/>
  <c r="V6" i="50"/>
  <c r="V5" i="50"/>
  <c r="V4" i="50"/>
  <c r="V3" i="50"/>
  <c r="X29" i="50"/>
  <c r="W29" i="50"/>
  <c r="V29" i="50"/>
  <c r="U29" i="50"/>
  <c r="U6" i="50"/>
  <c r="U5" i="50"/>
  <c r="U4" i="50"/>
  <c r="U3" i="50"/>
  <c r="Y2" i="50"/>
  <c r="X2" i="50"/>
  <c r="W2" i="50"/>
  <c r="W3" i="50" s="1"/>
  <c r="V2" i="50"/>
  <c r="X29" i="48"/>
  <c r="W29" i="48"/>
  <c r="V29" i="48"/>
  <c r="U29" i="48"/>
  <c r="U6" i="48"/>
  <c r="U5" i="48"/>
  <c r="U4" i="48"/>
  <c r="U3" i="48"/>
  <c r="Y2" i="48"/>
  <c r="X2" i="48"/>
  <c r="W2" i="48"/>
  <c r="V2" i="48"/>
  <c r="X29" i="47"/>
  <c r="W29" i="47"/>
  <c r="V29" i="47"/>
  <c r="U29" i="47"/>
  <c r="U6" i="47"/>
  <c r="U5" i="47"/>
  <c r="U4" i="47"/>
  <c r="U3" i="47"/>
  <c r="Y2" i="47"/>
  <c r="X2" i="47"/>
  <c r="W2" i="47"/>
  <c r="V2" i="47"/>
  <c r="W4" i="50" l="1"/>
  <c r="W5" i="50"/>
  <c r="W6" i="50"/>
  <c r="Z6" i="50" l="1"/>
  <c r="X29" i="46" l="1"/>
  <c r="W29" i="46"/>
  <c r="V29" i="46"/>
  <c r="U29" i="46"/>
  <c r="U6" i="46"/>
  <c r="U5" i="46"/>
  <c r="U4" i="46"/>
  <c r="U3" i="46"/>
  <c r="Y2" i="46"/>
  <c r="X2" i="46"/>
  <c r="W2" i="46"/>
  <c r="V2" i="46"/>
  <c r="X29" i="45" l="1"/>
  <c r="W29" i="45"/>
  <c r="V29" i="45"/>
  <c r="U29" i="45"/>
  <c r="Y2" i="45"/>
  <c r="X2" i="45"/>
  <c r="W2" i="45"/>
  <c r="V2" i="45"/>
  <c r="U4" i="45"/>
  <c r="U5" i="45"/>
  <c r="U6" i="45"/>
  <c r="U3" i="45"/>
  <c r="L8" i="3" l="1"/>
  <c r="X6" i="51" l="1"/>
  <c r="V6" i="51"/>
  <c r="W6" i="51"/>
  <c r="O32" i="50"/>
  <c r="O31" i="50"/>
  <c r="N32" i="50"/>
  <c r="N31" i="50"/>
  <c r="P3" i="50"/>
  <c r="S58" i="53"/>
  <c r="O58" i="53"/>
  <c r="I42" i="53"/>
  <c r="D42" i="53"/>
  <c r="E33" i="53"/>
  <c r="S30" i="53"/>
  <c r="R30" i="53"/>
  <c r="Q30" i="53"/>
  <c r="P30" i="53"/>
  <c r="O30" i="53"/>
  <c r="N30" i="53"/>
  <c r="M30" i="53"/>
  <c r="N26" i="53"/>
  <c r="R2" i="53"/>
  <c r="Q2" i="53"/>
  <c r="P2" i="53"/>
  <c r="O2" i="53"/>
  <c r="S58" i="52"/>
  <c r="O58" i="52"/>
  <c r="I42" i="52"/>
  <c r="D42" i="52"/>
  <c r="E33" i="52"/>
  <c r="S30" i="52"/>
  <c r="R30" i="52"/>
  <c r="Q30" i="52"/>
  <c r="P30" i="52"/>
  <c r="O30" i="52"/>
  <c r="N30" i="52"/>
  <c r="M30" i="52"/>
  <c r="N26" i="52"/>
  <c r="R2" i="52"/>
  <c r="Q2" i="52"/>
  <c r="P2" i="52"/>
  <c r="O2" i="52"/>
  <c r="S58" i="51"/>
  <c r="O58" i="51"/>
  <c r="I42" i="51"/>
  <c r="D42" i="51"/>
  <c r="E33" i="51"/>
  <c r="S30" i="51"/>
  <c r="R30" i="51"/>
  <c r="Q30" i="51"/>
  <c r="P30" i="51"/>
  <c r="O30" i="51"/>
  <c r="N30" i="51"/>
  <c r="M30" i="51"/>
  <c r="N26" i="51"/>
  <c r="R2" i="51"/>
  <c r="Q2" i="51"/>
  <c r="P2" i="51"/>
  <c r="O2" i="51"/>
  <c r="S58" i="50"/>
  <c r="O58" i="50"/>
  <c r="I42" i="50"/>
  <c r="D42" i="50"/>
  <c r="E33" i="50"/>
  <c r="S30" i="50"/>
  <c r="R30" i="50"/>
  <c r="Q30" i="50"/>
  <c r="P30" i="50"/>
  <c r="O30" i="50"/>
  <c r="N30" i="50"/>
  <c r="M30" i="50"/>
  <c r="N26" i="50"/>
  <c r="R2" i="50"/>
  <c r="Q2" i="50"/>
  <c r="P2" i="50"/>
  <c r="P4" i="50" s="1"/>
  <c r="O2" i="50"/>
  <c r="P5" i="50" l="1"/>
  <c r="N33" i="50" l="1"/>
  <c r="O33" i="50"/>
  <c r="M52" i="49"/>
  <c r="M25" i="49"/>
  <c r="S58" i="49"/>
  <c r="O58" i="49"/>
  <c r="I42" i="49"/>
  <c r="D42" i="49"/>
  <c r="S30" i="49"/>
  <c r="R30" i="49"/>
  <c r="Q30" i="49"/>
  <c r="P30" i="49"/>
  <c r="O30" i="49"/>
  <c r="N30" i="49"/>
  <c r="M30" i="49"/>
  <c r="N26" i="49"/>
  <c r="R2" i="49"/>
  <c r="Q2" i="49"/>
  <c r="P2" i="49"/>
  <c r="O2" i="49"/>
  <c r="R9" i="38" l="1"/>
  <c r="I16" i="3"/>
  <c r="S58" i="48"/>
  <c r="O58" i="48"/>
  <c r="I42" i="48"/>
  <c r="D42" i="48"/>
  <c r="E33" i="48"/>
  <c r="S30" i="48"/>
  <c r="R30" i="48"/>
  <c r="Q30" i="48"/>
  <c r="P30" i="48"/>
  <c r="O30" i="48"/>
  <c r="N30" i="48"/>
  <c r="M30" i="48"/>
  <c r="N26" i="48"/>
  <c r="J3" i="48"/>
  <c r="R2" i="48"/>
  <c r="Q2" i="48"/>
  <c r="P2" i="48"/>
  <c r="O2" i="48"/>
  <c r="S58" i="47"/>
  <c r="O58" i="47"/>
  <c r="I42" i="47"/>
  <c r="D42" i="47"/>
  <c r="E33" i="47"/>
  <c r="S30" i="47"/>
  <c r="R30" i="47"/>
  <c r="Q30" i="47"/>
  <c r="P30" i="47"/>
  <c r="O30" i="47"/>
  <c r="N30" i="47"/>
  <c r="M30" i="47"/>
  <c r="N26" i="47"/>
  <c r="J3" i="47"/>
  <c r="R2" i="47"/>
  <c r="Q2" i="47"/>
  <c r="P2" i="47"/>
  <c r="O2" i="47"/>
  <c r="S58" i="46"/>
  <c r="O58" i="46"/>
  <c r="I42" i="46"/>
  <c r="D42" i="46"/>
  <c r="E33" i="46"/>
  <c r="S30" i="46"/>
  <c r="R30" i="46"/>
  <c r="Q30" i="46"/>
  <c r="P30" i="46"/>
  <c r="O30" i="46"/>
  <c r="N30" i="46"/>
  <c r="M30" i="46"/>
  <c r="N26" i="46"/>
  <c r="J3" i="46"/>
  <c r="R2" i="46"/>
  <c r="Q2" i="46"/>
  <c r="P2" i="46"/>
  <c r="O2" i="46"/>
  <c r="O58" i="45"/>
  <c r="S58" i="45"/>
  <c r="S30" i="45"/>
  <c r="R30" i="45"/>
  <c r="Q30" i="45"/>
  <c r="P30" i="45"/>
  <c r="O30" i="45"/>
  <c r="N30" i="45"/>
  <c r="M30" i="45"/>
  <c r="N26" i="45"/>
  <c r="R2" i="45"/>
  <c r="Q2" i="45"/>
  <c r="P2" i="45"/>
  <c r="O2" i="45"/>
  <c r="E33" i="45"/>
  <c r="J3" i="45"/>
  <c r="J4" i="38"/>
  <c r="L15" i="38" s="1"/>
  <c r="I42" i="45"/>
  <c r="D42" i="45"/>
  <c r="C13" i="41"/>
  <c r="C14" i="41"/>
  <c r="C15" i="41"/>
  <c r="C12" i="41"/>
  <c r="B13" i="41"/>
  <c r="B14" i="41" s="1"/>
  <c r="B15" i="41" s="1"/>
  <c r="BT9" i="41"/>
  <c r="BN9" i="41"/>
  <c r="BH9" i="41"/>
  <c r="BH7" i="41" s="1"/>
  <c r="BB9" i="41"/>
  <c r="AV9" i="41"/>
  <c r="AV7" i="41" s="1"/>
  <c r="AP9" i="41"/>
  <c r="AJ9" i="41"/>
  <c r="AJ7" i="41" s="1"/>
  <c r="AD9" i="41"/>
  <c r="X9" i="41"/>
  <c r="R9" i="41"/>
  <c r="R7" i="41" s="1"/>
  <c r="L9" i="41"/>
  <c r="L7" i="41" s="1"/>
  <c r="AA8" i="41"/>
  <c r="Y8" i="41"/>
  <c r="BB7" i="41"/>
  <c r="AD7" i="41"/>
  <c r="X7" i="41"/>
  <c r="G7" i="41"/>
  <c r="E7" i="41"/>
  <c r="J4" i="41"/>
  <c r="F3" i="41"/>
  <c r="K1" i="41"/>
  <c r="C13" i="40"/>
  <c r="C14" i="40"/>
  <c r="C12" i="40"/>
  <c r="B13" i="40"/>
  <c r="B14" i="40" s="1"/>
  <c r="BT9" i="40"/>
  <c r="BN9" i="40"/>
  <c r="BH9" i="40"/>
  <c r="BB9" i="40"/>
  <c r="BB7" i="40" s="1"/>
  <c r="AV9" i="40"/>
  <c r="AP9" i="40"/>
  <c r="AJ9" i="40"/>
  <c r="AJ7" i="40" s="1"/>
  <c r="AD9" i="40"/>
  <c r="X9" i="40"/>
  <c r="R9" i="40"/>
  <c r="R7" i="40" s="1"/>
  <c r="L9" i="40"/>
  <c r="L7" i="40" s="1"/>
  <c r="AA8" i="40"/>
  <c r="Y8" i="40"/>
  <c r="BN7" i="40"/>
  <c r="AP7" i="40"/>
  <c r="AD7" i="40"/>
  <c r="G7" i="40"/>
  <c r="E7" i="40"/>
  <c r="J4" i="40"/>
  <c r="F3" i="40"/>
  <c r="K1" i="40"/>
  <c r="J4" i="39"/>
  <c r="C13" i="39"/>
  <c r="C14" i="39"/>
  <c r="C15" i="39"/>
  <c r="C16" i="39"/>
  <c r="C12" i="39"/>
  <c r="B13" i="39"/>
  <c r="B14" i="39" s="1"/>
  <c r="B15" i="39" s="1"/>
  <c r="B16" i="39" s="1"/>
  <c r="BT9" i="39"/>
  <c r="BN9" i="39"/>
  <c r="BH9" i="39"/>
  <c r="BB9" i="39"/>
  <c r="BB7" i="39" s="1"/>
  <c r="AV9" i="39"/>
  <c r="AP9" i="39"/>
  <c r="AJ9" i="39"/>
  <c r="AD9" i="39"/>
  <c r="AD7" i="39" s="1"/>
  <c r="X9" i="39"/>
  <c r="R9" i="39"/>
  <c r="L9" i="39"/>
  <c r="AA8" i="39"/>
  <c r="Y8" i="39"/>
  <c r="BN7" i="39"/>
  <c r="AP7" i="39"/>
  <c r="R7" i="39"/>
  <c r="G7" i="39"/>
  <c r="F3" i="39"/>
  <c r="K1" i="39"/>
  <c r="BT7" i="38"/>
  <c r="BN7" i="38"/>
  <c r="BH7" i="38"/>
  <c r="BB7" i="38"/>
  <c r="AV7" i="38"/>
  <c r="AP7" i="38"/>
  <c r="AJ7" i="38"/>
  <c r="Y8" i="38"/>
  <c r="AA8" i="38"/>
  <c r="AD7" i="38"/>
  <c r="X7" i="38"/>
  <c r="R7" i="38"/>
  <c r="L7" i="38"/>
  <c r="BT9" i="38"/>
  <c r="BN9" i="38"/>
  <c r="BH9" i="38"/>
  <c r="BB9" i="38"/>
  <c r="AV9" i="38"/>
  <c r="AP9" i="38"/>
  <c r="AJ9" i="38"/>
  <c r="AD9" i="38"/>
  <c r="X9" i="38"/>
  <c r="L9" i="38"/>
  <c r="K8" i="3"/>
  <c r="C49" i="38"/>
  <c r="C48" i="38"/>
  <c r="C47" i="38"/>
  <c r="C46" i="38"/>
  <c r="C45" i="38"/>
  <c r="C44" i="38"/>
  <c r="C43" i="38"/>
  <c r="C42" i="38"/>
  <c r="C41" i="38"/>
  <c r="C40" i="38"/>
  <c r="C39" i="38"/>
  <c r="C38" i="38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3" i="38"/>
  <c r="B13" i="38"/>
  <c r="B14" i="38" s="1"/>
  <c r="B15" i="38" s="1"/>
  <c r="B16" i="38" s="1"/>
  <c r="B17" i="38" s="1"/>
  <c r="C12" i="38"/>
  <c r="F3" i="38"/>
  <c r="K1" i="38"/>
  <c r="Y6" i="45" l="1"/>
  <c r="V5" i="45"/>
  <c r="W4" i="45"/>
  <c r="X6" i="45"/>
  <c r="V4" i="45"/>
  <c r="X3" i="45"/>
  <c r="V3" i="45"/>
  <c r="W6" i="45"/>
  <c r="Y5" i="45"/>
  <c r="W3" i="45"/>
  <c r="X30" i="45"/>
  <c r="V6" i="45"/>
  <c r="X4" i="45"/>
  <c r="W5" i="45"/>
  <c r="X6" i="46"/>
  <c r="V6" i="46"/>
  <c r="W6" i="46"/>
  <c r="X6" i="47"/>
  <c r="V6" i="47"/>
  <c r="V6" i="52"/>
  <c r="X6" i="52"/>
  <c r="W6" i="52"/>
  <c r="W6" i="47"/>
  <c r="N31" i="45"/>
  <c r="O31" i="45"/>
  <c r="P3" i="45"/>
  <c r="N32" i="45"/>
  <c r="P4" i="45"/>
  <c r="O32" i="45"/>
  <c r="BD27" i="38"/>
  <c r="BN7" i="41"/>
  <c r="AP7" i="41"/>
  <c r="BT7" i="41"/>
  <c r="BH7" i="40"/>
  <c r="X7" i="40"/>
  <c r="AV7" i="40"/>
  <c r="BT7" i="40"/>
  <c r="BH7" i="39"/>
  <c r="AJ7" i="39"/>
  <c r="X7" i="39"/>
  <c r="AV7" i="39"/>
  <c r="BT7" i="39"/>
  <c r="L7" i="39"/>
  <c r="AV12" i="38"/>
  <c r="AP34" i="38"/>
  <c r="AV14" i="38"/>
  <c r="AJ20" i="38"/>
  <c r="AP48" i="38"/>
  <c r="BH46" i="38"/>
  <c r="AD47" i="38"/>
  <c r="AL45" i="38"/>
  <c r="BB25" i="38"/>
  <c r="R23" i="38"/>
  <c r="AV36" i="38"/>
  <c r="AX47" i="38"/>
  <c r="AL23" i="38"/>
  <c r="AR29" i="38"/>
  <c r="AX19" i="38"/>
  <c r="AJ41" i="38"/>
  <c r="BB46" i="38"/>
  <c r="BV15" i="38"/>
  <c r="BV19" i="38"/>
  <c r="BV23" i="38"/>
  <c r="BV27" i="38"/>
  <c r="BV31" i="38"/>
  <c r="BV35" i="38"/>
  <c r="BV39" i="38"/>
  <c r="BV47" i="38"/>
  <c r="BT18" i="38"/>
  <c r="BT16" i="38"/>
  <c r="BT21" i="38"/>
  <c r="BT25" i="38"/>
  <c r="BT29" i="38"/>
  <c r="BT33" i="38"/>
  <c r="BT37" i="38"/>
  <c r="BT41" i="38"/>
  <c r="BT45" i="38"/>
  <c r="BT49" i="38"/>
  <c r="BP18" i="38"/>
  <c r="BP22" i="38"/>
  <c r="BP26" i="38"/>
  <c r="BP30" i="38"/>
  <c r="BP34" i="38"/>
  <c r="BP38" i="38"/>
  <c r="BP42" i="38"/>
  <c r="BP46" i="38"/>
  <c r="BN13" i="38"/>
  <c r="BN17" i="38"/>
  <c r="BN21" i="38"/>
  <c r="BN25" i="38"/>
  <c r="BN29" i="38"/>
  <c r="BN33" i="38"/>
  <c r="BN37" i="38"/>
  <c r="BN41" i="38"/>
  <c r="BN45" i="38"/>
  <c r="BN49" i="38"/>
  <c r="BJ13" i="38"/>
  <c r="BJ17" i="38"/>
  <c r="BJ21" i="38"/>
  <c r="BJ25" i="38"/>
  <c r="BJ29" i="38"/>
  <c r="BJ33" i="38"/>
  <c r="BJ37" i="38"/>
  <c r="BJ41" i="38"/>
  <c r="BJ45" i="38"/>
  <c r="BJ49" i="38"/>
  <c r="BH15" i="38"/>
  <c r="BH19" i="38"/>
  <c r="BH23" i="38"/>
  <c r="BH27" i="38"/>
  <c r="BH31" i="38"/>
  <c r="BH35" i="38"/>
  <c r="BH39" i="38"/>
  <c r="BH43" i="38"/>
  <c r="BH47" i="38"/>
  <c r="BD16" i="38"/>
  <c r="BD20" i="38"/>
  <c r="BD24" i="38"/>
  <c r="BD28" i="38"/>
  <c r="BD32" i="38"/>
  <c r="BD36" i="38"/>
  <c r="BD40" i="38"/>
  <c r="BD44" i="38"/>
  <c r="BD48" i="38"/>
  <c r="AX14" i="38"/>
  <c r="AX18" i="38"/>
  <c r="AX22" i="38"/>
  <c r="AX26" i="38"/>
  <c r="AX30" i="38"/>
  <c r="AX34" i="38"/>
  <c r="AX38" i="38"/>
  <c r="AX42" i="38"/>
  <c r="AX46" i="38"/>
  <c r="AX12" i="38"/>
  <c r="BV16" i="38"/>
  <c r="BV21" i="38"/>
  <c r="BV26" i="38"/>
  <c r="BV32" i="38"/>
  <c r="BV37" i="38"/>
  <c r="BV42" i="38"/>
  <c r="BV48" i="38"/>
  <c r="BT20" i="38"/>
  <c r="BT26" i="38"/>
  <c r="BT31" i="38"/>
  <c r="BT36" i="38"/>
  <c r="BT42" i="38"/>
  <c r="BT47" i="38"/>
  <c r="BP15" i="38"/>
  <c r="BP20" i="38"/>
  <c r="BP25" i="38"/>
  <c r="BP31" i="38"/>
  <c r="BP36" i="38"/>
  <c r="BP41" i="38"/>
  <c r="BP47" i="38"/>
  <c r="BN15" i="38"/>
  <c r="BN20" i="38"/>
  <c r="BN26" i="38"/>
  <c r="BN31" i="38"/>
  <c r="BN36" i="38"/>
  <c r="BN42" i="38"/>
  <c r="BN47" i="38"/>
  <c r="BJ16" i="38"/>
  <c r="BJ22" i="38"/>
  <c r="BJ27" i="38"/>
  <c r="BJ32" i="38"/>
  <c r="BJ38" i="38"/>
  <c r="BJ43" i="38"/>
  <c r="BJ48" i="38"/>
  <c r="BH16" i="38"/>
  <c r="BH21" i="38"/>
  <c r="BH26" i="38"/>
  <c r="BH32" i="38"/>
  <c r="BH37" i="38"/>
  <c r="BH42" i="38"/>
  <c r="BH48" i="38"/>
  <c r="BD13" i="38"/>
  <c r="BD18" i="38"/>
  <c r="BD23" i="38"/>
  <c r="BD29" i="38"/>
  <c r="BD34" i="38"/>
  <c r="BD39" i="38"/>
  <c r="BD45" i="38"/>
  <c r="BD12" i="38"/>
  <c r="AX17" i="38"/>
  <c r="AX23" i="38"/>
  <c r="AX28" i="38"/>
  <c r="AX33" i="38"/>
  <c r="AX39" i="38"/>
  <c r="AX49" i="38"/>
  <c r="BB16" i="38"/>
  <c r="BB20" i="38"/>
  <c r="BB24" i="38"/>
  <c r="BB28" i="38"/>
  <c r="BB32" i="38"/>
  <c r="BB36" i="38"/>
  <c r="BB40" i="38"/>
  <c r="BB44" i="38"/>
  <c r="BB48" i="38"/>
  <c r="AV15" i="38"/>
  <c r="AV19" i="38"/>
  <c r="AV23" i="38"/>
  <c r="AV27" i="38"/>
  <c r="AV31" i="38"/>
  <c r="AV35" i="38"/>
  <c r="AV39" i="38"/>
  <c r="AV43" i="38"/>
  <c r="AV47" i="38"/>
  <c r="AR15" i="38"/>
  <c r="AR19" i="38"/>
  <c r="AR23" i="38"/>
  <c r="AR27" i="38"/>
  <c r="AR31" i="38"/>
  <c r="AR35" i="38"/>
  <c r="AR39" i="38"/>
  <c r="AR48" i="38"/>
  <c r="AP13" i="38"/>
  <c r="AP17" i="38"/>
  <c r="AP21" i="38"/>
  <c r="AP25" i="38"/>
  <c r="AP29" i="38"/>
  <c r="AP33" i="38"/>
  <c r="AP37" i="38"/>
  <c r="AP41" i="38"/>
  <c r="AP45" i="38"/>
  <c r="AP12" i="38"/>
  <c r="AL16" i="38"/>
  <c r="AL20" i="38"/>
  <c r="AL24" i="38"/>
  <c r="AL28" i="38"/>
  <c r="AL32" i="38"/>
  <c r="AL36" i="38"/>
  <c r="AL40" i="38"/>
  <c r="AL44" i="38"/>
  <c r="AL48" i="38"/>
  <c r="AJ18" i="38"/>
  <c r="AJ22" i="38"/>
  <c r="AJ26" i="38"/>
  <c r="AJ30" i="38"/>
  <c r="AJ34" i="38"/>
  <c r="AJ38" i="38"/>
  <c r="AJ42" i="38"/>
  <c r="AJ46" i="38"/>
  <c r="AF38" i="38"/>
  <c r="AD31" i="38"/>
  <c r="Z16" i="38"/>
  <c r="X41" i="38"/>
  <c r="T46" i="38"/>
  <c r="BV17" i="38"/>
  <c r="BV22" i="38"/>
  <c r="BV28" i="38"/>
  <c r="BV33" i="38"/>
  <c r="BV38" i="38"/>
  <c r="BV44" i="38"/>
  <c r="BV49" i="38"/>
  <c r="BT15" i="38"/>
  <c r="BT22" i="38"/>
  <c r="BT27" i="38"/>
  <c r="BT32" i="38"/>
  <c r="BT38" i="38"/>
  <c r="BT48" i="38"/>
  <c r="BP16" i="38"/>
  <c r="BP21" i="38"/>
  <c r="BP27" i="38"/>
  <c r="BP32" i="38"/>
  <c r="BP37" i="38"/>
  <c r="BV20" i="38"/>
  <c r="BV30" i="38"/>
  <c r="BV41" i="38"/>
  <c r="BT13" i="38"/>
  <c r="BT24" i="38"/>
  <c r="BT35" i="38"/>
  <c r="BT46" i="38"/>
  <c r="BP19" i="38"/>
  <c r="BP29" i="38"/>
  <c r="BP40" i="38"/>
  <c r="BP48" i="38"/>
  <c r="BN18" i="38"/>
  <c r="BN24" i="38"/>
  <c r="BN32" i="38"/>
  <c r="BN39" i="38"/>
  <c r="BN46" i="38"/>
  <c r="BJ15" i="38"/>
  <c r="BJ23" i="38"/>
  <c r="BJ30" i="38"/>
  <c r="BJ36" i="38"/>
  <c r="BJ44" i="38"/>
  <c r="BH13" i="38"/>
  <c r="BH20" i="38"/>
  <c r="BH28" i="38"/>
  <c r="BH34" i="38"/>
  <c r="BH41" i="38"/>
  <c r="BH49" i="38"/>
  <c r="BD15" i="38"/>
  <c r="BD22" i="38"/>
  <c r="BD30" i="38"/>
  <c r="BD37" i="38"/>
  <c r="BD43" i="38"/>
  <c r="AX13" i="38"/>
  <c r="AX20" i="38"/>
  <c r="AX27" i="38"/>
  <c r="AX35" i="38"/>
  <c r="AX41" i="38"/>
  <c r="AX48" i="38"/>
  <c r="BB15" i="38"/>
  <c r="BB21" i="38"/>
  <c r="BB26" i="38"/>
  <c r="BB31" i="38"/>
  <c r="BB37" i="38"/>
  <c r="BF37" i="38" s="1"/>
  <c r="BB42" i="38"/>
  <c r="BB47" i="38"/>
  <c r="AV16" i="38"/>
  <c r="AV21" i="38"/>
  <c r="AV26" i="38"/>
  <c r="AV32" i="38"/>
  <c r="AV37" i="38"/>
  <c r="AV42" i="38"/>
  <c r="AV48" i="38"/>
  <c r="AR14" i="38"/>
  <c r="AR20" i="38"/>
  <c r="AR25" i="38"/>
  <c r="AR30" i="38"/>
  <c r="AR36" i="38"/>
  <c r="AR41" i="38"/>
  <c r="AR46" i="38"/>
  <c r="AP14" i="38"/>
  <c r="AP19" i="38"/>
  <c r="AP24" i="38"/>
  <c r="AP30" i="38"/>
  <c r="AP35" i="38"/>
  <c r="AP40" i="38"/>
  <c r="AP46" i="38"/>
  <c r="AL19" i="38"/>
  <c r="AL25" i="38"/>
  <c r="AL30" i="38"/>
  <c r="AL35" i="38"/>
  <c r="AL41" i="38"/>
  <c r="AL46" i="38"/>
  <c r="AJ16" i="38"/>
  <c r="AJ21" i="38"/>
  <c r="AJ27" i="38"/>
  <c r="AJ32" i="38"/>
  <c r="AJ37" i="38"/>
  <c r="AJ43" i="38"/>
  <c r="AJ48" i="38"/>
  <c r="AD15" i="38"/>
  <c r="R39" i="38"/>
  <c r="BV13" i="38"/>
  <c r="BV24" i="38"/>
  <c r="BV34" i="38"/>
  <c r="BV45" i="38"/>
  <c r="BT17" i="38"/>
  <c r="BT28" i="38"/>
  <c r="BT39" i="38"/>
  <c r="BP49" i="38"/>
  <c r="BP23" i="38"/>
  <c r="BP33" i="38"/>
  <c r="BP43" i="38"/>
  <c r="BP12" i="38"/>
  <c r="BN19" i="38"/>
  <c r="BN27" i="38"/>
  <c r="BN34" i="38"/>
  <c r="BN40" i="38"/>
  <c r="BN48" i="38"/>
  <c r="BJ18" i="38"/>
  <c r="BJ24" i="38"/>
  <c r="BJ31" i="38"/>
  <c r="BJ39" i="38"/>
  <c r="BJ46" i="38"/>
  <c r="BH22" i="38"/>
  <c r="BH29" i="38"/>
  <c r="BH36" i="38"/>
  <c r="BH44" i="38"/>
  <c r="BH12" i="38"/>
  <c r="BD17" i="38"/>
  <c r="BD25" i="38"/>
  <c r="BD31" i="38"/>
  <c r="BD38" i="38"/>
  <c r="BD46" i="38"/>
  <c r="AX15" i="38"/>
  <c r="AX21" i="38"/>
  <c r="AX29" i="38"/>
  <c r="AX36" i="38"/>
  <c r="AX43" i="38"/>
  <c r="BB17" i="38"/>
  <c r="BB22" i="38"/>
  <c r="BB27" i="38"/>
  <c r="BF27" i="38" s="1"/>
  <c r="BB33" i="38"/>
  <c r="BB38" i="38"/>
  <c r="BB43" i="38"/>
  <c r="BB49" i="38"/>
  <c r="AV17" i="38"/>
  <c r="AV22" i="38"/>
  <c r="AV28" i="38"/>
  <c r="AV33" i="38"/>
  <c r="AV38" i="38"/>
  <c r="AV49" i="38"/>
  <c r="AR16" i="38"/>
  <c r="AR21" i="38"/>
  <c r="AR26" i="38"/>
  <c r="AR32" i="38"/>
  <c r="AR37" i="38"/>
  <c r="AR42" i="38"/>
  <c r="AR49" i="38"/>
  <c r="AP15" i="38"/>
  <c r="AP20" i="38"/>
  <c r="AP26" i="38"/>
  <c r="AP31" i="38"/>
  <c r="AP36" i="38"/>
  <c r="AP42" i="38"/>
  <c r="AP47" i="38"/>
  <c r="AL15" i="38"/>
  <c r="AL21" i="38"/>
  <c r="AL26" i="38"/>
  <c r="AL31" i="38"/>
  <c r="AL37" i="38"/>
  <c r="AL42" i="38"/>
  <c r="AL47" i="38"/>
  <c r="AJ49" i="38"/>
  <c r="AJ17" i="38"/>
  <c r="AJ23" i="38"/>
  <c r="AJ28" i="38"/>
  <c r="AJ33" i="38"/>
  <c r="AJ39" i="38"/>
  <c r="AJ44" i="38"/>
  <c r="AF22" i="38"/>
  <c r="AD23" i="38"/>
  <c r="Z32" i="38"/>
  <c r="T14" i="38"/>
  <c r="BV25" i="38"/>
  <c r="BV36" i="38"/>
  <c r="BV46" i="38"/>
  <c r="BT19" i="38"/>
  <c r="BT30" i="38"/>
  <c r="BT40" i="38"/>
  <c r="BP13" i="38"/>
  <c r="BP24" i="38"/>
  <c r="BP35" i="38"/>
  <c r="BP44" i="38"/>
  <c r="BN22" i="38"/>
  <c r="BN28" i="38"/>
  <c r="BN35" i="38"/>
  <c r="BN43" i="38"/>
  <c r="BN12" i="38"/>
  <c r="BJ19" i="38"/>
  <c r="BJ26" i="38"/>
  <c r="BJ34" i="38"/>
  <c r="BJ40" i="38"/>
  <c r="BJ47" i="38"/>
  <c r="BH17" i="38"/>
  <c r="BH24" i="38"/>
  <c r="BH30" i="38"/>
  <c r="BH38" i="38"/>
  <c r="BH45" i="38"/>
  <c r="BD19" i="38"/>
  <c r="BD26" i="38"/>
  <c r="BD33" i="38"/>
  <c r="BD41" i="38"/>
  <c r="BD47" i="38"/>
  <c r="AX16" i="38"/>
  <c r="AX24" i="38"/>
  <c r="AX31" i="38"/>
  <c r="AX37" i="38"/>
  <c r="AX45" i="38"/>
  <c r="BB13" i="38"/>
  <c r="BB18" i="38"/>
  <c r="BB23" i="38"/>
  <c r="BB29" i="38"/>
  <c r="BB34" i="38"/>
  <c r="BB39" i="38"/>
  <c r="BB45" i="38"/>
  <c r="BB12" i="38"/>
  <c r="AV13" i="38"/>
  <c r="AV18" i="38"/>
  <c r="AV24" i="38"/>
  <c r="AV29" i="38"/>
  <c r="AV34" i="38"/>
  <c r="AV40" i="38"/>
  <c r="AV45" i="38"/>
  <c r="AR47" i="38"/>
  <c r="AR17" i="38"/>
  <c r="AR22" i="38"/>
  <c r="AR28" i="38"/>
  <c r="AR33" i="38"/>
  <c r="AR38" i="38"/>
  <c r="AR44" i="38"/>
  <c r="AR12" i="38"/>
  <c r="AP16" i="38"/>
  <c r="AP22" i="38"/>
  <c r="AP27" i="38"/>
  <c r="AP32" i="38"/>
  <c r="AP38" i="38"/>
  <c r="AP49" i="38"/>
  <c r="AL17" i="38"/>
  <c r="AL22" i="38"/>
  <c r="AL27" i="38"/>
  <c r="AL33" i="38"/>
  <c r="AL38" i="38"/>
  <c r="AL43" i="38"/>
  <c r="AL49" i="38"/>
  <c r="AJ13" i="38"/>
  <c r="AJ19" i="38"/>
  <c r="AJ24" i="38"/>
  <c r="AJ29" i="38"/>
  <c r="AJ35" i="38"/>
  <c r="AJ40" i="38"/>
  <c r="AN40" i="38" s="1"/>
  <c r="AJ45" i="38"/>
  <c r="AF30" i="38"/>
  <c r="AD39" i="38"/>
  <c r="Z48" i="38"/>
  <c r="T30" i="38"/>
  <c r="BV18" i="38"/>
  <c r="BV29" i="38"/>
  <c r="BV40" i="38"/>
  <c r="BT23" i="38"/>
  <c r="BT34" i="38"/>
  <c r="BT44" i="38"/>
  <c r="BP17" i="38"/>
  <c r="BP28" i="38"/>
  <c r="BP39" i="38"/>
  <c r="BP45" i="38"/>
  <c r="BN16" i="38"/>
  <c r="BN23" i="38"/>
  <c r="BN30" i="38"/>
  <c r="BN38" i="38"/>
  <c r="BN44" i="38"/>
  <c r="BJ20" i="38"/>
  <c r="BJ28" i="38"/>
  <c r="BJ35" i="38"/>
  <c r="BJ42" i="38"/>
  <c r="BJ12" i="38"/>
  <c r="BH18" i="38"/>
  <c r="BH25" i="38"/>
  <c r="BH33" i="38"/>
  <c r="BH40" i="38"/>
  <c r="AF46" i="38"/>
  <c r="AJ36" i="38"/>
  <c r="AJ15" i="38"/>
  <c r="AL39" i="38"/>
  <c r="AL18" i="38"/>
  <c r="AN18" i="38" s="1"/>
  <c r="AP28" i="38"/>
  <c r="AR45" i="38"/>
  <c r="AR24" i="38"/>
  <c r="AV30" i="38"/>
  <c r="BB41" i="38"/>
  <c r="BB19" i="38"/>
  <c r="AX40" i="38"/>
  <c r="BD49" i="38"/>
  <c r="BD21" i="38"/>
  <c r="X25" i="38"/>
  <c r="AJ31" i="38"/>
  <c r="AL34" i="38"/>
  <c r="AN34" i="38" s="1"/>
  <c r="AL13" i="38"/>
  <c r="AP44" i="38"/>
  <c r="AP23" i="38"/>
  <c r="AR40" i="38"/>
  <c r="AR18" i="38"/>
  <c r="AV46" i="38"/>
  <c r="AV25" i="38"/>
  <c r="BB35" i="38"/>
  <c r="AX32" i="38"/>
  <c r="BD42" i="38"/>
  <c r="AJ47" i="38"/>
  <c r="AJ25" i="38"/>
  <c r="AL29" i="38"/>
  <c r="AP39" i="38"/>
  <c r="AP18" i="38"/>
  <c r="AR34" i="38"/>
  <c r="AR13" i="38"/>
  <c r="AV41" i="38"/>
  <c r="AV20" i="38"/>
  <c r="BB30" i="38"/>
  <c r="AX25" i="38"/>
  <c r="BD35" i="38"/>
  <c r="N16" i="38"/>
  <c r="AF16" i="38"/>
  <c r="AF20" i="38"/>
  <c r="AF24" i="38"/>
  <c r="AF28" i="38"/>
  <c r="AF32" i="38"/>
  <c r="AF36" i="38"/>
  <c r="AF40" i="38"/>
  <c r="AF44" i="38"/>
  <c r="AF48" i="38"/>
  <c r="AD13" i="38"/>
  <c r="AD17" i="38"/>
  <c r="AD21" i="38"/>
  <c r="AD25" i="38"/>
  <c r="AD29" i="38"/>
  <c r="AD33" i="38"/>
  <c r="AD37" i="38"/>
  <c r="AD41" i="38"/>
  <c r="AD45" i="38"/>
  <c r="AD49" i="38"/>
  <c r="Z19" i="38"/>
  <c r="Z27" i="38"/>
  <c r="Z35" i="38"/>
  <c r="X12" i="38"/>
  <c r="X20" i="38"/>
  <c r="X28" i="38"/>
  <c r="X36" i="38"/>
  <c r="X44" i="38"/>
  <c r="T18" i="38"/>
  <c r="T26" i="38"/>
  <c r="T34" i="38"/>
  <c r="T42" i="38"/>
  <c r="T12" i="38"/>
  <c r="R19" i="38"/>
  <c r="R27" i="38"/>
  <c r="R35" i="38"/>
  <c r="AF13" i="38"/>
  <c r="AF17" i="38"/>
  <c r="AF21" i="38"/>
  <c r="AF25" i="38"/>
  <c r="AF29" i="38"/>
  <c r="AF33" i="38"/>
  <c r="AF37" i="38"/>
  <c r="AF41" i="38"/>
  <c r="AF45" i="38"/>
  <c r="AF49" i="38"/>
  <c r="AD18" i="38"/>
  <c r="AD22" i="38"/>
  <c r="AD26" i="38"/>
  <c r="AD30" i="38"/>
  <c r="AD34" i="38"/>
  <c r="AD38" i="38"/>
  <c r="AD42" i="38"/>
  <c r="AD46" i="38"/>
  <c r="Z20" i="38"/>
  <c r="Z28" i="38"/>
  <c r="Z36" i="38"/>
  <c r="Z44" i="38"/>
  <c r="X13" i="38"/>
  <c r="X21" i="38"/>
  <c r="X29" i="38"/>
  <c r="X37" i="38"/>
  <c r="X45" i="38"/>
  <c r="T13" i="38"/>
  <c r="T21" i="38"/>
  <c r="T29" i="38"/>
  <c r="T37" i="38"/>
  <c r="T45" i="38"/>
  <c r="R14" i="38"/>
  <c r="R22" i="38"/>
  <c r="R30" i="38"/>
  <c r="R38" i="38"/>
  <c r="R46" i="38"/>
  <c r="R34" i="38"/>
  <c r="R18" i="38"/>
  <c r="T41" i="38"/>
  <c r="T25" i="38"/>
  <c r="X40" i="38"/>
  <c r="X24" i="38"/>
  <c r="Z47" i="38"/>
  <c r="Z31" i="38"/>
  <c r="AD44" i="38"/>
  <c r="AD36" i="38"/>
  <c r="AD28" i="38"/>
  <c r="AD20" i="38"/>
  <c r="AF43" i="38"/>
  <c r="AF35" i="38"/>
  <c r="AF27" i="38"/>
  <c r="AF19" i="38"/>
  <c r="R47" i="38"/>
  <c r="R31" i="38"/>
  <c r="R15" i="38"/>
  <c r="T38" i="38"/>
  <c r="T22" i="38"/>
  <c r="X49" i="38"/>
  <c r="X33" i="38"/>
  <c r="X17" i="38"/>
  <c r="Z40" i="38"/>
  <c r="Z24" i="38"/>
  <c r="AD43" i="38"/>
  <c r="AD35" i="38"/>
  <c r="AD27" i="38"/>
  <c r="AD19" i="38"/>
  <c r="AF42" i="38"/>
  <c r="AF34" i="38"/>
  <c r="AF26" i="38"/>
  <c r="AF18" i="38"/>
  <c r="R42" i="38"/>
  <c r="R26" i="38"/>
  <c r="T49" i="38"/>
  <c r="T33" i="38"/>
  <c r="T17" i="38"/>
  <c r="X48" i="38"/>
  <c r="X32" i="38"/>
  <c r="X16" i="38"/>
  <c r="Z39" i="38"/>
  <c r="Z23" i="38"/>
  <c r="AD48" i="38"/>
  <c r="AD40" i="38"/>
  <c r="AD32" i="38"/>
  <c r="AD24" i="38"/>
  <c r="AD16" i="38"/>
  <c r="AF47" i="38"/>
  <c r="AF39" i="38"/>
  <c r="AF31" i="38"/>
  <c r="AF23" i="38"/>
  <c r="AF15" i="38"/>
  <c r="Z15" i="38"/>
  <c r="N13" i="38"/>
  <c r="R12" i="38"/>
  <c r="R45" i="38"/>
  <c r="R41" i="38"/>
  <c r="R37" i="38"/>
  <c r="R33" i="38"/>
  <c r="R29" i="38"/>
  <c r="R25" i="38"/>
  <c r="R21" i="38"/>
  <c r="R17" i="38"/>
  <c r="R13" i="38"/>
  <c r="T48" i="38"/>
  <c r="T40" i="38"/>
  <c r="T36" i="38"/>
  <c r="T32" i="38"/>
  <c r="T28" i="38"/>
  <c r="T24" i="38"/>
  <c r="T20" i="38"/>
  <c r="T16" i="38"/>
  <c r="X47" i="38"/>
  <c r="X39" i="38"/>
  <c r="X35" i="38"/>
  <c r="X31" i="38"/>
  <c r="X27" i="38"/>
  <c r="X23" i="38"/>
  <c r="X19" i="38"/>
  <c r="X15" i="38"/>
  <c r="Z12" i="38"/>
  <c r="Z46" i="38"/>
  <c r="Z42" i="38"/>
  <c r="Z38" i="38"/>
  <c r="Z34" i="38"/>
  <c r="Z30" i="38"/>
  <c r="Z26" i="38"/>
  <c r="Z22" i="38"/>
  <c r="Z18" i="38"/>
  <c r="R49" i="38"/>
  <c r="R40" i="38"/>
  <c r="R36" i="38"/>
  <c r="R32" i="38"/>
  <c r="R28" i="38"/>
  <c r="R24" i="38"/>
  <c r="R20" i="38"/>
  <c r="R16" i="38"/>
  <c r="R48" i="38"/>
  <c r="T47" i="38"/>
  <c r="T39" i="38"/>
  <c r="T35" i="38"/>
  <c r="T31" i="38"/>
  <c r="T27" i="38"/>
  <c r="T23" i="38"/>
  <c r="T19" i="38"/>
  <c r="T15" i="38"/>
  <c r="X46" i="38"/>
  <c r="X42" i="38"/>
  <c r="X38" i="38"/>
  <c r="X34" i="38"/>
  <c r="X30" i="38"/>
  <c r="X26" i="38"/>
  <c r="X22" i="38"/>
  <c r="X18" i="38"/>
  <c r="Z49" i="38"/>
  <c r="Z45" i="38"/>
  <c r="Z41" i="38"/>
  <c r="Z37" i="38"/>
  <c r="Z33" i="38"/>
  <c r="Z29" i="38"/>
  <c r="Z25" i="38"/>
  <c r="Z21" i="38"/>
  <c r="Z17" i="38"/>
  <c r="Z13" i="38"/>
  <c r="L49" i="38"/>
  <c r="L44" i="38"/>
  <c r="L40" i="38"/>
  <c r="L36" i="38"/>
  <c r="L32" i="38"/>
  <c r="L28" i="38"/>
  <c r="L24" i="38"/>
  <c r="L20" i="38"/>
  <c r="L16" i="38"/>
  <c r="L46" i="38"/>
  <c r="N47" i="38"/>
  <c r="N43" i="38"/>
  <c r="N39" i="38"/>
  <c r="N35" i="38"/>
  <c r="N31" i="38"/>
  <c r="N27" i="38"/>
  <c r="N23" i="38"/>
  <c r="N19" i="38"/>
  <c r="L48" i="38"/>
  <c r="L43" i="38"/>
  <c r="L39" i="38"/>
  <c r="L35" i="38"/>
  <c r="L31" i="38"/>
  <c r="L27" i="38"/>
  <c r="L23" i="38"/>
  <c r="L19" i="38"/>
  <c r="N46" i="38"/>
  <c r="N42" i="38"/>
  <c r="N38" i="38"/>
  <c r="N34" i="38"/>
  <c r="N30" i="38"/>
  <c r="N26" i="38"/>
  <c r="N22" i="38"/>
  <c r="N18" i="38"/>
  <c r="L47" i="38"/>
  <c r="L42" i="38"/>
  <c r="L38" i="38"/>
  <c r="L34" i="38"/>
  <c r="L30" i="38"/>
  <c r="L26" i="38"/>
  <c r="L22" i="38"/>
  <c r="L18" i="38"/>
  <c r="N49" i="38"/>
  <c r="N45" i="38"/>
  <c r="N41" i="38"/>
  <c r="N37" i="38"/>
  <c r="N33" i="38"/>
  <c r="N29" i="38"/>
  <c r="N25" i="38"/>
  <c r="N21" i="38"/>
  <c r="N17" i="38"/>
  <c r="N15" i="38"/>
  <c r="L45" i="38"/>
  <c r="L41" i="38"/>
  <c r="L37" i="38"/>
  <c r="L33" i="38"/>
  <c r="L29" i="38"/>
  <c r="L25" i="38"/>
  <c r="L21" i="38"/>
  <c r="L17" i="38"/>
  <c r="L13" i="38"/>
  <c r="N48" i="38"/>
  <c r="N44" i="38"/>
  <c r="N40" i="38"/>
  <c r="N36" i="38"/>
  <c r="N32" i="38"/>
  <c r="N28" i="38"/>
  <c r="N24" i="38"/>
  <c r="N20" i="38"/>
  <c r="G27" i="38"/>
  <c r="E33" i="38"/>
  <c r="G39" i="38"/>
  <c r="G13" i="38"/>
  <c r="G17" i="38"/>
  <c r="G21" i="38"/>
  <c r="G25" i="38"/>
  <c r="G29" i="38"/>
  <c r="G33" i="38"/>
  <c r="G37" i="38"/>
  <c r="G41" i="38"/>
  <c r="G45" i="38"/>
  <c r="G49" i="38"/>
  <c r="G15" i="38"/>
  <c r="G18" i="38"/>
  <c r="G19" i="38"/>
  <c r="G31" i="38"/>
  <c r="G42" i="38"/>
  <c r="E17" i="38"/>
  <c r="E41" i="38"/>
  <c r="G23" i="38"/>
  <c r="G34" i="38"/>
  <c r="E25" i="38"/>
  <c r="E45" i="38"/>
  <c r="G26" i="38"/>
  <c r="G35" i="38"/>
  <c r="G47" i="38"/>
  <c r="E29" i="38"/>
  <c r="E49" i="38"/>
  <c r="E18" i="38"/>
  <c r="E22" i="38"/>
  <c r="E26" i="38"/>
  <c r="E30" i="38"/>
  <c r="E34" i="38"/>
  <c r="E38" i="38"/>
  <c r="E42" i="38"/>
  <c r="E46" i="38"/>
  <c r="E15" i="38"/>
  <c r="E19" i="38"/>
  <c r="E23" i="38"/>
  <c r="E27" i="38"/>
  <c r="E31" i="38"/>
  <c r="E35" i="38"/>
  <c r="E39" i="38"/>
  <c r="E47" i="38"/>
  <c r="G16" i="38"/>
  <c r="G20" i="38"/>
  <c r="G24" i="38"/>
  <c r="G28" i="38"/>
  <c r="G32" i="38"/>
  <c r="G36" i="38"/>
  <c r="G40" i="38"/>
  <c r="G48" i="38"/>
  <c r="E37" i="38"/>
  <c r="E21" i="38"/>
  <c r="G46" i="38"/>
  <c r="G38" i="38"/>
  <c r="G30" i="38"/>
  <c r="G22" i="38"/>
  <c r="E48" i="38"/>
  <c r="E40" i="38"/>
  <c r="E32" i="38"/>
  <c r="E24" i="38"/>
  <c r="E16" i="38"/>
  <c r="E13" i="38"/>
  <c r="E36" i="38"/>
  <c r="E28" i="38"/>
  <c r="E20" i="38"/>
  <c r="B18" i="38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G16" i="3"/>
  <c r="M8" i="3"/>
  <c r="M9" i="3"/>
  <c r="M10" i="3"/>
  <c r="M11" i="3"/>
  <c r="M12" i="3"/>
  <c r="M13" i="3"/>
  <c r="M14" i="3"/>
  <c r="L9" i="3"/>
  <c r="L10" i="3"/>
  <c r="L11" i="3"/>
  <c r="L12" i="3"/>
  <c r="L13" i="3"/>
  <c r="L14" i="3"/>
  <c r="K9" i="3"/>
  <c r="K10" i="3"/>
  <c r="K11" i="3"/>
  <c r="V3" i="52" s="1"/>
  <c r="K12" i="3"/>
  <c r="K13" i="3"/>
  <c r="K14" i="3"/>
  <c r="Z6" i="45" l="1"/>
  <c r="BL21" i="38"/>
  <c r="BR42" i="38"/>
  <c r="BX35" i="38"/>
  <c r="BX15" i="38"/>
  <c r="X3" i="47"/>
  <c r="X3" i="52"/>
  <c r="V4" i="52"/>
  <c r="W4" i="47"/>
  <c r="X4" i="52"/>
  <c r="V4" i="47"/>
  <c r="X4" i="47"/>
  <c r="W4" i="52"/>
  <c r="W4" i="48"/>
  <c r="X4" i="53"/>
  <c r="V4" i="53"/>
  <c r="X4" i="48"/>
  <c r="V4" i="48"/>
  <c r="W4" i="53"/>
  <c r="X6" i="53"/>
  <c r="V6" i="53"/>
  <c r="X6" i="48"/>
  <c r="V6" i="48"/>
  <c r="W6" i="48"/>
  <c r="W6" i="53"/>
  <c r="V4" i="51"/>
  <c r="W4" i="51"/>
  <c r="X4" i="51"/>
  <c r="X4" i="46"/>
  <c r="V4" i="46"/>
  <c r="W4" i="46"/>
  <c r="V3" i="47"/>
  <c r="X30" i="51"/>
  <c r="X30" i="46"/>
  <c r="V3" i="51"/>
  <c r="V3" i="46"/>
  <c r="X3" i="51"/>
  <c r="X3" i="46"/>
  <c r="W3" i="51"/>
  <c r="W3" i="46"/>
  <c r="W5" i="51"/>
  <c r="Y5" i="51"/>
  <c r="V5" i="51"/>
  <c r="V5" i="46"/>
  <c r="Y5" i="46"/>
  <c r="W5" i="46"/>
  <c r="X30" i="52"/>
  <c r="X30" i="47"/>
  <c r="X30" i="53"/>
  <c r="X30" i="48"/>
  <c r="Y5" i="47"/>
  <c r="V5" i="47"/>
  <c r="Y5" i="52"/>
  <c r="V5" i="52"/>
  <c r="W5" i="47"/>
  <c r="W5" i="52"/>
  <c r="Y5" i="48"/>
  <c r="V5" i="48"/>
  <c r="V5" i="53"/>
  <c r="Y5" i="53"/>
  <c r="W5" i="53"/>
  <c r="W5" i="48"/>
  <c r="W3" i="47"/>
  <c r="W3" i="52"/>
  <c r="X3" i="48"/>
  <c r="W3" i="48"/>
  <c r="V3" i="48"/>
  <c r="X3" i="53"/>
  <c r="W3" i="53"/>
  <c r="V3" i="53"/>
  <c r="P3" i="52"/>
  <c r="N32" i="52"/>
  <c r="O32" i="52"/>
  <c r="N31" i="52"/>
  <c r="P4" i="52"/>
  <c r="O31" i="52"/>
  <c r="O33" i="45"/>
  <c r="O32" i="53"/>
  <c r="O31" i="53"/>
  <c r="N32" i="53"/>
  <c r="P4" i="53"/>
  <c r="N31" i="53"/>
  <c r="P3" i="53"/>
  <c r="O32" i="51"/>
  <c r="O31" i="51"/>
  <c r="N32" i="51"/>
  <c r="P4" i="51"/>
  <c r="N31" i="51"/>
  <c r="P3" i="51"/>
  <c r="P5" i="45"/>
  <c r="N33" i="45"/>
  <c r="BL41" i="38"/>
  <c r="BR45" i="38"/>
  <c r="AZ25" i="38"/>
  <c r="BF43" i="38"/>
  <c r="BH16" i="39"/>
  <c r="L16" i="3"/>
  <c r="M16" i="3"/>
  <c r="BR22" i="38"/>
  <c r="AZ21" i="38"/>
  <c r="AR14" i="39"/>
  <c r="BX19" i="38"/>
  <c r="AL13" i="39"/>
  <c r="BP15" i="39"/>
  <c r="BT14" i="39"/>
  <c r="AZ20" i="38"/>
  <c r="AT18" i="38"/>
  <c r="BR27" i="38"/>
  <c r="R14" i="39"/>
  <c r="R13" i="39"/>
  <c r="BF45" i="38"/>
  <c r="BF23" i="38"/>
  <c r="AZ43" i="38"/>
  <c r="BX24" i="38"/>
  <c r="BF44" i="38"/>
  <c r="AD16" i="39"/>
  <c r="AB44" i="38"/>
  <c r="AB28" i="38"/>
  <c r="V26" i="38"/>
  <c r="AH36" i="38"/>
  <c r="O31" i="47"/>
  <c r="N32" i="47"/>
  <c r="P4" i="47"/>
  <c r="P3" i="47"/>
  <c r="N31" i="47"/>
  <c r="T12" i="40"/>
  <c r="AJ14" i="40"/>
  <c r="AX13" i="40"/>
  <c r="X13" i="40"/>
  <c r="AP12" i="40"/>
  <c r="BD14" i="40"/>
  <c r="BT13" i="40"/>
  <c r="R13" i="40"/>
  <c r="AF13" i="40"/>
  <c r="AX12" i="40"/>
  <c r="BN14" i="40"/>
  <c r="N14" i="40"/>
  <c r="AD13" i="40"/>
  <c r="AV12" i="40"/>
  <c r="AZ12" i="40" s="1"/>
  <c r="BJ14" i="40"/>
  <c r="Z13" i="40"/>
  <c r="R12" i="40"/>
  <c r="AJ13" i="40"/>
  <c r="BH13" i="40"/>
  <c r="G13" i="40"/>
  <c r="AD14" i="40"/>
  <c r="BB14" i="40"/>
  <c r="AL13" i="40"/>
  <c r="BP14" i="40"/>
  <c r="BV13" i="40"/>
  <c r="O32" i="47"/>
  <c r="AR12" i="40"/>
  <c r="BJ13" i="40"/>
  <c r="L13" i="40"/>
  <c r="AF14" i="40"/>
  <c r="E13" i="40"/>
  <c r="AR13" i="40"/>
  <c r="BP13" i="40"/>
  <c r="AP13" i="40"/>
  <c r="BN13" i="40"/>
  <c r="L14" i="40"/>
  <c r="BD13" i="40"/>
  <c r="BB13" i="40"/>
  <c r="N13" i="40"/>
  <c r="BH14" i="40"/>
  <c r="AV13" i="40"/>
  <c r="T13" i="40"/>
  <c r="AL14" i="40"/>
  <c r="BH14" i="39"/>
  <c r="AR12" i="39"/>
  <c r="AL15" i="39"/>
  <c r="AF16" i="39"/>
  <c r="E13" i="39"/>
  <c r="BN13" i="39"/>
  <c r="BB13" i="39"/>
  <c r="AX13" i="41"/>
  <c r="R13" i="41"/>
  <c r="BH14" i="41"/>
  <c r="AP14" i="41"/>
  <c r="L14" i="41"/>
  <c r="N15" i="41"/>
  <c r="AD15" i="41"/>
  <c r="AR12" i="41"/>
  <c r="BN13" i="41"/>
  <c r="AJ13" i="41"/>
  <c r="BV14" i="41"/>
  <c r="Z14" i="41"/>
  <c r="BN15" i="41"/>
  <c r="AT15" i="38"/>
  <c r="BX32" i="38"/>
  <c r="BN16" i="39"/>
  <c r="BD15" i="39"/>
  <c r="AF14" i="39"/>
  <c r="L15" i="39"/>
  <c r="BF39" i="38"/>
  <c r="BL17" i="38"/>
  <c r="T13" i="39"/>
  <c r="T14" i="39"/>
  <c r="BD16" i="39"/>
  <c r="L13" i="39"/>
  <c r="AX12" i="39"/>
  <c r="BT13" i="39"/>
  <c r="G13" i="39"/>
  <c r="AL16" i="39"/>
  <c r="AX15" i="39"/>
  <c r="BJ16" i="39"/>
  <c r="N15" i="39"/>
  <c r="BD13" i="39"/>
  <c r="BP13" i="39"/>
  <c r="BJ14" i="39"/>
  <c r="AP15" i="39"/>
  <c r="AL15" i="41"/>
  <c r="BB14" i="41"/>
  <c r="N14" i="41"/>
  <c r="AD14" i="41"/>
  <c r="AV14" i="41"/>
  <c r="BJ14" i="41"/>
  <c r="E13" i="41"/>
  <c r="X14" i="41"/>
  <c r="AL13" i="41"/>
  <c r="BB13" i="41"/>
  <c r="BT13" i="41"/>
  <c r="R12" i="41"/>
  <c r="AX12" i="41"/>
  <c r="N31" i="48"/>
  <c r="P3" i="48"/>
  <c r="O32" i="48"/>
  <c r="O31" i="48"/>
  <c r="N32" i="48"/>
  <c r="P4" i="48"/>
  <c r="AV12" i="41"/>
  <c r="BP13" i="41"/>
  <c r="BD13" i="41"/>
  <c r="AR13" i="41"/>
  <c r="AF13" i="41"/>
  <c r="T13" i="41"/>
  <c r="G13" i="41"/>
  <c r="BP14" i="41"/>
  <c r="BD14" i="41"/>
  <c r="AR14" i="41"/>
  <c r="AF14" i="41"/>
  <c r="T14" i="41"/>
  <c r="G14" i="41"/>
  <c r="BP15" i="41"/>
  <c r="BD15" i="41"/>
  <c r="AJ15" i="41"/>
  <c r="AH32" i="38"/>
  <c r="O31" i="46"/>
  <c r="N32" i="46"/>
  <c r="P4" i="46"/>
  <c r="N31" i="46"/>
  <c r="P3" i="46"/>
  <c r="O32" i="46"/>
  <c r="N13" i="39"/>
  <c r="X15" i="39"/>
  <c r="AX13" i="39"/>
  <c r="BB16" i="39"/>
  <c r="BT15" i="39"/>
  <c r="BJ15" i="39"/>
  <c r="AD14" i="39"/>
  <c r="T15" i="39"/>
  <c r="BB14" i="39"/>
  <c r="AR13" i="39"/>
  <c r="AJ16" i="39"/>
  <c r="AN16" i="39" s="1"/>
  <c r="X13" i="39"/>
  <c r="BH13" i="39"/>
  <c r="AP14" i="39"/>
  <c r="AF15" i="39"/>
  <c r="G14" i="39"/>
  <c r="AJ14" i="39"/>
  <c r="BV14" i="39"/>
  <c r="BP16" i="39"/>
  <c r="AV14" i="39"/>
  <c r="E14" i="39"/>
  <c r="Z15" i="39"/>
  <c r="Z14" i="39"/>
  <c r="AL14" i="39"/>
  <c r="BB15" i="39"/>
  <c r="BN15" i="39"/>
  <c r="R12" i="39"/>
  <c r="AD15" i="39"/>
  <c r="AP13" i="39"/>
  <c r="BD14" i="39"/>
  <c r="BP14" i="39"/>
  <c r="E15" i="39"/>
  <c r="AJ15" i="39"/>
  <c r="AX14" i="39"/>
  <c r="T12" i="39"/>
  <c r="G15" i="39"/>
  <c r="L14" i="39"/>
  <c r="AF15" i="41"/>
  <c r="BJ15" i="41"/>
  <c r="E14" i="41"/>
  <c r="X13" i="41"/>
  <c r="AL14" i="41"/>
  <c r="BT14" i="41"/>
  <c r="N13" i="41"/>
  <c r="AD13" i="41"/>
  <c r="AV13" i="41"/>
  <c r="AZ13" i="41" s="1"/>
  <c r="BJ13" i="41"/>
  <c r="AP12" i="41"/>
  <c r="AZ18" i="38"/>
  <c r="BF18" i="38"/>
  <c r="AZ46" i="38"/>
  <c r="AN15" i="38"/>
  <c r="BX23" i="38"/>
  <c r="N14" i="39"/>
  <c r="AV12" i="39"/>
  <c r="X14" i="39"/>
  <c r="AJ13" i="39"/>
  <c r="AV13" i="39"/>
  <c r="BJ13" i="39"/>
  <c r="BV13" i="39"/>
  <c r="L16" i="39"/>
  <c r="Z13" i="39"/>
  <c r="AP12" i="39"/>
  <c r="BN14" i="39"/>
  <c r="AD13" i="39"/>
  <c r="AF13" i="39"/>
  <c r="AV15" i="39"/>
  <c r="BH15" i="39"/>
  <c r="BV15" i="39"/>
  <c r="R15" i="39"/>
  <c r="AR15" i="39"/>
  <c r="L15" i="41"/>
  <c r="BH15" i="41"/>
  <c r="R14" i="41"/>
  <c r="AJ14" i="41"/>
  <c r="AX14" i="41"/>
  <c r="BN14" i="41"/>
  <c r="L13" i="41"/>
  <c r="Z13" i="41"/>
  <c r="AP13" i="41"/>
  <c r="BH13" i="41"/>
  <c r="BV13" i="41"/>
  <c r="T12" i="41"/>
  <c r="BB15" i="41"/>
  <c r="BF34" i="38"/>
  <c r="BF13" i="38"/>
  <c r="AH39" i="38"/>
  <c r="BF29" i="38"/>
  <c r="AB48" i="38"/>
  <c r="AH38" i="38"/>
  <c r="AH44" i="38"/>
  <c r="AT38" i="38"/>
  <c r="BX39" i="38"/>
  <c r="V35" i="38"/>
  <c r="BF47" i="38"/>
  <c r="BX20" i="38"/>
  <c r="BR29" i="38"/>
  <c r="BR13" i="38"/>
  <c r="V15" i="38"/>
  <c r="V42" i="38"/>
  <c r="AT34" i="38"/>
  <c r="AN25" i="38"/>
  <c r="AZ32" i="38"/>
  <c r="BL33" i="38"/>
  <c r="AB16" i="38"/>
  <c r="AZ39" i="38"/>
  <c r="BL39" i="38"/>
  <c r="BX16" i="38"/>
  <c r="V23" i="38"/>
  <c r="V14" i="38"/>
  <c r="AZ45" i="38"/>
  <c r="AN33" i="38"/>
  <c r="AN31" i="38"/>
  <c r="AT42" i="38"/>
  <c r="AZ38" i="38"/>
  <c r="BL46" i="38"/>
  <c r="AT20" i="38"/>
  <c r="BX38" i="38"/>
  <c r="AT12" i="38"/>
  <c r="BX47" i="38"/>
  <c r="BR33" i="38"/>
  <c r="BX29" i="38"/>
  <c r="BL18" i="38"/>
  <c r="AN38" i="38"/>
  <c r="AB19" i="38"/>
  <c r="V25" i="38"/>
  <c r="AH31" i="38"/>
  <c r="AH27" i="38"/>
  <c r="AB40" i="38"/>
  <c r="V22" i="38"/>
  <c r="AH43" i="38"/>
  <c r="V18" i="38"/>
  <c r="V38" i="38"/>
  <c r="AH22" i="38"/>
  <c r="AZ31" i="38"/>
  <c r="BF41" i="38"/>
  <c r="BL45" i="38"/>
  <c r="BR35" i="38"/>
  <c r="BF21" i="38"/>
  <c r="AT25" i="38"/>
  <c r="AT31" i="38"/>
  <c r="AZ19" i="38"/>
  <c r="BL27" i="38"/>
  <c r="BL49" i="38"/>
  <c r="BF46" i="38"/>
  <c r="BF25" i="38"/>
  <c r="BL48" i="38"/>
  <c r="AH48" i="38"/>
  <c r="AH26" i="38"/>
  <c r="AB36" i="38"/>
  <c r="V31" i="38"/>
  <c r="AB32" i="38"/>
  <c r="AB29" i="38"/>
  <c r="AH24" i="38"/>
  <c r="AB24" i="38"/>
  <c r="AB49" i="38"/>
  <c r="V49" i="38"/>
  <c r="AB47" i="38"/>
  <c r="V21" i="38"/>
  <c r="AH42" i="38"/>
  <c r="AH35" i="38"/>
  <c r="V30" i="38"/>
  <c r="AH16" i="38"/>
  <c r="BL35" i="38"/>
  <c r="BR49" i="38"/>
  <c r="I33" i="38"/>
  <c r="V27" i="38"/>
  <c r="V41" i="38"/>
  <c r="AH15" i="38"/>
  <c r="AH40" i="38"/>
  <c r="AH46" i="38"/>
  <c r="AH28" i="38"/>
  <c r="AZ36" i="38"/>
  <c r="BR48" i="38"/>
  <c r="AZ13" i="38"/>
  <c r="V19" i="38"/>
  <c r="AB27" i="38"/>
  <c r="BF12" i="38"/>
  <c r="AH47" i="38"/>
  <c r="BF19" i="38"/>
  <c r="BR23" i="38"/>
  <c r="BX18" i="38"/>
  <c r="AN29" i="38"/>
  <c r="AT22" i="38"/>
  <c r="BX40" i="38"/>
  <c r="AN44" i="38"/>
  <c r="AN23" i="38"/>
  <c r="AT36" i="38"/>
  <c r="AZ28" i="38"/>
  <c r="BF22" i="38"/>
  <c r="AZ29" i="38"/>
  <c r="BL12" i="38"/>
  <c r="BL22" i="38"/>
  <c r="BL31" i="38"/>
  <c r="BX17" i="38"/>
  <c r="AT35" i="38"/>
  <c r="AT14" i="38"/>
  <c r="AZ48" i="38"/>
  <c r="AZ26" i="38"/>
  <c r="BF42" i="38"/>
  <c r="BL28" i="38"/>
  <c r="BL36" i="38"/>
  <c r="BX28" i="38"/>
  <c r="AN46" i="38"/>
  <c r="AN30" i="38"/>
  <c r="AN20" i="38"/>
  <c r="AT41" i="38"/>
  <c r="AT48" i="38"/>
  <c r="AZ23" i="38"/>
  <c r="BL37" i="38"/>
  <c r="BL16" i="38"/>
  <c r="BR47" i="38"/>
  <c r="BL43" i="38"/>
  <c r="BR25" i="38"/>
  <c r="BR30" i="38"/>
  <c r="BX37" i="38"/>
  <c r="BX21" i="38"/>
  <c r="AB18" i="38"/>
  <c r="V29" i="38"/>
  <c r="V46" i="38"/>
  <c r="AN47" i="38"/>
  <c r="BL25" i="38"/>
  <c r="BR17" i="38"/>
  <c r="AN45" i="38"/>
  <c r="AN24" i="38"/>
  <c r="AZ24" i="38"/>
  <c r="BL38" i="38"/>
  <c r="BL19" i="38"/>
  <c r="BX30" i="38"/>
  <c r="AN17" i="38"/>
  <c r="AT26" i="38"/>
  <c r="AZ22" i="38"/>
  <c r="BF17" i="38"/>
  <c r="BL44" i="38"/>
  <c r="BL24" i="38"/>
  <c r="AN43" i="38"/>
  <c r="AZ42" i="38"/>
  <c r="BL20" i="38"/>
  <c r="BR39" i="38"/>
  <c r="BX46" i="38"/>
  <c r="BR32" i="38"/>
  <c r="BX44" i="38"/>
  <c r="AN32" i="38"/>
  <c r="AN16" i="38"/>
  <c r="AT37" i="38"/>
  <c r="AT21" i="38"/>
  <c r="AZ47" i="38"/>
  <c r="AZ15" i="38"/>
  <c r="AZ17" i="38"/>
  <c r="BR20" i="38"/>
  <c r="AZ14" i="38"/>
  <c r="BL23" i="38"/>
  <c r="BX33" i="38"/>
  <c r="AN27" i="38"/>
  <c r="BR41" i="38"/>
  <c r="I28" i="38"/>
  <c r="AB25" i="38"/>
  <c r="AB41" i="38"/>
  <c r="AB15" i="38"/>
  <c r="AB20" i="38"/>
  <c r="BR16" i="38"/>
  <c r="AN41" i="38"/>
  <c r="AZ35" i="38"/>
  <c r="BX36" i="38"/>
  <c r="BF15" i="38"/>
  <c r="BX48" i="38"/>
  <c r="BL32" i="38"/>
  <c r="BF35" i="38"/>
  <c r="BR12" i="38"/>
  <c r="BF31" i="38"/>
  <c r="BR36" i="38"/>
  <c r="I35" i="38"/>
  <c r="I22" i="38"/>
  <c r="I47" i="38"/>
  <c r="AB33" i="38"/>
  <c r="AT29" i="38"/>
  <c r="V47" i="38"/>
  <c r="BF40" i="38"/>
  <c r="I39" i="38"/>
  <c r="I42" i="38"/>
  <c r="AB13" i="38"/>
  <c r="AN36" i="38"/>
  <c r="BR44" i="38"/>
  <c r="AZ34" i="38"/>
  <c r="BR28" i="38"/>
  <c r="BF38" i="38"/>
  <c r="AN21" i="38"/>
  <c r="AT30" i="38"/>
  <c r="BX27" i="38"/>
  <c r="AN42" i="38"/>
  <c r="AN48" i="38"/>
  <c r="P17" i="38"/>
  <c r="AB17" i="38"/>
  <c r="AB26" i="38"/>
  <c r="AB42" i="38"/>
  <c r="V39" i="38"/>
  <c r="V16" i="38"/>
  <c r="AH30" i="38"/>
  <c r="AZ30" i="38"/>
  <c r="AN19" i="38"/>
  <c r="AT32" i="38"/>
  <c r="AT28" i="38"/>
  <c r="BL13" i="38"/>
  <c r="AB37" i="38"/>
  <c r="AB31" i="38"/>
  <c r="V37" i="38"/>
  <c r="AH23" i="38"/>
  <c r="BF30" i="38"/>
  <c r="AT23" i="38"/>
  <c r="AZ40" i="38"/>
  <c r="AT24" i="38"/>
  <c r="AN39" i="38"/>
  <c r="BL40" i="38"/>
  <c r="BX34" i="38"/>
  <c r="AN35" i="38"/>
  <c r="AN13" i="38"/>
  <c r="AT49" i="38"/>
  <c r="AT27" i="38"/>
  <c r="AT44" i="38"/>
  <c r="AZ37" i="38"/>
  <c r="BR43" i="38"/>
  <c r="AN28" i="38"/>
  <c r="AN26" i="38"/>
  <c r="AT16" i="38"/>
  <c r="AZ33" i="38"/>
  <c r="BF49" i="38"/>
  <c r="BL29" i="38"/>
  <c r="BR19" i="38"/>
  <c r="AT40" i="38"/>
  <c r="BF26" i="38"/>
  <c r="AZ41" i="38"/>
  <c r="BL34" i="38"/>
  <c r="BR24" i="38"/>
  <c r="BR21" i="38"/>
  <c r="AT45" i="38"/>
  <c r="AT13" i="38"/>
  <c r="AT19" i="38"/>
  <c r="AZ49" i="38"/>
  <c r="BL42" i="38"/>
  <c r="BR31" i="38"/>
  <c r="BX42" i="38"/>
  <c r="BF28" i="38"/>
  <c r="BL47" i="38"/>
  <c r="BL15" i="38"/>
  <c r="BR34" i="38"/>
  <c r="BR18" i="38"/>
  <c r="BX41" i="38"/>
  <c r="BX25" i="38"/>
  <c r="BX31" i="38"/>
  <c r="BX13" i="38"/>
  <c r="BF24" i="38"/>
  <c r="BR46" i="38"/>
  <c r="BF36" i="38"/>
  <c r="BF20" i="38"/>
  <c r="BR37" i="38"/>
  <c r="BR26" i="38"/>
  <c r="BX49" i="38"/>
  <c r="AZ12" i="38"/>
  <c r="AZ16" i="38"/>
  <c r="BL30" i="38"/>
  <c r="AN49" i="38"/>
  <c r="AT47" i="38"/>
  <c r="BF33" i="38"/>
  <c r="AN37" i="38"/>
  <c r="AT46" i="38"/>
  <c r="BR40" i="38"/>
  <c r="BX22" i="38"/>
  <c r="AN22" i="38"/>
  <c r="AT33" i="38"/>
  <c r="AT17" i="38"/>
  <c r="AT39" i="38"/>
  <c r="AZ27" i="38"/>
  <c r="BL26" i="38"/>
  <c r="BR15" i="38"/>
  <c r="BX26" i="38"/>
  <c r="BF48" i="38"/>
  <c r="BF32" i="38"/>
  <c r="BF16" i="38"/>
  <c r="BR38" i="38"/>
  <c r="BX45" i="38"/>
  <c r="AH45" i="38"/>
  <c r="AH29" i="38"/>
  <c r="AH13" i="38"/>
  <c r="AB21" i="38"/>
  <c r="AB35" i="38"/>
  <c r="AH34" i="38"/>
  <c r="AH41" i="38"/>
  <c r="AH25" i="38"/>
  <c r="AB30" i="38"/>
  <c r="AB23" i="38"/>
  <c r="AB39" i="38"/>
  <c r="V20" i="38"/>
  <c r="V36" i="38"/>
  <c r="V13" i="38"/>
  <c r="V45" i="38"/>
  <c r="AH18" i="38"/>
  <c r="AH20" i="38"/>
  <c r="AH37" i="38"/>
  <c r="AH21" i="38"/>
  <c r="AB45" i="38"/>
  <c r="AB22" i="38"/>
  <c r="V48" i="38"/>
  <c r="V28" i="38"/>
  <c r="AB34" i="38"/>
  <c r="V24" i="38"/>
  <c r="V17" i="38"/>
  <c r="V33" i="38"/>
  <c r="V12" i="38"/>
  <c r="AH19" i="38"/>
  <c r="V34" i="38"/>
  <c r="AH49" i="38"/>
  <c r="AH33" i="38"/>
  <c r="AH17" i="38"/>
  <c r="AB46" i="38"/>
  <c r="AB12" i="38"/>
  <c r="V40" i="38"/>
  <c r="AB38" i="38"/>
  <c r="I23" i="38"/>
  <c r="I15" i="38"/>
  <c r="V32" i="38"/>
  <c r="I29" i="38"/>
  <c r="I31" i="38"/>
  <c r="I38" i="38"/>
  <c r="I21" i="38"/>
  <c r="I41" i="38"/>
  <c r="I19" i="38"/>
  <c r="I27" i="38"/>
  <c r="I30" i="38"/>
  <c r="I49" i="38"/>
  <c r="I17" i="38"/>
  <c r="I18" i="38"/>
  <c r="P15" i="38"/>
  <c r="I24" i="38"/>
  <c r="I32" i="38"/>
  <c r="I46" i="38"/>
  <c r="I45" i="38"/>
  <c r="I40" i="38"/>
  <c r="I25" i="38"/>
  <c r="I13" i="38"/>
  <c r="I16" i="38"/>
  <c r="I48" i="38"/>
  <c r="I37" i="38"/>
  <c r="I34" i="38"/>
  <c r="I26" i="38"/>
  <c r="I20" i="38"/>
  <c r="I36" i="38"/>
  <c r="P18" i="38"/>
  <c r="P16" i="38"/>
  <c r="P13" i="38"/>
  <c r="P19" i="38"/>
  <c r="P20" i="38"/>
  <c r="P21" i="38"/>
  <c r="BL16" i="39" l="1"/>
  <c r="BX14" i="39"/>
  <c r="AT12" i="39"/>
  <c r="BL13" i="41"/>
  <c r="AN13" i="40"/>
  <c r="AH13" i="40"/>
  <c r="P5" i="52"/>
  <c r="O33" i="53"/>
  <c r="P5" i="53"/>
  <c r="P5" i="51"/>
  <c r="O33" i="51"/>
  <c r="N33" i="51"/>
  <c r="N33" i="53"/>
  <c r="N33" i="52"/>
  <c r="O33" i="52"/>
  <c r="BL14" i="40"/>
  <c r="BR13" i="39"/>
  <c r="BX14" i="41"/>
  <c r="P14" i="39"/>
  <c r="BF14" i="40"/>
  <c r="BL13" i="39"/>
  <c r="I14" i="41"/>
  <c r="BR14" i="39"/>
  <c r="BX13" i="39"/>
  <c r="AB14" i="39"/>
  <c r="AH15" i="39"/>
  <c r="AB13" i="40"/>
  <c r="V12" i="41"/>
  <c r="AZ14" i="39"/>
  <c r="AH14" i="39"/>
  <c r="AN15" i="41"/>
  <c r="BL14" i="41"/>
  <c r="P15" i="39"/>
  <c r="AT12" i="41"/>
  <c r="V14" i="39"/>
  <c r="AN14" i="39"/>
  <c r="I14" i="39"/>
  <c r="AT13" i="39"/>
  <c r="BF16" i="39"/>
  <c r="I13" i="40"/>
  <c r="BL13" i="40"/>
  <c r="BX13" i="41"/>
  <c r="BF13" i="39"/>
  <c r="AT12" i="40"/>
  <c r="BR14" i="41"/>
  <c r="AZ13" i="39"/>
  <c r="AN15" i="39"/>
  <c r="BR15" i="39"/>
  <c r="AT14" i="39"/>
  <c r="BX15" i="39"/>
  <c r="P13" i="39"/>
  <c r="N33" i="46"/>
  <c r="AZ12" i="39"/>
  <c r="AN13" i="41"/>
  <c r="BR14" i="40"/>
  <c r="BX13" i="40"/>
  <c r="AZ13" i="40"/>
  <c r="O33" i="48"/>
  <c r="AT13" i="41"/>
  <c r="BL15" i="41"/>
  <c r="AN13" i="39"/>
  <c r="AN14" i="41"/>
  <c r="BF15" i="39"/>
  <c r="BR15" i="41"/>
  <c r="AH16" i="39"/>
  <c r="N33" i="48"/>
  <c r="I13" i="39"/>
  <c r="AB14" i="41"/>
  <c r="BR13" i="40"/>
  <c r="V12" i="40"/>
  <c r="AT15" i="39"/>
  <c r="AZ15" i="39"/>
  <c r="BR16" i="39"/>
  <c r="BF14" i="39"/>
  <c r="BL15" i="39"/>
  <c r="BF15" i="41"/>
  <c r="BF13" i="41"/>
  <c r="AZ14" i="41"/>
  <c r="BF14" i="41"/>
  <c r="BL14" i="39"/>
  <c r="BF13" i="40"/>
  <c r="AT13" i="40"/>
  <c r="AH14" i="40"/>
  <c r="AH13" i="39"/>
  <c r="AH13" i="41"/>
  <c r="V14" i="41"/>
  <c r="V12" i="39"/>
  <c r="AB15" i="39"/>
  <c r="P14" i="40"/>
  <c r="V13" i="40"/>
  <c r="P5" i="47"/>
  <c r="P16" i="39"/>
  <c r="AH15" i="41"/>
  <c r="V15" i="39"/>
  <c r="AB13" i="41"/>
  <c r="P13" i="41"/>
  <c r="AB13" i="39"/>
  <c r="P15" i="41"/>
  <c r="V13" i="41"/>
  <c r="P13" i="40"/>
  <c r="I15" i="39"/>
  <c r="P5" i="46"/>
  <c r="AZ12" i="41"/>
  <c r="AT14" i="41"/>
  <c r="AN14" i="40"/>
  <c r="N33" i="47"/>
  <c r="V13" i="39"/>
  <c r="O33" i="46"/>
  <c r="AH14" i="41"/>
  <c r="BR13" i="41"/>
  <c r="O33" i="47"/>
  <c r="P5" i="48"/>
  <c r="I13" i="41"/>
  <c r="P14" i="41"/>
  <c r="P22" i="38"/>
  <c r="P24" i="38"/>
  <c r="P25" i="38"/>
  <c r="P23" i="38"/>
  <c r="P26" i="38" l="1"/>
  <c r="P28" i="38"/>
  <c r="P27" i="38"/>
  <c r="P29" i="38" l="1"/>
  <c r="P31" i="38"/>
  <c r="P30" i="38"/>
  <c r="P32" i="38" l="1"/>
  <c r="P33" i="38"/>
  <c r="P34" i="38"/>
  <c r="P36" i="38" l="1"/>
  <c r="P37" i="38"/>
  <c r="P35" i="38"/>
  <c r="P40" i="38" l="1"/>
  <c r="P38" i="38"/>
  <c r="P39" i="38"/>
  <c r="P41" i="38" l="1"/>
  <c r="P42" i="38"/>
  <c r="P43" i="38"/>
  <c r="P46" i="38" l="1"/>
  <c r="P45" i="38"/>
  <c r="P48" i="38"/>
  <c r="P47" i="38"/>
  <c r="P44" i="38"/>
  <c r="P49" i="38" l="1"/>
  <c r="B9" i="3" l="1"/>
  <c r="X8" i="3" l="1"/>
  <c r="X9" i="3"/>
  <c r="X10" i="3"/>
  <c r="X11" i="3"/>
  <c r="X12" i="3"/>
  <c r="X13" i="3"/>
  <c r="X14" i="3"/>
  <c r="W16" i="3"/>
  <c r="W5" i="3" s="1"/>
  <c r="V16" i="3"/>
  <c r="V5" i="3" s="1"/>
  <c r="AA16" i="3"/>
  <c r="Z16" i="3"/>
  <c r="Y16" i="3"/>
  <c r="U16" i="3"/>
  <c r="S16" i="3"/>
  <c r="R16" i="3"/>
  <c r="Q16" i="3"/>
  <c r="O16" i="3"/>
  <c r="N16" i="3"/>
  <c r="K16" i="3"/>
  <c r="J16" i="3"/>
  <c r="H16" i="3"/>
  <c r="F16" i="3"/>
  <c r="C5" i="3" s="1"/>
  <c r="X16" i="3" l="1"/>
  <c r="X5" i="3" s="1"/>
  <c r="C13" i="3"/>
  <c r="E13" i="3"/>
  <c r="Y3" i="49" l="1"/>
  <c r="Y51" i="50"/>
  <c r="V51" i="50"/>
  <c r="V30" i="50"/>
  <c r="Y3" i="50"/>
  <c r="Z3" i="50" s="1"/>
  <c r="Y51" i="45"/>
  <c r="V51" i="45"/>
  <c r="V30" i="45"/>
  <c r="Y3" i="45"/>
  <c r="Z3" i="45" s="1"/>
  <c r="Y3" i="47"/>
  <c r="Z3" i="47" s="1"/>
  <c r="V51" i="52"/>
  <c r="Y51" i="52"/>
  <c r="Y51" i="48"/>
  <c r="V51" i="51"/>
  <c r="V51" i="46"/>
  <c r="Y3" i="53"/>
  <c r="Z3" i="53" s="1"/>
  <c r="Y51" i="53"/>
  <c r="Y3" i="52"/>
  <c r="Z3" i="52" s="1"/>
  <c r="Y51" i="46"/>
  <c r="Y3" i="51"/>
  <c r="Z3" i="51" s="1"/>
  <c r="Y3" i="48"/>
  <c r="Z3" i="48" s="1"/>
  <c r="V51" i="47"/>
  <c r="V30" i="52"/>
  <c r="V30" i="48"/>
  <c r="V51" i="53"/>
  <c r="Y51" i="51"/>
  <c r="Y51" i="47"/>
  <c r="V51" i="48"/>
  <c r="V30" i="51"/>
  <c r="V30" i="47"/>
  <c r="V30" i="53"/>
  <c r="V30" i="46"/>
  <c r="Y3" i="46"/>
  <c r="Z3" i="46" s="1"/>
  <c r="M32" i="50"/>
  <c r="M31" i="50"/>
  <c r="AL14" i="38"/>
  <c r="AJ14" i="38"/>
  <c r="E9" i="3"/>
  <c r="E10" i="3"/>
  <c r="E11" i="3"/>
  <c r="E12" i="3"/>
  <c r="E14" i="3"/>
  <c r="E8" i="3"/>
  <c r="B10" i="3"/>
  <c r="B11" i="3" s="1"/>
  <c r="B12" i="3" s="1"/>
  <c r="B13" i="3" s="1"/>
  <c r="B14" i="3" s="1"/>
  <c r="M33" i="50" l="1"/>
  <c r="AN14" i="38"/>
  <c r="C8" i="3"/>
  <c r="C10" i="3"/>
  <c r="C11" i="3"/>
  <c r="C9" i="3"/>
  <c r="C12" i="3"/>
  <c r="C14" i="3"/>
  <c r="X30" i="49" l="1"/>
  <c r="W3" i="49"/>
  <c r="Z3" i="49" s="1"/>
  <c r="X5" i="49"/>
  <c r="Z5" i="49" s="1"/>
  <c r="U30" i="50"/>
  <c r="U31" i="50" s="1"/>
  <c r="X5" i="50"/>
  <c r="Z5" i="50" s="1"/>
  <c r="U30" i="45"/>
  <c r="X5" i="45"/>
  <c r="Z5" i="45" s="1"/>
  <c r="X5" i="51"/>
  <c r="Z5" i="51" s="1"/>
  <c r="X5" i="46"/>
  <c r="Z5" i="46" s="1"/>
  <c r="X5" i="52"/>
  <c r="Z5" i="52" s="1"/>
  <c r="X5" i="47"/>
  <c r="Z5" i="47" s="1"/>
  <c r="X5" i="53"/>
  <c r="Z5" i="53" s="1"/>
  <c r="X5" i="48"/>
  <c r="Z5" i="48" s="1"/>
  <c r="W30" i="49"/>
  <c r="Y4" i="49"/>
  <c r="U51" i="50"/>
  <c r="AB49" i="45"/>
  <c r="AB30" i="45"/>
  <c r="X51" i="50"/>
  <c r="W30" i="50"/>
  <c r="W31" i="50" s="1"/>
  <c r="Y4" i="50"/>
  <c r="Z4" i="50" s="1"/>
  <c r="AB49" i="50"/>
  <c r="AB30" i="50"/>
  <c r="AB4" i="50"/>
  <c r="AB4" i="45"/>
  <c r="U51" i="45"/>
  <c r="Y4" i="45"/>
  <c r="Z4" i="45" s="1"/>
  <c r="X51" i="45"/>
  <c r="W30" i="45"/>
  <c r="Y4" i="53"/>
  <c r="Z4" i="53" s="1"/>
  <c r="W30" i="51"/>
  <c r="W30" i="48"/>
  <c r="W31" i="48" s="1"/>
  <c r="Y4" i="52"/>
  <c r="Z4" i="52" s="1"/>
  <c r="W30" i="47"/>
  <c r="Y4" i="48"/>
  <c r="Z4" i="48" s="1"/>
  <c r="W30" i="46"/>
  <c r="W30" i="52"/>
  <c r="Y4" i="47"/>
  <c r="Z4" i="47" s="1"/>
  <c r="Y4" i="51"/>
  <c r="Z4" i="51" s="1"/>
  <c r="Y4" i="46"/>
  <c r="Z4" i="46" s="1"/>
  <c r="W30" i="53"/>
  <c r="R3" i="50"/>
  <c r="R3" i="45"/>
  <c r="AD14" i="38"/>
  <c r="AH14" i="38" s="1"/>
  <c r="R4" i="50"/>
  <c r="R4" i="45"/>
  <c r="AF14" i="38"/>
  <c r="S32" i="50"/>
  <c r="S31" i="50"/>
  <c r="BV14" i="38"/>
  <c r="S32" i="45"/>
  <c r="S31" i="45"/>
  <c r="S33" i="45" s="1"/>
  <c r="BT14" i="38"/>
  <c r="AB49" i="49"/>
  <c r="X51" i="49"/>
  <c r="AB30" i="49"/>
  <c r="AB4" i="49"/>
  <c r="U51" i="49"/>
  <c r="U52" i="49" s="1"/>
  <c r="U30" i="49"/>
  <c r="Y6" i="49"/>
  <c r="Z6" i="49" s="1"/>
  <c r="G12" i="38"/>
  <c r="Y6" i="51"/>
  <c r="Z6" i="51" s="1"/>
  <c r="AB4" i="51"/>
  <c r="AB49" i="46"/>
  <c r="AB4" i="46"/>
  <c r="Y6" i="46"/>
  <c r="Z6" i="46" s="1"/>
  <c r="U51" i="51"/>
  <c r="X51" i="51"/>
  <c r="X52" i="51" s="1"/>
  <c r="X51" i="46"/>
  <c r="U30" i="51"/>
  <c r="AB49" i="51"/>
  <c r="AB30" i="46"/>
  <c r="U30" i="46"/>
  <c r="AB30" i="51"/>
  <c r="U51" i="46"/>
  <c r="S31" i="49"/>
  <c r="S32" i="49"/>
  <c r="BV2" i="38"/>
  <c r="BV2" i="40"/>
  <c r="BT2" i="40"/>
  <c r="BX2" i="40" s="1"/>
  <c r="BT2" i="38"/>
  <c r="Y6" i="52"/>
  <c r="Z6" i="52" s="1"/>
  <c r="BV2" i="41"/>
  <c r="U30" i="52"/>
  <c r="X51" i="52"/>
  <c r="U30" i="47"/>
  <c r="BT2" i="39"/>
  <c r="AF12" i="38"/>
  <c r="AB4" i="47"/>
  <c r="AB49" i="52"/>
  <c r="AD12" i="38"/>
  <c r="AB4" i="52"/>
  <c r="U51" i="47"/>
  <c r="AB30" i="52"/>
  <c r="BV2" i="39"/>
  <c r="BT12" i="38"/>
  <c r="Y6" i="47"/>
  <c r="Z6" i="47" s="1"/>
  <c r="X51" i="47"/>
  <c r="U51" i="52"/>
  <c r="AB49" i="47"/>
  <c r="AB30" i="47"/>
  <c r="BT2" i="41"/>
  <c r="BV12" i="38"/>
  <c r="AB49" i="53"/>
  <c r="AB30" i="53"/>
  <c r="U51" i="48"/>
  <c r="S32" i="52"/>
  <c r="S31" i="47"/>
  <c r="BT12" i="40"/>
  <c r="S31" i="48"/>
  <c r="S31" i="46"/>
  <c r="BT12" i="39"/>
  <c r="S32" i="48"/>
  <c r="BT12" i="41"/>
  <c r="S32" i="46"/>
  <c r="BV12" i="39"/>
  <c r="BV12" i="41"/>
  <c r="Y6" i="48"/>
  <c r="Z6" i="48" s="1"/>
  <c r="X51" i="48"/>
  <c r="AB4" i="48"/>
  <c r="U30" i="48"/>
  <c r="S31" i="52"/>
  <c r="S32" i="53"/>
  <c r="S32" i="51"/>
  <c r="S32" i="47"/>
  <c r="Y6" i="53"/>
  <c r="Z6" i="53" s="1"/>
  <c r="AB30" i="48"/>
  <c r="AB4" i="53"/>
  <c r="U51" i="53"/>
  <c r="BV12" i="40"/>
  <c r="X51" i="53"/>
  <c r="U30" i="53"/>
  <c r="AB49" i="48"/>
  <c r="S31" i="53"/>
  <c r="S31" i="51"/>
  <c r="R4" i="51"/>
  <c r="R3" i="49"/>
  <c r="AD2" i="40"/>
  <c r="AF12" i="40"/>
  <c r="AF16" i="40" s="1"/>
  <c r="AF8" i="40" s="1"/>
  <c r="AF12" i="41"/>
  <c r="AF17" i="41" s="1"/>
  <c r="AF8" i="41" s="1"/>
  <c r="AD12" i="39"/>
  <c r="R4" i="52"/>
  <c r="R3" i="53"/>
  <c r="AF2" i="38"/>
  <c r="AD2" i="41"/>
  <c r="AF2" i="41"/>
  <c r="R4" i="48"/>
  <c r="R3" i="46"/>
  <c r="R3" i="48"/>
  <c r="R3" i="52"/>
  <c r="R5" i="52" s="1"/>
  <c r="R3" i="51"/>
  <c r="AD2" i="38"/>
  <c r="AH2" i="38" s="1"/>
  <c r="AD2" i="39"/>
  <c r="R4" i="46"/>
  <c r="AD12" i="40"/>
  <c r="R4" i="47"/>
  <c r="R4" i="53"/>
  <c r="R4" i="49"/>
  <c r="AF2" i="40"/>
  <c r="AF2" i="39"/>
  <c r="R3" i="47"/>
  <c r="AF12" i="39"/>
  <c r="AF18" i="39" s="1"/>
  <c r="AF8" i="39" s="1"/>
  <c r="AD12" i="41"/>
  <c r="Y51" i="49"/>
  <c r="V51" i="49"/>
  <c r="V30" i="49"/>
  <c r="V31" i="49" s="1"/>
  <c r="X4" i="49"/>
  <c r="Z4" i="49" s="1"/>
  <c r="BV43" i="38"/>
  <c r="BT43" i="38"/>
  <c r="X43" i="38"/>
  <c r="Z43" i="38"/>
  <c r="BV14" i="40"/>
  <c r="BV16" i="39"/>
  <c r="BV15" i="41"/>
  <c r="X14" i="40"/>
  <c r="BT15" i="41"/>
  <c r="Z15" i="41"/>
  <c r="BT16" i="39"/>
  <c r="Z16" i="39"/>
  <c r="BT14" i="40"/>
  <c r="BX14" i="40" s="1"/>
  <c r="Z14" i="40"/>
  <c r="X15" i="41"/>
  <c r="X16" i="39"/>
  <c r="Q4" i="50"/>
  <c r="R32" i="50"/>
  <c r="Q3" i="50"/>
  <c r="R31" i="50"/>
  <c r="Q4" i="52"/>
  <c r="Q3" i="53"/>
  <c r="Q3" i="51"/>
  <c r="R31" i="52"/>
  <c r="R32" i="52"/>
  <c r="Q4" i="53"/>
  <c r="R32" i="53"/>
  <c r="Q4" i="51"/>
  <c r="R32" i="51"/>
  <c r="Q3" i="52"/>
  <c r="R31" i="53"/>
  <c r="R31" i="51"/>
  <c r="O4" i="52"/>
  <c r="M31" i="52"/>
  <c r="F7" i="52"/>
  <c r="M32" i="52"/>
  <c r="O3" i="52"/>
  <c r="D7" i="52"/>
  <c r="M32" i="53"/>
  <c r="O3" i="53"/>
  <c r="D7" i="53"/>
  <c r="M32" i="51"/>
  <c r="O3" i="51"/>
  <c r="D7" i="51"/>
  <c r="O4" i="53"/>
  <c r="M31" i="53"/>
  <c r="F7" i="53"/>
  <c r="O4" i="51"/>
  <c r="M31" i="51"/>
  <c r="F7" i="51"/>
  <c r="Q32" i="50"/>
  <c r="Q31" i="50"/>
  <c r="Q31" i="53"/>
  <c r="Q31" i="51"/>
  <c r="Q31" i="52"/>
  <c r="Q32" i="52"/>
  <c r="Q32" i="53"/>
  <c r="Q32" i="51"/>
  <c r="O4" i="50"/>
  <c r="P32" i="50"/>
  <c r="F7" i="50"/>
  <c r="P31" i="50"/>
  <c r="O3" i="50"/>
  <c r="P31" i="53"/>
  <c r="P31" i="51"/>
  <c r="P31" i="52"/>
  <c r="P32" i="52"/>
  <c r="P32" i="53"/>
  <c r="P32" i="51"/>
  <c r="O31" i="49"/>
  <c r="O32" i="49"/>
  <c r="AX2" i="40"/>
  <c r="AV2" i="40"/>
  <c r="AV2" i="38"/>
  <c r="AX2" i="38"/>
  <c r="AV2" i="39"/>
  <c r="AX2" i="39"/>
  <c r="AV2" i="41"/>
  <c r="AX2" i="41"/>
  <c r="R32" i="49"/>
  <c r="Q3" i="49"/>
  <c r="R31" i="49"/>
  <c r="Q4" i="49"/>
  <c r="BN2" i="41"/>
  <c r="Z2" i="41"/>
  <c r="Z2" i="40"/>
  <c r="BN2" i="38"/>
  <c r="X2" i="40"/>
  <c r="BP2" i="38"/>
  <c r="BP2" i="40"/>
  <c r="Z2" i="38"/>
  <c r="BP2" i="41"/>
  <c r="BN2" i="40"/>
  <c r="X2" i="38"/>
  <c r="Q3" i="45"/>
  <c r="Q4" i="45"/>
  <c r="R32" i="45"/>
  <c r="X2" i="41"/>
  <c r="R31" i="45"/>
  <c r="Z2" i="39"/>
  <c r="BP2" i="39"/>
  <c r="X2" i="39"/>
  <c r="BN2" i="39"/>
  <c r="M31" i="49"/>
  <c r="O3" i="49"/>
  <c r="M32" i="49"/>
  <c r="F7" i="49"/>
  <c r="D7" i="49"/>
  <c r="O4" i="49"/>
  <c r="AL2" i="40"/>
  <c r="N2" i="40"/>
  <c r="N2" i="41"/>
  <c r="AJ2" i="40"/>
  <c r="AL2" i="38"/>
  <c r="N2" i="38"/>
  <c r="AJ12" i="38"/>
  <c r="L2" i="41"/>
  <c r="AJ2" i="38"/>
  <c r="L2" i="38"/>
  <c r="AJ2" i="41"/>
  <c r="L2" i="40"/>
  <c r="L2" i="39"/>
  <c r="AL2" i="41"/>
  <c r="N2" i="39"/>
  <c r="L12" i="38"/>
  <c r="AL2" i="39"/>
  <c r="AJ2" i="39"/>
  <c r="N32" i="49"/>
  <c r="P4" i="49"/>
  <c r="P3" i="49"/>
  <c r="N31" i="49"/>
  <c r="AP2" i="38"/>
  <c r="AR2" i="41"/>
  <c r="AR2" i="40"/>
  <c r="T2" i="40"/>
  <c r="AP2" i="40"/>
  <c r="R2" i="40"/>
  <c r="AR2" i="38"/>
  <c r="T2" i="39"/>
  <c r="AR2" i="39"/>
  <c r="T2" i="38"/>
  <c r="T2" i="41"/>
  <c r="AP2" i="39"/>
  <c r="R2" i="38"/>
  <c r="R2" i="41"/>
  <c r="AP2" i="41"/>
  <c r="R2" i="39"/>
  <c r="Q31" i="49"/>
  <c r="Q32" i="49"/>
  <c r="BJ2" i="40"/>
  <c r="BH2" i="40"/>
  <c r="BJ2" i="38"/>
  <c r="BH2" i="38"/>
  <c r="Q31" i="45"/>
  <c r="BJ2" i="41"/>
  <c r="BH2" i="39"/>
  <c r="BJ2" i="39"/>
  <c r="Q32" i="45"/>
  <c r="BH2" i="41"/>
  <c r="D7" i="50"/>
  <c r="P31" i="49"/>
  <c r="P32" i="49"/>
  <c r="BB2" i="38"/>
  <c r="BD2" i="41"/>
  <c r="BD2" i="40"/>
  <c r="BB2" i="40"/>
  <c r="BD2" i="38"/>
  <c r="BB2" i="41"/>
  <c r="BD2" i="39"/>
  <c r="O3" i="45"/>
  <c r="F7" i="45"/>
  <c r="P32" i="45"/>
  <c r="P31" i="45"/>
  <c r="BB2" i="39"/>
  <c r="BJ14" i="38"/>
  <c r="BJ51" i="38" s="1"/>
  <c r="BJ8" i="38" s="1"/>
  <c r="BH14" i="38"/>
  <c r="Q31" i="47"/>
  <c r="Q32" i="47"/>
  <c r="BH12" i="41"/>
  <c r="Q31" i="46"/>
  <c r="BJ12" i="40"/>
  <c r="BJ16" i="40" s="1"/>
  <c r="BJ8" i="40" s="1"/>
  <c r="BH12" i="39"/>
  <c r="BH12" i="40"/>
  <c r="BJ12" i="39"/>
  <c r="BJ18" i="39" s="1"/>
  <c r="BJ8" i="39" s="1"/>
  <c r="Q32" i="48"/>
  <c r="Q31" i="48"/>
  <c r="Q32" i="46"/>
  <c r="BJ12" i="41"/>
  <c r="BJ17" i="41" s="1"/>
  <c r="BJ8" i="41" s="1"/>
  <c r="BB14" i="38"/>
  <c r="L14" i="38"/>
  <c r="N14" i="38"/>
  <c r="G14" i="38"/>
  <c r="E14" i="38"/>
  <c r="BD14" i="38"/>
  <c r="BD51" i="38" s="1"/>
  <c r="BD8" i="38" s="1"/>
  <c r="P32" i="47"/>
  <c r="P31" i="46"/>
  <c r="BD12" i="40"/>
  <c r="BD16" i="40" s="1"/>
  <c r="BD8" i="40" s="1"/>
  <c r="P31" i="47"/>
  <c r="P32" i="48"/>
  <c r="P32" i="46"/>
  <c r="BB12" i="40"/>
  <c r="BD12" i="39"/>
  <c r="BD18" i="39" s="1"/>
  <c r="BD8" i="39" s="1"/>
  <c r="BB12" i="41"/>
  <c r="BD12" i="41"/>
  <c r="BD17" i="41" s="1"/>
  <c r="BD8" i="41" s="1"/>
  <c r="P31" i="48"/>
  <c r="BB12" i="39"/>
  <c r="Z14" i="38"/>
  <c r="X14" i="38"/>
  <c r="BN14" i="38"/>
  <c r="BP14" i="38"/>
  <c r="BP51" i="38" s="1"/>
  <c r="BP8" i="38" s="1"/>
  <c r="BN12" i="41"/>
  <c r="R31" i="47"/>
  <c r="X12" i="40"/>
  <c r="R31" i="48"/>
  <c r="BP12" i="41"/>
  <c r="BP17" i="41" s="1"/>
  <c r="BP8" i="41" s="1"/>
  <c r="Q4" i="47"/>
  <c r="BP12" i="40"/>
  <c r="BP16" i="40" s="1"/>
  <c r="BP8" i="40" s="1"/>
  <c r="Z12" i="40"/>
  <c r="Z16" i="40" s="1"/>
  <c r="Z8" i="40" s="1"/>
  <c r="BN12" i="40"/>
  <c r="R32" i="48"/>
  <c r="BN12" i="39"/>
  <c r="Z12" i="39"/>
  <c r="Z12" i="41"/>
  <c r="Q3" i="47"/>
  <c r="X12" i="39"/>
  <c r="R32" i="47"/>
  <c r="X12" i="41"/>
  <c r="Q3" i="46"/>
  <c r="R31" i="46"/>
  <c r="BP12" i="39"/>
  <c r="BP18" i="39" s="1"/>
  <c r="BP8" i="39" s="1"/>
  <c r="R32" i="46"/>
  <c r="Q4" i="48"/>
  <c r="Q3" i="48"/>
  <c r="Q4" i="46"/>
  <c r="M32" i="45"/>
  <c r="E2" i="38"/>
  <c r="H2" i="39"/>
  <c r="M31" i="47"/>
  <c r="O3" i="47"/>
  <c r="H2" i="40"/>
  <c r="E2" i="39"/>
  <c r="F7" i="47"/>
  <c r="H2" i="41"/>
  <c r="E2" i="40"/>
  <c r="D7" i="45"/>
  <c r="E2" i="41"/>
  <c r="D7" i="47"/>
  <c r="O4" i="45"/>
  <c r="M31" i="45"/>
  <c r="H2" i="38"/>
  <c r="E12" i="38"/>
  <c r="E12" i="40"/>
  <c r="G12" i="40"/>
  <c r="M32" i="47"/>
  <c r="N12" i="38"/>
  <c r="O4" i="47"/>
  <c r="N12" i="40"/>
  <c r="N16" i="40" s="1"/>
  <c r="N8" i="40" s="1"/>
  <c r="AL12" i="40"/>
  <c r="AL16" i="40" s="1"/>
  <c r="AL8" i="40" s="1"/>
  <c r="L12" i="40"/>
  <c r="AJ12" i="40"/>
  <c r="AJ12" i="39"/>
  <c r="N12" i="39"/>
  <c r="N18" i="39" s="1"/>
  <c r="N8" i="39" s="1"/>
  <c r="AL12" i="39"/>
  <c r="AL18" i="39" s="1"/>
  <c r="AL8" i="39" s="1"/>
  <c r="N12" i="41"/>
  <c r="N17" i="41" s="1"/>
  <c r="N8" i="41" s="1"/>
  <c r="G12" i="39"/>
  <c r="AL12" i="38"/>
  <c r="AL51" i="38" s="1"/>
  <c r="AL8" i="38" s="1"/>
  <c r="E12" i="41"/>
  <c r="G12" i="41"/>
  <c r="O3" i="46"/>
  <c r="D7" i="46"/>
  <c r="O4" i="46"/>
  <c r="D7" i="48"/>
  <c r="M32" i="48"/>
  <c r="L12" i="41"/>
  <c r="M31" i="48"/>
  <c r="AJ12" i="41"/>
  <c r="E12" i="39"/>
  <c r="O4" i="48"/>
  <c r="O3" i="48"/>
  <c r="M32" i="46"/>
  <c r="L12" i="39"/>
  <c r="F7" i="48"/>
  <c r="M31" i="46"/>
  <c r="F7" i="46"/>
  <c r="AL12" i="41"/>
  <c r="AL17" i="41" s="1"/>
  <c r="AL8" i="41" s="1"/>
  <c r="AP43" i="38"/>
  <c r="AR43" i="38"/>
  <c r="AR51" i="38" s="1"/>
  <c r="AR8" i="38" s="1"/>
  <c r="R43" i="38"/>
  <c r="T43" i="38"/>
  <c r="AR16" i="39"/>
  <c r="AR18" i="39" s="1"/>
  <c r="AR8" i="39" s="1"/>
  <c r="E43" i="38"/>
  <c r="R15" i="41"/>
  <c r="G15" i="41"/>
  <c r="G43" i="38"/>
  <c r="AR14" i="40"/>
  <c r="AR16" i="40" s="1"/>
  <c r="AR8" i="40" s="1"/>
  <c r="E15" i="41"/>
  <c r="T15" i="41"/>
  <c r="T17" i="41" s="1"/>
  <c r="T8" i="41" s="1"/>
  <c r="AP16" i="39"/>
  <c r="R16" i="39"/>
  <c r="AP14" i="40"/>
  <c r="AP15" i="41"/>
  <c r="G14" i="40"/>
  <c r="E14" i="40"/>
  <c r="T14" i="40"/>
  <c r="T16" i="40" s="1"/>
  <c r="T8" i="40" s="1"/>
  <c r="AR15" i="41"/>
  <c r="AR17" i="41" s="1"/>
  <c r="AR8" i="41" s="1"/>
  <c r="G16" i="39"/>
  <c r="E16" i="39"/>
  <c r="T16" i="39"/>
  <c r="T18" i="39" s="1"/>
  <c r="T8" i="39" s="1"/>
  <c r="R14" i="40"/>
  <c r="E44" i="38"/>
  <c r="AV44" i="38"/>
  <c r="T44" i="38"/>
  <c r="AX44" i="38"/>
  <c r="AX51" i="38" s="1"/>
  <c r="AX8" i="38" s="1"/>
  <c r="G44" i="38"/>
  <c r="AV16" i="39"/>
  <c r="R44" i="38"/>
  <c r="AX14" i="40"/>
  <c r="AX16" i="40" s="1"/>
  <c r="AX8" i="40" s="1"/>
  <c r="AX15" i="41"/>
  <c r="AX17" i="41" s="1"/>
  <c r="AX8" i="41" s="1"/>
  <c r="AV14" i="40"/>
  <c r="AX16" i="39"/>
  <c r="AX18" i="39" s="1"/>
  <c r="AX8" i="39" s="1"/>
  <c r="AV15" i="41"/>
  <c r="X52" i="45" l="1"/>
  <c r="U52" i="45"/>
  <c r="Z17" i="41"/>
  <c r="Z8" i="41" s="1"/>
  <c r="BF2" i="41"/>
  <c r="AB16" i="39"/>
  <c r="BX2" i="41"/>
  <c r="AH2" i="40"/>
  <c r="Y52" i="49"/>
  <c r="U52" i="50"/>
  <c r="V52" i="49"/>
  <c r="AH2" i="39"/>
  <c r="AH2" i="41"/>
  <c r="R5" i="49"/>
  <c r="BX2" i="38"/>
  <c r="AB43" i="38"/>
  <c r="S33" i="53"/>
  <c r="S33" i="52"/>
  <c r="X52" i="47"/>
  <c r="Z51" i="38"/>
  <c r="Z8" i="38" s="1"/>
  <c r="Z18" i="39"/>
  <c r="Z8" i="39" s="1"/>
  <c r="BX43" i="38"/>
  <c r="R5" i="47"/>
  <c r="R5" i="48"/>
  <c r="U52" i="53"/>
  <c r="U31" i="48"/>
  <c r="BV17" i="41"/>
  <c r="BV8" i="41" s="1"/>
  <c r="U52" i="47"/>
  <c r="X52" i="52"/>
  <c r="U31" i="46"/>
  <c r="X52" i="46"/>
  <c r="BX14" i="38"/>
  <c r="W31" i="45"/>
  <c r="BX15" i="41"/>
  <c r="R5" i="46"/>
  <c r="U31" i="53"/>
  <c r="BV18" i="39"/>
  <c r="BV8" i="39" s="1"/>
  <c r="BX12" i="39"/>
  <c r="BT18" i="39"/>
  <c r="BT8" i="39" s="1"/>
  <c r="S33" i="47"/>
  <c r="V52" i="53"/>
  <c r="Y52" i="53"/>
  <c r="V52" i="47"/>
  <c r="Y52" i="47"/>
  <c r="BX12" i="38"/>
  <c r="BT51" i="38"/>
  <c r="BT8" i="38" s="1"/>
  <c r="U31" i="52"/>
  <c r="S33" i="49"/>
  <c r="X31" i="46"/>
  <c r="V31" i="46"/>
  <c r="Y52" i="46"/>
  <c r="V52" i="46"/>
  <c r="W31" i="46"/>
  <c r="AD18" i="39"/>
  <c r="AD8" i="39" s="1"/>
  <c r="AH12" i="39"/>
  <c r="AH18" i="39" s="1"/>
  <c r="AH8" i="39" s="1"/>
  <c r="V52" i="48"/>
  <c r="Y52" i="48"/>
  <c r="BT16" i="40"/>
  <c r="BT8" i="40" s="1"/>
  <c r="BX12" i="40"/>
  <c r="BX16" i="40" s="1"/>
  <c r="BX8" i="40" s="1"/>
  <c r="X31" i="53"/>
  <c r="V31" i="53"/>
  <c r="X31" i="47"/>
  <c r="V31" i="47"/>
  <c r="AB14" i="40"/>
  <c r="AH12" i="41"/>
  <c r="AH17" i="41" s="1"/>
  <c r="AH8" i="41" s="1"/>
  <c r="AD17" i="41"/>
  <c r="AD8" i="41" s="1"/>
  <c r="AD16" i="40"/>
  <c r="AD8" i="40" s="1"/>
  <c r="AH12" i="40"/>
  <c r="AH16" i="40" s="1"/>
  <c r="AH8" i="40" s="1"/>
  <c r="R5" i="51"/>
  <c r="R5" i="53"/>
  <c r="S33" i="51"/>
  <c r="X52" i="53"/>
  <c r="X31" i="48"/>
  <c r="V31" i="48"/>
  <c r="X52" i="48"/>
  <c r="S33" i="46"/>
  <c r="BV51" i="38"/>
  <c r="BV8" i="38" s="1"/>
  <c r="U52" i="52"/>
  <c r="AH12" i="38"/>
  <c r="AH51" i="38" s="1"/>
  <c r="AH8" i="38" s="1"/>
  <c r="AD51" i="38"/>
  <c r="AD8" i="38" s="1"/>
  <c r="BX2" i="39"/>
  <c r="U52" i="46"/>
  <c r="V52" i="51"/>
  <c r="Y52" i="51"/>
  <c r="U52" i="51"/>
  <c r="U31" i="49"/>
  <c r="X52" i="49"/>
  <c r="AF51" i="38"/>
  <c r="AF8" i="38" s="1"/>
  <c r="R5" i="45"/>
  <c r="W31" i="51"/>
  <c r="X31" i="50"/>
  <c r="V31" i="50"/>
  <c r="X52" i="50"/>
  <c r="AB15" i="41"/>
  <c r="BX16" i="39"/>
  <c r="BV16" i="40"/>
  <c r="BV8" i="40" s="1"/>
  <c r="BT17" i="41"/>
  <c r="BT8" i="41" s="1"/>
  <c r="BX12" i="41"/>
  <c r="S33" i="48"/>
  <c r="U52" i="48"/>
  <c r="X31" i="52"/>
  <c r="V31" i="52"/>
  <c r="Y52" i="52"/>
  <c r="V52" i="52"/>
  <c r="U31" i="47"/>
  <c r="X31" i="51"/>
  <c r="V31" i="51"/>
  <c r="U31" i="51"/>
  <c r="R5" i="50"/>
  <c r="W31" i="47"/>
  <c r="V52" i="50"/>
  <c r="Y52" i="50"/>
  <c r="X31" i="45"/>
  <c r="V31" i="45"/>
  <c r="W31" i="49"/>
  <c r="U31" i="45"/>
  <c r="S33" i="50"/>
  <c r="W31" i="53"/>
  <c r="W31" i="52"/>
  <c r="V52" i="45"/>
  <c r="Y52" i="45"/>
  <c r="X31" i="49"/>
  <c r="V44" i="38"/>
  <c r="V2" i="39"/>
  <c r="P2" i="38"/>
  <c r="Q5" i="47"/>
  <c r="R33" i="51"/>
  <c r="AN2" i="39"/>
  <c r="AN2" i="41"/>
  <c r="BL2" i="38"/>
  <c r="I7" i="52"/>
  <c r="BL2" i="41"/>
  <c r="AN2" i="38"/>
  <c r="AZ2" i="40"/>
  <c r="BF2" i="39"/>
  <c r="BF2" i="40"/>
  <c r="AB2" i="40"/>
  <c r="I7" i="51"/>
  <c r="P2" i="39"/>
  <c r="AN2" i="40"/>
  <c r="BR2" i="40"/>
  <c r="P33" i="51"/>
  <c r="AZ2" i="41"/>
  <c r="BL2" i="40"/>
  <c r="AT2" i="39"/>
  <c r="N33" i="49"/>
  <c r="P2" i="40"/>
  <c r="P2" i="41"/>
  <c r="O5" i="53"/>
  <c r="M33" i="53"/>
  <c r="R33" i="53"/>
  <c r="R33" i="52"/>
  <c r="R33" i="50"/>
  <c r="P33" i="52"/>
  <c r="P33" i="50"/>
  <c r="Q33" i="52"/>
  <c r="V2" i="41"/>
  <c r="V2" i="40"/>
  <c r="Q5" i="52"/>
  <c r="BR2" i="39"/>
  <c r="R33" i="45"/>
  <c r="Q5" i="45"/>
  <c r="BR2" i="38"/>
  <c r="O5" i="50"/>
  <c r="AB2" i="39"/>
  <c r="R33" i="49"/>
  <c r="Q33" i="53"/>
  <c r="I7" i="53"/>
  <c r="O5" i="49"/>
  <c r="Q5" i="51"/>
  <c r="Q5" i="49"/>
  <c r="I7" i="47"/>
  <c r="P33" i="45"/>
  <c r="P33" i="49"/>
  <c r="BL2" i="39"/>
  <c r="Q33" i="49"/>
  <c r="AT2" i="41"/>
  <c r="P5" i="49"/>
  <c r="O5" i="51"/>
  <c r="O5" i="52"/>
  <c r="M33" i="52"/>
  <c r="I7" i="49"/>
  <c r="M33" i="49"/>
  <c r="Q5" i="53"/>
  <c r="BR2" i="41"/>
  <c r="Q5" i="50"/>
  <c r="AZ2" i="39"/>
  <c r="P33" i="53"/>
  <c r="BF2" i="38"/>
  <c r="I7" i="50"/>
  <c r="Q33" i="51"/>
  <c r="Q33" i="45"/>
  <c r="Q33" i="50"/>
  <c r="V2" i="38"/>
  <c r="AT2" i="40"/>
  <c r="AT2" i="38"/>
  <c r="M33" i="51"/>
  <c r="AB2" i="41"/>
  <c r="AB2" i="38"/>
  <c r="AZ2" i="38"/>
  <c r="O33" i="49"/>
  <c r="I7" i="45"/>
  <c r="O5" i="46"/>
  <c r="Q5" i="46"/>
  <c r="R33" i="47"/>
  <c r="Q33" i="46"/>
  <c r="I7" i="46"/>
  <c r="M33" i="47"/>
  <c r="R33" i="46"/>
  <c r="P33" i="48"/>
  <c r="I14" i="38"/>
  <c r="Q33" i="47"/>
  <c r="T51" i="38"/>
  <c r="T8" i="38" s="1"/>
  <c r="N51" i="38"/>
  <c r="N8" i="38" s="1"/>
  <c r="AN12" i="38"/>
  <c r="AN51" i="38" s="1"/>
  <c r="AN8" i="38" s="1"/>
  <c r="AJ51" i="38"/>
  <c r="AJ8" i="38" s="1"/>
  <c r="BR12" i="39"/>
  <c r="BR18" i="39" s="1"/>
  <c r="BR8" i="39" s="1"/>
  <c r="BN18" i="39"/>
  <c r="BN8" i="39" s="1"/>
  <c r="X16" i="40"/>
  <c r="X8" i="40" s="1"/>
  <c r="AB12" i="40"/>
  <c r="AB16" i="40" s="1"/>
  <c r="AB8" i="40" s="1"/>
  <c r="BB51" i="38"/>
  <c r="BB8" i="38" s="1"/>
  <c r="BF14" i="38"/>
  <c r="BF51" i="38" s="1"/>
  <c r="BF8" i="38" s="1"/>
  <c r="V14" i="40"/>
  <c r="V16" i="40" s="1"/>
  <c r="V8" i="40" s="1"/>
  <c r="R16" i="40"/>
  <c r="R8" i="40" s="1"/>
  <c r="E18" i="39"/>
  <c r="E8" i="39" s="1"/>
  <c r="I12" i="39"/>
  <c r="G18" i="39"/>
  <c r="G8" i="39" s="1"/>
  <c r="Q5" i="48"/>
  <c r="X51" i="38"/>
  <c r="X8" i="38" s="1"/>
  <c r="AB14" i="38"/>
  <c r="BH51" i="38"/>
  <c r="BH8" i="38" s="1"/>
  <c r="BL14" i="38"/>
  <c r="BL51" i="38" s="1"/>
  <c r="BL8" i="38" s="1"/>
  <c r="AZ14" i="40"/>
  <c r="AZ16" i="40" s="1"/>
  <c r="AZ8" i="40" s="1"/>
  <c r="AV16" i="40"/>
  <c r="AV8" i="40" s="1"/>
  <c r="AZ16" i="39"/>
  <c r="AZ18" i="39" s="1"/>
  <c r="AZ8" i="39" s="1"/>
  <c r="AV18" i="39"/>
  <c r="AV8" i="39" s="1"/>
  <c r="AV51" i="38"/>
  <c r="AV8" i="38" s="1"/>
  <c r="AZ44" i="38"/>
  <c r="AZ51" i="38" s="1"/>
  <c r="AZ8" i="38" s="1"/>
  <c r="I16" i="39"/>
  <c r="I14" i="40"/>
  <c r="V16" i="39"/>
  <c r="V18" i="39" s="1"/>
  <c r="V8" i="39" s="1"/>
  <c r="R18" i="39"/>
  <c r="R8" i="39" s="1"/>
  <c r="I43" i="38"/>
  <c r="M33" i="46"/>
  <c r="O5" i="48"/>
  <c r="M33" i="48"/>
  <c r="I12" i="41"/>
  <c r="E17" i="41"/>
  <c r="E8" i="41" s="1"/>
  <c r="AJ16" i="40"/>
  <c r="AJ8" i="40" s="1"/>
  <c r="AN12" i="40"/>
  <c r="AN16" i="40" s="1"/>
  <c r="AN8" i="40" s="1"/>
  <c r="E16" i="40"/>
  <c r="E8" i="40" s="1"/>
  <c r="I12" i="40"/>
  <c r="I16" i="40" s="1"/>
  <c r="I8" i="40" s="1"/>
  <c r="O5" i="45"/>
  <c r="O5" i="47"/>
  <c r="P12" i="38"/>
  <c r="L51" i="38"/>
  <c r="L8" i="38" s="1"/>
  <c r="R33" i="48"/>
  <c r="BB18" i="39"/>
  <c r="BB8" i="39" s="1"/>
  <c r="BF12" i="39"/>
  <c r="BF18" i="39" s="1"/>
  <c r="BF8" i="39" s="1"/>
  <c r="P33" i="47"/>
  <c r="P14" i="38"/>
  <c r="Q33" i="48"/>
  <c r="BL12" i="39"/>
  <c r="BL18" i="39" s="1"/>
  <c r="BL8" i="39" s="1"/>
  <c r="BH18" i="39"/>
  <c r="BH8" i="39" s="1"/>
  <c r="I44" i="38"/>
  <c r="AT16" i="39"/>
  <c r="AT18" i="39" s="1"/>
  <c r="AT8" i="39" s="1"/>
  <c r="AP18" i="39"/>
  <c r="AP8" i="39" s="1"/>
  <c r="AT43" i="38"/>
  <c r="AT51" i="38" s="1"/>
  <c r="AT8" i="38" s="1"/>
  <c r="AP51" i="38"/>
  <c r="AP8" i="38" s="1"/>
  <c r="P12" i="41"/>
  <c r="P17" i="41" s="1"/>
  <c r="P8" i="41" s="1"/>
  <c r="L17" i="41"/>
  <c r="L8" i="41" s="1"/>
  <c r="L16" i="40"/>
  <c r="L8" i="40" s="1"/>
  <c r="P12" i="40"/>
  <c r="P16" i="40" s="1"/>
  <c r="P8" i="40" s="1"/>
  <c r="I12" i="38"/>
  <c r="E51" i="38"/>
  <c r="E8" i="38" s="1"/>
  <c r="X18" i="39"/>
  <c r="X8" i="39" s="1"/>
  <c r="AB12" i="39"/>
  <c r="BN51" i="38"/>
  <c r="BN8" i="38" s="1"/>
  <c r="BR14" i="38"/>
  <c r="BR51" i="38" s="1"/>
  <c r="BR8" i="38" s="1"/>
  <c r="BB16" i="40"/>
  <c r="BB8" i="40" s="1"/>
  <c r="BF12" i="40"/>
  <c r="BF16" i="40" s="1"/>
  <c r="BF8" i="40" s="1"/>
  <c r="AZ15" i="41"/>
  <c r="AZ17" i="41" s="1"/>
  <c r="AZ8" i="41" s="1"/>
  <c r="AV17" i="41"/>
  <c r="AV8" i="41" s="1"/>
  <c r="AT15" i="41"/>
  <c r="AT17" i="41" s="1"/>
  <c r="AT8" i="41" s="1"/>
  <c r="AP17" i="41"/>
  <c r="AP8" i="41" s="1"/>
  <c r="L18" i="39"/>
  <c r="L8" i="39" s="1"/>
  <c r="P12" i="39"/>
  <c r="P18" i="39" s="1"/>
  <c r="P8" i="39" s="1"/>
  <c r="P33" i="46"/>
  <c r="AP16" i="40"/>
  <c r="AP8" i="40" s="1"/>
  <c r="AT14" i="40"/>
  <c r="AT16" i="40" s="1"/>
  <c r="AT8" i="40" s="1"/>
  <c r="I15" i="41"/>
  <c r="V15" i="41"/>
  <c r="V17" i="41" s="1"/>
  <c r="V8" i="41" s="1"/>
  <c r="R17" i="41"/>
  <c r="R8" i="41" s="1"/>
  <c r="V43" i="38"/>
  <c r="R51" i="38"/>
  <c r="R8" i="38" s="1"/>
  <c r="AN12" i="41"/>
  <c r="AN17" i="41" s="1"/>
  <c r="AN8" i="41" s="1"/>
  <c r="AJ17" i="41"/>
  <c r="AJ8" i="41" s="1"/>
  <c r="I7" i="48"/>
  <c r="G17" i="41"/>
  <c r="G8" i="41" s="1"/>
  <c r="G51" i="38"/>
  <c r="G8" i="38" s="1"/>
  <c r="AN12" i="39"/>
  <c r="AN18" i="39" s="1"/>
  <c r="AN8" i="39" s="1"/>
  <c r="AJ18" i="39"/>
  <c r="AJ8" i="39" s="1"/>
  <c r="G16" i="40"/>
  <c r="G8" i="40" s="1"/>
  <c r="M33" i="45"/>
  <c r="X17" i="41"/>
  <c r="X8" i="41" s="1"/>
  <c r="AB12" i="41"/>
  <c r="AB17" i="41" s="1"/>
  <c r="AB8" i="41" s="1"/>
  <c r="BN16" i="40"/>
  <c r="BN8" i="40" s="1"/>
  <c r="BR12" i="40"/>
  <c r="BR16" i="40" s="1"/>
  <c r="BR8" i="40" s="1"/>
  <c r="BN17" i="41"/>
  <c r="BN8" i="41" s="1"/>
  <c r="BR12" i="41"/>
  <c r="BR17" i="41" s="1"/>
  <c r="BR8" i="41" s="1"/>
  <c r="BF12" i="41"/>
  <c r="BF17" i="41" s="1"/>
  <c r="BF8" i="41" s="1"/>
  <c r="BB17" i="41"/>
  <c r="BB8" i="41" s="1"/>
  <c r="BL12" i="40"/>
  <c r="BL16" i="40" s="1"/>
  <c r="BL8" i="40" s="1"/>
  <c r="BH16" i="40"/>
  <c r="BH8" i="40" s="1"/>
  <c r="BH17" i="41"/>
  <c r="BH8" i="41" s="1"/>
  <c r="BL12" i="41"/>
  <c r="BL17" i="41" s="1"/>
  <c r="BL8" i="41" s="1"/>
  <c r="AB18" i="39" l="1"/>
  <c r="AB8" i="39" s="1"/>
  <c r="AB51" i="38"/>
  <c r="AB8" i="38" s="1"/>
  <c r="BX17" i="41"/>
  <c r="BX8" i="41" s="1"/>
  <c r="BX51" i="38"/>
  <c r="BX8" i="38" s="1"/>
  <c r="V51" i="38"/>
  <c r="V8" i="38" s="1"/>
  <c r="BX18" i="39"/>
  <c r="BX8" i="39" s="1"/>
  <c r="I51" i="38"/>
  <c r="I8" i="38" s="1"/>
  <c r="I18" i="39"/>
  <c r="I8" i="39" s="1"/>
  <c r="P51" i="38"/>
  <c r="P8" i="38" s="1"/>
  <c r="I17" i="41"/>
  <c r="I8" i="41" s="1"/>
</calcChain>
</file>

<file path=xl/sharedStrings.xml><?xml version="1.0" encoding="utf-8"?>
<sst xmlns="http://schemas.openxmlformats.org/spreadsheetml/2006/main" count="1404" uniqueCount="250">
  <si>
    <t>Date</t>
  </si>
  <si>
    <t>Année</t>
  </si>
  <si>
    <t>Total</t>
  </si>
  <si>
    <t>Janvier</t>
  </si>
  <si>
    <t>Février</t>
  </si>
  <si>
    <t>Mars</t>
  </si>
  <si>
    <t>Avril</t>
  </si>
  <si>
    <t>Mai</t>
  </si>
  <si>
    <t>Juin</t>
  </si>
  <si>
    <t>Juillet</t>
  </si>
  <si>
    <t>Septembre</t>
  </si>
  <si>
    <t>Octobre</t>
  </si>
  <si>
    <t>Novembre</t>
  </si>
  <si>
    <t>Décembre</t>
  </si>
  <si>
    <t>Mois</t>
  </si>
  <si>
    <t>Annee</t>
  </si>
  <si>
    <t>Dépliants</t>
  </si>
  <si>
    <t xml:space="preserve"> </t>
  </si>
  <si>
    <t>Autres</t>
  </si>
  <si>
    <t>Observations</t>
  </si>
  <si>
    <t>Fiche n°</t>
  </si>
  <si>
    <t>Code fiche</t>
  </si>
  <si>
    <t>Colline</t>
  </si>
  <si>
    <t>Lieu d'intervention</t>
  </si>
  <si>
    <t>Nom Réseau</t>
  </si>
  <si>
    <t>ASBL</t>
  </si>
  <si>
    <t>Thèmes</t>
  </si>
  <si>
    <t>Démo Preservatif</t>
  </si>
  <si>
    <t>Témoignage</t>
  </si>
  <si>
    <t>Matériel distribué</t>
  </si>
  <si>
    <t>Cible</t>
  </si>
  <si>
    <t>Femmes</t>
  </si>
  <si>
    <t>Hommes</t>
  </si>
  <si>
    <t>Matériels distribués</t>
  </si>
  <si>
    <t>Variables</t>
  </si>
  <si>
    <t>OUI</t>
  </si>
  <si>
    <t>NON</t>
  </si>
  <si>
    <t>IST/VIH SIDA</t>
  </si>
  <si>
    <t>Violences sexuelles/VBG</t>
  </si>
  <si>
    <t>Amour et Sexualité</t>
  </si>
  <si>
    <t>Grossesses non désirées</t>
  </si>
  <si>
    <t>PF</t>
  </si>
  <si>
    <t>CPN</t>
  </si>
  <si>
    <t>AB01</t>
  </si>
  <si>
    <t>AB02</t>
  </si>
  <si>
    <t>AB04</t>
  </si>
  <si>
    <t>AB06</t>
  </si>
  <si>
    <t>AB03</t>
  </si>
  <si>
    <t>AB05</t>
  </si>
  <si>
    <t>AB07</t>
  </si>
  <si>
    <t>Condoms</t>
  </si>
  <si>
    <t>Jeunes et Adolescents</t>
  </si>
  <si>
    <t>Mixte</t>
  </si>
  <si>
    <t>PARAMETRAGE</t>
  </si>
  <si>
    <t>PE1</t>
  </si>
  <si>
    <t>PE4</t>
  </si>
  <si>
    <t>PE2</t>
  </si>
  <si>
    <t>PE5</t>
  </si>
  <si>
    <t>PE7</t>
  </si>
  <si>
    <t>AN1</t>
  </si>
  <si>
    <t>AN2</t>
  </si>
  <si>
    <t>AN4</t>
  </si>
  <si>
    <t>AN6</t>
  </si>
  <si>
    <t>no comment</t>
  </si>
  <si>
    <t>comments</t>
  </si>
  <si>
    <t>NOM</t>
  </si>
  <si>
    <t>Mot de Passe</t>
  </si>
  <si>
    <t>Accès</t>
  </si>
  <si>
    <t>Menu</t>
  </si>
  <si>
    <t>Paramètres</t>
  </si>
  <si>
    <t>x</t>
  </si>
  <si>
    <t>X = je donne accès</t>
  </si>
  <si>
    <t>Données</t>
  </si>
  <si>
    <t>Programme</t>
  </si>
  <si>
    <t>Espace Admin</t>
  </si>
  <si>
    <t>Selectionnez l'année</t>
  </si>
  <si>
    <t>Variales</t>
  </si>
  <si>
    <t>TOTAL</t>
  </si>
  <si>
    <t>Rapport de :</t>
  </si>
  <si>
    <t>GIZ</t>
  </si>
  <si>
    <t>Structure</t>
  </si>
  <si>
    <t>Imprimé le :</t>
  </si>
  <si>
    <t>A</t>
  </si>
  <si>
    <t>B</t>
  </si>
  <si>
    <t>C</t>
  </si>
  <si>
    <t>D</t>
  </si>
  <si>
    <t>E</t>
  </si>
  <si>
    <t>F</t>
  </si>
  <si>
    <t>ECOLE</t>
  </si>
  <si>
    <t>COMMUNAUTE</t>
  </si>
  <si>
    <t>AUTRES</t>
  </si>
  <si>
    <t>* Base de données Fiches  Capitalisation des actions communes des réseaux *</t>
  </si>
  <si>
    <t>BACKUP</t>
  </si>
  <si>
    <t>USER</t>
  </si>
  <si>
    <t>LAETITIA</t>
  </si>
  <si>
    <t>REMY</t>
  </si>
  <si>
    <t>BLAISE</t>
  </si>
  <si>
    <t>PIERRE</t>
  </si>
  <si>
    <t>NTURENGAHO</t>
  </si>
  <si>
    <t>FVS</t>
  </si>
  <si>
    <t>RENAJES</t>
  </si>
  <si>
    <t>SYM</t>
  </si>
  <si>
    <t>remi</t>
  </si>
  <si>
    <t>blaise</t>
  </si>
  <si>
    <t>peter</t>
  </si>
  <si>
    <t>nturengaho</t>
  </si>
  <si>
    <t>amade</t>
  </si>
  <si>
    <t>renajes</t>
  </si>
  <si>
    <t>sym</t>
  </si>
  <si>
    <t>Réseaux/Poste</t>
  </si>
  <si>
    <t>Province Sanitaire</t>
  </si>
  <si>
    <t>District Sanitaire</t>
  </si>
  <si>
    <t>CDS Muramya</t>
  </si>
  <si>
    <t>CDS Bugarama</t>
  </si>
  <si>
    <t>Province sanitaire</t>
  </si>
  <si>
    <t>Muramya</t>
  </si>
  <si>
    <t>Mwaro</t>
  </si>
  <si>
    <t>Gitega</t>
  </si>
  <si>
    <t>FVS AMADE</t>
  </si>
  <si>
    <t>District sanitaire</t>
  </si>
  <si>
    <t>Kiganda</t>
  </si>
  <si>
    <t>Fota</t>
  </si>
  <si>
    <t>Kibumbu</t>
  </si>
  <si>
    <t>Aucun</t>
  </si>
  <si>
    <t>CDS Rwesa</t>
  </si>
  <si>
    <t>CDS Shumba</t>
  </si>
  <si>
    <t>CDS Busangana</t>
  </si>
  <si>
    <t>CDS Giko</t>
  </si>
  <si>
    <t>PS Gatabo</t>
  </si>
  <si>
    <t>CDS Rwuya</t>
  </si>
  <si>
    <t>CDS Kivoga</t>
  </si>
  <si>
    <t>CDS Rugari</t>
  </si>
  <si>
    <t>CDS Kaniga</t>
  </si>
  <si>
    <t>PS Rutegama</t>
  </si>
  <si>
    <t>CDS Munyinga</t>
  </si>
  <si>
    <t>CDS Marumane</t>
  </si>
  <si>
    <t>CDS Mutumba</t>
  </si>
  <si>
    <t>CDS Rwintare</t>
  </si>
  <si>
    <t>PS Nyarucamo</t>
  </si>
  <si>
    <t>CDS Fota</t>
  </si>
  <si>
    <t>CDS Gisozi</t>
  </si>
  <si>
    <t>CDS Ndava</t>
  </si>
  <si>
    <t>CDS Buziracanda</t>
  </si>
  <si>
    <t>CDS Nyabisaka</t>
  </si>
  <si>
    <t>CDS Nyabihanga</t>
  </si>
  <si>
    <t>CDS Muyebe</t>
  </si>
  <si>
    <t>CDS Croix Rouge</t>
  </si>
  <si>
    <t>CDS Kibumbu</t>
  </si>
  <si>
    <t>CDS Bisoro</t>
  </si>
  <si>
    <t>CDS Kanka</t>
  </si>
  <si>
    <t>CDS Bukinga</t>
  </si>
  <si>
    <t>CDS Giheta</t>
  </si>
  <si>
    <t>CDS Gasuna</t>
  </si>
  <si>
    <t>CDS Notre Dame d'Afrique</t>
  </si>
  <si>
    <t>CDS Mubuga</t>
  </si>
  <si>
    <t>CDS Mungwa</t>
  </si>
  <si>
    <t>CDS Rutoki</t>
  </si>
  <si>
    <t>CDS Gitega</t>
  </si>
  <si>
    <t>CDS Mushasha</t>
  </si>
  <si>
    <t>CDS Ceru</t>
  </si>
  <si>
    <t>Animateur - PE 1</t>
  </si>
  <si>
    <t>Animateur - PE 2</t>
  </si>
  <si>
    <t>FICHE  D'IDENTIFICATION CDS</t>
  </si>
  <si>
    <t>Aout</t>
  </si>
  <si>
    <t>SEXE</t>
  </si>
  <si>
    <t>H</t>
  </si>
  <si>
    <t>LIEU D'INTERVENTION</t>
  </si>
  <si>
    <t>THEMES TRAITES</t>
  </si>
  <si>
    <t>RAPPORT</t>
  </si>
  <si>
    <t>Sélectinnez l'année</t>
  </si>
  <si>
    <t>Synthèse : Lieu d'Intervention</t>
  </si>
  <si>
    <t>G</t>
  </si>
  <si>
    <t>Synthèse : Thèmes traités</t>
  </si>
  <si>
    <t>DS</t>
  </si>
  <si>
    <t>PS</t>
  </si>
  <si>
    <t>Réseaux</t>
  </si>
  <si>
    <t>Réseau</t>
  </si>
  <si>
    <t>Si Autres Lieu</t>
  </si>
  <si>
    <t>Si Autres Thème</t>
  </si>
  <si>
    <t>Si Autre Materiel</t>
  </si>
  <si>
    <t>Reseaux</t>
  </si>
  <si>
    <t>RecapGlobal</t>
  </si>
  <si>
    <t>Reseaux-mois</t>
  </si>
  <si>
    <t>DS-mois</t>
  </si>
  <si>
    <t>PS-mois</t>
  </si>
  <si>
    <t>ASBL-mois</t>
  </si>
  <si>
    <t>Reseaux-année</t>
  </si>
  <si>
    <t>DS-année</t>
  </si>
  <si>
    <t>PS-année</t>
  </si>
  <si>
    <t>ASBL-année</t>
  </si>
  <si>
    <t>laety</t>
  </si>
  <si>
    <t>TOTAL FICHES</t>
  </si>
  <si>
    <t>DEMO. PRESERVATIF</t>
  </si>
  <si>
    <t>TEMOIGNAGE</t>
  </si>
  <si>
    <t>Analyse Matériels distribué en fonction du lieu d'intervention</t>
  </si>
  <si>
    <t>Analyse axée sur les cibles</t>
  </si>
  <si>
    <t>J-ADOS</t>
  </si>
  <si>
    <t>M</t>
  </si>
  <si>
    <t>Masculin</t>
  </si>
  <si>
    <t>Féminin</t>
  </si>
  <si>
    <t>Durée (En minutes)</t>
  </si>
  <si>
    <t>TOTAL MASCULIN</t>
  </si>
  <si>
    <t>TOTAL FEMININ</t>
  </si>
  <si>
    <t>MASCULIN</t>
  </si>
  <si>
    <t>FEMININ</t>
  </si>
  <si>
    <t>Total Masculin</t>
  </si>
  <si>
    <t>Total Féminin</t>
  </si>
  <si>
    <t>YES</t>
  </si>
  <si>
    <t>CENTRE DE SANTE</t>
  </si>
  <si>
    <t>AB08</t>
  </si>
  <si>
    <t>EGLISE</t>
  </si>
  <si>
    <t>DELIVRANCE</t>
  </si>
  <si>
    <t>BIBLE</t>
  </si>
  <si>
    <t>PE8</t>
  </si>
  <si>
    <t>FILTRAGE MOIS</t>
  </si>
  <si>
    <t>DE</t>
  </si>
  <si>
    <t>&gt;0</t>
  </si>
  <si>
    <t>&lt;2</t>
  </si>
  <si>
    <t>&gt;1</t>
  </si>
  <si>
    <t>&lt;3</t>
  </si>
  <si>
    <t>&gt;2</t>
  </si>
  <si>
    <t>&lt;4</t>
  </si>
  <si>
    <t>&gt;3</t>
  </si>
  <si>
    <t>&lt;5</t>
  </si>
  <si>
    <t>&gt;4</t>
  </si>
  <si>
    <t>&lt;6</t>
  </si>
  <si>
    <t>&gt;5</t>
  </si>
  <si>
    <t>&lt;7</t>
  </si>
  <si>
    <t>&gt;6</t>
  </si>
  <si>
    <t>&lt;8</t>
  </si>
  <si>
    <t>&gt;7</t>
  </si>
  <si>
    <t>&lt;9</t>
  </si>
  <si>
    <t>&gt;8</t>
  </si>
  <si>
    <t>&lt;10</t>
  </si>
  <si>
    <t>&gt;9</t>
  </si>
  <si>
    <t>&lt;11</t>
  </si>
  <si>
    <t>&gt;10</t>
  </si>
  <si>
    <t>&lt;12</t>
  </si>
  <si>
    <t>&gt;11</t>
  </si>
  <si>
    <t>&lt;13</t>
  </si>
  <si>
    <t>NE PAS EFFACER</t>
  </si>
  <si>
    <t>Réseaux -Période</t>
  </si>
  <si>
    <t>District Sanitaire -Période</t>
  </si>
  <si>
    <t>Province Sanitaire -</t>
  </si>
  <si>
    <t>Période</t>
  </si>
  <si>
    <t>ASBL - Période</t>
  </si>
  <si>
    <t>Reseaux-Période</t>
  </si>
  <si>
    <t>DS-Période</t>
  </si>
  <si>
    <t>PS-Période</t>
  </si>
  <si>
    <t>ASBL-Période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</si>
</sst>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164" formatCode="[$-F800]dddd\,\ mmmm\ dd\,\ yyyy"/>
    <numFmt numFmtId="165" formatCode="#,##0\ [$XAF]"/>
    <numFmt numFmtId="166" formatCode="[$-40C]d\-mmm\-yy;@"/>
    <numFmt numFmtId="167" formatCode="_(* #,##0.00_);_(* \(#,##0.00\);_(* &quot;-&quot;??_);_(@_)"/>
    <numFmt numFmtId="168" formatCode="_(&quot;$&quot;* #,##0.00_);_(&quot;$&quot;* \(#,##0.00\);_(&quot;$&quot;* &quot;-&quot;??_);_(@_)"/>
  </numFmts>
  <fonts count="5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Verdana"/>
      <family val="2"/>
    </font>
    <font>
      <b/>
      <u/>
      <sz val="10"/>
      <name val="Verdana"/>
      <family val="2"/>
    </font>
    <font>
      <sz val="11"/>
      <color rgb="FFCC6F2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Book Antiqua"/>
      <family val="1"/>
    </font>
    <font>
      <b/>
      <sz val="11"/>
      <color theme="1"/>
      <name val="Book Antiqua"/>
      <family val="1"/>
    </font>
    <font>
      <b/>
      <sz val="16"/>
      <color theme="1"/>
      <name val="Book Antiqua"/>
      <family val="1"/>
    </font>
    <font>
      <b/>
      <sz val="8"/>
      <color theme="0"/>
      <name val="Book Antiqua"/>
      <family val="1"/>
    </font>
    <font>
      <sz val="8"/>
      <name val="Trebuchet MS"/>
      <family val="2"/>
    </font>
    <font>
      <sz val="10"/>
      <name val="Arial"/>
      <family val="2"/>
    </font>
    <font>
      <b/>
      <sz val="22"/>
      <color theme="9" tint="-0.499984740745262"/>
      <name val="Berlin Sans FB Demi"/>
      <family val="2"/>
    </font>
    <font>
      <sz val="11"/>
      <color theme="1"/>
      <name val="Calibri Light"/>
      <family val="2"/>
    </font>
    <font>
      <b/>
      <sz val="11"/>
      <color theme="1"/>
      <name val="Calibri Light"/>
      <family val="2"/>
    </font>
    <font>
      <sz val="10"/>
      <color theme="1"/>
      <name val="Calibri Light"/>
      <family val="2"/>
    </font>
    <font>
      <b/>
      <sz val="10"/>
      <name val="Calibri Light"/>
      <family val="2"/>
    </font>
    <font>
      <b/>
      <sz val="11"/>
      <name val="Calibri Light"/>
      <family val="2"/>
    </font>
    <font>
      <b/>
      <sz val="14"/>
      <name val="Franklin Gothic Heavy"/>
      <family val="2"/>
    </font>
    <font>
      <b/>
      <sz val="12"/>
      <color theme="1"/>
      <name val="Eras Light ITC"/>
      <family val="2"/>
    </font>
    <font>
      <b/>
      <sz val="16"/>
      <color theme="9" tint="-0.499984740745262"/>
      <name val="Calibri"/>
      <family val="2"/>
    </font>
    <font>
      <b/>
      <sz val="16"/>
      <name val="Calibri"/>
      <family val="2"/>
    </font>
    <font>
      <sz val="11"/>
      <color theme="1"/>
      <name val="Calibri"/>
      <family val="2"/>
    </font>
    <font>
      <b/>
      <sz val="12"/>
      <color theme="9" tint="-0.499984740745262"/>
      <name val="Berlin Sans FB Demi"/>
      <family val="2"/>
    </font>
    <font>
      <b/>
      <sz val="12"/>
      <name val="Calibri Light"/>
      <family val="2"/>
    </font>
    <font>
      <sz val="12"/>
      <color theme="1"/>
      <name val="Eras Demi ITC"/>
      <family val="2"/>
    </font>
    <font>
      <sz val="14"/>
      <color theme="1"/>
      <name val="Berlin Sans FB Demi"/>
      <family val="2"/>
    </font>
    <font>
      <sz val="20"/>
      <color theme="9" tint="-0.499984740745262"/>
      <name val="Berlin Sans FB Demi"/>
      <family val="2"/>
    </font>
    <font>
      <b/>
      <u/>
      <sz val="11"/>
      <color theme="1"/>
      <name val="Calibri"/>
      <family val="2"/>
      <scheme val="minor"/>
    </font>
    <font>
      <b/>
      <sz val="14"/>
      <color theme="9" tint="-0.499984740745262"/>
      <name val="Candara"/>
      <family val="2"/>
    </font>
    <font>
      <b/>
      <sz val="12"/>
      <color theme="1"/>
      <name val="Book Antiqua"/>
      <family val="1"/>
    </font>
    <font>
      <b/>
      <sz val="12"/>
      <color theme="1"/>
      <name val="Calibri"/>
      <family val="2"/>
      <scheme val="minor"/>
    </font>
    <font>
      <b/>
      <u/>
      <sz val="10"/>
      <name val="Verdana"/>
      <family val="2"/>
    </font>
    <font>
      <sz val="11"/>
      <color theme="1"/>
      <name val="Maiandra GD"/>
      <family val="2"/>
    </font>
    <font>
      <sz val="10"/>
      <color theme="1"/>
      <name val="Maiandra GD"/>
      <family val="2"/>
    </font>
    <font>
      <sz val="20"/>
      <color theme="1"/>
      <name val="Berlin Sans FB Demi"/>
      <family val="2"/>
    </font>
    <font>
      <b/>
      <sz val="11"/>
      <color theme="1"/>
      <name val="Verdana"/>
      <family val="2"/>
    </font>
    <font>
      <b/>
      <sz val="11"/>
      <color theme="1"/>
      <name val="Maiandra GD"/>
      <family val="2"/>
    </font>
    <font>
      <b/>
      <sz val="18"/>
      <color theme="1"/>
      <name val="Book Antiqua"/>
      <family val="1"/>
    </font>
    <font>
      <b/>
      <sz val="12"/>
      <color theme="1"/>
      <name val="Calibri Light"/>
      <family val="2"/>
    </font>
    <font>
      <b/>
      <sz val="14"/>
      <color theme="1"/>
      <name val="Calibri"/>
      <family val="2"/>
    </font>
    <font>
      <sz val="11"/>
      <color theme="0"/>
      <name val="Book Antiqua"/>
      <family val="1"/>
    </font>
    <font>
      <sz val="8"/>
      <color theme="1"/>
      <name val="Tahoma"/>
      <family val="2"/>
    </font>
    <font>
      <sz val="9"/>
      <color theme="1"/>
      <name val="Verdana"/>
      <family val="2"/>
    </font>
    <font>
      <b/>
      <sz val="9"/>
      <color theme="3"/>
      <name val="Verdana"/>
      <family val="2"/>
    </font>
    <font>
      <u/>
      <sz val="8"/>
      <color theme="10"/>
      <name val="Tahoma"/>
      <family val="2"/>
    </font>
    <font>
      <b/>
      <u/>
      <sz val="9"/>
      <color theme="3"/>
      <name val="Verdana"/>
      <family val="2"/>
    </font>
    <font>
      <b/>
      <sz val="9"/>
      <color theme="1"/>
      <name val="Verdana"/>
      <family val="2"/>
    </font>
    <font>
      <sz val="11"/>
      <color theme="1"/>
      <name val="Verdana"/>
      <family val="2"/>
    </font>
    <font>
      <b/>
      <sz val="6"/>
      <color theme="1"/>
      <name val="Verdana"/>
      <family val="2"/>
    </font>
    <font>
      <sz val="7"/>
      <color theme="1"/>
      <name val="Verdana"/>
      <family val="2"/>
    </font>
    <font>
      <b/>
      <sz val="24"/>
      <color theme="5"/>
      <name val="Maiandra GD"/>
      <family val="2"/>
    </font>
    <font>
      <sz val="8"/>
      <color theme="1"/>
      <name val="Verdana"/>
      <family val="2"/>
    </font>
    <font>
      <sz val="10"/>
      <color theme="1"/>
      <name val="Book Antiqua"/>
      <family val="1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7"/>
      <color theme="8" tint="0.59999389629810485"/>
      <name val="Verdana"/>
      <family val="2"/>
    </font>
    <font>
      <sz val="7"/>
      <color theme="0"/>
      <name val="Verdana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3DE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5757"/>
        <bgColor indexed="64"/>
      </patternFill>
    </fill>
  </fills>
  <borders count="7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theme="0" tint="-0.149967955565050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theme="2" tint="-0.499984740745262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thin">
        <color theme="2" tint="-0.499984740745262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2" tint="-0.499984740745262"/>
      </bottom>
      <diagonal/>
    </border>
    <border>
      <left/>
      <right/>
      <top style="double">
        <color theme="3"/>
      </top>
      <bottom/>
      <diagonal/>
    </border>
    <border>
      <left/>
      <right style="double">
        <color theme="3"/>
      </right>
      <top style="double">
        <color theme="3"/>
      </top>
      <bottom/>
      <diagonal/>
    </border>
    <border>
      <left style="double">
        <color theme="3"/>
      </left>
      <right/>
      <top/>
      <bottom/>
      <diagonal/>
    </border>
    <border>
      <left/>
      <right style="double">
        <color theme="3"/>
      </right>
      <top/>
      <bottom/>
      <diagonal/>
    </border>
    <border>
      <left style="double">
        <color theme="3"/>
      </left>
      <right/>
      <top/>
      <bottom style="double">
        <color theme="3"/>
      </bottom>
      <diagonal/>
    </border>
    <border>
      <left/>
      <right/>
      <top/>
      <bottom style="double">
        <color theme="3"/>
      </bottom>
      <diagonal/>
    </border>
    <border>
      <left/>
      <right style="double">
        <color theme="3"/>
      </right>
      <top/>
      <bottom style="double">
        <color theme="3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theme="0" tint="-0.14996795556505021"/>
      </right>
      <top/>
      <bottom/>
      <diagonal/>
    </border>
    <border>
      <left style="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</borders>
  <cellStyleXfs count="9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/>
    <xf numFmtId="167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43" fillId="0" borderId="0"/>
    <xf numFmtId="0" fontId="46" fillId="0" borderId="0" applyNumberFormat="0" applyFill="0" applyBorder="0" applyAlignment="0" applyProtection="0"/>
  </cellStyleXfs>
  <cellXfs count="318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2" borderId="5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right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0" borderId="8" xfId="0" applyBorder="1"/>
    <xf numFmtId="0" fontId="0" fillId="0" borderId="9" xfId="0" applyBorder="1"/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/>
    <xf numFmtId="0" fontId="0" fillId="0" borderId="0" xfId="0" applyBorder="1"/>
    <xf numFmtId="0" fontId="0" fillId="3" borderId="6" xfId="0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0" xfId="0" applyFont="1"/>
    <xf numFmtId="0" fontId="9" fillId="0" borderId="0" xfId="0" applyFont="1" applyAlignment="1"/>
    <xf numFmtId="0" fontId="10" fillId="0" borderId="0" xfId="0" applyFont="1" applyAlignment="1"/>
    <xf numFmtId="0" fontId="0" fillId="7" borderId="0" xfId="0" applyFill="1"/>
    <xf numFmtId="0" fontId="14" fillId="0" borderId="0" xfId="0" applyFont="1"/>
    <xf numFmtId="0" fontId="13" fillId="0" borderId="0" xfId="0" applyFont="1" applyAlignment="1"/>
    <xf numFmtId="0" fontId="23" fillId="0" borderId="0" xfId="0" applyFont="1"/>
    <xf numFmtId="0" fontId="24" fillId="0" borderId="0" xfId="0" applyFont="1" applyAlignment="1">
      <alignment horizontal="center"/>
    </xf>
    <xf numFmtId="0" fontId="7" fillId="0" borderId="0" xfId="0" applyFon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5" fontId="0" fillId="0" borderId="0" xfId="0" applyNumberForma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7" borderId="0" xfId="0" applyNumberFormat="1" applyFill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10" xfId="0" applyBorder="1" applyAlignment="1">
      <alignment horizontal="right" vertical="center"/>
    </xf>
    <xf numFmtId="1" fontId="0" fillId="0" borderId="10" xfId="2" applyNumberFormat="1" applyFont="1" applyBorder="1" applyAlignment="1">
      <alignment horizontal="right" vertical="center"/>
    </xf>
    <xf numFmtId="49" fontId="0" fillId="0" borderId="0" xfId="2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10" xfId="0" applyNumberFormat="1" applyFont="1" applyBorder="1" applyAlignment="1">
      <alignment horizontal="right" vertical="center"/>
    </xf>
    <xf numFmtId="3" fontId="5" fillId="0" borderId="0" xfId="2" applyNumberFormat="1" applyFont="1" applyAlignment="1">
      <alignment horizontal="right" vertical="center"/>
    </xf>
    <xf numFmtId="3" fontId="5" fillId="0" borderId="10" xfId="2" applyNumberFormat="1" applyFont="1" applyBorder="1" applyAlignment="1">
      <alignment horizontal="right" vertical="center"/>
    </xf>
    <xf numFmtId="0" fontId="20" fillId="11" borderId="15" xfId="0" applyFont="1" applyFill="1" applyBorder="1" applyAlignment="1">
      <alignment horizontal="center" vertical="top"/>
    </xf>
    <xf numFmtId="0" fontId="20" fillId="4" borderId="16" xfId="0" applyFont="1" applyFill="1" applyBorder="1" applyAlignment="1">
      <alignment horizontal="center" vertical="top"/>
    </xf>
    <xf numFmtId="0" fontId="20" fillId="4" borderId="16" xfId="0" applyFont="1" applyFill="1" applyBorder="1" applyAlignment="1">
      <alignment horizontal="center" vertical="top" wrapText="1"/>
    </xf>
    <xf numFmtId="0" fontId="20" fillId="4" borderId="16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0" fontId="20" fillId="11" borderId="19" xfId="0" applyFont="1" applyFill="1" applyBorder="1" applyAlignment="1">
      <alignment horizontal="center" vertical="top"/>
    </xf>
    <xf numFmtId="0" fontId="0" fillId="9" borderId="18" xfId="0" applyNumberFormat="1" applyFill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9" borderId="20" xfId="0" applyNumberFormat="1" applyFill="1" applyBorder="1" applyAlignment="1">
      <alignment horizontal="center" vertical="center"/>
    </xf>
    <xf numFmtId="0" fontId="1" fillId="14" borderId="6" xfId="0" applyFont="1" applyFill="1" applyBorder="1" applyAlignment="1">
      <alignment horizontal="right" vertical="center"/>
    </xf>
    <xf numFmtId="0" fontId="1" fillId="8" borderId="21" xfId="0" applyFont="1" applyFill="1" applyBorder="1"/>
    <xf numFmtId="0" fontId="1" fillId="8" borderId="22" xfId="0" applyFont="1" applyFill="1" applyBorder="1"/>
    <xf numFmtId="0" fontId="1" fillId="8" borderId="22" xfId="0" applyFont="1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0" fontId="27" fillId="0" borderId="0" xfId="0" applyFont="1" applyAlignment="1"/>
    <xf numFmtId="0" fontId="0" fillId="0" borderId="0" xfId="0" applyAlignment="1"/>
    <xf numFmtId="0" fontId="0" fillId="5" borderId="0" xfId="0" applyFill="1"/>
    <xf numFmtId="0" fontId="28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horizontal="right"/>
    </xf>
    <xf numFmtId="0" fontId="0" fillId="0" borderId="30" xfId="0" applyBorder="1"/>
    <xf numFmtId="0" fontId="0" fillId="0" borderId="31" xfId="0" applyBorder="1"/>
    <xf numFmtId="0" fontId="2" fillId="2" borderId="32" xfId="0" applyFont="1" applyFill="1" applyBorder="1" applyAlignment="1" applyProtection="1">
      <alignment vertical="center"/>
      <protection hidden="1"/>
    </xf>
    <xf numFmtId="0" fontId="2" fillId="2" borderId="33" xfId="0" applyFont="1" applyFill="1" applyBorder="1" applyAlignment="1" applyProtection="1">
      <alignment horizontal="center" vertical="center"/>
      <protection hidden="1"/>
    </xf>
    <xf numFmtId="0" fontId="3" fillId="0" borderId="34" xfId="0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1" fillId="0" borderId="38" xfId="0" applyFont="1" applyBorder="1" applyAlignment="1">
      <alignment horizontal="center" vertical="center"/>
    </xf>
    <xf numFmtId="0" fontId="7" fillId="0" borderId="0" xfId="0" applyFont="1" applyAlignment="1"/>
    <xf numFmtId="0" fontId="7" fillId="0" borderId="0" xfId="0" applyFont="1" applyBorder="1" applyAlignment="1"/>
    <xf numFmtId="0" fontId="30" fillId="0" borderId="14" xfId="0" applyFont="1" applyBorder="1" applyAlignment="1">
      <alignment vertical="top"/>
    </xf>
    <xf numFmtId="9" fontId="7" fillId="7" borderId="0" xfId="1" applyFont="1" applyFill="1" applyBorder="1"/>
    <xf numFmtId="0" fontId="7" fillId="0" borderId="40" xfId="0" applyFont="1" applyBorder="1"/>
    <xf numFmtId="0" fontId="14" fillId="0" borderId="41" xfId="0" applyFont="1" applyBorder="1"/>
    <xf numFmtId="0" fontId="14" fillId="0" borderId="0" xfId="0" applyFont="1" applyBorder="1"/>
    <xf numFmtId="0" fontId="14" fillId="0" borderId="0" xfId="0" applyFont="1" applyBorder="1" applyProtection="1">
      <protection hidden="1"/>
    </xf>
    <xf numFmtId="0" fontId="25" fillId="4" borderId="0" xfId="0" applyFont="1" applyFill="1" applyBorder="1" applyAlignment="1">
      <alignment horizontal="right" vertical="center"/>
    </xf>
    <xf numFmtId="3" fontId="18" fillId="4" borderId="0" xfId="0" applyNumberFormat="1" applyFont="1" applyFill="1" applyBorder="1" applyAlignment="1" applyProtection="1">
      <alignment horizontal="center" vertical="center"/>
      <protection hidden="1"/>
    </xf>
    <xf numFmtId="166" fontId="0" fillId="0" borderId="0" xfId="0" applyNumberFormat="1" applyAlignment="1">
      <alignment horizontal="center" vertical="center"/>
    </xf>
    <xf numFmtId="0" fontId="1" fillId="0" borderId="0" xfId="0" applyFont="1"/>
    <xf numFmtId="0" fontId="1" fillId="5" borderId="0" xfId="0" applyFont="1" applyFill="1"/>
    <xf numFmtId="0" fontId="1" fillId="0" borderId="39" xfId="0" applyFont="1" applyBorder="1"/>
    <xf numFmtId="166" fontId="29" fillId="0" borderId="0" xfId="0" applyNumberFormat="1" applyFont="1"/>
    <xf numFmtId="0" fontId="0" fillId="0" borderId="44" xfId="0" applyBorder="1"/>
    <xf numFmtId="0" fontId="0" fillId="0" borderId="39" xfId="0" applyBorder="1" applyAlignment="1">
      <alignment horizontal="right"/>
    </xf>
    <xf numFmtId="0" fontId="3" fillId="17" borderId="5" xfId="0" applyFont="1" applyFill="1" applyBorder="1" applyAlignment="1">
      <alignment horizontal="left" vertical="center"/>
    </xf>
    <xf numFmtId="0" fontId="3" fillId="17" borderId="5" xfId="0" applyFont="1" applyFill="1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44" xfId="0" applyBorder="1" applyAlignment="1">
      <alignment horizontal="left"/>
    </xf>
    <xf numFmtId="0" fontId="0" fillId="0" borderId="9" xfId="0" applyBorder="1" applyAlignment="1">
      <alignment horizontal="left"/>
    </xf>
    <xf numFmtId="0" fontId="3" fillId="17" borderId="45" xfId="0" applyFont="1" applyFill="1" applyBorder="1" applyAlignment="1">
      <alignment horizontal="center" vertical="center"/>
    </xf>
    <xf numFmtId="0" fontId="33" fillId="17" borderId="19" xfId="0" applyFont="1" applyFill="1" applyBorder="1" applyAlignment="1">
      <alignment horizontal="center" vertical="center"/>
    </xf>
    <xf numFmtId="0" fontId="33" fillId="17" borderId="46" xfId="0" applyFont="1" applyFill="1" applyBorder="1" applyAlignment="1">
      <alignment horizontal="center" vertical="center"/>
    </xf>
    <xf numFmtId="0" fontId="34" fillId="16" borderId="18" xfId="0" applyFont="1" applyFill="1" applyBorder="1"/>
    <xf numFmtId="0" fontId="35" fillId="16" borderId="18" xfId="0" applyFont="1" applyFill="1" applyBorder="1"/>
    <xf numFmtId="0" fontId="0" fillId="0" borderId="49" xfId="0" applyBorder="1" applyAlignment="1">
      <alignment horizontal="right"/>
    </xf>
    <xf numFmtId="0" fontId="29" fillId="17" borderId="5" xfId="0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1" fontId="37" fillId="14" borderId="6" xfId="0" applyNumberFormat="1" applyFont="1" applyFill="1" applyBorder="1" applyAlignment="1">
      <alignment horizontal="right" vertical="center"/>
    </xf>
    <xf numFmtId="3" fontId="37" fillId="14" borderId="6" xfId="0" applyNumberFormat="1" applyFont="1" applyFill="1" applyBorder="1" applyAlignment="1">
      <alignment horizontal="right" vertical="center"/>
    </xf>
    <xf numFmtId="0" fontId="37" fillId="14" borderId="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4" borderId="19" xfId="0" applyFont="1" applyFill="1" applyBorder="1" applyAlignment="1">
      <alignment horizontal="center" vertical="top"/>
    </xf>
    <xf numFmtId="0" fontId="38" fillId="8" borderId="50" xfId="0" applyFont="1" applyFill="1" applyBorder="1" applyAlignment="1">
      <alignment horizontal="center" vertical="center"/>
    </xf>
    <xf numFmtId="0" fontId="38" fillId="19" borderId="50" xfId="0" applyFont="1" applyFill="1" applyBorder="1" applyAlignment="1">
      <alignment horizontal="center" vertical="center"/>
    </xf>
    <xf numFmtId="0" fontId="38" fillId="18" borderId="50" xfId="0" applyFont="1" applyFill="1" applyBorder="1" applyAlignment="1">
      <alignment horizontal="center" vertical="center"/>
    </xf>
    <xf numFmtId="0" fontId="14" fillId="0" borderId="51" xfId="0" applyFont="1" applyBorder="1"/>
    <xf numFmtId="0" fontId="14" fillId="0" borderId="6" xfId="0" applyFont="1" applyBorder="1"/>
    <xf numFmtId="0" fontId="19" fillId="13" borderId="1" xfId="0" applyFont="1" applyFill="1" applyBorder="1" applyAlignment="1">
      <alignment horizontal="left"/>
    </xf>
    <xf numFmtId="0" fontId="14" fillId="0" borderId="52" xfId="0" applyFont="1" applyBorder="1"/>
    <xf numFmtId="0" fontId="14" fillId="0" borderId="12" xfId="0" applyFont="1" applyBorder="1"/>
    <xf numFmtId="0" fontId="13" fillId="0" borderId="0" xfId="0" applyFont="1" applyBorder="1" applyAlignment="1"/>
    <xf numFmtId="0" fontId="8" fillId="0" borderId="0" xfId="0" applyFont="1" applyBorder="1" applyAlignment="1">
      <alignment horizontal="center"/>
    </xf>
    <xf numFmtId="3" fontId="16" fillId="0" borderId="0" xfId="0" applyNumberFormat="1" applyFont="1" applyBorder="1" applyAlignment="1" applyProtection="1">
      <alignment horizontal="center"/>
      <protection hidden="1"/>
    </xf>
    <xf numFmtId="0" fontId="8" fillId="4" borderId="5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15" fillId="0" borderId="0" xfId="0" applyFont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/>
    <xf numFmtId="3" fontId="7" fillId="0" borderId="0" xfId="0" applyNumberFormat="1" applyFont="1" applyFill="1" applyBorder="1"/>
    <xf numFmtId="0" fontId="31" fillId="0" borderId="0" xfId="0" applyFont="1" applyAlignment="1"/>
    <xf numFmtId="3" fontId="16" fillId="0" borderId="56" xfId="0" applyNumberFormat="1" applyFont="1" applyBorder="1" applyAlignment="1" applyProtection="1">
      <alignment horizontal="center"/>
      <protection hidden="1"/>
    </xf>
    <xf numFmtId="3" fontId="15" fillId="9" borderId="56" xfId="0" applyNumberFormat="1" applyFont="1" applyFill="1" applyBorder="1" applyAlignment="1" applyProtection="1">
      <alignment horizontal="center" vertical="center"/>
      <protection hidden="1"/>
    </xf>
    <xf numFmtId="3" fontId="16" fillId="0" borderId="57" xfId="0" applyNumberFormat="1" applyFont="1" applyBorder="1" applyAlignment="1" applyProtection="1">
      <alignment horizontal="center"/>
      <protection hidden="1"/>
    </xf>
    <xf numFmtId="0" fontId="7" fillId="0" borderId="56" xfId="0" applyFont="1" applyBorder="1"/>
    <xf numFmtId="0" fontId="14" fillId="0" borderId="58" xfId="0" applyFont="1" applyBorder="1"/>
    <xf numFmtId="0" fontId="14" fillId="15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14" fillId="0" borderId="0" xfId="0" applyFont="1" applyFill="1" applyBorder="1"/>
    <xf numFmtId="0" fontId="15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/>
    <xf numFmtId="3" fontId="40" fillId="0" borderId="0" xfId="0" applyNumberFormat="1" applyFont="1" applyFill="1" applyBorder="1" applyAlignment="1">
      <alignment horizontal="center" vertical="center"/>
    </xf>
    <xf numFmtId="3" fontId="40" fillId="12" borderId="0" xfId="0" applyNumberFormat="1" applyFont="1" applyFill="1" applyBorder="1" applyAlignment="1">
      <alignment horizontal="center" vertical="center"/>
    </xf>
    <xf numFmtId="3" fontId="40" fillId="8" borderId="0" xfId="0" applyNumberFormat="1" applyFont="1" applyFill="1" applyBorder="1" applyAlignment="1">
      <alignment horizontal="center" vertical="center"/>
    </xf>
    <xf numFmtId="3" fontId="40" fillId="9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40" fillId="0" borderId="0" xfId="0" applyFont="1" applyFill="1" applyBorder="1" applyAlignment="1">
      <alignment horizontal="center" vertical="center"/>
    </xf>
    <xf numFmtId="0" fontId="42" fillId="7" borderId="0" xfId="0" applyFont="1" applyFill="1"/>
    <xf numFmtId="0" fontId="14" fillId="0" borderId="61" xfId="0" applyFont="1" applyBorder="1"/>
    <xf numFmtId="3" fontId="21" fillId="0" borderId="0" xfId="0" applyNumberFormat="1" applyFont="1" applyBorder="1" applyAlignment="1"/>
    <xf numFmtId="0" fontId="44" fillId="0" borderId="0" xfId="7" applyFont="1"/>
    <xf numFmtId="0" fontId="44" fillId="4" borderId="62" xfId="7" applyFont="1" applyFill="1" applyBorder="1"/>
    <xf numFmtId="0" fontId="44" fillId="4" borderId="63" xfId="7" applyFont="1" applyFill="1" applyBorder="1"/>
    <xf numFmtId="0" fontId="44" fillId="4" borderId="64" xfId="7" applyFont="1" applyFill="1" applyBorder="1"/>
    <xf numFmtId="0" fontId="44" fillId="4" borderId="6" xfId="7" applyFont="1" applyFill="1" applyBorder="1"/>
    <xf numFmtId="0" fontId="44" fillId="4" borderId="0" xfId="7" applyFont="1" applyFill="1" applyBorder="1"/>
    <xf numFmtId="0" fontId="44" fillId="4" borderId="65" xfId="7" applyFont="1" applyFill="1" applyBorder="1"/>
    <xf numFmtId="3" fontId="44" fillId="4" borderId="0" xfId="7" applyNumberFormat="1" applyFont="1" applyFill="1" applyBorder="1" applyAlignment="1">
      <alignment horizontal="left"/>
    </xf>
    <xf numFmtId="0" fontId="44" fillId="4" borderId="0" xfId="7" applyFont="1" applyFill="1" applyBorder="1" applyAlignment="1">
      <alignment horizontal="right"/>
    </xf>
    <xf numFmtId="0" fontId="44" fillId="4" borderId="66" xfId="7" applyFont="1" applyFill="1" applyBorder="1"/>
    <xf numFmtId="0" fontId="44" fillId="4" borderId="67" xfId="7" applyFont="1" applyFill="1" applyBorder="1"/>
    <xf numFmtId="0" fontId="44" fillId="4" borderId="68" xfId="7" applyFont="1" applyFill="1" applyBorder="1"/>
    <xf numFmtId="0" fontId="46" fillId="0" borderId="0" xfId="8"/>
    <xf numFmtId="0" fontId="47" fillId="4" borderId="0" xfId="7" applyFont="1" applyFill="1" applyBorder="1" applyAlignment="1"/>
    <xf numFmtId="0" fontId="48" fillId="4" borderId="69" xfId="7" applyFont="1" applyFill="1" applyBorder="1" applyAlignment="1"/>
    <xf numFmtId="0" fontId="49" fillId="0" borderId="0" xfId="0" applyFont="1"/>
    <xf numFmtId="0" fontId="50" fillId="0" borderId="6" xfId="0" applyFont="1" applyBorder="1" applyAlignment="1">
      <alignment horizontal="center" vertical="center"/>
    </xf>
    <xf numFmtId="0" fontId="44" fillId="0" borderId="6" xfId="0" applyFont="1" applyBorder="1"/>
    <xf numFmtId="3" fontId="44" fillId="0" borderId="6" xfId="0" applyNumberFormat="1" applyFont="1" applyBorder="1"/>
    <xf numFmtId="0" fontId="48" fillId="8" borderId="6" xfId="0" applyFont="1" applyFill="1" applyBorder="1"/>
    <xf numFmtId="3" fontId="48" fillId="8" borderId="6" xfId="0" applyNumberFormat="1" applyFont="1" applyFill="1" applyBorder="1"/>
    <xf numFmtId="0" fontId="44" fillId="0" borderId="0" xfId="0" applyFont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3" fontId="44" fillId="0" borderId="6" xfId="0" applyNumberFormat="1" applyFont="1" applyBorder="1" applyAlignment="1">
      <alignment horizontal="center" vertical="center"/>
    </xf>
    <xf numFmtId="0" fontId="44" fillId="8" borderId="6" xfId="0" applyFont="1" applyFill="1" applyBorder="1" applyAlignment="1">
      <alignment horizontal="center" vertical="center"/>
    </xf>
    <xf numFmtId="3" fontId="44" fillId="8" borderId="6" xfId="0" applyNumberFormat="1" applyFont="1" applyFill="1" applyBorder="1" applyAlignment="1">
      <alignment horizontal="center" vertical="center"/>
    </xf>
    <xf numFmtId="0" fontId="51" fillId="0" borderId="6" xfId="0" applyFont="1" applyBorder="1" applyAlignment="1">
      <alignment horizontal="center" vertical="center"/>
    </xf>
    <xf numFmtId="0" fontId="1" fillId="14" borderId="43" xfId="0" applyFont="1" applyFill="1" applyBorder="1" applyAlignment="1">
      <alignment horizontal="center" vertical="center"/>
    </xf>
    <xf numFmtId="0" fontId="20" fillId="10" borderId="16" xfId="0" applyFont="1" applyFill="1" applyBorder="1" applyAlignment="1">
      <alignment horizontal="center" vertical="top" wrapText="1"/>
    </xf>
    <xf numFmtId="0" fontId="20" fillId="10" borderId="16" xfId="0" applyFont="1" applyFill="1" applyBorder="1" applyAlignment="1">
      <alignment horizontal="center" vertical="top"/>
    </xf>
    <xf numFmtId="3" fontId="16" fillId="4" borderId="57" xfId="0" applyNumberFormat="1" applyFont="1" applyFill="1" applyBorder="1" applyAlignment="1" applyProtection="1">
      <alignment horizontal="center"/>
      <protection hidden="1"/>
    </xf>
    <xf numFmtId="3" fontId="16" fillId="12" borderId="57" xfId="0" applyNumberFormat="1" applyFont="1" applyFill="1" applyBorder="1" applyAlignment="1" applyProtection="1">
      <alignment horizontal="center"/>
      <protection hidden="1"/>
    </xf>
    <xf numFmtId="3" fontId="15" fillId="0" borderId="56" xfId="0" applyNumberFormat="1" applyFont="1" applyFill="1" applyBorder="1" applyAlignment="1" applyProtection="1">
      <alignment horizontal="center" vertical="center"/>
      <protection hidden="1"/>
    </xf>
    <xf numFmtId="0" fontId="48" fillId="4" borderId="0" xfId="7" applyFont="1" applyFill="1" applyBorder="1" applyAlignment="1">
      <alignment vertical="center"/>
    </xf>
    <xf numFmtId="0" fontId="48" fillId="0" borderId="0" xfId="7" applyFont="1"/>
    <xf numFmtId="0" fontId="1" fillId="14" borderId="6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44" fillId="0" borderId="0" xfId="7" applyFont="1" applyAlignment="1">
      <alignment horizontal="center"/>
    </xf>
    <xf numFmtId="0" fontId="44" fillId="0" borderId="0" xfId="7" applyFont="1" applyAlignment="1">
      <alignment horizontal="center"/>
    </xf>
    <xf numFmtId="0" fontId="44" fillId="0" borderId="6" xfId="7" applyFont="1" applyBorder="1"/>
    <xf numFmtId="0" fontId="53" fillId="0" borderId="0" xfId="7" applyFont="1"/>
    <xf numFmtId="0" fontId="44" fillId="0" borderId="6" xfId="7" applyFont="1" applyBorder="1" applyAlignment="1">
      <alignment horizontal="center"/>
    </xf>
    <xf numFmtId="0" fontId="44" fillId="0" borderId="0" xfId="7" applyFont="1" applyBorder="1"/>
    <xf numFmtId="9" fontId="44" fillId="0" borderId="6" xfId="7" applyNumberFormat="1" applyFont="1" applyBorder="1" applyAlignment="1">
      <alignment horizontal="center"/>
    </xf>
    <xf numFmtId="0" fontId="53" fillId="0" borderId="6" xfId="7" applyFont="1" applyBorder="1"/>
    <xf numFmtId="0" fontId="53" fillId="0" borderId="12" xfId="7" applyFont="1" applyBorder="1"/>
    <xf numFmtId="0" fontId="44" fillId="4" borderId="18" xfId="7" applyFont="1" applyFill="1" applyBorder="1"/>
    <xf numFmtId="0" fontId="53" fillId="0" borderId="6" xfId="7" applyFont="1" applyBorder="1" applyAlignment="1">
      <alignment horizontal="right"/>
    </xf>
    <xf numFmtId="0" fontId="44" fillId="0" borderId="6" xfId="1" applyNumberFormat="1" applyFont="1" applyBorder="1" applyAlignment="1">
      <alignment horizontal="center"/>
    </xf>
    <xf numFmtId="0" fontId="44" fillId="0" borderId="12" xfId="1" applyNumberFormat="1" applyFont="1" applyBorder="1" applyAlignment="1">
      <alignment horizontal="center"/>
    </xf>
    <xf numFmtId="0" fontId="44" fillId="0" borderId="6" xfId="7" applyFont="1" applyBorder="1" applyAlignment="1">
      <alignment horizontal="left" vertical="center"/>
    </xf>
    <xf numFmtId="9" fontId="44" fillId="0" borderId="6" xfId="7" applyNumberFormat="1" applyFont="1" applyBorder="1" applyAlignment="1">
      <alignment horizontal="left" vertical="center"/>
    </xf>
    <xf numFmtId="0" fontId="44" fillId="19" borderId="0" xfId="7" applyFont="1" applyFill="1" applyAlignment="1">
      <alignment horizontal="center" vertical="center"/>
    </xf>
    <xf numFmtId="0" fontId="53" fillId="0" borderId="6" xfId="7" applyFont="1" applyBorder="1" applyAlignment="1">
      <alignment horizontal="left"/>
    </xf>
    <xf numFmtId="0" fontId="38" fillId="0" borderId="12" xfId="0" applyFont="1" applyFill="1" applyBorder="1" applyAlignment="1">
      <alignment horizontal="center" vertical="center"/>
    </xf>
    <xf numFmtId="0" fontId="38" fillId="0" borderId="13" xfId="0" applyFont="1" applyFill="1" applyBorder="1" applyAlignment="1">
      <alignment horizontal="center" vertical="center"/>
    </xf>
    <xf numFmtId="0" fontId="56" fillId="22" borderId="10" xfId="0" applyFont="1" applyFill="1" applyBorder="1" applyAlignment="1">
      <alignment horizontal="right" vertical="center"/>
    </xf>
    <xf numFmtId="0" fontId="51" fillId="0" borderId="6" xfId="7" applyFont="1" applyBorder="1"/>
    <xf numFmtId="0" fontId="51" fillId="0" borderId="12" xfId="7" applyFont="1" applyBorder="1"/>
    <xf numFmtId="0" fontId="0" fillId="9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1" fontId="0" fillId="0" borderId="0" xfId="0" applyNumberFormat="1" applyFont="1" applyBorder="1" applyAlignment="1">
      <alignment horizontal="right" vertical="center"/>
    </xf>
    <xf numFmtId="0" fontId="0" fillId="0" borderId="71" xfId="0" applyBorder="1" applyAlignment="1">
      <alignment horizontal="right" vertical="center"/>
    </xf>
    <xf numFmtId="0" fontId="38" fillId="8" borderId="72" xfId="0" applyNumberFormat="1" applyFont="1" applyFill="1" applyBorder="1" applyAlignment="1">
      <alignment horizontal="center" vertical="center"/>
    </xf>
    <xf numFmtId="0" fontId="38" fillId="19" borderId="73" xfId="0" applyNumberFormat="1" applyFont="1" applyFill="1" applyBorder="1" applyAlignment="1">
      <alignment horizontal="center" vertical="center"/>
    </xf>
    <xf numFmtId="0" fontId="38" fillId="18" borderId="74" xfId="0" applyNumberFormat="1" applyFont="1" applyFill="1" applyBorder="1" applyAlignment="1">
      <alignment horizontal="center" vertical="center"/>
    </xf>
    <xf numFmtId="44" fontId="0" fillId="0" borderId="0" xfId="2" applyFont="1" applyAlignment="1">
      <alignment horizontal="right" vertical="center"/>
    </xf>
    <xf numFmtId="1" fontId="0" fillId="0" borderId="0" xfId="0" applyNumberFormat="1"/>
    <xf numFmtId="1" fontId="38" fillId="0" borderId="7" xfId="0" applyNumberFormat="1" applyFont="1" applyFill="1" applyBorder="1" applyAlignment="1">
      <alignment horizontal="center" vertical="center"/>
    </xf>
    <xf numFmtId="1" fontId="1" fillId="12" borderId="38" xfId="0" applyNumberFormat="1" applyFont="1" applyFill="1" applyBorder="1" applyAlignment="1">
      <alignment horizontal="center" vertical="center"/>
    </xf>
    <xf numFmtId="1" fontId="20" fillId="4" borderId="16" xfId="0" applyNumberFormat="1" applyFont="1" applyFill="1" applyBorder="1" applyAlignment="1">
      <alignment horizontal="center" vertical="top"/>
    </xf>
    <xf numFmtId="1" fontId="1" fillId="12" borderId="0" xfId="2" applyNumberFormat="1" applyFont="1" applyFill="1" applyAlignment="1">
      <alignment horizontal="right" vertical="center"/>
    </xf>
    <xf numFmtId="1" fontId="1" fillId="12" borderId="0" xfId="2" applyNumberFormat="1" applyFont="1" applyFill="1" applyBorder="1" applyAlignment="1">
      <alignment horizontal="right" vertical="center"/>
    </xf>
    <xf numFmtId="0" fontId="55" fillId="0" borderId="0" xfId="0" applyFont="1"/>
    <xf numFmtId="1" fontId="55" fillId="0" borderId="0" xfId="0" applyNumberFormat="1" applyFont="1"/>
    <xf numFmtId="0" fontId="44" fillId="0" borderId="0" xfId="7" applyFont="1" applyAlignment="1">
      <alignment horizontal="center"/>
    </xf>
    <xf numFmtId="0" fontId="7" fillId="0" borderId="75" xfId="0" applyFont="1" applyBorder="1"/>
    <xf numFmtId="0" fontId="48" fillId="4" borderId="0" xfId="7" applyFont="1" applyFill="1" applyBorder="1" applyAlignment="1"/>
    <xf numFmtId="0" fontId="48" fillId="5" borderId="6" xfId="7" applyFont="1" applyFill="1" applyBorder="1" applyAlignment="1">
      <alignment vertical="center"/>
    </xf>
    <xf numFmtId="0" fontId="57" fillId="4" borderId="0" xfId="7" applyFont="1" applyFill="1" applyBorder="1"/>
    <xf numFmtId="0" fontId="58" fillId="0" borderId="0" xfId="7" applyFont="1"/>
    <xf numFmtId="0" fontId="48" fillId="19" borderId="6" xfId="7" applyFont="1" applyFill="1" applyBorder="1" applyAlignment="1">
      <alignment horizontal="center"/>
    </xf>
    <xf numFmtId="0" fontId="48" fillId="0" borderId="0" xfId="7" applyFont="1" applyAlignment="1">
      <alignment vertical="center"/>
    </xf>
    <xf numFmtId="0" fontId="28" fillId="9" borderId="27" xfId="0" applyFont="1" applyFill="1" applyBorder="1" applyAlignment="1">
      <alignment horizontal="center" vertical="center"/>
    </xf>
    <xf numFmtId="0" fontId="28" fillId="9" borderId="28" xfId="0" applyFont="1" applyFill="1" applyBorder="1" applyAlignment="1">
      <alignment horizontal="center" vertical="center"/>
    </xf>
    <xf numFmtId="0" fontId="28" fillId="9" borderId="29" xfId="0" applyFont="1" applyFill="1" applyBorder="1" applyAlignment="1">
      <alignment horizontal="center" vertical="center"/>
    </xf>
    <xf numFmtId="0" fontId="36" fillId="9" borderId="47" xfId="0" applyFont="1" applyFill="1" applyBorder="1" applyAlignment="1">
      <alignment horizontal="center" vertical="center"/>
    </xf>
    <xf numFmtId="0" fontId="36" fillId="9" borderId="48" xfId="0" applyFont="1" applyFill="1" applyBorder="1" applyAlignment="1">
      <alignment horizontal="center" vertical="center"/>
    </xf>
    <xf numFmtId="3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10" borderId="4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52" fillId="2" borderId="42" xfId="0" applyFont="1" applyFill="1" applyBorder="1" applyAlignment="1">
      <alignment horizontal="center" vertical="center"/>
    </xf>
    <xf numFmtId="0" fontId="52" fillId="2" borderId="0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39" fillId="5" borderId="12" xfId="0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7" fillId="0" borderId="53" xfId="0" applyFont="1" applyBorder="1" applyAlignment="1">
      <alignment horizontal="center"/>
    </xf>
    <xf numFmtId="0" fontId="7" fillId="0" borderId="54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8" fillId="0" borderId="0" xfId="0" applyFont="1" applyAlignment="1">
      <alignment horizontal="center"/>
    </xf>
    <xf numFmtId="3" fontId="22" fillId="4" borderId="1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3" fontId="22" fillId="12" borderId="1" xfId="0" applyNumberFormat="1" applyFont="1" applyFill="1" applyBorder="1" applyAlignment="1">
      <alignment horizontal="center"/>
    </xf>
    <xf numFmtId="0" fontId="22" fillId="12" borderId="2" xfId="0" applyFont="1" applyFill="1" applyBorder="1" applyAlignment="1">
      <alignment horizontal="center"/>
    </xf>
    <xf numFmtId="0" fontId="40" fillId="5" borderId="1" xfId="0" applyFont="1" applyFill="1" applyBorder="1" applyAlignment="1">
      <alignment horizontal="center"/>
    </xf>
    <xf numFmtId="0" fontId="40" fillId="5" borderId="4" xfId="0" applyFont="1" applyFill="1" applyBorder="1" applyAlignment="1">
      <alignment horizontal="center"/>
    </xf>
    <xf numFmtId="0" fontId="40" fillId="5" borderId="2" xfId="0" applyFont="1" applyFill="1" applyBorder="1" applyAlignment="1">
      <alignment horizontal="center"/>
    </xf>
    <xf numFmtId="0" fontId="40" fillId="5" borderId="60" xfId="0" applyFont="1" applyFill="1" applyBorder="1" applyAlignment="1">
      <alignment horizontal="center"/>
    </xf>
    <xf numFmtId="0" fontId="40" fillId="5" borderId="59" xfId="0" applyFont="1" applyFill="1" applyBorder="1" applyAlignment="1">
      <alignment horizontal="center"/>
    </xf>
    <xf numFmtId="0" fontId="15" fillId="0" borderId="12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164" fontId="54" fillId="4" borderId="12" xfId="0" applyNumberFormat="1" applyFont="1" applyFill="1" applyBorder="1" applyAlignment="1">
      <alignment horizontal="center"/>
    </xf>
    <xf numFmtId="164" fontId="54" fillId="4" borderId="13" xfId="0" applyNumberFormat="1" applyFont="1" applyFill="1" applyBorder="1" applyAlignment="1">
      <alignment horizontal="center"/>
    </xf>
    <xf numFmtId="164" fontId="54" fillId="4" borderId="7" xfId="0" applyNumberFormat="1" applyFont="1" applyFill="1" applyBorder="1" applyAlignment="1">
      <alignment horizontal="center"/>
    </xf>
    <xf numFmtId="0" fontId="7" fillId="23" borderId="12" xfId="0" applyFont="1" applyFill="1" applyBorder="1" applyAlignment="1">
      <alignment horizontal="center"/>
    </xf>
    <xf numFmtId="0" fontId="7" fillId="23" borderId="7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24" borderId="12" xfId="0" applyFont="1" applyFill="1" applyBorder="1" applyAlignment="1">
      <alignment horizontal="center"/>
    </xf>
    <xf numFmtId="0" fontId="7" fillId="24" borderId="7" xfId="0" applyFont="1" applyFill="1" applyBorder="1" applyAlignment="1">
      <alignment horizontal="center"/>
    </xf>
    <xf numFmtId="0" fontId="7" fillId="25" borderId="12" xfId="0" applyFont="1" applyFill="1" applyBorder="1" applyAlignment="1">
      <alignment horizontal="center"/>
    </xf>
    <xf numFmtId="0" fontId="7" fillId="25" borderId="13" xfId="0" applyFont="1" applyFill="1" applyBorder="1" applyAlignment="1">
      <alignment horizontal="center"/>
    </xf>
    <xf numFmtId="0" fontId="7" fillId="25" borderId="7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41" fillId="5" borderId="60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2" fillId="0" borderId="69" xfId="0" applyFont="1" applyBorder="1" applyAlignment="1">
      <alignment horizontal="center"/>
    </xf>
    <xf numFmtId="0" fontId="32" fillId="0" borderId="0" xfId="0" applyFont="1" applyAlignment="1">
      <alignment horizontal="center"/>
    </xf>
    <xf numFmtId="166" fontId="29" fillId="0" borderId="0" xfId="0" applyNumberFormat="1" applyFont="1" applyAlignment="1">
      <alignment horizontal="center"/>
    </xf>
    <xf numFmtId="0" fontId="44" fillId="4" borderId="12" xfId="7" applyFont="1" applyFill="1" applyBorder="1" applyAlignment="1">
      <alignment horizontal="center"/>
    </xf>
    <xf numFmtId="0" fontId="44" fillId="4" borderId="7" xfId="7" applyFont="1" applyFill="1" applyBorder="1" applyAlignment="1">
      <alignment horizontal="center"/>
    </xf>
    <xf numFmtId="0" fontId="44" fillId="0" borderId="0" xfId="7" applyFont="1" applyAlignment="1">
      <alignment horizontal="center"/>
    </xf>
    <xf numFmtId="0" fontId="48" fillId="0" borderId="0" xfId="7" applyFont="1" applyAlignment="1">
      <alignment horizontal="center" vertical="center"/>
    </xf>
    <xf numFmtId="0" fontId="2" fillId="0" borderId="0" xfId="7" applyFont="1" applyAlignment="1">
      <alignment horizontal="left" vertical="top"/>
    </xf>
    <xf numFmtId="0" fontId="44" fillId="0" borderId="70" xfId="7" applyFont="1" applyFill="1" applyBorder="1" applyAlignment="1">
      <alignment horizontal="center" vertical="center"/>
    </xf>
    <xf numFmtId="0" fontId="48" fillId="0" borderId="67" xfId="7" applyFont="1" applyBorder="1" applyAlignment="1">
      <alignment horizontal="center" vertical="center"/>
    </xf>
    <xf numFmtId="0" fontId="44" fillId="5" borderId="12" xfId="7" applyFont="1" applyFill="1" applyBorder="1" applyAlignment="1">
      <alignment horizontal="center" vertical="center"/>
    </xf>
    <xf numFmtId="0" fontId="44" fillId="5" borderId="13" xfId="7" applyFont="1" applyFill="1" applyBorder="1" applyAlignment="1">
      <alignment horizontal="center" vertical="center"/>
    </xf>
    <xf numFmtId="0" fontId="44" fillId="5" borderId="7" xfId="7" applyFont="1" applyFill="1" applyBorder="1" applyAlignment="1">
      <alignment horizontal="center" vertical="center"/>
    </xf>
    <xf numFmtId="0" fontId="48" fillId="4" borderId="0" xfId="7" applyFont="1" applyFill="1" applyBorder="1" applyAlignment="1">
      <alignment horizontal="center"/>
    </xf>
    <xf numFmtId="0" fontId="45" fillId="4" borderId="12" xfId="7" applyFont="1" applyFill="1" applyBorder="1" applyAlignment="1">
      <alignment horizontal="center"/>
    </xf>
    <xf numFmtId="0" fontId="45" fillId="4" borderId="7" xfId="7" applyFont="1" applyFill="1" applyBorder="1" applyAlignment="1">
      <alignment horizontal="center"/>
    </xf>
    <xf numFmtId="0" fontId="48" fillId="5" borderId="12" xfId="7" applyFont="1" applyFill="1" applyBorder="1" applyAlignment="1">
      <alignment horizontal="center" vertical="center"/>
    </xf>
    <xf numFmtId="0" fontId="48" fillId="5" borderId="7" xfId="7" applyFont="1" applyFill="1" applyBorder="1" applyAlignment="1">
      <alignment horizontal="center" vertical="center"/>
    </xf>
    <xf numFmtId="0" fontId="44" fillId="10" borderId="12" xfId="7" applyFont="1" applyFill="1" applyBorder="1" applyAlignment="1">
      <alignment horizontal="center" vertical="center"/>
    </xf>
    <xf numFmtId="0" fontId="44" fillId="10" borderId="13" xfId="7" applyFont="1" applyFill="1" applyBorder="1" applyAlignment="1">
      <alignment horizontal="center" vertical="center"/>
    </xf>
    <xf numFmtId="0" fontId="44" fillId="10" borderId="7" xfId="7" applyFont="1" applyFill="1" applyBorder="1" applyAlignment="1">
      <alignment horizontal="center" vertical="center"/>
    </xf>
    <xf numFmtId="0" fontId="48" fillId="0" borderId="0" xfId="7" applyFont="1" applyBorder="1" applyAlignment="1">
      <alignment horizontal="center" vertical="center"/>
    </xf>
    <xf numFmtId="0" fontId="48" fillId="12" borderId="12" xfId="7" applyFont="1" applyFill="1" applyBorder="1" applyAlignment="1">
      <alignment horizontal="center"/>
    </xf>
    <xf numFmtId="0" fontId="48" fillId="12" borderId="7" xfId="7" applyFont="1" applyFill="1" applyBorder="1" applyAlignment="1">
      <alignment horizontal="center"/>
    </xf>
  </cellXfs>
  <cellStyles count="9">
    <cellStyle name="Lien hypertexte" xfId="8" builtinId="8"/>
    <cellStyle name="Milliers 2" xfId="4"/>
    <cellStyle name="Monétaire" xfId="2" builtinId="4"/>
    <cellStyle name="Monétaire 2" xfId="5"/>
    <cellStyle name="Normal" xfId="0" builtinId="0"/>
    <cellStyle name="Normal 2" xfId="3"/>
    <cellStyle name="Normal 3" xfId="7"/>
    <cellStyle name="Pourcentage" xfId="1" builtinId="5"/>
    <cellStyle name="Pourcentage 2" xfId="6"/>
  </cellStyles>
  <dxfs count="8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0" formatCode="General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0" formatCode="General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" formatCode="#,##0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Maiandra GD"/>
        <scheme val="none"/>
      </font>
      <numFmt numFmtId="0" formatCode="General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ashed">
          <color theme="1"/>
        </right>
        <top style="dashed">
          <color theme="1"/>
        </top>
        <bottom style="dashed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Maiandra GD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ashed">
          <color theme="1"/>
        </top>
        <bottom style="dashed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Maiandra GD"/>
        <scheme val="none"/>
      </font>
      <numFmt numFmtId="0" formatCode="General"/>
      <fill>
        <patternFill patternType="solid">
          <fgColor indexed="64"/>
          <bgColor theme="8" tint="0.39997558519241921"/>
        </patternFill>
      </fill>
      <border diagonalUp="0" diagonalDown="0" outline="0">
        <left style="dashed">
          <color theme="1"/>
        </left>
        <right/>
        <top style="dashed">
          <color theme="1"/>
        </top>
        <bottom style="dashed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00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theme="0" tint="-0.149967955565050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ABF8F"/>
          <bgColor rgb="FF000000"/>
        </patternFill>
      </fill>
    </dxf>
    <dxf>
      <border>
        <top style="thin">
          <color indexed="64"/>
        </top>
      </border>
    </dxf>
    <dxf>
      <font>
        <b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Eras Light ITC"/>
        <scheme val="none"/>
      </font>
      <fill>
        <patternFill patternType="solid">
          <fgColor indexed="64"/>
          <bgColor theme="8" tint="0.79998168889431442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border outline="0">
        <bottom style="thin">
          <color theme="0" tint="-0.14996795556505021"/>
        </bottom>
      </border>
    </dxf>
    <dxf>
      <alignment horizontal="left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theme="0" tint="-0.14996795556505021"/>
        </bottom>
      </border>
    </dxf>
    <dxf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bottom style="thin">
          <color theme="0" tint="-0.14996795556505021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fill>
        <patternFill patternType="solid">
          <fgColor indexed="64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Maiandra GD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aiandra GD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aiandra GD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aiandra GD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aiandra GD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alignment horizontal="center" vertical="center" textRotation="0" wrapText="0" indent="0" justifyLastLine="0" shrinkToFit="0" readingOrder="0"/>
    </dxf>
    <dxf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Verdana"/>
        <scheme val="none"/>
      </font>
      <alignment horizontal="left" vertical="center" textRotation="0" wrapText="0" indent="0" justifyLastLine="0" shrinkToFit="0" readingOrder="0"/>
    </dxf>
    <dxf>
      <font>
        <color theme="0" tint="-4.9989318521683403E-2"/>
      </font>
      <fill>
        <patternFill>
          <bgColor theme="0" tint="-0.24994659260841701"/>
        </patternFill>
      </fill>
      <border>
        <vertical/>
        <horizontal/>
      </border>
    </dxf>
    <dxf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Medium9">
    <tableStyle name="Style de tableau 1" pivot="0" count="2">
      <tableStyleElement type="wholeTable" dxfId="85"/>
      <tableStyleElement type="headerRow" dxfId="84"/>
    </tableStyle>
  </tableStyles>
  <colors>
    <mruColors>
      <color rgb="FF004DE6"/>
      <color rgb="FFFF5757"/>
      <color rgb="FFFF5050"/>
      <color rgb="FFEE7700"/>
      <color rgb="FFFF7575"/>
      <color rgb="FFFF7171"/>
      <color rgb="FFD25500"/>
      <color rgb="FF157D5A"/>
      <color rgb="FFCC6F22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microsoft.com/office/2007/relationships/slicerCache" Target="slicerCaches/slicerCache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microsoft.com/office/2007/relationships/slicerCache" Target="slicerCaches/slicerCache9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5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7/relationships/slicerCache" Target="slicerCaches/slicerCache4.xml"/><Relationship Id="rId30" Type="http://schemas.microsoft.com/office/2007/relationships/slicerCache" Target="slicerCaches/slicerCache7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RecapGlobal!$D$6:$G$6</c15:sqref>
                  </c15:fullRef>
                </c:ext>
              </c:extLst>
              <c:f>(RecapGlobal!$D$6,RecapGlobal!$F$6)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RecapGlobal!$D$7:$G$7</c15:sqref>
                  </c15:fullRef>
                </c:ext>
              </c:extLst>
              <c:f>(RecapGlobal!$D$7,RecapGlobal!$F$7)</c:f>
              <c:numCache>
                <c:formatCode>General</c:formatCode>
                <c:ptCount val="2"/>
                <c:pt idx="0">
                  <c:v>492</c:v>
                </c:pt>
                <c:pt idx="1">
                  <c:v>355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RecapGlobal!$N$3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RecapGlobal!$O$2:$R$2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RecapGlobal!$O$3:$R$3</c:f>
              <c:numCache>
                <c:formatCode>#,##0</c:formatCode>
                <c:ptCount val="4"/>
                <c:pt idx="0">
                  <c:v>0</c:v>
                </c:pt>
                <c:pt idx="1">
                  <c:v>70</c:v>
                </c:pt>
                <c:pt idx="2">
                  <c:v>150</c:v>
                </c:pt>
                <c:pt idx="3">
                  <c:v>272</c:v>
                </c:pt>
              </c:numCache>
            </c:numRef>
          </c:val>
        </c:ser>
        <c:ser>
          <c:idx val="1"/>
          <c:order val="1"/>
          <c:tx>
            <c:strRef>
              <c:f>RecapGlobal!$N$4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RecapGlobal!$O$2:$R$2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RecapGlobal!$O$4:$R$4</c:f>
              <c:numCache>
                <c:formatCode>#,##0</c:formatCode>
                <c:ptCount val="4"/>
                <c:pt idx="0">
                  <c:v>0</c:v>
                </c:pt>
                <c:pt idx="1">
                  <c:v>45</c:v>
                </c:pt>
                <c:pt idx="2">
                  <c:v>50</c:v>
                </c:pt>
                <c:pt idx="3">
                  <c:v>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86025376"/>
        <c:axId val="886025936"/>
        <c:axId val="233849232"/>
      </c:bar3DChart>
      <c:catAx>
        <c:axId val="88602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025936"/>
        <c:crosses val="autoZero"/>
        <c:auto val="1"/>
        <c:lblAlgn val="ctr"/>
        <c:lblOffset val="100"/>
        <c:noMultiLvlLbl val="0"/>
      </c:catAx>
      <c:valAx>
        <c:axId val="8860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025376"/>
        <c:crosses val="autoZero"/>
        <c:crossBetween val="between"/>
      </c:valAx>
      <c:serAx>
        <c:axId val="23384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602593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RecapGlobal!$L$31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RecapGlobal!$M$29:$S$29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RecapGlobal!$M$31:$S$31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70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233</c:v>
                </c:pt>
              </c:numCache>
            </c:numRef>
          </c:val>
        </c:ser>
        <c:ser>
          <c:idx val="1"/>
          <c:order val="1"/>
          <c:tx>
            <c:strRef>
              <c:f>RecapGlobal!$L$32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RecapGlobal!$M$29:$S$29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RecapGlobal!$M$32:$S$32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45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4114464"/>
        <c:axId val="944115024"/>
        <c:axId val="233849856"/>
      </c:bar3DChart>
      <c:catAx>
        <c:axId val="94411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15024"/>
        <c:crosses val="autoZero"/>
        <c:auto val="1"/>
        <c:lblAlgn val="ctr"/>
        <c:lblOffset val="100"/>
        <c:noMultiLvlLbl val="0"/>
      </c:catAx>
      <c:valAx>
        <c:axId val="94411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14464"/>
        <c:crosses val="autoZero"/>
        <c:crossBetween val="between"/>
      </c:valAx>
      <c:serAx>
        <c:axId val="23384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1502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RecapGlobal!$U$28:$X$28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RecapGlobal!$U$30:$X$30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RecapGlobal!$U$50:$V$50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RecapGlobal!$U$51:$V$51</c:f>
              <c:numCache>
                <c:formatCode>General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RecapGlobal!$X$50:$Y$50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RecapGlobal!$X$51:$Y$51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RecapGlobal!$U$3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RecapGlobal!$V$2:$Y$2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RecapGlobal!$V$3:$Y$3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RecapGlobal!$U$4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RecapGlobal!$V$2:$Y$2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RecapGlobal!$U$5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RecapGlobal!$V$2:$Y$2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RecapGlobal!$U$6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RecapGlobal!$V$2:$Y$2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RecapGlobal!$V$6:$Y$6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4125104"/>
        <c:axId val="944125664"/>
        <c:axId val="233850480"/>
      </c:bar3DChart>
      <c:catAx>
        <c:axId val="94412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25664"/>
        <c:crosses val="autoZero"/>
        <c:auto val="1"/>
        <c:lblAlgn val="ctr"/>
        <c:lblOffset val="100"/>
        <c:noMultiLvlLbl val="0"/>
      </c:catAx>
      <c:valAx>
        <c:axId val="944125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25104"/>
        <c:crosses val="autoZero"/>
        <c:crossBetween val="between"/>
        <c:majorUnit val="1"/>
      </c:valAx>
      <c:serAx>
        <c:axId val="23385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2566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'Reseaux-mois'!$D$6:$G$6</c15:sqref>
                  </c15:fullRef>
                </c:ext>
              </c:extLst>
              <c:f>('Reseaux-mois'!$D$6,'Reseaux-mois'!$F$6)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'Reseaux-mois'!$D$7:$G$7</c15:sqref>
                  </c15:fullRef>
                </c:ext>
              </c:extLst>
              <c:f>('Reseaux-mois'!$D$7,'Reseaux-mois'!$F$7)</c:f>
              <c:numCache>
                <c:formatCode>General</c:formatCode>
                <c:ptCount val="2"/>
                <c:pt idx="0">
                  <c:v>109</c:v>
                </c:pt>
                <c:pt idx="1">
                  <c:v>105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'Reseaux-mois'!$N$3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34</c:v>
                </c:pt>
              </c:numCache>
            </c:numRef>
          </c:val>
        </c:ser>
        <c:ser>
          <c:idx val="1"/>
          <c:order val="1"/>
          <c:tx>
            <c:strRef>
              <c:f>'Reseaux-mois'!$N$4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4132384"/>
        <c:axId val="944132944"/>
        <c:axId val="945694912"/>
      </c:bar3DChart>
      <c:catAx>
        <c:axId val="94413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2944"/>
        <c:crosses val="autoZero"/>
        <c:auto val="1"/>
        <c:lblAlgn val="ctr"/>
        <c:lblOffset val="100"/>
        <c:noMultiLvlLbl val="0"/>
      </c:catAx>
      <c:valAx>
        <c:axId val="94413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2384"/>
        <c:crosses val="autoZero"/>
        <c:crossBetween val="between"/>
      </c:valAx>
      <c:serAx>
        <c:axId val="945694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294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'Reseaux-mois'!$L$31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'Reseaux-mois'!$M$31:$S$31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'Reseaux-mois'!$L$32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'Reseaux-mois'!$M$32:$S$32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4136864"/>
        <c:axId val="944137424"/>
        <c:axId val="945695536"/>
      </c:bar3DChart>
      <c:catAx>
        <c:axId val="94413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7424"/>
        <c:crosses val="autoZero"/>
        <c:auto val="1"/>
        <c:lblAlgn val="ctr"/>
        <c:lblOffset val="100"/>
        <c:noMultiLvlLbl val="0"/>
      </c:catAx>
      <c:valAx>
        <c:axId val="94413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6864"/>
        <c:crosses val="autoZero"/>
        <c:crossBetween val="between"/>
      </c:valAx>
      <c:serAx>
        <c:axId val="94569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413742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'Reseaux-mois'!$U$28:$X$28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'Reseaux-mois'!$U$30:$X$30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'Reseaux-mois'!$U$50:$V$50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'Reseaux-mois'!$U$51:$V$51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'Reseaux-mois'!$X$50:$Y$50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'Reseaux-mois'!$X$51:$Y$51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'Reseaux-mois'!$U$3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'Reseaux-mois'!$U$4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'Reseaux-mois'!$U$5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'Reseaux-mois'!$U$6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'Reseaux-mois'!$V$2:$Y$2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'Reseaux-mois'!$V$6:$Y$6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6132496"/>
        <c:axId val="946133056"/>
        <c:axId val="945696160"/>
      </c:bar3DChart>
      <c:catAx>
        <c:axId val="94613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33056"/>
        <c:crosses val="autoZero"/>
        <c:auto val="1"/>
        <c:lblAlgn val="ctr"/>
        <c:lblOffset val="100"/>
        <c:noMultiLvlLbl val="0"/>
      </c:catAx>
      <c:valAx>
        <c:axId val="9461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32496"/>
        <c:crosses val="autoZero"/>
        <c:crossBetween val="between"/>
        <c:majorUnit val="1"/>
      </c:valAx>
      <c:serAx>
        <c:axId val="945696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3305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'DS-mois'!$D$6:$G$6</c15:sqref>
                  </c15:fullRef>
                </c:ext>
              </c:extLst>
              <c:f>('DS-mois'!$D$6,'DS-mois'!$F$6)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'DS-mois'!$D$7:$G$7</c15:sqref>
                  </c15:fullRef>
                </c:ext>
              </c:extLst>
              <c:f>('DS-mois'!$D$7,'DS-mois'!$F$7)</c:f>
              <c:numCache>
                <c:formatCode>General</c:formatCode>
                <c:ptCount val="2"/>
                <c:pt idx="0">
                  <c:v>239</c:v>
                </c:pt>
                <c:pt idx="1">
                  <c:v>185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'DS-mois'!$N$3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164</c:v>
                </c:pt>
              </c:numCache>
            </c:numRef>
          </c:val>
        </c:ser>
        <c:ser>
          <c:idx val="1"/>
          <c:order val="1"/>
          <c:tx>
            <c:strRef>
              <c:f>'DS-mois'!$N$4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6139776"/>
        <c:axId val="946140336"/>
        <c:axId val="945696784"/>
      </c:bar3DChart>
      <c:catAx>
        <c:axId val="94613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40336"/>
        <c:crosses val="autoZero"/>
        <c:auto val="1"/>
        <c:lblAlgn val="ctr"/>
        <c:lblOffset val="100"/>
        <c:noMultiLvlLbl val="0"/>
      </c:catAx>
      <c:valAx>
        <c:axId val="9461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39776"/>
        <c:crosses val="autoZero"/>
        <c:crossBetween val="between"/>
      </c:valAx>
      <c:serAx>
        <c:axId val="945696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4033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'DS-mois'!$L$31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'DS-mois'!$M$31:$S$31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130</c:v>
                </c:pt>
              </c:numCache>
            </c:numRef>
          </c:val>
        </c:ser>
        <c:ser>
          <c:idx val="1"/>
          <c:order val="1"/>
          <c:tx>
            <c:strRef>
              <c:f>'DS-mois'!$L$32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'DS-mois'!$M$32:$S$32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0</c:v>
                </c:pt>
                <c:pt idx="6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6144256"/>
        <c:axId val="946144816"/>
        <c:axId val="945697408"/>
      </c:bar3DChart>
      <c:catAx>
        <c:axId val="94614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44816"/>
        <c:crosses val="autoZero"/>
        <c:auto val="1"/>
        <c:lblAlgn val="ctr"/>
        <c:lblOffset val="100"/>
        <c:noMultiLvlLbl val="0"/>
      </c:catAx>
      <c:valAx>
        <c:axId val="94614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44256"/>
        <c:crosses val="autoZero"/>
        <c:crossBetween val="between"/>
      </c:valAx>
      <c:serAx>
        <c:axId val="945697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4481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'DS-mois'!$U$28:$X$28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'DS-mois'!$U$30:$X$30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'DS-mois'!$U$3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'DS-mois'!$U$4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'DS-mois'!$U$5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'DS-mois'!$V$2:$Y$2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'DS-mois'!$U$6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'DS-mois'!$V$2:$Y$2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'DS-mois'!$V$6:$Y$6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6151536"/>
        <c:axId val="946152096"/>
        <c:axId val="945698032"/>
      </c:bar3DChart>
      <c:catAx>
        <c:axId val="94615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52096"/>
        <c:crosses val="autoZero"/>
        <c:auto val="1"/>
        <c:lblAlgn val="ctr"/>
        <c:lblOffset val="100"/>
        <c:noMultiLvlLbl val="0"/>
      </c:catAx>
      <c:valAx>
        <c:axId val="9461520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51536"/>
        <c:crosses val="autoZero"/>
        <c:crossBetween val="between"/>
        <c:majorUnit val="1"/>
      </c:valAx>
      <c:serAx>
        <c:axId val="94569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615209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'DS-mois'!$U$50:$V$50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'DS-mois'!$U$51:$V$51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'DS-mois'!$X$50:$Y$50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'DS-mois'!$X$51:$Y$51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'PS-mois'!$D$6:$G$6</c15:sqref>
                  </c15:fullRef>
                </c:ext>
              </c:extLst>
              <c:f>('PS-mois'!$D$6,'PS-mois'!$F$6)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'PS-mois'!$D$7:$G$7</c15:sqref>
                  </c15:fullRef>
                </c:ext>
              </c:extLst>
              <c:f>('PS-mois'!$D$7,'PS-mois'!$F$7)</c:f>
              <c:numCache>
                <c:formatCode>General</c:formatCode>
                <c:ptCount val="2"/>
                <c:pt idx="0">
                  <c:v>239</c:v>
                </c:pt>
                <c:pt idx="1">
                  <c:v>185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'PS-mois'!$N$3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164</c:v>
                </c:pt>
              </c:numCache>
            </c:numRef>
          </c:val>
        </c:ser>
        <c:ser>
          <c:idx val="1"/>
          <c:order val="1"/>
          <c:tx>
            <c:strRef>
              <c:f>'PS-mois'!$N$4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7933088"/>
        <c:axId val="947933648"/>
        <c:axId val="945698656"/>
      </c:bar3DChart>
      <c:catAx>
        <c:axId val="94793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3648"/>
        <c:crosses val="autoZero"/>
        <c:auto val="1"/>
        <c:lblAlgn val="ctr"/>
        <c:lblOffset val="100"/>
        <c:noMultiLvlLbl val="0"/>
      </c:catAx>
      <c:valAx>
        <c:axId val="94793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3088"/>
        <c:crosses val="autoZero"/>
        <c:crossBetween val="between"/>
      </c:valAx>
      <c:serAx>
        <c:axId val="945698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364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'PS-mois'!$L$31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'PS-mois'!$M$31:$S$31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130</c:v>
                </c:pt>
              </c:numCache>
            </c:numRef>
          </c:val>
        </c:ser>
        <c:ser>
          <c:idx val="1"/>
          <c:order val="1"/>
          <c:tx>
            <c:strRef>
              <c:f>'PS-mois'!$L$32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'PS-mois'!$M$32:$S$32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0</c:v>
                </c:pt>
                <c:pt idx="6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7937568"/>
        <c:axId val="947938128"/>
        <c:axId val="945699280"/>
      </c:bar3DChart>
      <c:catAx>
        <c:axId val="94793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8128"/>
        <c:crosses val="autoZero"/>
        <c:auto val="1"/>
        <c:lblAlgn val="ctr"/>
        <c:lblOffset val="100"/>
        <c:noMultiLvlLbl val="0"/>
      </c:catAx>
      <c:valAx>
        <c:axId val="9479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7568"/>
        <c:crosses val="autoZero"/>
        <c:crossBetween val="between"/>
      </c:valAx>
      <c:serAx>
        <c:axId val="945699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3812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'PS-mois'!$U$28:$X$28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'PS-mois'!$U$30:$X$30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'PS-mois'!$U$3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'PS-mois'!$U$4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'PS-mois'!$U$5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'PS-mois'!$V$2:$Y$2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'PS-mois'!$U$6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'PS-mois'!$V$2:$Y$2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'PS-mois'!$V$6:$Y$6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7944848"/>
        <c:axId val="947945408"/>
        <c:axId val="945699904"/>
      </c:bar3DChart>
      <c:catAx>
        <c:axId val="94794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45408"/>
        <c:crosses val="autoZero"/>
        <c:auto val="1"/>
        <c:lblAlgn val="ctr"/>
        <c:lblOffset val="100"/>
        <c:noMultiLvlLbl val="0"/>
      </c:catAx>
      <c:valAx>
        <c:axId val="947945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44848"/>
        <c:crosses val="autoZero"/>
        <c:crossBetween val="between"/>
        <c:majorUnit val="1"/>
      </c:valAx>
      <c:serAx>
        <c:axId val="945699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4540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'PS-mois'!$U$50:$V$50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'PS-mois'!$U$51:$V$51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'PS-mois'!$X$50:$Y$50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'PS-mois'!$X$51:$Y$51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'ASBL-mois'!$D$6:$G$6</c15:sqref>
                  </c15:fullRef>
                </c:ext>
              </c:extLst>
              <c:f>('ASBL-mois'!$D$6,'ASBL-mois'!$F$6)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'ASBL-mois'!$D$7:$G$7</c15:sqref>
                  </c15:fullRef>
                </c:ext>
              </c:extLst>
              <c:f>('ASBL-mois'!$D$7,'ASBL-mois'!$F$7)</c:f>
              <c:numCache>
                <c:formatCode>General</c:formatCode>
                <c:ptCount val="2"/>
                <c:pt idx="0">
                  <c:v>239</c:v>
                </c:pt>
                <c:pt idx="1">
                  <c:v>185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'ASBL-mois'!$N$3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164</c:v>
                </c:pt>
              </c:numCache>
            </c:numRef>
          </c:val>
        </c:ser>
        <c:ser>
          <c:idx val="1"/>
          <c:order val="1"/>
          <c:tx>
            <c:strRef>
              <c:f>'ASBL-mois'!$N$4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'ASBL-mois'!$O$2:$R$2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7955488"/>
        <c:axId val="947956048"/>
        <c:axId val="945700528"/>
      </c:bar3DChart>
      <c:catAx>
        <c:axId val="9479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56048"/>
        <c:crosses val="autoZero"/>
        <c:auto val="1"/>
        <c:lblAlgn val="ctr"/>
        <c:lblOffset val="100"/>
        <c:noMultiLvlLbl val="0"/>
      </c:catAx>
      <c:valAx>
        <c:axId val="9479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55488"/>
        <c:crosses val="autoZero"/>
        <c:crossBetween val="between"/>
      </c:valAx>
      <c:serAx>
        <c:axId val="945700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5604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'ASBL-mois'!$L$31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'ASBL-mois'!$M$31:$S$31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</c:v>
                </c:pt>
                <c:pt idx="5">
                  <c:v>0</c:v>
                </c:pt>
                <c:pt idx="6">
                  <c:v>130</c:v>
                </c:pt>
              </c:numCache>
            </c:numRef>
          </c:val>
        </c:ser>
        <c:ser>
          <c:idx val="1"/>
          <c:order val="1"/>
          <c:tx>
            <c:strRef>
              <c:f>'ASBL-mois'!$L$32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'ASBL-mois'!$M$29:$S$29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'ASBL-mois'!$M$32:$S$32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0</c:v>
                </c:pt>
                <c:pt idx="6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7959968"/>
        <c:axId val="947960528"/>
        <c:axId val="945701152"/>
      </c:bar3DChart>
      <c:catAx>
        <c:axId val="94795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60528"/>
        <c:crosses val="autoZero"/>
        <c:auto val="1"/>
        <c:lblAlgn val="ctr"/>
        <c:lblOffset val="100"/>
        <c:noMultiLvlLbl val="0"/>
      </c:catAx>
      <c:valAx>
        <c:axId val="9479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59968"/>
        <c:crosses val="autoZero"/>
        <c:crossBetween val="between"/>
      </c:valAx>
      <c:serAx>
        <c:axId val="945701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796052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'ASBL-mois'!$U$28:$X$28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'ASBL-mois'!$U$30:$X$30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'ASBL-mois'!$U$3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'ASBL-mois'!$U$4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'ASBL-mois'!$U$5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'ASBL-mois'!$V$2:$Y$2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'ASBL-mois'!$U$6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'ASBL-mois'!$V$2:$Y$2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'ASBL-mois'!$V$6:$Y$6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2316528"/>
        <c:axId val="942317088"/>
        <c:axId val="945701776"/>
      </c:bar3DChart>
      <c:catAx>
        <c:axId val="94231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17088"/>
        <c:crosses val="autoZero"/>
        <c:auto val="1"/>
        <c:lblAlgn val="ctr"/>
        <c:lblOffset val="100"/>
        <c:noMultiLvlLbl val="0"/>
      </c:catAx>
      <c:valAx>
        <c:axId val="942317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16528"/>
        <c:crosses val="autoZero"/>
        <c:crossBetween val="between"/>
        <c:majorUnit val="1"/>
      </c:valAx>
      <c:serAx>
        <c:axId val="945701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1708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'ASBL-mois'!$U$50:$V$50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'ASBL-mois'!$U$51:$V$51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'ASBL-mois'!$X$50:$Y$50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'ASBL-mois'!$X$51:$Y$51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'Reseaux-Période'!$D$6:$G$6</c15:sqref>
                  </c15:fullRef>
                </c:ext>
              </c:extLst>
              <c:f>('Reseaux-Période'!$D$6,'Reseaux-Période'!$F$6)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'Reseaux-Période'!$D$7:$G$7</c15:sqref>
                  </c15:fullRef>
                </c:ext>
              </c:extLst>
              <c:f>('Reseaux-Période'!$D$7,'Reseaux-Période'!$F$7)</c:f>
              <c:numCache>
                <c:formatCode>General</c:formatCode>
                <c:ptCount val="2"/>
                <c:pt idx="0">
                  <c:v>189</c:v>
                </c:pt>
                <c:pt idx="1">
                  <c:v>155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'Reseaux-Période'!$N$3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114</c:v>
                </c:pt>
              </c:numCache>
            </c:numRef>
          </c:val>
        </c:ser>
        <c:ser>
          <c:idx val="1"/>
          <c:order val="1"/>
          <c:tx>
            <c:strRef>
              <c:f>'Reseaux-Période'!$N$4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120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2327168"/>
        <c:axId val="942327728"/>
        <c:axId val="945702400"/>
      </c:bar3DChart>
      <c:catAx>
        <c:axId val="94232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27728"/>
        <c:crosses val="autoZero"/>
        <c:auto val="1"/>
        <c:lblAlgn val="ctr"/>
        <c:lblOffset val="100"/>
        <c:noMultiLvlLbl val="0"/>
      </c:catAx>
      <c:valAx>
        <c:axId val="9423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27168"/>
        <c:crosses val="autoZero"/>
        <c:crossBetween val="between"/>
      </c:valAx>
      <c:serAx>
        <c:axId val="945702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2772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'Reseaux-Période'!$L$31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'Reseaux-Période'!$M$31:$S$31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'Reseaux-Période'!$L$32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'Reseaux-Période'!$M$32:$S$32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2331648"/>
        <c:axId val="942332208"/>
        <c:axId val="949883856"/>
      </c:bar3DChart>
      <c:catAx>
        <c:axId val="94233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32208"/>
        <c:crosses val="autoZero"/>
        <c:auto val="1"/>
        <c:lblAlgn val="ctr"/>
        <c:lblOffset val="100"/>
        <c:noMultiLvlLbl val="0"/>
      </c:catAx>
      <c:valAx>
        <c:axId val="94233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31648"/>
        <c:crosses val="autoZero"/>
        <c:crossBetween val="between"/>
      </c:valAx>
      <c:serAx>
        <c:axId val="949883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3220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'Reseaux-Période'!$U$28:$X$28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'Reseaux-Période'!$U$30:$X$30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'Reseaux-Période'!$U$50:$V$50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'Reseaux-Période'!$U$51:$V$51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'Reseaux-Période'!$X$50:$Y$50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'Reseaux-Période'!$X$51:$Y$51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'Reseaux-Période'!$U$3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'Reseaux-Période'!$U$4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2"/>
          <c:order val="2"/>
          <c:tx>
            <c:strRef>
              <c:f>'Reseaux-Période'!$U$5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'Reseaux-Période'!$U$6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'Reseaux-Période'!$V$2:$Y$2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'Reseaux-Période'!$V$6:$Y$6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2342288"/>
        <c:axId val="942342848"/>
        <c:axId val="949884480"/>
      </c:bar3DChart>
      <c:catAx>
        <c:axId val="94234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42848"/>
        <c:crosses val="autoZero"/>
        <c:auto val="1"/>
        <c:lblAlgn val="ctr"/>
        <c:lblOffset val="100"/>
        <c:noMultiLvlLbl val="0"/>
      </c:catAx>
      <c:valAx>
        <c:axId val="942342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42288"/>
        <c:crosses val="autoZero"/>
        <c:crossBetween val="between"/>
        <c:majorUnit val="1"/>
      </c:valAx>
      <c:serAx>
        <c:axId val="949884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2342848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'DS-Période'!$D$6:$G$6</c15:sqref>
                  </c15:fullRef>
                </c:ext>
              </c:extLst>
              <c:f>('DS-Période'!$D$6,'DS-Période'!$F$6)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'DS-Période'!$D$7:$G$7</c15:sqref>
                  </c15:fullRef>
                </c:ext>
              </c:extLst>
              <c:f>('DS-Période'!$D$7,'DS-Période'!$F$7)</c:f>
              <c:numCache>
                <c:formatCode>General</c:formatCode>
                <c:ptCount val="2"/>
                <c:pt idx="0">
                  <c:v>347</c:v>
                </c:pt>
                <c:pt idx="1">
                  <c:v>295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'DS-Période'!$N$3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272</c:v>
                </c:pt>
              </c:numCache>
            </c:numRef>
          </c:val>
        </c:ser>
        <c:ser>
          <c:idx val="1"/>
          <c:order val="1"/>
          <c:tx>
            <c:strRef>
              <c:f>'DS-Période'!$N$4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0212096"/>
        <c:axId val="950212656"/>
        <c:axId val="949885728"/>
      </c:bar3DChart>
      <c:catAx>
        <c:axId val="95021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2656"/>
        <c:crosses val="autoZero"/>
        <c:auto val="1"/>
        <c:lblAlgn val="ctr"/>
        <c:lblOffset val="100"/>
        <c:noMultiLvlLbl val="0"/>
      </c:catAx>
      <c:valAx>
        <c:axId val="9502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2096"/>
        <c:crosses val="autoZero"/>
        <c:crossBetween val="between"/>
      </c:valAx>
      <c:serAx>
        <c:axId val="949885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265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'DS-Période'!$L$31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'DS-Période'!$M$31:$S$31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158</c:v>
                </c:pt>
              </c:numCache>
            </c:numRef>
          </c:val>
        </c:ser>
        <c:ser>
          <c:idx val="1"/>
          <c:order val="1"/>
          <c:tx>
            <c:strRef>
              <c:f>'DS-Période'!$L$32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'DS-Période'!$M$32:$S$32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140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0216576"/>
        <c:axId val="950217136"/>
        <c:axId val="949886352"/>
      </c:bar3DChart>
      <c:catAx>
        <c:axId val="95021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7136"/>
        <c:crosses val="autoZero"/>
        <c:auto val="1"/>
        <c:lblAlgn val="ctr"/>
        <c:lblOffset val="100"/>
        <c:noMultiLvlLbl val="0"/>
      </c:catAx>
      <c:valAx>
        <c:axId val="9502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6576"/>
        <c:crosses val="autoZero"/>
        <c:crossBetween val="between"/>
      </c:valAx>
      <c:serAx>
        <c:axId val="949886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1713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'DS-Période'!$U$28:$X$28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'DS-Période'!$U$30:$X$30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'DS-Période'!$U$3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'DS-Période'!$U$4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'DS-Période'!$U$5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'DS-Période'!$U$6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'DS-Période'!$V$2:$Y$2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'DS-Période'!$V$6:$Y$6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0223856"/>
        <c:axId val="950224416"/>
        <c:axId val="949886976"/>
      </c:bar3DChart>
      <c:catAx>
        <c:axId val="95022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24416"/>
        <c:crosses val="autoZero"/>
        <c:auto val="1"/>
        <c:lblAlgn val="ctr"/>
        <c:lblOffset val="100"/>
        <c:noMultiLvlLbl val="0"/>
      </c:catAx>
      <c:valAx>
        <c:axId val="950224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23856"/>
        <c:crosses val="autoZero"/>
        <c:crossBetween val="between"/>
        <c:majorUnit val="1"/>
      </c:valAx>
      <c:serAx>
        <c:axId val="94988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022441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'DS-Période'!$U$50:$V$50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'DS-Période'!$U$51:$V$51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'DS-Période'!$X$50:$Y$50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'DS-Période'!$X$51:$Y$51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'PS-Période'!$D$6:$G$6</c15:sqref>
                  </c15:fullRef>
                </c:ext>
              </c:extLst>
              <c:f>('PS-Période'!$D$6,'PS-Période'!$F$6)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'PS-Période'!$D$7:$G$7</c15:sqref>
                  </c15:fullRef>
                </c:ext>
              </c:extLst>
              <c:f>('PS-Période'!$D$7,'PS-Période'!$F$7)</c:f>
              <c:numCache>
                <c:formatCode>General</c:formatCode>
                <c:ptCount val="2"/>
                <c:pt idx="0">
                  <c:v>108</c:v>
                </c:pt>
                <c:pt idx="1">
                  <c:v>110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'PS-Période'!$N$3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108</c:v>
                </c:pt>
              </c:numCache>
            </c:numRef>
          </c:val>
        </c:ser>
        <c:ser>
          <c:idx val="1"/>
          <c:order val="1"/>
          <c:tx>
            <c:strRef>
              <c:f>'PS-Période'!$N$4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1019120"/>
        <c:axId val="951019680"/>
        <c:axId val="949887600"/>
      </c:bar3DChart>
      <c:catAx>
        <c:axId val="9510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19680"/>
        <c:crosses val="autoZero"/>
        <c:auto val="1"/>
        <c:lblAlgn val="ctr"/>
        <c:lblOffset val="100"/>
        <c:noMultiLvlLbl val="0"/>
      </c:catAx>
      <c:valAx>
        <c:axId val="95101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19120"/>
        <c:crosses val="autoZero"/>
        <c:crossBetween val="between"/>
      </c:valAx>
      <c:serAx>
        <c:axId val="94988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19680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'PS-Période'!$L$31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'PS-Période'!$M$31:$S$31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</c:numCache>
            </c:numRef>
          </c:val>
        </c:ser>
        <c:ser>
          <c:idx val="1"/>
          <c:order val="1"/>
          <c:tx>
            <c:strRef>
              <c:f>'PS-Période'!$L$32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'PS-Période'!$M$32:$S$32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1023600"/>
        <c:axId val="951024160"/>
        <c:axId val="949888224"/>
      </c:bar3DChart>
      <c:catAx>
        <c:axId val="95102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24160"/>
        <c:crosses val="autoZero"/>
        <c:auto val="1"/>
        <c:lblAlgn val="ctr"/>
        <c:lblOffset val="100"/>
        <c:noMultiLvlLbl val="0"/>
      </c:catAx>
      <c:valAx>
        <c:axId val="9510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23600"/>
        <c:crosses val="autoZero"/>
        <c:crossBetween val="between"/>
      </c:valAx>
      <c:serAx>
        <c:axId val="949888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24160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'PS-Période'!$U$28:$X$28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'PS-Période'!$U$30:$X$30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'PS-Période'!$U$3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'PS-Période'!$U$4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'PS-Période'!$U$5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'PS-Période'!$U$6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'PS-Période'!$V$2:$Y$2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'PS-Période'!$V$6:$Y$6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1030880"/>
        <c:axId val="951031440"/>
        <c:axId val="949888848"/>
      </c:bar3DChart>
      <c:catAx>
        <c:axId val="95103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31440"/>
        <c:crosses val="autoZero"/>
        <c:auto val="1"/>
        <c:lblAlgn val="ctr"/>
        <c:lblOffset val="100"/>
        <c:noMultiLvlLbl val="0"/>
      </c:catAx>
      <c:valAx>
        <c:axId val="951031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30880"/>
        <c:crosses val="autoZero"/>
        <c:crossBetween val="between"/>
        <c:majorUnit val="1"/>
      </c:valAx>
      <c:serAx>
        <c:axId val="949888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31440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'PS-Période'!$U$50:$V$50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'PS-Période'!$U$51:$V$51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'PS-Période'!$X$50:$Y$50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'PS-Période'!$X$51:$Y$51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'ASBL-Période'!$D$6:$G$6</c15:sqref>
                  </c15:fullRef>
                </c:ext>
              </c:extLst>
              <c:f>('ASBL-Période'!$D$6,'ASBL-Période'!$F$6)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'ASBL-Période'!$D$7:$G$7</c15:sqref>
                  </c15:fullRef>
                </c:ext>
              </c:extLst>
              <c:f>('ASBL-Période'!$D$7,'ASBL-Période'!$F$7)</c:f>
              <c:numCache>
                <c:formatCode>General</c:formatCode>
                <c:ptCount val="2"/>
                <c:pt idx="0">
                  <c:v>108</c:v>
                </c:pt>
                <c:pt idx="1">
                  <c:v>110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'ASBL-Période'!$N$3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108</c:v>
                </c:pt>
              </c:numCache>
            </c:numRef>
          </c:val>
        </c:ser>
        <c:ser>
          <c:idx val="1"/>
          <c:order val="1"/>
          <c:tx>
            <c:strRef>
              <c:f>'ASBL-Période'!$N$4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1041520"/>
        <c:axId val="951042080"/>
        <c:axId val="949885104"/>
      </c:bar3DChart>
      <c:catAx>
        <c:axId val="95104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42080"/>
        <c:crosses val="autoZero"/>
        <c:auto val="1"/>
        <c:lblAlgn val="ctr"/>
        <c:lblOffset val="100"/>
        <c:noMultiLvlLbl val="0"/>
      </c:catAx>
      <c:valAx>
        <c:axId val="9510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41520"/>
        <c:crosses val="autoZero"/>
        <c:crossBetween val="between"/>
      </c:valAx>
      <c:serAx>
        <c:axId val="949885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1042080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'ASBL-Période'!$L$31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'ASBL-Période'!$M$31:$S$31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  <c:pt idx="6">
                  <c:v>28</c:v>
                </c:pt>
              </c:numCache>
            </c:numRef>
          </c:val>
        </c:ser>
        <c:ser>
          <c:idx val="1"/>
          <c:order val="1"/>
          <c:tx>
            <c:strRef>
              <c:f>'ASBL-Période'!$L$32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'ASBL-Période'!$M$32:$S$32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2507584"/>
        <c:axId val="952508144"/>
        <c:axId val="949889472"/>
      </c:bar3DChart>
      <c:catAx>
        <c:axId val="95250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08144"/>
        <c:crosses val="autoZero"/>
        <c:auto val="1"/>
        <c:lblAlgn val="ctr"/>
        <c:lblOffset val="100"/>
        <c:noMultiLvlLbl val="0"/>
      </c:catAx>
      <c:valAx>
        <c:axId val="9525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07584"/>
        <c:crosses val="autoZero"/>
        <c:crossBetween val="between"/>
      </c:valAx>
      <c:serAx>
        <c:axId val="949889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0814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'ASBL-Période'!$U$28:$X$28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'ASBL-Période'!$U$30:$X$30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'ASBL-Période'!$U$3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'ASBL-Période'!$U$4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'ASBL-Période'!$U$5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'ASBL-Période'!$U$6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'ASBL-Période'!$V$2:$Y$2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'ASBL-Période'!$V$6:$Y$6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2514864"/>
        <c:axId val="952515424"/>
        <c:axId val="949890096"/>
      </c:bar3DChart>
      <c:catAx>
        <c:axId val="95251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15424"/>
        <c:crosses val="autoZero"/>
        <c:auto val="1"/>
        <c:lblAlgn val="ctr"/>
        <c:lblOffset val="100"/>
        <c:noMultiLvlLbl val="0"/>
      </c:catAx>
      <c:valAx>
        <c:axId val="952515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14864"/>
        <c:crosses val="autoZero"/>
        <c:crossBetween val="between"/>
        <c:majorUnit val="1"/>
      </c:valAx>
      <c:serAx>
        <c:axId val="949890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1542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'ASBL-Période'!$U$50:$V$50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'ASBL-Période'!$U$51:$V$51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'ASBL-Période'!$X$50:$Y$50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'ASBL-Période'!$X$51:$Y$51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'Reseaux-année'!$D$6:$G$6</c15:sqref>
                  </c15:fullRef>
                </c:ext>
              </c:extLst>
              <c:f>('Reseaux-année'!$D$6,'Reseaux-année'!$F$6)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'Reseaux-année'!$D$7:$G$7</c15:sqref>
                  </c15:fullRef>
                </c:ext>
              </c:extLst>
              <c:f>('Reseaux-année'!$D$7,'Reseaux-année'!$F$7)</c:f>
              <c:numCache>
                <c:formatCode>General</c:formatCode>
                <c:ptCount val="2"/>
                <c:pt idx="0">
                  <c:v>217</c:v>
                </c:pt>
                <c:pt idx="1">
                  <c:v>215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'Reseaux-année'!$N$3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142</c:v>
                </c:pt>
              </c:numCache>
            </c:numRef>
          </c:val>
        </c:ser>
        <c:ser>
          <c:idx val="1"/>
          <c:order val="1"/>
          <c:tx>
            <c:strRef>
              <c:f>'Reseaux-année'!$N$4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2524384"/>
        <c:axId val="952524944"/>
        <c:axId val="949891344"/>
      </c:bar3DChart>
      <c:catAx>
        <c:axId val="95252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4944"/>
        <c:crosses val="autoZero"/>
        <c:auto val="1"/>
        <c:lblAlgn val="ctr"/>
        <c:lblOffset val="100"/>
        <c:noMultiLvlLbl val="0"/>
      </c:catAx>
      <c:valAx>
        <c:axId val="95252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4384"/>
        <c:crosses val="autoZero"/>
        <c:crossBetween val="between"/>
      </c:valAx>
      <c:serAx>
        <c:axId val="949891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494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'Reseaux-année'!$L$31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'Reseaux-année'!$M$31:$S$31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28</c:v>
                </c:pt>
              </c:numCache>
            </c:numRef>
          </c:val>
        </c:ser>
        <c:ser>
          <c:idx val="1"/>
          <c:order val="1"/>
          <c:tx>
            <c:strRef>
              <c:f>'Reseaux-année'!$L$32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'Reseaux-année'!$M$32:$S$32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2528864"/>
        <c:axId val="952529424"/>
        <c:axId val="952913824"/>
      </c:bar3DChart>
      <c:catAx>
        <c:axId val="9525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9424"/>
        <c:crosses val="autoZero"/>
        <c:auto val="1"/>
        <c:lblAlgn val="ctr"/>
        <c:lblOffset val="100"/>
        <c:noMultiLvlLbl val="0"/>
      </c:catAx>
      <c:valAx>
        <c:axId val="9525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8864"/>
        <c:crosses val="autoZero"/>
        <c:crossBetween val="between"/>
      </c:valAx>
      <c:serAx>
        <c:axId val="952913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252942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'Reseaux-année'!$U$28:$X$28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'Reseaux-année'!$U$30:$X$30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'Reseaux-année'!$U$50:$V$50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'Reseaux-année'!$U$51:$V$51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'Reseaux-année'!$X$50:$Y$50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'Reseaux-année'!$X$51:$Y$51</c:f>
              <c:numCache>
                <c:formatCode>General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'Reseaux-année'!$U$3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'Reseaux-année'!$U$4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'Reseaux-année'!$U$5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'Reseaux-année'!$U$6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'Reseaux-année'!$V$2:$Y$2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'Reseaux-année'!$V$6:$Y$6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8166016"/>
        <c:axId val="948166576"/>
        <c:axId val="952914448"/>
      </c:bar3DChart>
      <c:catAx>
        <c:axId val="94816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66576"/>
        <c:crosses val="autoZero"/>
        <c:auto val="1"/>
        <c:lblAlgn val="ctr"/>
        <c:lblOffset val="100"/>
        <c:noMultiLvlLbl val="0"/>
      </c:catAx>
      <c:valAx>
        <c:axId val="948166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66016"/>
        <c:crosses val="autoZero"/>
        <c:crossBetween val="between"/>
        <c:majorUnit val="1"/>
      </c:valAx>
      <c:serAx>
        <c:axId val="952914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6657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'DS-année'!$D$6:$G$6</c15:sqref>
                  </c15:fullRef>
                </c:ext>
              </c:extLst>
              <c:f>('DS-année'!$D$6,'DS-année'!$F$6)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'DS-année'!$D$7:$G$7</c15:sqref>
                  </c15:fullRef>
                </c:ext>
              </c:extLst>
              <c:f>('DS-année'!$D$7,'DS-année'!$F$7)</c:f>
              <c:numCache>
                <c:formatCode>General</c:formatCode>
                <c:ptCount val="2"/>
                <c:pt idx="0">
                  <c:v>347</c:v>
                </c:pt>
                <c:pt idx="1">
                  <c:v>295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'DS-année'!$N$3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272</c:v>
                </c:pt>
              </c:numCache>
            </c:numRef>
          </c:val>
        </c:ser>
        <c:ser>
          <c:idx val="1"/>
          <c:order val="1"/>
          <c:tx>
            <c:strRef>
              <c:f>'DS-année'!$N$4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8172176"/>
        <c:axId val="948172736"/>
        <c:axId val="949890720"/>
      </c:bar3DChart>
      <c:catAx>
        <c:axId val="94817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2736"/>
        <c:crosses val="autoZero"/>
        <c:auto val="1"/>
        <c:lblAlgn val="ctr"/>
        <c:lblOffset val="100"/>
        <c:noMultiLvlLbl val="0"/>
      </c:catAx>
      <c:valAx>
        <c:axId val="94817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2176"/>
        <c:crosses val="autoZero"/>
        <c:crossBetween val="between"/>
      </c:valAx>
      <c:serAx>
        <c:axId val="949890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273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'DS-année'!$L$31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'DS-année'!$M$31:$S$31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158</c:v>
                </c:pt>
              </c:numCache>
            </c:numRef>
          </c:val>
        </c:ser>
        <c:ser>
          <c:idx val="1"/>
          <c:order val="1"/>
          <c:tx>
            <c:strRef>
              <c:f>'DS-année'!$L$32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'DS-année'!$M$32:$S$32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140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8176656"/>
        <c:axId val="948177216"/>
        <c:axId val="952915072"/>
      </c:bar3DChart>
      <c:catAx>
        <c:axId val="94817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7216"/>
        <c:crosses val="autoZero"/>
        <c:auto val="1"/>
        <c:lblAlgn val="ctr"/>
        <c:lblOffset val="100"/>
        <c:noMultiLvlLbl val="0"/>
      </c:catAx>
      <c:valAx>
        <c:axId val="94817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6656"/>
        <c:crosses val="autoZero"/>
        <c:crossBetween val="between"/>
      </c:valAx>
      <c:serAx>
        <c:axId val="952915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7721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'DS-année'!$U$28:$X$28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'DS-année'!$U$30:$X$30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'DS-année'!$U$3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'DS-année'!$V$2:$Y$2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'DS-année'!$U$4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'DS-année'!$V$2:$Y$2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'DS-année'!$U$5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'DS-année'!$V$2:$Y$2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'DS-année'!$U$6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'DS-année'!$V$2:$Y$2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'DS-année'!$V$6:$Y$6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8183936"/>
        <c:axId val="948184496"/>
        <c:axId val="952915696"/>
      </c:bar3DChart>
      <c:catAx>
        <c:axId val="94818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84496"/>
        <c:crosses val="autoZero"/>
        <c:auto val="1"/>
        <c:lblAlgn val="ctr"/>
        <c:lblOffset val="100"/>
        <c:noMultiLvlLbl val="0"/>
      </c:catAx>
      <c:valAx>
        <c:axId val="948184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83936"/>
        <c:crosses val="autoZero"/>
        <c:crossBetween val="between"/>
        <c:majorUnit val="1"/>
      </c:valAx>
      <c:serAx>
        <c:axId val="952915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8449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'DS-année'!$U$50:$V$50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'DS-année'!$U$51:$V$51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'DS-année'!$X$50:$Y$50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'DS-année'!$X$51:$Y$51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'PS-année'!$D$6:$G$6</c15:sqref>
                  </c15:fullRef>
                </c:ext>
              </c:extLst>
              <c:f>('PS-année'!$D$6,'PS-année'!$F$6)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'PS-année'!$D$7:$G$7</c15:sqref>
                  </c15:fullRef>
                </c:ext>
              </c:extLst>
              <c:f>('PS-année'!$D$7,'PS-année'!$F$7)</c:f>
              <c:numCache>
                <c:formatCode>General</c:formatCode>
                <c:ptCount val="2"/>
                <c:pt idx="0">
                  <c:v>347</c:v>
                </c:pt>
                <c:pt idx="1">
                  <c:v>295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'PS-année'!$N$3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272</c:v>
                </c:pt>
              </c:numCache>
            </c:numRef>
          </c:val>
        </c:ser>
        <c:ser>
          <c:idx val="1"/>
          <c:order val="1"/>
          <c:tx>
            <c:strRef>
              <c:f>'PS-année'!$N$4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8193456"/>
        <c:axId val="948194016"/>
        <c:axId val="952916320"/>
      </c:bar3DChart>
      <c:catAx>
        <c:axId val="94819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94016"/>
        <c:crosses val="autoZero"/>
        <c:auto val="1"/>
        <c:lblAlgn val="ctr"/>
        <c:lblOffset val="100"/>
        <c:noMultiLvlLbl val="0"/>
      </c:catAx>
      <c:valAx>
        <c:axId val="9481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93456"/>
        <c:crosses val="autoZero"/>
        <c:crossBetween val="between"/>
      </c:valAx>
      <c:serAx>
        <c:axId val="952916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8194016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'PS-année'!$L$31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'PS-année'!$M$31:$S$31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158</c:v>
                </c:pt>
              </c:numCache>
            </c:numRef>
          </c:val>
        </c:ser>
        <c:ser>
          <c:idx val="1"/>
          <c:order val="1"/>
          <c:tx>
            <c:strRef>
              <c:f>'PS-année'!$L$32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'PS-année'!$M$32:$S$32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140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5127824"/>
        <c:axId val="955128384"/>
        <c:axId val="952916944"/>
      </c:bar3DChart>
      <c:catAx>
        <c:axId val="95512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28384"/>
        <c:crosses val="autoZero"/>
        <c:auto val="1"/>
        <c:lblAlgn val="ctr"/>
        <c:lblOffset val="100"/>
        <c:noMultiLvlLbl val="0"/>
      </c:catAx>
      <c:valAx>
        <c:axId val="9551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27824"/>
        <c:crosses val="autoZero"/>
        <c:crossBetween val="between"/>
      </c:valAx>
      <c:serAx>
        <c:axId val="952916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2838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'PS-année'!$U$28:$X$28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'PS-année'!$U$30:$X$30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'PS-année'!$U$3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'PS-année'!$U$4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'PS-année'!$U$5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'PS-année'!$V$2:$Y$2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'PS-année'!$U$6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'PS-année'!$V$2:$Y$2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'PS-année'!$V$6:$Y$6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5135104"/>
        <c:axId val="955135664"/>
        <c:axId val="952917568"/>
      </c:bar3DChart>
      <c:catAx>
        <c:axId val="95513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35664"/>
        <c:crosses val="autoZero"/>
        <c:auto val="1"/>
        <c:lblAlgn val="ctr"/>
        <c:lblOffset val="100"/>
        <c:noMultiLvlLbl val="0"/>
      </c:catAx>
      <c:valAx>
        <c:axId val="955135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35104"/>
        <c:crosses val="autoZero"/>
        <c:crossBetween val="between"/>
        <c:majorUnit val="1"/>
      </c:valAx>
      <c:serAx>
        <c:axId val="952917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3566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'PS-année'!$U$50:$V$50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'PS-année'!$U$51:$V$51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'PS-année'!$X$50:$Y$50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'PS-année'!$X$51:$Y$51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POPULATION</a:t>
            </a:r>
            <a:r>
              <a:rPr lang="fr-FR" sz="1200" baseline="0"/>
              <a:t> TOUCHEE</a:t>
            </a:r>
            <a:endParaRPr lang="fr-FR" sz="1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5674708744898379E-3"/>
                  <c:y val="-0.24281618245995118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-3.2810432614154179E-2"/>
                  <c:y val="-3.203916606057088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15303190470017944"/>
                  <c:y val="6.947969880436040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layout>
                <c:manualLayout>
                  <c:x val="-0.16711863365958951"/>
                  <c:y val="-5.3188936056976284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layout>
                <c:manualLayout>
                  <c:x val="0.28429376760481895"/>
                  <c:y val="8.182913239534810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'ASBL-année'!$D$6:$G$6</c15:sqref>
                  </c15:fullRef>
                </c:ext>
              </c:extLst>
              <c:f>('ASBL-année'!$D$6,'ASBL-année'!$F$6)</c:f>
              <c:strCache>
                <c:ptCount val="2"/>
                <c:pt idx="0">
                  <c:v>Total Masculin</c:v>
                </c:pt>
                <c:pt idx="1">
                  <c:v>Total Féminin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'ASBL-année'!$D$7:$G$7</c15:sqref>
                  </c15:fullRef>
                </c:ext>
              </c:extLst>
              <c:f>('ASBL-année'!$D$7,'ASBL-année'!$F$7)</c:f>
              <c:numCache>
                <c:formatCode>General</c:formatCode>
                <c:ptCount val="2"/>
                <c:pt idx="0">
                  <c:v>347</c:v>
                </c:pt>
                <c:pt idx="1">
                  <c:v>295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'ASBL-année'!$N$3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'ASBL-année'!$O$3:$R$3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75</c:v>
                </c:pt>
                <c:pt idx="3">
                  <c:v>272</c:v>
                </c:pt>
              </c:numCache>
            </c:numRef>
          </c:val>
        </c:ser>
        <c:ser>
          <c:idx val="1"/>
          <c:order val="1"/>
          <c:tx>
            <c:strRef>
              <c:f>'ASBL-année'!$N$4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'ASBL-année'!$O$2:$R$2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'ASBL-année'!$O$4:$R$4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5144624"/>
        <c:axId val="955145184"/>
        <c:axId val="952918816"/>
      </c:bar3DChart>
      <c:catAx>
        <c:axId val="95514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5184"/>
        <c:crosses val="autoZero"/>
        <c:auto val="1"/>
        <c:lblAlgn val="ctr"/>
        <c:lblOffset val="100"/>
        <c:noMultiLvlLbl val="0"/>
      </c:catAx>
      <c:valAx>
        <c:axId val="9551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4624"/>
        <c:crosses val="autoZero"/>
        <c:crossBetween val="between"/>
      </c:valAx>
      <c:serAx>
        <c:axId val="95291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518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'ASBL-année'!$L$31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'ASBL-année'!$M$31:$S$31</c:f>
              <c:numCache>
                <c:formatCode>#,##0</c:formatCode>
                <c:ptCount val="7"/>
                <c:pt idx="0">
                  <c:v>34</c:v>
                </c:pt>
                <c:pt idx="1">
                  <c:v>0</c:v>
                </c:pt>
                <c:pt idx="2">
                  <c:v>0</c:v>
                </c:pt>
                <c:pt idx="3">
                  <c:v>80</c:v>
                </c:pt>
                <c:pt idx="4">
                  <c:v>75</c:v>
                </c:pt>
                <c:pt idx="5">
                  <c:v>0</c:v>
                </c:pt>
                <c:pt idx="6">
                  <c:v>158</c:v>
                </c:pt>
              </c:numCache>
            </c:numRef>
          </c:val>
        </c:ser>
        <c:ser>
          <c:idx val="1"/>
          <c:order val="1"/>
          <c:tx>
            <c:strRef>
              <c:f>'ASBL-année'!$L$32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'ASBL-année'!$M$29:$S$29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'ASBL-année'!$M$32:$S$32</c:f>
              <c:numCache>
                <c:formatCode>#,##0</c:formatCode>
                <c:ptCount val="7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35</c:v>
                </c:pt>
                <c:pt idx="5">
                  <c:v>0</c:v>
                </c:pt>
                <c:pt idx="6">
                  <c:v>140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5149104"/>
        <c:axId val="955149664"/>
        <c:axId val="952919440"/>
      </c:bar3DChart>
      <c:catAx>
        <c:axId val="95514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9664"/>
        <c:crosses val="autoZero"/>
        <c:auto val="1"/>
        <c:lblAlgn val="ctr"/>
        <c:lblOffset val="100"/>
        <c:noMultiLvlLbl val="0"/>
      </c:catAx>
      <c:valAx>
        <c:axId val="9551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9104"/>
        <c:crosses val="autoZero"/>
        <c:crossBetween val="between"/>
      </c:valAx>
      <c:serAx>
        <c:axId val="952919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4966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'ASBL-année'!$U$28:$X$28</c:f>
              <c:strCache>
                <c:ptCount val="4"/>
                <c:pt idx="0">
                  <c:v>J-ADOS</c:v>
                </c:pt>
                <c:pt idx="1">
                  <c:v>H</c:v>
                </c:pt>
                <c:pt idx="2">
                  <c:v>F</c:v>
                </c:pt>
                <c:pt idx="3">
                  <c:v>M</c:v>
                </c:pt>
              </c:strCache>
            </c:strRef>
          </c:cat>
          <c:val>
            <c:numRef>
              <c:f>'ASBL-année'!$U$30:$X$30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'ASBL-année'!$U$3</c:f>
              <c:strCache>
                <c:ptCount val="1"/>
                <c:pt idx="0">
                  <c:v>Dépliants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'ASBL-année'!$V$3:$Y$3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'ASBL-année'!$U$4</c:f>
              <c:strCache>
                <c:ptCount val="1"/>
                <c:pt idx="0">
                  <c:v>Condoms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'ASBL-année'!$V$4:$Y$4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'ASBL-année'!$U$5</c:f>
              <c:strCache>
                <c:ptCount val="1"/>
                <c:pt idx="0">
                  <c:v>Aucun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'ASBL-année'!$V$5:$Y$5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'ASBL-année'!$U$6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'ASBL-année'!$V$2:$Y$2</c:f>
              <c:strCache>
                <c:ptCount val="4"/>
                <c:pt idx="0">
                  <c:v>ECOLE</c:v>
                </c:pt>
                <c:pt idx="1">
                  <c:v>CENTRE DE SANTE</c:v>
                </c:pt>
                <c:pt idx="2">
                  <c:v>COMMUNAUTE</c:v>
                </c:pt>
                <c:pt idx="3">
                  <c:v>AUTRES</c:v>
                </c:pt>
              </c:strCache>
            </c:strRef>
          </c:cat>
          <c:val>
            <c:numRef>
              <c:f>'ASBL-année'!$V$6:$Y$6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5156384"/>
        <c:axId val="955156944"/>
        <c:axId val="952920064"/>
      </c:bar3DChart>
      <c:catAx>
        <c:axId val="95515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56944"/>
        <c:crosses val="autoZero"/>
        <c:auto val="1"/>
        <c:lblAlgn val="ctr"/>
        <c:lblOffset val="100"/>
        <c:noMultiLvlLbl val="0"/>
      </c:catAx>
      <c:valAx>
        <c:axId val="95515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56384"/>
        <c:crosses val="autoZero"/>
        <c:crossBetween val="between"/>
        <c:majorUnit val="1"/>
      </c:valAx>
      <c:serAx>
        <c:axId val="95292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5156944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'ASBL-année'!$U$50:$V$50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'ASBL-année'!$U$51:$V$51</c:f>
              <c:numCache>
                <c:formatCode>General</c:formatCode>
                <c:ptCount val="2"/>
                <c:pt idx="0">
                  <c:v>5</c:v>
                </c:pt>
                <c:pt idx="1">
                  <c:v>1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'ASBL-année'!$X$50:$Y$50</c:f>
              <c:strCache>
                <c:ptCount val="2"/>
                <c:pt idx="0">
                  <c:v>OUI</c:v>
                </c:pt>
                <c:pt idx="1">
                  <c:v>NON</c:v>
                </c:pt>
              </c:strCache>
            </c:strRef>
          </c:cat>
          <c:val>
            <c:numRef>
              <c:f>'ASBL-année'!$X$51:$Y$51</c:f>
              <c:numCache>
                <c:formatCode>General</c:formatCode>
                <c:ptCount val="2"/>
                <c:pt idx="0">
                  <c:v>4</c:v>
                </c:pt>
                <c:pt idx="1">
                  <c:v>2</c:v>
                </c:pt>
              </c:numCache>
            </c:numRef>
          </c:val>
          <c:extLst/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3.wdp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microsoft.com/office/2007/relationships/hdphoto" Target="../media/hdphoto3.wdp"/><Relationship Id="rId7" Type="http://schemas.openxmlformats.org/officeDocument/2006/relationships/chart" Target="../charts/chart5.xml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7.png"/><Relationship Id="rId5" Type="http://schemas.openxmlformats.org/officeDocument/2006/relationships/chart" Target="../charts/chart3.xml"/><Relationship Id="rId10" Type="http://schemas.openxmlformats.org/officeDocument/2006/relationships/image" Target="../media/image6.png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microsoft.com/office/2007/relationships/hdphoto" Target="../media/hdphoto3.wdp"/><Relationship Id="rId7" Type="http://schemas.openxmlformats.org/officeDocument/2006/relationships/chart" Target="../charts/chart12.xml"/><Relationship Id="rId2" Type="http://schemas.openxmlformats.org/officeDocument/2006/relationships/image" Target="../media/image3.png"/><Relationship Id="rId1" Type="http://schemas.openxmlformats.org/officeDocument/2006/relationships/chart" Target="../charts/chart8.xml"/><Relationship Id="rId6" Type="http://schemas.openxmlformats.org/officeDocument/2006/relationships/chart" Target="../charts/chart11.xml"/><Relationship Id="rId11" Type="http://schemas.openxmlformats.org/officeDocument/2006/relationships/image" Target="../media/image7.png"/><Relationship Id="rId5" Type="http://schemas.openxmlformats.org/officeDocument/2006/relationships/chart" Target="../charts/chart10.xml"/><Relationship Id="rId10" Type="http://schemas.openxmlformats.org/officeDocument/2006/relationships/image" Target="../media/image6.png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microsoft.com/office/2007/relationships/hdphoto" Target="../media/hdphoto3.wdp"/><Relationship Id="rId7" Type="http://schemas.openxmlformats.org/officeDocument/2006/relationships/chart" Target="../charts/chart19.xml"/><Relationship Id="rId2" Type="http://schemas.openxmlformats.org/officeDocument/2006/relationships/image" Target="../media/image3.png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11" Type="http://schemas.openxmlformats.org/officeDocument/2006/relationships/image" Target="../media/image7.png"/><Relationship Id="rId5" Type="http://schemas.openxmlformats.org/officeDocument/2006/relationships/chart" Target="../charts/chart17.xml"/><Relationship Id="rId10" Type="http://schemas.openxmlformats.org/officeDocument/2006/relationships/image" Target="../media/image6.png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microsoft.com/office/2007/relationships/hdphoto" Target="../media/hdphoto3.wdp"/><Relationship Id="rId7" Type="http://schemas.openxmlformats.org/officeDocument/2006/relationships/chart" Target="../charts/chart26.xml"/><Relationship Id="rId2" Type="http://schemas.openxmlformats.org/officeDocument/2006/relationships/image" Target="../media/image3.png"/><Relationship Id="rId1" Type="http://schemas.openxmlformats.org/officeDocument/2006/relationships/chart" Target="../charts/chart22.xml"/><Relationship Id="rId6" Type="http://schemas.openxmlformats.org/officeDocument/2006/relationships/chart" Target="../charts/chart25.xml"/><Relationship Id="rId11" Type="http://schemas.openxmlformats.org/officeDocument/2006/relationships/image" Target="../media/image7.png"/><Relationship Id="rId5" Type="http://schemas.openxmlformats.org/officeDocument/2006/relationships/chart" Target="../charts/chart24.xml"/><Relationship Id="rId10" Type="http://schemas.openxmlformats.org/officeDocument/2006/relationships/image" Target="../media/image6.png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microsoft.com/office/2007/relationships/hdphoto" Target="../media/hdphoto3.wdp"/><Relationship Id="rId7" Type="http://schemas.openxmlformats.org/officeDocument/2006/relationships/chart" Target="../charts/chart33.xml"/><Relationship Id="rId2" Type="http://schemas.openxmlformats.org/officeDocument/2006/relationships/image" Target="../media/image3.png"/><Relationship Id="rId1" Type="http://schemas.openxmlformats.org/officeDocument/2006/relationships/chart" Target="../charts/chart29.xml"/><Relationship Id="rId6" Type="http://schemas.openxmlformats.org/officeDocument/2006/relationships/chart" Target="../charts/chart32.xml"/><Relationship Id="rId11" Type="http://schemas.openxmlformats.org/officeDocument/2006/relationships/image" Target="../media/image7.png"/><Relationship Id="rId5" Type="http://schemas.openxmlformats.org/officeDocument/2006/relationships/chart" Target="../charts/chart31.xml"/><Relationship Id="rId10" Type="http://schemas.openxmlformats.org/officeDocument/2006/relationships/image" Target="../media/image6.png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microsoft.com/office/2007/relationships/hdphoto" Target="../media/hdphoto3.wdp"/><Relationship Id="rId7" Type="http://schemas.openxmlformats.org/officeDocument/2006/relationships/chart" Target="../charts/chart40.xml"/><Relationship Id="rId2" Type="http://schemas.openxmlformats.org/officeDocument/2006/relationships/image" Target="../media/image3.png"/><Relationship Id="rId1" Type="http://schemas.openxmlformats.org/officeDocument/2006/relationships/chart" Target="../charts/chart36.xml"/><Relationship Id="rId6" Type="http://schemas.openxmlformats.org/officeDocument/2006/relationships/chart" Target="../charts/chart39.xml"/><Relationship Id="rId11" Type="http://schemas.openxmlformats.org/officeDocument/2006/relationships/image" Target="../media/image7.png"/><Relationship Id="rId5" Type="http://schemas.openxmlformats.org/officeDocument/2006/relationships/chart" Target="../charts/chart38.xml"/><Relationship Id="rId10" Type="http://schemas.openxmlformats.org/officeDocument/2006/relationships/image" Target="../media/image6.png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microsoft.com/office/2007/relationships/hdphoto" Target="../media/hdphoto3.wdp"/><Relationship Id="rId7" Type="http://schemas.openxmlformats.org/officeDocument/2006/relationships/chart" Target="../charts/chart47.xml"/><Relationship Id="rId2" Type="http://schemas.openxmlformats.org/officeDocument/2006/relationships/image" Target="../media/image3.png"/><Relationship Id="rId1" Type="http://schemas.openxmlformats.org/officeDocument/2006/relationships/chart" Target="../charts/chart43.xml"/><Relationship Id="rId6" Type="http://schemas.openxmlformats.org/officeDocument/2006/relationships/chart" Target="../charts/chart46.xml"/><Relationship Id="rId11" Type="http://schemas.openxmlformats.org/officeDocument/2006/relationships/image" Target="../media/image7.png"/><Relationship Id="rId5" Type="http://schemas.openxmlformats.org/officeDocument/2006/relationships/chart" Target="../charts/chart45.xml"/><Relationship Id="rId10" Type="http://schemas.openxmlformats.org/officeDocument/2006/relationships/image" Target="../media/image6.png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microsoft.com/office/2007/relationships/hdphoto" Target="../media/hdphoto3.wdp"/><Relationship Id="rId7" Type="http://schemas.openxmlformats.org/officeDocument/2006/relationships/chart" Target="../charts/chart54.xml"/><Relationship Id="rId2" Type="http://schemas.openxmlformats.org/officeDocument/2006/relationships/image" Target="../media/image3.png"/><Relationship Id="rId1" Type="http://schemas.openxmlformats.org/officeDocument/2006/relationships/chart" Target="../charts/chart50.xml"/><Relationship Id="rId6" Type="http://schemas.openxmlformats.org/officeDocument/2006/relationships/chart" Target="../charts/chart53.xml"/><Relationship Id="rId11" Type="http://schemas.openxmlformats.org/officeDocument/2006/relationships/image" Target="../media/image7.png"/><Relationship Id="rId5" Type="http://schemas.openxmlformats.org/officeDocument/2006/relationships/chart" Target="../charts/chart52.xml"/><Relationship Id="rId10" Type="http://schemas.openxmlformats.org/officeDocument/2006/relationships/image" Target="../media/image6.png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2.xml"/><Relationship Id="rId3" Type="http://schemas.microsoft.com/office/2007/relationships/hdphoto" Target="../media/hdphoto3.wdp"/><Relationship Id="rId7" Type="http://schemas.openxmlformats.org/officeDocument/2006/relationships/chart" Target="../charts/chart61.xml"/><Relationship Id="rId2" Type="http://schemas.openxmlformats.org/officeDocument/2006/relationships/image" Target="../media/image3.png"/><Relationship Id="rId1" Type="http://schemas.openxmlformats.org/officeDocument/2006/relationships/chart" Target="../charts/chart57.xml"/><Relationship Id="rId6" Type="http://schemas.openxmlformats.org/officeDocument/2006/relationships/chart" Target="../charts/chart60.xml"/><Relationship Id="rId11" Type="http://schemas.openxmlformats.org/officeDocument/2006/relationships/image" Target="../media/image7.png"/><Relationship Id="rId5" Type="http://schemas.openxmlformats.org/officeDocument/2006/relationships/chart" Target="../charts/chart59.xml"/><Relationship Id="rId10" Type="http://schemas.openxmlformats.org/officeDocument/2006/relationships/image" Target="../media/image6.png"/><Relationship Id="rId4" Type="http://schemas.openxmlformats.org/officeDocument/2006/relationships/chart" Target="../charts/chart58.xml"/><Relationship Id="rId9" Type="http://schemas.openxmlformats.org/officeDocument/2006/relationships/chart" Target="../charts/chart63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microsoft.com/office/2007/relationships/hdphoto" Target="../media/hdphoto3.wdp"/><Relationship Id="rId7" Type="http://schemas.openxmlformats.org/officeDocument/2006/relationships/chart" Target="../charts/chart68.xml"/><Relationship Id="rId2" Type="http://schemas.openxmlformats.org/officeDocument/2006/relationships/image" Target="../media/image3.png"/><Relationship Id="rId1" Type="http://schemas.openxmlformats.org/officeDocument/2006/relationships/chart" Target="../charts/chart64.xml"/><Relationship Id="rId6" Type="http://schemas.openxmlformats.org/officeDocument/2006/relationships/chart" Target="../charts/chart67.xml"/><Relationship Id="rId11" Type="http://schemas.openxmlformats.org/officeDocument/2006/relationships/image" Target="../media/image7.png"/><Relationship Id="rId5" Type="http://schemas.openxmlformats.org/officeDocument/2006/relationships/chart" Target="../charts/chart66.xml"/><Relationship Id="rId10" Type="http://schemas.openxmlformats.org/officeDocument/2006/relationships/image" Target="../media/image6.png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3" Type="http://schemas.microsoft.com/office/2007/relationships/hdphoto" Target="../media/hdphoto3.wdp"/><Relationship Id="rId7" Type="http://schemas.openxmlformats.org/officeDocument/2006/relationships/chart" Target="../charts/chart75.xml"/><Relationship Id="rId2" Type="http://schemas.openxmlformats.org/officeDocument/2006/relationships/image" Target="../media/image3.png"/><Relationship Id="rId1" Type="http://schemas.openxmlformats.org/officeDocument/2006/relationships/chart" Target="../charts/chart71.xml"/><Relationship Id="rId6" Type="http://schemas.openxmlformats.org/officeDocument/2006/relationships/chart" Target="../charts/chart74.xml"/><Relationship Id="rId11" Type="http://schemas.openxmlformats.org/officeDocument/2006/relationships/image" Target="../media/image7.png"/><Relationship Id="rId5" Type="http://schemas.openxmlformats.org/officeDocument/2006/relationships/chart" Target="../charts/chart73.xml"/><Relationship Id="rId10" Type="http://schemas.openxmlformats.org/officeDocument/2006/relationships/image" Target="../media/image6.png"/><Relationship Id="rId4" Type="http://schemas.openxmlformats.org/officeDocument/2006/relationships/chart" Target="../charts/chart72.xml"/><Relationship Id="rId9" Type="http://schemas.openxmlformats.org/officeDocument/2006/relationships/chart" Target="../charts/chart77.xml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3.xml"/><Relationship Id="rId3" Type="http://schemas.microsoft.com/office/2007/relationships/hdphoto" Target="../media/hdphoto3.wdp"/><Relationship Id="rId7" Type="http://schemas.openxmlformats.org/officeDocument/2006/relationships/chart" Target="../charts/chart82.xml"/><Relationship Id="rId2" Type="http://schemas.openxmlformats.org/officeDocument/2006/relationships/image" Target="../media/image3.png"/><Relationship Id="rId1" Type="http://schemas.openxmlformats.org/officeDocument/2006/relationships/chart" Target="../charts/chart78.xml"/><Relationship Id="rId6" Type="http://schemas.openxmlformats.org/officeDocument/2006/relationships/chart" Target="../charts/chart81.xml"/><Relationship Id="rId11" Type="http://schemas.openxmlformats.org/officeDocument/2006/relationships/image" Target="../media/image7.png"/><Relationship Id="rId5" Type="http://schemas.openxmlformats.org/officeDocument/2006/relationships/chart" Target="../charts/chart80.xml"/><Relationship Id="rId10" Type="http://schemas.openxmlformats.org/officeDocument/2006/relationships/image" Target="../media/image6.png"/><Relationship Id="rId4" Type="http://schemas.openxmlformats.org/officeDocument/2006/relationships/chart" Target="../charts/chart79.xml"/><Relationship Id="rId9" Type="http://schemas.openxmlformats.org/officeDocument/2006/relationships/chart" Target="../charts/chart84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0.xml"/><Relationship Id="rId3" Type="http://schemas.microsoft.com/office/2007/relationships/hdphoto" Target="../media/hdphoto3.wdp"/><Relationship Id="rId7" Type="http://schemas.openxmlformats.org/officeDocument/2006/relationships/chart" Target="../charts/chart89.xml"/><Relationship Id="rId2" Type="http://schemas.openxmlformats.org/officeDocument/2006/relationships/image" Target="../media/image3.png"/><Relationship Id="rId1" Type="http://schemas.openxmlformats.org/officeDocument/2006/relationships/chart" Target="../charts/chart85.xml"/><Relationship Id="rId6" Type="http://schemas.openxmlformats.org/officeDocument/2006/relationships/chart" Target="../charts/chart88.xml"/><Relationship Id="rId11" Type="http://schemas.openxmlformats.org/officeDocument/2006/relationships/image" Target="../media/image7.png"/><Relationship Id="rId5" Type="http://schemas.openxmlformats.org/officeDocument/2006/relationships/chart" Target="../charts/chart87.xml"/><Relationship Id="rId10" Type="http://schemas.openxmlformats.org/officeDocument/2006/relationships/image" Target="../media/image6.png"/><Relationship Id="rId4" Type="http://schemas.openxmlformats.org/officeDocument/2006/relationships/chart" Target="../charts/chart86.xml"/><Relationship Id="rId9" Type="http://schemas.openxmlformats.org/officeDocument/2006/relationships/chart" Target="../charts/chart91.xml"/></Relationships>
</file>

<file path=xl/drawings/_rels/drawing2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306916</xdr:colOff>
      <xdr:row>31</xdr:row>
      <xdr:rowOff>104748</xdr:rowOff>
    </xdr:to>
    <xdr:grpSp>
      <xdr:nvGrpSpPr>
        <xdr:cNvPr id="8" name="Groupe 7"/>
        <xdr:cNvGrpSpPr/>
      </xdr:nvGrpSpPr>
      <xdr:grpSpPr>
        <a:xfrm>
          <a:off x="0" y="0"/>
          <a:ext cx="14784916" cy="6010248"/>
          <a:chOff x="0" y="9525"/>
          <a:chExt cx="14784916" cy="6010248"/>
        </a:xfrm>
      </xdr:grpSpPr>
      <xdr:pic>
        <xdr:nvPicPr>
          <xdr:cNvPr id="6" name="Image 5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2950"/>
          <a:stretch/>
        </xdr:blipFill>
        <xdr:spPr>
          <a:xfrm>
            <a:off x="0" y="9525"/>
            <a:ext cx="14784916" cy="6010248"/>
          </a:xfrm>
          <a:prstGeom prst="rect">
            <a:avLst/>
          </a:prstGeom>
        </xdr:spPr>
      </xdr:pic>
      <xdr:pic>
        <xdr:nvPicPr>
          <xdr:cNvPr id="7" name="Image 6"/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harpenSoften amount="5000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063" t="17035"/>
          <a:stretch/>
        </xdr:blipFill>
        <xdr:spPr>
          <a:xfrm>
            <a:off x="10639425" y="9525"/>
            <a:ext cx="2009775" cy="1266825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133350</xdr:colOff>
      <xdr:row>0</xdr:row>
      <xdr:rowOff>133351</xdr:rowOff>
    </xdr:from>
    <xdr:ext cx="6267450" cy="1028700"/>
    <xdr:sp macro="" textlink="">
      <xdr:nvSpPr>
        <xdr:cNvPr id="5" name="Rectangle à coins arrondis 4"/>
        <xdr:cNvSpPr/>
      </xdr:nvSpPr>
      <xdr:spPr>
        <a:xfrm>
          <a:off x="133350" y="133351"/>
          <a:ext cx="6267450" cy="102870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8000" b="1" i="0" u="none" strike="noStrike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  <a:latin typeface="Berlin Sans FB Demi" panose="020E0802020502020306" pitchFamily="34" charset="0"/>
            </a:rPr>
            <a:t>* BD FICAR *</a:t>
          </a:r>
          <a:endParaRPr lang="en-US" sz="8000" b="1" i="0" u="none" strike="noStrike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  <a:latin typeface="Berlin Sans FB Demi" panose="020E0802020502020306" pitchFamily="34" charset="0"/>
          </a:endParaRPr>
        </a:p>
      </xdr:txBody>
    </xdr:sp>
    <xdr:clientData/>
  </xdr:oneCellAnchor>
  <xdr:twoCellAnchor>
    <xdr:from>
      <xdr:col>0</xdr:col>
      <xdr:colOff>619125</xdr:colOff>
      <xdr:row>13</xdr:row>
      <xdr:rowOff>114300</xdr:rowOff>
    </xdr:from>
    <xdr:to>
      <xdr:col>3</xdr:col>
      <xdr:colOff>697566</xdr:colOff>
      <xdr:row>17</xdr:row>
      <xdr:rowOff>103094</xdr:rowOff>
    </xdr:to>
    <xdr:sp macro="[0]!Atteindre_Programme" textlink="">
      <xdr:nvSpPr>
        <xdr:cNvPr id="3" name="Rectangle à coins arrondis 2"/>
        <xdr:cNvSpPr/>
      </xdr:nvSpPr>
      <xdr:spPr>
        <a:xfrm>
          <a:off x="619125" y="2590800"/>
          <a:ext cx="2364441" cy="75079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4000" b="1">
              <a:solidFill>
                <a:schemeClr val="accent1">
                  <a:lumMod val="75000"/>
                </a:schemeClr>
              </a:solidFill>
              <a:latin typeface="Pristina" panose="03060402040406080204" pitchFamily="66" charset="0"/>
            </a:rPr>
            <a:t>Accèdez</a:t>
          </a:r>
          <a:r>
            <a:rPr lang="fr-FR" sz="4000" b="1" baseline="0">
              <a:solidFill>
                <a:schemeClr val="accent1">
                  <a:lumMod val="75000"/>
                </a:schemeClr>
              </a:solidFill>
              <a:latin typeface="Pristina" panose="03060402040406080204" pitchFamily="66" charset="0"/>
            </a:rPr>
            <a:t> ...</a:t>
          </a:r>
          <a:endParaRPr lang="fr-FR" sz="4000" b="1">
            <a:solidFill>
              <a:schemeClr val="accent1">
                <a:lumMod val="75000"/>
              </a:schemeClr>
            </a:solidFill>
            <a:latin typeface="Pristina" panose="0306040204040608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52916</xdr:colOff>
      <xdr:row>31</xdr:row>
      <xdr:rowOff>104748</xdr:rowOff>
    </xdr:to>
    <xdr:pic>
      <xdr:nvPicPr>
        <xdr:cNvPr id="21" name="Image 2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950"/>
        <a:stretch/>
      </xdr:blipFill>
      <xdr:spPr>
        <a:xfrm>
          <a:off x="0" y="0"/>
          <a:ext cx="14784916" cy="6010248"/>
        </a:xfrm>
        <a:prstGeom prst="rect">
          <a:avLst/>
        </a:prstGeom>
      </xdr:spPr>
    </xdr:pic>
    <xdr:clientData/>
  </xdr:twoCellAnchor>
  <xdr:twoCellAnchor>
    <xdr:from>
      <xdr:col>0</xdr:col>
      <xdr:colOff>105834</xdr:colOff>
      <xdr:row>1</xdr:row>
      <xdr:rowOff>31750</xdr:rowOff>
    </xdr:from>
    <xdr:to>
      <xdr:col>7</xdr:col>
      <xdr:colOff>63500</xdr:colOff>
      <xdr:row>13</xdr:row>
      <xdr:rowOff>21167</xdr:rowOff>
    </xdr:to>
    <xdr:sp macro="" textlink="">
      <xdr:nvSpPr>
        <xdr:cNvPr id="20" name="ZoneTexte 19"/>
        <xdr:cNvSpPr txBox="1"/>
      </xdr:nvSpPr>
      <xdr:spPr>
        <a:xfrm>
          <a:off x="105834" y="222250"/>
          <a:ext cx="4254499" cy="227541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MOIS -ANNEE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169334</xdr:colOff>
      <xdr:row>4</xdr:row>
      <xdr:rowOff>137585</xdr:rowOff>
    </xdr:from>
    <xdr:to>
      <xdr:col>15</xdr:col>
      <xdr:colOff>52917</xdr:colOff>
      <xdr:row>16</xdr:row>
      <xdr:rowOff>127000</xdr:rowOff>
    </xdr:to>
    <xdr:sp macro="" textlink="">
      <xdr:nvSpPr>
        <xdr:cNvPr id="32" name="ZoneTexte 31"/>
        <xdr:cNvSpPr txBox="1"/>
      </xdr:nvSpPr>
      <xdr:spPr>
        <a:xfrm>
          <a:off x="4466167" y="899585"/>
          <a:ext cx="4794250" cy="2275415"/>
        </a:xfrm>
        <a:prstGeom prst="rect">
          <a:avLst/>
        </a:prstGeom>
        <a:solidFill>
          <a:srgbClr val="92D05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SUR ANNEE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254003</xdr:colOff>
      <xdr:row>21</xdr:row>
      <xdr:rowOff>74082</xdr:rowOff>
    </xdr:from>
    <xdr:to>
      <xdr:col>10</xdr:col>
      <xdr:colOff>232835</xdr:colOff>
      <xdr:row>24</xdr:row>
      <xdr:rowOff>63499</xdr:rowOff>
    </xdr:to>
    <xdr:sp macro="[0]!Module3.Menu" textlink="">
      <xdr:nvSpPr>
        <xdr:cNvPr id="25" name="Plein_écran"/>
        <xdr:cNvSpPr/>
      </xdr:nvSpPr>
      <xdr:spPr>
        <a:xfrm>
          <a:off x="4550836" y="4074582"/>
          <a:ext cx="1820332" cy="56091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400">
              <a:latin typeface="Nyala" panose="02000504070300020003" pitchFamily="2" charset="0"/>
            </a:rPr>
            <a:t>Plein écran</a:t>
          </a:r>
        </a:p>
      </xdr:txBody>
    </xdr:sp>
    <xdr:clientData/>
  </xdr:twoCellAnchor>
  <xdr:twoCellAnchor>
    <xdr:from>
      <xdr:col>0</xdr:col>
      <xdr:colOff>212898</xdr:colOff>
      <xdr:row>3</xdr:row>
      <xdr:rowOff>63500</xdr:rowOff>
    </xdr:from>
    <xdr:to>
      <xdr:col>3</xdr:col>
      <xdr:colOff>190501</xdr:colOff>
      <xdr:row>6</xdr:row>
      <xdr:rowOff>127000</xdr:rowOff>
    </xdr:to>
    <xdr:sp macro="[0]!Atteindre_RecapReseaux" textlink="">
      <xdr:nvSpPr>
        <xdr:cNvPr id="7" name="Rectangle à coins arrondis 6"/>
        <xdr:cNvSpPr/>
      </xdr:nvSpPr>
      <xdr:spPr>
        <a:xfrm>
          <a:off x="212898" y="635000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Réseaux</a:t>
          </a:r>
        </a:p>
      </xdr:txBody>
    </xdr:sp>
    <xdr:clientData/>
  </xdr:twoCellAnchor>
  <xdr:twoCellAnchor>
    <xdr:from>
      <xdr:col>15</xdr:col>
      <xdr:colOff>127001</xdr:colOff>
      <xdr:row>1</xdr:row>
      <xdr:rowOff>42613</xdr:rowOff>
    </xdr:from>
    <xdr:to>
      <xdr:col>22</xdr:col>
      <xdr:colOff>116418</xdr:colOff>
      <xdr:row>14</xdr:row>
      <xdr:rowOff>52917</xdr:rowOff>
    </xdr:to>
    <xdr:sp macro="" textlink="">
      <xdr:nvSpPr>
        <xdr:cNvPr id="8" name="ZoneTexte 7"/>
        <xdr:cNvSpPr txBox="1"/>
      </xdr:nvSpPr>
      <xdr:spPr>
        <a:xfrm>
          <a:off x="9334501" y="233113"/>
          <a:ext cx="4286250" cy="2486804"/>
        </a:xfrm>
        <a:prstGeom prst="rect">
          <a:avLst/>
        </a:prstGeom>
        <a:solidFill>
          <a:srgbClr val="EE770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SYNTHESES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CHIFFREES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10</xdr:col>
      <xdr:colOff>339899</xdr:colOff>
      <xdr:row>17</xdr:row>
      <xdr:rowOff>190498</xdr:rowOff>
    </xdr:from>
    <xdr:to>
      <xdr:col>15</xdr:col>
      <xdr:colOff>592667</xdr:colOff>
      <xdr:row>21</xdr:row>
      <xdr:rowOff>148165</xdr:rowOff>
    </xdr:to>
    <xdr:sp macro="[0]!Atteindre_RecapGlobal" textlink="">
      <xdr:nvSpPr>
        <xdr:cNvPr id="9" name="Rectangle à coins arrondis 8"/>
        <xdr:cNvSpPr/>
      </xdr:nvSpPr>
      <xdr:spPr>
        <a:xfrm>
          <a:off x="6478232" y="3428998"/>
          <a:ext cx="3321935" cy="719667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0" baseline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Synthèse  annuelle mixte</a:t>
          </a:r>
          <a:r>
            <a:rPr lang="fr-FR" sz="2000" b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 </a:t>
          </a:r>
        </a:p>
      </xdr:txBody>
    </xdr:sp>
    <xdr:clientData/>
  </xdr:twoCellAnchor>
  <xdr:twoCellAnchor>
    <xdr:from>
      <xdr:col>10</xdr:col>
      <xdr:colOff>318731</xdr:colOff>
      <xdr:row>0</xdr:row>
      <xdr:rowOff>63500</xdr:rowOff>
    </xdr:from>
    <xdr:to>
      <xdr:col>14</xdr:col>
      <xdr:colOff>380999</xdr:colOff>
      <xdr:row>4</xdr:row>
      <xdr:rowOff>21167</xdr:rowOff>
    </xdr:to>
    <xdr:sp macro="[0]!Atteindre_Données" textlink="">
      <xdr:nvSpPr>
        <xdr:cNvPr id="10" name="Rectangle à coins arrondis 9"/>
        <xdr:cNvSpPr/>
      </xdr:nvSpPr>
      <xdr:spPr>
        <a:xfrm>
          <a:off x="6457064" y="63500"/>
          <a:ext cx="2517602" cy="719667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1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Saisie</a:t>
          </a:r>
          <a:r>
            <a:rPr lang="fr-FR" sz="2000" b="1" baseline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 des Données</a:t>
          </a:r>
          <a:endParaRPr lang="fr-FR" sz="2000" b="1">
            <a:solidFill>
              <a:schemeClr val="accent1">
                <a:lumMod val="75000"/>
              </a:schemeClr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3</xdr:col>
      <xdr:colOff>519814</xdr:colOff>
      <xdr:row>8</xdr:row>
      <xdr:rowOff>74084</xdr:rowOff>
    </xdr:from>
    <xdr:to>
      <xdr:col>6</xdr:col>
      <xdr:colOff>497417</xdr:colOff>
      <xdr:row>11</xdr:row>
      <xdr:rowOff>137584</xdr:rowOff>
    </xdr:to>
    <xdr:sp macro="[0]!Atteindre_RecapASBL" textlink="">
      <xdr:nvSpPr>
        <xdr:cNvPr id="13" name="Rectangle à coins arrondis 12"/>
        <xdr:cNvSpPr/>
      </xdr:nvSpPr>
      <xdr:spPr>
        <a:xfrm>
          <a:off x="2361314" y="1598084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ASBL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3</xdr:col>
      <xdr:colOff>524048</xdr:colOff>
      <xdr:row>3</xdr:row>
      <xdr:rowOff>78317</xdr:rowOff>
    </xdr:from>
    <xdr:to>
      <xdr:col>6</xdr:col>
      <xdr:colOff>501651</xdr:colOff>
      <xdr:row>6</xdr:row>
      <xdr:rowOff>141817</xdr:rowOff>
    </xdr:to>
    <xdr:sp macro="[0]!Atteindre_RecapPS" textlink="">
      <xdr:nvSpPr>
        <xdr:cNvPr id="14" name="Rectangle à coins arrondis 13"/>
        <xdr:cNvSpPr/>
      </xdr:nvSpPr>
      <xdr:spPr>
        <a:xfrm>
          <a:off x="2365548" y="649817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Recap.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221365</xdr:colOff>
      <xdr:row>8</xdr:row>
      <xdr:rowOff>103717</xdr:rowOff>
    </xdr:from>
    <xdr:to>
      <xdr:col>3</xdr:col>
      <xdr:colOff>198968</xdr:colOff>
      <xdr:row>11</xdr:row>
      <xdr:rowOff>167217</xdr:rowOff>
    </xdr:to>
    <xdr:sp macro="[0]!Atteindre_RecapDS" textlink="">
      <xdr:nvSpPr>
        <xdr:cNvPr id="15" name="Rectangle à coins arrondis 14"/>
        <xdr:cNvSpPr/>
      </xdr:nvSpPr>
      <xdr:spPr>
        <a:xfrm>
          <a:off x="221365" y="1627717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District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15</xdr:col>
      <xdr:colOff>234065</xdr:colOff>
      <xdr:row>3</xdr:row>
      <xdr:rowOff>186266</xdr:rowOff>
    </xdr:from>
    <xdr:to>
      <xdr:col>18</xdr:col>
      <xdr:colOff>317500</xdr:colOff>
      <xdr:row>7</xdr:row>
      <xdr:rowOff>63500</xdr:rowOff>
    </xdr:to>
    <xdr:sp macro="[0]!Atteindre_Reseaux" textlink="">
      <xdr:nvSpPr>
        <xdr:cNvPr id="16" name="Rectangle à coins arrondis 15"/>
        <xdr:cNvSpPr/>
      </xdr:nvSpPr>
      <xdr:spPr>
        <a:xfrm>
          <a:off x="9441565" y="75776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 Réseaux</a:t>
          </a:r>
        </a:p>
      </xdr:txBody>
    </xdr:sp>
    <xdr:clientData/>
  </xdr:twoCellAnchor>
  <xdr:twoCellAnchor>
    <xdr:from>
      <xdr:col>18</xdr:col>
      <xdr:colOff>540981</xdr:colOff>
      <xdr:row>8</xdr:row>
      <xdr:rowOff>154516</xdr:rowOff>
    </xdr:from>
    <xdr:to>
      <xdr:col>22</xdr:col>
      <xdr:colOff>10583</xdr:colOff>
      <xdr:row>12</xdr:row>
      <xdr:rowOff>31750</xdr:rowOff>
    </xdr:to>
    <xdr:sp macro="[0]!Atteindre_ASBL" textlink="">
      <xdr:nvSpPr>
        <xdr:cNvPr id="17" name="Rectangle à coins arrondis 16"/>
        <xdr:cNvSpPr/>
      </xdr:nvSpPr>
      <xdr:spPr>
        <a:xfrm>
          <a:off x="11589981" y="167851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ASBL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18</xdr:col>
      <xdr:colOff>545215</xdr:colOff>
      <xdr:row>3</xdr:row>
      <xdr:rowOff>158749</xdr:rowOff>
    </xdr:from>
    <xdr:to>
      <xdr:col>22</xdr:col>
      <xdr:colOff>14817</xdr:colOff>
      <xdr:row>7</xdr:row>
      <xdr:rowOff>35983</xdr:rowOff>
    </xdr:to>
    <xdr:sp macro="[0]!Atteindre_PS" textlink="">
      <xdr:nvSpPr>
        <xdr:cNvPr id="18" name="Rectangle à coins arrondis 17"/>
        <xdr:cNvSpPr/>
      </xdr:nvSpPr>
      <xdr:spPr>
        <a:xfrm>
          <a:off x="11594215" y="730249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15</xdr:col>
      <xdr:colOff>242532</xdr:colOff>
      <xdr:row>8</xdr:row>
      <xdr:rowOff>173566</xdr:rowOff>
    </xdr:from>
    <xdr:to>
      <xdr:col>18</xdr:col>
      <xdr:colOff>325967</xdr:colOff>
      <xdr:row>12</xdr:row>
      <xdr:rowOff>50800</xdr:rowOff>
    </xdr:to>
    <xdr:sp macro="[0]!Atteindre_DS" textlink="">
      <xdr:nvSpPr>
        <xdr:cNvPr id="19" name="Rectangle à coins arrondis 18"/>
        <xdr:cNvSpPr/>
      </xdr:nvSpPr>
      <xdr:spPr>
        <a:xfrm>
          <a:off x="9450032" y="169756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District S.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16</xdr:col>
      <xdr:colOff>285749</xdr:colOff>
      <xdr:row>18</xdr:row>
      <xdr:rowOff>0</xdr:rowOff>
    </xdr:from>
    <xdr:to>
      <xdr:col>21</xdr:col>
      <xdr:colOff>497415</xdr:colOff>
      <xdr:row>21</xdr:row>
      <xdr:rowOff>116417</xdr:rowOff>
    </xdr:to>
    <xdr:sp macro="[0]!Atteindre_EspaceAdmin" textlink="">
      <xdr:nvSpPr>
        <xdr:cNvPr id="22" name="Rectangle à coins arrondis 21"/>
        <xdr:cNvSpPr/>
      </xdr:nvSpPr>
      <xdr:spPr>
        <a:xfrm>
          <a:off x="10107082" y="3429000"/>
          <a:ext cx="3280833" cy="68791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1">
              <a:solidFill>
                <a:schemeClr val="tx1"/>
              </a:solidFill>
              <a:effectLst>
                <a:innerShdw blurRad="63500" dist="50800">
                  <a:prstClr val="black">
                    <a:alpha val="50000"/>
                  </a:prstClr>
                </a:innerShdw>
              </a:effectLst>
              <a:latin typeface="Candara" panose="020E0502030303020204" pitchFamily="34" charset="0"/>
            </a:rPr>
            <a:t>Espace</a:t>
          </a:r>
          <a:r>
            <a:rPr lang="fr-FR" sz="2000" b="1" baseline="0">
              <a:solidFill>
                <a:schemeClr val="tx1"/>
              </a:solidFill>
              <a:effectLst>
                <a:innerShdw blurRad="63500" dist="50800">
                  <a:prstClr val="black">
                    <a:alpha val="50000"/>
                  </a:prstClr>
                </a:innerShdw>
              </a:effectLst>
              <a:latin typeface="Candara" panose="020E0502030303020204" pitchFamily="34" charset="0"/>
            </a:rPr>
            <a:t> Administrateur</a:t>
          </a:r>
          <a:endParaRPr lang="fr-FR" sz="2000" b="1">
            <a:solidFill>
              <a:schemeClr val="tx1"/>
            </a:solidFill>
            <a:effectLst>
              <a:innerShdw blurRad="63500" dist="50800">
                <a:prstClr val="black">
                  <a:alpha val="50000"/>
                </a:prstClr>
              </a:innerShdw>
            </a:effectLst>
            <a:latin typeface="Candara" panose="020E0502030303020204" pitchFamily="34" charset="0"/>
          </a:endParaRPr>
        </a:p>
      </xdr:txBody>
    </xdr:sp>
    <xdr:clientData/>
  </xdr:twoCellAnchor>
  <xdr:twoCellAnchor>
    <xdr:from>
      <xdr:col>7</xdr:col>
      <xdr:colOff>306917</xdr:colOff>
      <xdr:row>6</xdr:row>
      <xdr:rowOff>169334</xdr:rowOff>
    </xdr:from>
    <xdr:to>
      <xdr:col>10</xdr:col>
      <xdr:colOff>570270</xdr:colOff>
      <xdr:row>10</xdr:row>
      <xdr:rowOff>42334</xdr:rowOff>
    </xdr:to>
    <xdr:sp macro="[0]!Atteindre_ReseauxA" textlink="">
      <xdr:nvSpPr>
        <xdr:cNvPr id="28" name="Rectangle à coins arrondis 27"/>
        <xdr:cNvSpPr/>
      </xdr:nvSpPr>
      <xdr:spPr>
        <a:xfrm>
          <a:off x="4603750" y="1312334"/>
          <a:ext cx="2104853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Réseaux</a:t>
          </a:r>
        </a:p>
      </xdr:txBody>
    </xdr:sp>
    <xdr:clientData/>
  </xdr:twoCellAnchor>
  <xdr:twoCellAnchor>
    <xdr:from>
      <xdr:col>11</xdr:col>
      <xdr:colOff>222250</xdr:colOff>
      <xdr:row>11</xdr:row>
      <xdr:rowOff>179918</xdr:rowOff>
    </xdr:from>
    <xdr:to>
      <xdr:col>14</xdr:col>
      <xdr:colOff>529167</xdr:colOff>
      <xdr:row>15</xdr:row>
      <xdr:rowOff>52918</xdr:rowOff>
    </xdr:to>
    <xdr:sp macro="[0]!Atteindre_ASBLA" textlink="">
      <xdr:nvSpPr>
        <xdr:cNvPr id="29" name="Rectangle à coins arrondis 28"/>
        <xdr:cNvSpPr/>
      </xdr:nvSpPr>
      <xdr:spPr>
        <a:xfrm>
          <a:off x="6974417" y="2275418"/>
          <a:ext cx="2148417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ASBL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11</xdr:col>
      <xdr:colOff>190500</xdr:colOff>
      <xdr:row>6</xdr:row>
      <xdr:rowOff>184151</xdr:rowOff>
    </xdr:from>
    <xdr:to>
      <xdr:col>14</xdr:col>
      <xdr:colOff>550333</xdr:colOff>
      <xdr:row>10</xdr:row>
      <xdr:rowOff>57151</xdr:rowOff>
    </xdr:to>
    <xdr:sp macro="[0]!Atteindre_PSA" textlink="">
      <xdr:nvSpPr>
        <xdr:cNvPr id="30" name="Rectangle à coins arrondis 29"/>
        <xdr:cNvSpPr/>
      </xdr:nvSpPr>
      <xdr:spPr>
        <a:xfrm>
          <a:off x="6942667" y="1327151"/>
          <a:ext cx="2201333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année.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338668</xdr:colOff>
      <xdr:row>12</xdr:row>
      <xdr:rowOff>19051</xdr:rowOff>
    </xdr:from>
    <xdr:to>
      <xdr:col>10</xdr:col>
      <xdr:colOff>578737</xdr:colOff>
      <xdr:row>15</xdr:row>
      <xdr:rowOff>82551</xdr:rowOff>
    </xdr:to>
    <xdr:sp macro="[0]!Atteindre_DSA" textlink="">
      <xdr:nvSpPr>
        <xdr:cNvPr id="31" name="Rectangle à coins arrondis 30"/>
        <xdr:cNvSpPr/>
      </xdr:nvSpPr>
      <xdr:spPr>
        <a:xfrm>
          <a:off x="4635501" y="2305051"/>
          <a:ext cx="2081569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District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84666</xdr:colOff>
      <xdr:row>14</xdr:row>
      <xdr:rowOff>10583</xdr:rowOff>
    </xdr:from>
    <xdr:to>
      <xdr:col>7</xdr:col>
      <xdr:colOff>42332</xdr:colOff>
      <xdr:row>26</xdr:row>
      <xdr:rowOff>0</xdr:rowOff>
    </xdr:to>
    <xdr:sp macro="" textlink="">
      <xdr:nvSpPr>
        <xdr:cNvPr id="33" name="ZoneTexte 32"/>
        <xdr:cNvSpPr txBox="1"/>
      </xdr:nvSpPr>
      <xdr:spPr>
        <a:xfrm>
          <a:off x="84666" y="2677583"/>
          <a:ext cx="4254499" cy="2275417"/>
        </a:xfrm>
        <a:prstGeom prst="rect">
          <a:avLst/>
        </a:prstGeom>
        <a:solidFill>
          <a:srgbClr val="00B0F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PAR PERIODE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201084</xdr:colOff>
      <xdr:row>15</xdr:row>
      <xdr:rowOff>190499</xdr:rowOff>
    </xdr:from>
    <xdr:to>
      <xdr:col>3</xdr:col>
      <xdr:colOff>178687</xdr:colOff>
      <xdr:row>19</xdr:row>
      <xdr:rowOff>63499</xdr:rowOff>
    </xdr:to>
    <xdr:sp macro="[0]!Atteindre_RéseauxPériode" textlink="">
      <xdr:nvSpPr>
        <xdr:cNvPr id="23" name="Rectangle à coins arrondis 22"/>
        <xdr:cNvSpPr/>
      </xdr:nvSpPr>
      <xdr:spPr>
        <a:xfrm>
          <a:off x="201084" y="3047999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Réseaux - période</a:t>
          </a:r>
        </a:p>
      </xdr:txBody>
    </xdr:sp>
    <xdr:clientData/>
  </xdr:twoCellAnchor>
  <xdr:twoCellAnchor>
    <xdr:from>
      <xdr:col>3</xdr:col>
      <xdr:colOff>508000</xdr:colOff>
      <xdr:row>21</xdr:row>
      <xdr:rowOff>10583</xdr:rowOff>
    </xdr:from>
    <xdr:to>
      <xdr:col>6</xdr:col>
      <xdr:colOff>485603</xdr:colOff>
      <xdr:row>24</xdr:row>
      <xdr:rowOff>74083</xdr:rowOff>
    </xdr:to>
    <xdr:sp macro="[0]!Atteindre_ASBLPériode" textlink="">
      <xdr:nvSpPr>
        <xdr:cNvPr id="24" name="Rectangle à coins arrondis 23"/>
        <xdr:cNvSpPr/>
      </xdr:nvSpPr>
      <xdr:spPr>
        <a:xfrm>
          <a:off x="2349500" y="4011083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ASBL 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3</xdr:col>
      <xdr:colOff>512234</xdr:colOff>
      <xdr:row>16</xdr:row>
      <xdr:rowOff>14816</xdr:rowOff>
    </xdr:from>
    <xdr:to>
      <xdr:col>6</xdr:col>
      <xdr:colOff>489837</xdr:colOff>
      <xdr:row>19</xdr:row>
      <xdr:rowOff>78316</xdr:rowOff>
    </xdr:to>
    <xdr:sp macro="[0]!Atteindre_PSPériode" textlink="">
      <xdr:nvSpPr>
        <xdr:cNvPr id="26" name="Rectangle à coins arrondis 25"/>
        <xdr:cNvSpPr/>
      </xdr:nvSpPr>
      <xdr:spPr>
        <a:xfrm>
          <a:off x="2353734" y="3062816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Province S.-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209551</xdr:colOff>
      <xdr:row>21</xdr:row>
      <xdr:rowOff>40216</xdr:rowOff>
    </xdr:from>
    <xdr:to>
      <xdr:col>3</xdr:col>
      <xdr:colOff>187154</xdr:colOff>
      <xdr:row>24</xdr:row>
      <xdr:rowOff>103716</xdr:rowOff>
    </xdr:to>
    <xdr:sp macro="[0]!Atteindre_DSPériode" textlink="">
      <xdr:nvSpPr>
        <xdr:cNvPr id="27" name="Rectangle à coins arrondis 26"/>
        <xdr:cNvSpPr/>
      </xdr:nvSpPr>
      <xdr:spPr>
        <a:xfrm>
          <a:off x="209551" y="4040716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District S. 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52916</xdr:colOff>
      <xdr:row>31</xdr:row>
      <xdr:rowOff>104748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950"/>
        <a:stretch/>
      </xdr:blipFill>
      <xdr:spPr>
        <a:xfrm>
          <a:off x="0" y="0"/>
          <a:ext cx="14784916" cy="6010248"/>
        </a:xfrm>
        <a:prstGeom prst="rect">
          <a:avLst/>
        </a:prstGeom>
      </xdr:spPr>
    </xdr:pic>
    <xdr:clientData/>
  </xdr:twoCellAnchor>
  <xdr:twoCellAnchor>
    <xdr:from>
      <xdr:col>0</xdr:col>
      <xdr:colOff>21168</xdr:colOff>
      <xdr:row>0</xdr:row>
      <xdr:rowOff>158750</xdr:rowOff>
    </xdr:from>
    <xdr:to>
      <xdr:col>6</xdr:col>
      <xdr:colOff>592667</xdr:colOff>
      <xdr:row>12</xdr:row>
      <xdr:rowOff>148167</xdr:rowOff>
    </xdr:to>
    <xdr:sp macro="" textlink="">
      <xdr:nvSpPr>
        <xdr:cNvPr id="23" name="ZoneTexte 22"/>
        <xdr:cNvSpPr txBox="1"/>
      </xdr:nvSpPr>
      <xdr:spPr>
        <a:xfrm>
          <a:off x="21168" y="158750"/>
          <a:ext cx="4254499" cy="227541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MOIS -ANNEE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84668</xdr:colOff>
      <xdr:row>4</xdr:row>
      <xdr:rowOff>74085</xdr:rowOff>
    </xdr:from>
    <xdr:to>
      <xdr:col>14</xdr:col>
      <xdr:colOff>582084</xdr:colOff>
      <xdr:row>16</xdr:row>
      <xdr:rowOff>63500</xdr:rowOff>
    </xdr:to>
    <xdr:sp macro="" textlink="">
      <xdr:nvSpPr>
        <xdr:cNvPr id="24" name="ZoneTexte 23"/>
        <xdr:cNvSpPr txBox="1"/>
      </xdr:nvSpPr>
      <xdr:spPr>
        <a:xfrm>
          <a:off x="4381501" y="836085"/>
          <a:ext cx="4794250" cy="2275415"/>
        </a:xfrm>
        <a:prstGeom prst="rect">
          <a:avLst/>
        </a:prstGeom>
        <a:solidFill>
          <a:srgbClr val="92D05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SUR ANNEE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84670</xdr:colOff>
      <xdr:row>17</xdr:row>
      <xdr:rowOff>84665</xdr:rowOff>
    </xdr:from>
    <xdr:to>
      <xdr:col>10</xdr:col>
      <xdr:colOff>63502</xdr:colOff>
      <xdr:row>20</xdr:row>
      <xdr:rowOff>74082</xdr:rowOff>
    </xdr:to>
    <xdr:sp macro="[0]!Module3.Menu" textlink="">
      <xdr:nvSpPr>
        <xdr:cNvPr id="25" name="Plein_écran"/>
        <xdr:cNvSpPr/>
      </xdr:nvSpPr>
      <xdr:spPr>
        <a:xfrm>
          <a:off x="4381503" y="3323165"/>
          <a:ext cx="1820332" cy="56091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400">
              <a:latin typeface="Nyala" panose="02000504070300020003" pitchFamily="2" charset="0"/>
            </a:rPr>
            <a:t>Plein écran</a:t>
          </a:r>
        </a:p>
      </xdr:txBody>
    </xdr:sp>
    <xdr:clientData/>
  </xdr:twoCellAnchor>
  <xdr:twoCellAnchor>
    <xdr:from>
      <xdr:col>0</xdr:col>
      <xdr:colOff>128232</xdr:colOff>
      <xdr:row>3</xdr:row>
      <xdr:rowOff>0</xdr:rowOff>
    </xdr:from>
    <xdr:to>
      <xdr:col>3</xdr:col>
      <xdr:colOff>105835</xdr:colOff>
      <xdr:row>6</xdr:row>
      <xdr:rowOff>63500</xdr:rowOff>
    </xdr:to>
    <xdr:sp macro="[0]!Atteindre_RecapReseaux" textlink="">
      <xdr:nvSpPr>
        <xdr:cNvPr id="26" name="Rectangle à coins arrondis 25"/>
        <xdr:cNvSpPr/>
      </xdr:nvSpPr>
      <xdr:spPr>
        <a:xfrm>
          <a:off x="128232" y="571500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Réseaux</a:t>
          </a:r>
        </a:p>
      </xdr:txBody>
    </xdr:sp>
    <xdr:clientData/>
  </xdr:twoCellAnchor>
  <xdr:twoCellAnchor>
    <xdr:from>
      <xdr:col>15</xdr:col>
      <xdr:colOff>42335</xdr:colOff>
      <xdr:row>0</xdr:row>
      <xdr:rowOff>169613</xdr:rowOff>
    </xdr:from>
    <xdr:to>
      <xdr:col>22</xdr:col>
      <xdr:colOff>31752</xdr:colOff>
      <xdr:row>13</xdr:row>
      <xdr:rowOff>179917</xdr:rowOff>
    </xdr:to>
    <xdr:sp macro="" textlink="">
      <xdr:nvSpPr>
        <xdr:cNvPr id="27" name="ZoneTexte 26"/>
        <xdr:cNvSpPr txBox="1"/>
      </xdr:nvSpPr>
      <xdr:spPr>
        <a:xfrm>
          <a:off x="9249835" y="169613"/>
          <a:ext cx="4286250" cy="2486804"/>
        </a:xfrm>
        <a:prstGeom prst="rect">
          <a:avLst/>
        </a:prstGeom>
        <a:solidFill>
          <a:srgbClr val="EE770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SYNTHESES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CHIFFREES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15</xdr:col>
      <xdr:colOff>107065</xdr:colOff>
      <xdr:row>16</xdr:row>
      <xdr:rowOff>21165</xdr:rowOff>
    </xdr:from>
    <xdr:to>
      <xdr:col>20</xdr:col>
      <xdr:colOff>359833</xdr:colOff>
      <xdr:row>19</xdr:row>
      <xdr:rowOff>169332</xdr:rowOff>
    </xdr:to>
    <xdr:sp macro="[0]!Atteindre_RecapGlobal" textlink="">
      <xdr:nvSpPr>
        <xdr:cNvPr id="29" name="Rectangle à coins arrondis 28"/>
        <xdr:cNvSpPr/>
      </xdr:nvSpPr>
      <xdr:spPr>
        <a:xfrm>
          <a:off x="9314565" y="3069165"/>
          <a:ext cx="3321935" cy="719667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0" baseline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Synthèse  annuelle mixte</a:t>
          </a:r>
          <a:r>
            <a:rPr lang="fr-FR" sz="2000" b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 </a:t>
          </a:r>
        </a:p>
      </xdr:txBody>
    </xdr:sp>
    <xdr:clientData/>
  </xdr:twoCellAnchor>
  <xdr:twoCellAnchor>
    <xdr:from>
      <xdr:col>9</xdr:col>
      <xdr:colOff>54148</xdr:colOff>
      <xdr:row>0</xdr:row>
      <xdr:rowOff>52917</xdr:rowOff>
    </xdr:from>
    <xdr:to>
      <xdr:col>13</xdr:col>
      <xdr:colOff>116417</xdr:colOff>
      <xdr:row>4</xdr:row>
      <xdr:rowOff>10584</xdr:rowOff>
    </xdr:to>
    <xdr:sp macro="[0]!Atteindre_Données" textlink="">
      <xdr:nvSpPr>
        <xdr:cNvPr id="31" name="Rectangle à coins arrondis 30"/>
        <xdr:cNvSpPr/>
      </xdr:nvSpPr>
      <xdr:spPr>
        <a:xfrm>
          <a:off x="5578648" y="52917"/>
          <a:ext cx="2517602" cy="719667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1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Saisie</a:t>
          </a:r>
          <a:r>
            <a:rPr lang="fr-FR" sz="2000" b="1" baseline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 des Données</a:t>
          </a:r>
          <a:endParaRPr lang="fr-FR" sz="2000" b="1">
            <a:solidFill>
              <a:schemeClr val="accent1">
                <a:lumMod val="75000"/>
              </a:schemeClr>
            </a:solidFill>
            <a:latin typeface="Candara" panose="020E0502030303020204" pitchFamily="34" charset="0"/>
          </a:endParaRPr>
        </a:p>
      </xdr:txBody>
    </xdr:sp>
    <xdr:clientData/>
  </xdr:twoCellAnchor>
  <xdr:twoCellAnchor>
    <xdr:from>
      <xdr:col>3</xdr:col>
      <xdr:colOff>435148</xdr:colOff>
      <xdr:row>8</xdr:row>
      <xdr:rowOff>10584</xdr:rowOff>
    </xdr:from>
    <xdr:to>
      <xdr:col>6</xdr:col>
      <xdr:colOff>412751</xdr:colOff>
      <xdr:row>11</xdr:row>
      <xdr:rowOff>74084</xdr:rowOff>
    </xdr:to>
    <xdr:sp macro="[0]!Atteindre_RecapASBL" textlink="">
      <xdr:nvSpPr>
        <xdr:cNvPr id="32" name="Rectangle à coins arrondis 31"/>
        <xdr:cNvSpPr/>
      </xdr:nvSpPr>
      <xdr:spPr>
        <a:xfrm>
          <a:off x="2276648" y="1534584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ASBL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3</xdr:col>
      <xdr:colOff>439382</xdr:colOff>
      <xdr:row>3</xdr:row>
      <xdr:rowOff>14817</xdr:rowOff>
    </xdr:from>
    <xdr:to>
      <xdr:col>6</xdr:col>
      <xdr:colOff>416985</xdr:colOff>
      <xdr:row>6</xdr:row>
      <xdr:rowOff>78317</xdr:rowOff>
    </xdr:to>
    <xdr:sp macro="[0]!Atteindre_RecapPS" textlink="">
      <xdr:nvSpPr>
        <xdr:cNvPr id="33" name="Rectangle à coins arrondis 32"/>
        <xdr:cNvSpPr/>
      </xdr:nvSpPr>
      <xdr:spPr>
        <a:xfrm>
          <a:off x="2280882" y="586317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Recap.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136699</xdr:colOff>
      <xdr:row>8</xdr:row>
      <xdr:rowOff>40217</xdr:rowOff>
    </xdr:from>
    <xdr:to>
      <xdr:col>3</xdr:col>
      <xdr:colOff>114302</xdr:colOff>
      <xdr:row>11</xdr:row>
      <xdr:rowOff>103717</xdr:rowOff>
    </xdr:to>
    <xdr:sp macro="[0]!Atteindre_RecapDS" textlink="">
      <xdr:nvSpPr>
        <xdr:cNvPr id="34" name="Rectangle à coins arrondis 33"/>
        <xdr:cNvSpPr/>
      </xdr:nvSpPr>
      <xdr:spPr>
        <a:xfrm>
          <a:off x="136699" y="1564217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District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15</xdr:col>
      <xdr:colOff>149399</xdr:colOff>
      <xdr:row>3</xdr:row>
      <xdr:rowOff>122766</xdr:rowOff>
    </xdr:from>
    <xdr:to>
      <xdr:col>18</xdr:col>
      <xdr:colOff>232834</xdr:colOff>
      <xdr:row>7</xdr:row>
      <xdr:rowOff>0</xdr:rowOff>
    </xdr:to>
    <xdr:sp macro="[0]!Atteindre_Reseaux" textlink="">
      <xdr:nvSpPr>
        <xdr:cNvPr id="35" name="Rectangle à coins arrondis 34"/>
        <xdr:cNvSpPr/>
      </xdr:nvSpPr>
      <xdr:spPr>
        <a:xfrm>
          <a:off x="9356899" y="69426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 Réseaux</a:t>
          </a:r>
        </a:p>
      </xdr:txBody>
    </xdr:sp>
    <xdr:clientData/>
  </xdr:twoCellAnchor>
  <xdr:twoCellAnchor>
    <xdr:from>
      <xdr:col>18</xdr:col>
      <xdr:colOff>456315</xdr:colOff>
      <xdr:row>8</xdr:row>
      <xdr:rowOff>91016</xdr:rowOff>
    </xdr:from>
    <xdr:to>
      <xdr:col>21</xdr:col>
      <xdr:colOff>539750</xdr:colOff>
      <xdr:row>11</xdr:row>
      <xdr:rowOff>158750</xdr:rowOff>
    </xdr:to>
    <xdr:sp macro="[0]!Atteindre_ASBL" textlink="">
      <xdr:nvSpPr>
        <xdr:cNvPr id="36" name="Rectangle à coins arrondis 35"/>
        <xdr:cNvSpPr/>
      </xdr:nvSpPr>
      <xdr:spPr>
        <a:xfrm>
          <a:off x="11505315" y="161501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ASBL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18</xdr:col>
      <xdr:colOff>460549</xdr:colOff>
      <xdr:row>3</xdr:row>
      <xdr:rowOff>95249</xdr:rowOff>
    </xdr:from>
    <xdr:to>
      <xdr:col>21</xdr:col>
      <xdr:colOff>543984</xdr:colOff>
      <xdr:row>6</xdr:row>
      <xdr:rowOff>162983</xdr:rowOff>
    </xdr:to>
    <xdr:sp macro="[0]!Atteindre_PS" textlink="">
      <xdr:nvSpPr>
        <xdr:cNvPr id="37" name="Rectangle à coins arrondis 36"/>
        <xdr:cNvSpPr/>
      </xdr:nvSpPr>
      <xdr:spPr>
        <a:xfrm>
          <a:off x="11509549" y="666749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15</xdr:col>
      <xdr:colOff>157866</xdr:colOff>
      <xdr:row>8</xdr:row>
      <xdr:rowOff>110066</xdr:rowOff>
    </xdr:from>
    <xdr:to>
      <xdr:col>18</xdr:col>
      <xdr:colOff>241301</xdr:colOff>
      <xdr:row>11</xdr:row>
      <xdr:rowOff>177800</xdr:rowOff>
    </xdr:to>
    <xdr:sp macro="[0]!Atteindre_DS" textlink="">
      <xdr:nvSpPr>
        <xdr:cNvPr id="38" name="Rectangle à coins arrondis 37"/>
        <xdr:cNvSpPr/>
      </xdr:nvSpPr>
      <xdr:spPr>
        <a:xfrm>
          <a:off x="9365366" y="1634066"/>
          <a:ext cx="1924935" cy="639234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Synthèse</a:t>
          </a:r>
          <a:r>
            <a:rPr lang="fr-FR" sz="1400" b="0" baseline="0">
              <a:solidFill>
                <a:schemeClr val="accent1">
                  <a:lumMod val="75000"/>
                </a:schemeClr>
              </a:solidFill>
              <a:latin typeface="Maiandra GD" panose="020E0502030308020204" pitchFamily="34" charset="0"/>
            </a:rPr>
            <a:t> District S.</a:t>
          </a:r>
          <a:endParaRPr lang="fr-FR" sz="1400" b="0">
            <a:solidFill>
              <a:schemeClr val="accent1">
                <a:lumMod val="75000"/>
              </a:schemeClr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222251</xdr:colOff>
      <xdr:row>6</xdr:row>
      <xdr:rowOff>105834</xdr:rowOff>
    </xdr:from>
    <xdr:to>
      <xdr:col>10</xdr:col>
      <xdr:colOff>485604</xdr:colOff>
      <xdr:row>9</xdr:row>
      <xdr:rowOff>169334</xdr:rowOff>
    </xdr:to>
    <xdr:sp macro="[0]!Atteindre_ReseauxA" textlink="">
      <xdr:nvSpPr>
        <xdr:cNvPr id="40" name="Rectangle à coins arrondis 39"/>
        <xdr:cNvSpPr/>
      </xdr:nvSpPr>
      <xdr:spPr>
        <a:xfrm>
          <a:off x="4519084" y="1248834"/>
          <a:ext cx="2104853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Réseaux</a:t>
          </a:r>
        </a:p>
      </xdr:txBody>
    </xdr:sp>
    <xdr:clientData/>
  </xdr:twoCellAnchor>
  <xdr:twoCellAnchor>
    <xdr:from>
      <xdr:col>11</xdr:col>
      <xdr:colOff>137584</xdr:colOff>
      <xdr:row>11</xdr:row>
      <xdr:rowOff>116418</xdr:rowOff>
    </xdr:from>
    <xdr:to>
      <xdr:col>14</xdr:col>
      <xdr:colOff>444501</xdr:colOff>
      <xdr:row>14</xdr:row>
      <xdr:rowOff>179918</xdr:rowOff>
    </xdr:to>
    <xdr:sp macro="[0]!Atteindre_ASBLA" textlink="">
      <xdr:nvSpPr>
        <xdr:cNvPr id="41" name="Rectangle à coins arrondis 40"/>
        <xdr:cNvSpPr/>
      </xdr:nvSpPr>
      <xdr:spPr>
        <a:xfrm>
          <a:off x="6889751" y="2211918"/>
          <a:ext cx="2148417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ASBL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11</xdr:col>
      <xdr:colOff>105834</xdr:colOff>
      <xdr:row>6</xdr:row>
      <xdr:rowOff>120651</xdr:rowOff>
    </xdr:from>
    <xdr:to>
      <xdr:col>14</xdr:col>
      <xdr:colOff>465667</xdr:colOff>
      <xdr:row>9</xdr:row>
      <xdr:rowOff>184151</xdr:rowOff>
    </xdr:to>
    <xdr:sp macro="[0]!Atteindre_PSA" textlink="">
      <xdr:nvSpPr>
        <xdr:cNvPr id="42" name="Rectangle à coins arrondis 41"/>
        <xdr:cNvSpPr/>
      </xdr:nvSpPr>
      <xdr:spPr>
        <a:xfrm>
          <a:off x="6858001" y="1263651"/>
          <a:ext cx="2201333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année.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 Province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254002</xdr:colOff>
      <xdr:row>11</xdr:row>
      <xdr:rowOff>146051</xdr:rowOff>
    </xdr:from>
    <xdr:to>
      <xdr:col>10</xdr:col>
      <xdr:colOff>494071</xdr:colOff>
      <xdr:row>15</xdr:row>
      <xdr:rowOff>19051</xdr:rowOff>
    </xdr:to>
    <xdr:sp macro="[0]!Atteindre_DSA" textlink="">
      <xdr:nvSpPr>
        <xdr:cNvPr id="43" name="Rectangle à coins arrondis 42"/>
        <xdr:cNvSpPr/>
      </xdr:nvSpPr>
      <xdr:spPr>
        <a:xfrm>
          <a:off x="4550835" y="2241551"/>
          <a:ext cx="2081569" cy="635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  <a:latin typeface="Maiandra GD" panose="020E0502030308020204" pitchFamily="34" charset="0"/>
            </a:rPr>
            <a:t>Recap année</a:t>
          </a:r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. District S.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0</xdr:colOff>
      <xdr:row>13</xdr:row>
      <xdr:rowOff>137583</xdr:rowOff>
    </xdr:from>
    <xdr:to>
      <xdr:col>6</xdr:col>
      <xdr:colOff>571499</xdr:colOff>
      <xdr:row>25</xdr:row>
      <xdr:rowOff>127000</xdr:rowOff>
    </xdr:to>
    <xdr:sp macro="" textlink="">
      <xdr:nvSpPr>
        <xdr:cNvPr id="61" name="ZoneTexte 60"/>
        <xdr:cNvSpPr txBox="1"/>
      </xdr:nvSpPr>
      <xdr:spPr>
        <a:xfrm>
          <a:off x="0" y="2614083"/>
          <a:ext cx="4254499" cy="2275417"/>
        </a:xfrm>
        <a:prstGeom prst="rect">
          <a:avLst/>
        </a:prstGeom>
        <a:solidFill>
          <a:srgbClr val="00B0F0"/>
        </a:solidFill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</a:t>
          </a:r>
          <a:r>
            <a:rPr lang="fr-FR" sz="12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RECAPITULATIFS</a:t>
          </a:r>
          <a:r>
            <a:rPr lang="fr-FR" sz="1200" b="1" u="sng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 AVEC GRAPHIQUES PAR PERIODE</a:t>
          </a:r>
        </a:p>
        <a:p>
          <a:pPr algn="ctr"/>
          <a:endParaRPr lang="fr-FR" sz="1200" b="1" u="non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116418</xdr:colOff>
      <xdr:row>15</xdr:row>
      <xdr:rowOff>126999</xdr:rowOff>
    </xdr:from>
    <xdr:to>
      <xdr:col>3</xdr:col>
      <xdr:colOff>94021</xdr:colOff>
      <xdr:row>18</xdr:row>
      <xdr:rowOff>190499</xdr:rowOff>
    </xdr:to>
    <xdr:sp macro="[0]!Atteindre_RéseauxPériode" textlink="">
      <xdr:nvSpPr>
        <xdr:cNvPr id="62" name="Rectangle à coins arrondis 61"/>
        <xdr:cNvSpPr/>
      </xdr:nvSpPr>
      <xdr:spPr>
        <a:xfrm>
          <a:off x="116418" y="2984499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Réseaux - période</a:t>
          </a:r>
        </a:p>
      </xdr:txBody>
    </xdr:sp>
    <xdr:clientData/>
  </xdr:twoCellAnchor>
  <xdr:twoCellAnchor>
    <xdr:from>
      <xdr:col>3</xdr:col>
      <xdr:colOff>423334</xdr:colOff>
      <xdr:row>20</xdr:row>
      <xdr:rowOff>137583</xdr:rowOff>
    </xdr:from>
    <xdr:to>
      <xdr:col>6</xdr:col>
      <xdr:colOff>400937</xdr:colOff>
      <xdr:row>24</xdr:row>
      <xdr:rowOff>10583</xdr:rowOff>
    </xdr:to>
    <xdr:sp macro="[0]!Atteindre_ASBLPériode" textlink="">
      <xdr:nvSpPr>
        <xdr:cNvPr id="63" name="Rectangle à coins arrondis 62"/>
        <xdr:cNvSpPr/>
      </xdr:nvSpPr>
      <xdr:spPr>
        <a:xfrm>
          <a:off x="2264834" y="3947583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ASBL 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3</xdr:col>
      <xdr:colOff>427568</xdr:colOff>
      <xdr:row>15</xdr:row>
      <xdr:rowOff>141816</xdr:rowOff>
    </xdr:from>
    <xdr:to>
      <xdr:col>6</xdr:col>
      <xdr:colOff>405171</xdr:colOff>
      <xdr:row>19</xdr:row>
      <xdr:rowOff>14816</xdr:rowOff>
    </xdr:to>
    <xdr:sp macro="[0]!Atteindre_PSPériode" textlink="">
      <xdr:nvSpPr>
        <xdr:cNvPr id="64" name="Rectangle à coins arrondis 63"/>
        <xdr:cNvSpPr/>
      </xdr:nvSpPr>
      <xdr:spPr>
        <a:xfrm>
          <a:off x="2269068" y="2999316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Province S.-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0</xdr:col>
      <xdr:colOff>124885</xdr:colOff>
      <xdr:row>20</xdr:row>
      <xdr:rowOff>167216</xdr:rowOff>
    </xdr:from>
    <xdr:to>
      <xdr:col>3</xdr:col>
      <xdr:colOff>102488</xdr:colOff>
      <xdr:row>24</xdr:row>
      <xdr:rowOff>40216</xdr:rowOff>
    </xdr:to>
    <xdr:sp macro="[0]!Atteindre_DSPériode" textlink="">
      <xdr:nvSpPr>
        <xdr:cNvPr id="65" name="Rectangle à coins arrondis 64"/>
        <xdr:cNvSpPr/>
      </xdr:nvSpPr>
      <xdr:spPr>
        <a:xfrm>
          <a:off x="124885" y="3977216"/>
          <a:ext cx="1819103" cy="635000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0" baseline="0">
              <a:solidFill>
                <a:schemeClr val="tx1"/>
              </a:solidFill>
              <a:latin typeface="Maiandra GD" panose="020E0502030308020204" pitchFamily="34" charset="0"/>
            </a:rPr>
            <a:t>District S. - Période</a:t>
          </a:r>
          <a:endParaRPr lang="fr-FR" sz="1400" b="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7</xdr:col>
      <xdr:colOff>127001</xdr:colOff>
      <xdr:row>21</xdr:row>
      <xdr:rowOff>42334</xdr:rowOff>
    </xdr:from>
    <xdr:to>
      <xdr:col>11</xdr:col>
      <xdr:colOff>159981</xdr:colOff>
      <xdr:row>25</xdr:row>
      <xdr:rowOff>31750</xdr:rowOff>
    </xdr:to>
    <xdr:sp macro="[0]!Atteindre_Paramètres" textlink="">
      <xdr:nvSpPr>
        <xdr:cNvPr id="66" name="Rectangle à coins arrondis 65"/>
        <xdr:cNvSpPr/>
      </xdr:nvSpPr>
      <xdr:spPr>
        <a:xfrm>
          <a:off x="4423834" y="4042834"/>
          <a:ext cx="2488314" cy="751416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1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Paramètres</a:t>
          </a:r>
        </a:p>
      </xdr:txBody>
    </xdr:sp>
    <xdr:clientData/>
  </xdr:twoCellAnchor>
  <xdr:twoCellAnchor>
    <xdr:from>
      <xdr:col>11</xdr:col>
      <xdr:colOff>477482</xdr:colOff>
      <xdr:row>21</xdr:row>
      <xdr:rowOff>42332</xdr:rowOff>
    </xdr:from>
    <xdr:to>
      <xdr:col>15</xdr:col>
      <xdr:colOff>510463</xdr:colOff>
      <xdr:row>25</xdr:row>
      <xdr:rowOff>31748</xdr:rowOff>
    </xdr:to>
    <xdr:sp macro="[0]!Atteindre_Accès" textlink="">
      <xdr:nvSpPr>
        <xdr:cNvPr id="67" name="Rectangle à coins arrondis 66"/>
        <xdr:cNvSpPr/>
      </xdr:nvSpPr>
      <xdr:spPr>
        <a:xfrm>
          <a:off x="7229649" y="4042832"/>
          <a:ext cx="2488314" cy="751416"/>
        </a:xfrm>
        <a:prstGeom prst="roundRect">
          <a:avLst/>
        </a:prstGeom>
        <a:ln>
          <a:solidFill>
            <a:schemeClr val="accent6">
              <a:lumMod val="50000"/>
            </a:schemeClr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2000" b="1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Gestion</a:t>
          </a:r>
          <a:r>
            <a:rPr lang="fr-FR" sz="2000" b="1" baseline="0">
              <a:solidFill>
                <a:schemeClr val="accent1">
                  <a:lumMod val="75000"/>
                </a:schemeClr>
              </a:solidFill>
              <a:latin typeface="Candara" panose="020E0502030303020204" pitchFamily="34" charset="0"/>
            </a:rPr>
            <a:t> des accès</a:t>
          </a:r>
          <a:endParaRPr lang="fr-FR" sz="2000" b="1">
            <a:solidFill>
              <a:schemeClr val="accent1">
                <a:lumMod val="75000"/>
              </a:schemeClr>
            </a:solidFill>
            <a:latin typeface="Candara" panose="020E05020303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123825</xdr:rowOff>
    </xdr:from>
    <xdr:to>
      <xdr:col>7</xdr:col>
      <xdr:colOff>578907</xdr:colOff>
      <xdr:row>0</xdr:row>
      <xdr:rowOff>643634</xdr:rowOff>
    </xdr:to>
    <xdr:sp macro="[0]!Atteindre_EspaceAdmin" textlink="">
      <xdr:nvSpPr>
        <xdr:cNvPr id="8" name="Rectangle à coins arrondis 7"/>
        <xdr:cNvSpPr/>
      </xdr:nvSpPr>
      <xdr:spPr>
        <a:xfrm>
          <a:off x="2886075" y="123825"/>
          <a:ext cx="2455332" cy="51980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17</xdr:col>
      <xdr:colOff>95250</xdr:colOff>
      <xdr:row>0</xdr:row>
      <xdr:rowOff>466725</xdr:rowOff>
    </xdr:from>
    <xdr:to>
      <xdr:col>20</xdr:col>
      <xdr:colOff>652992</xdr:colOff>
      <xdr:row>1</xdr:row>
      <xdr:rowOff>257056</xdr:rowOff>
    </xdr:to>
    <xdr:sp macro="[0]!Atteindre_EspaceAdmin" textlink="">
      <xdr:nvSpPr>
        <xdr:cNvPr id="10" name="Rectangle à coins arrondis 9"/>
        <xdr:cNvSpPr/>
      </xdr:nvSpPr>
      <xdr:spPr>
        <a:xfrm>
          <a:off x="15735300" y="466725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9</xdr:col>
      <xdr:colOff>161924</xdr:colOff>
      <xdr:row>0</xdr:row>
      <xdr:rowOff>76201</xdr:rowOff>
    </xdr:from>
    <xdr:to>
      <xdr:col>11</xdr:col>
      <xdr:colOff>781050</xdr:colOff>
      <xdr:row>0</xdr:row>
      <xdr:rowOff>590551</xdr:rowOff>
    </xdr:to>
    <xdr:sp macro="[0]!Module3.Menu" textlink="">
      <xdr:nvSpPr>
        <xdr:cNvPr id="5" name="Plein_écran"/>
        <xdr:cNvSpPr/>
      </xdr:nvSpPr>
      <xdr:spPr>
        <a:xfrm>
          <a:off x="6753224" y="76201"/>
          <a:ext cx="1724026" cy="5143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400">
              <a:latin typeface="Nyala" panose="02000504070300020003" pitchFamily="2" charset="0"/>
            </a:rPr>
            <a:t>Plein écran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56031</xdr:colOff>
      <xdr:row>1</xdr:row>
      <xdr:rowOff>56030</xdr:rowOff>
    </xdr:from>
    <xdr:to>
      <xdr:col>2</xdr:col>
      <xdr:colOff>11208</xdr:colOff>
      <xdr:row>2</xdr:row>
      <xdr:rowOff>112060</xdr:rowOff>
    </xdr:to>
    <xdr:pic>
      <xdr:nvPicPr>
        <xdr:cNvPr id="20" name="Image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246531" y="2442883"/>
          <a:ext cx="806824" cy="448235"/>
        </a:xfrm>
        <a:prstGeom prst="rect">
          <a:avLst/>
        </a:prstGeom>
      </xdr:spPr>
    </xdr:pic>
    <xdr:clientData/>
  </xdr:twoCellAnchor>
  <xdr:twoCellAnchor editAs="absolute">
    <xdr:from>
      <xdr:col>1</xdr:col>
      <xdr:colOff>77321</xdr:colOff>
      <xdr:row>0</xdr:row>
      <xdr:rowOff>33617</xdr:rowOff>
    </xdr:from>
    <xdr:to>
      <xdr:col>2</xdr:col>
      <xdr:colOff>537882</xdr:colOff>
      <xdr:row>0</xdr:row>
      <xdr:rowOff>1176618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i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7821" y="33617"/>
              <a:ext cx="1312208" cy="1143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197783</xdr:colOff>
      <xdr:row>0</xdr:row>
      <xdr:rowOff>32497</xdr:rowOff>
    </xdr:from>
    <xdr:to>
      <xdr:col>6</xdr:col>
      <xdr:colOff>918883</xdr:colOff>
      <xdr:row>0</xdr:row>
      <xdr:rowOff>1714500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ubriqu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briqu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6430" y="32497"/>
              <a:ext cx="1920129" cy="16820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671229</xdr:colOff>
      <xdr:row>0</xdr:row>
      <xdr:rowOff>32496</xdr:rowOff>
    </xdr:from>
    <xdr:to>
      <xdr:col>5</xdr:col>
      <xdr:colOff>168086</xdr:colOff>
      <xdr:row>0</xdr:row>
      <xdr:rowOff>717175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nne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3376" y="32496"/>
              <a:ext cx="1973357" cy="6846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1405217</xdr:colOff>
      <xdr:row>0</xdr:row>
      <xdr:rowOff>47065</xdr:rowOff>
    </xdr:from>
    <xdr:to>
      <xdr:col>12</xdr:col>
      <xdr:colOff>459441</xdr:colOff>
      <xdr:row>0</xdr:row>
      <xdr:rowOff>1636059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Lieu d'interven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eu d'interven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12805" y="47065"/>
              <a:ext cx="1833283" cy="15889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749671</xdr:colOff>
      <xdr:row>0</xdr:row>
      <xdr:rowOff>97491</xdr:rowOff>
    </xdr:from>
    <xdr:to>
      <xdr:col>13</xdr:col>
      <xdr:colOff>1591233</xdr:colOff>
      <xdr:row>0</xdr:row>
      <xdr:rowOff>2229970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Thè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36318" y="97491"/>
              <a:ext cx="1917327" cy="2132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1539687</xdr:colOff>
      <xdr:row>0</xdr:row>
      <xdr:rowOff>47065</xdr:rowOff>
    </xdr:from>
    <xdr:to>
      <xdr:col>8</xdr:col>
      <xdr:colOff>1591235</xdr:colOff>
      <xdr:row>0</xdr:row>
      <xdr:rowOff>997324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Démo Preservatif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émo Preservat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0158" y="47065"/>
              <a:ext cx="1799665" cy="950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1052232</xdr:colOff>
      <xdr:row>0</xdr:row>
      <xdr:rowOff>52668</xdr:rowOff>
    </xdr:from>
    <xdr:to>
      <xdr:col>7</xdr:col>
      <xdr:colOff>1344705</xdr:colOff>
      <xdr:row>0</xdr:row>
      <xdr:rowOff>997324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Témoignag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moigna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69908" y="52668"/>
              <a:ext cx="1805268" cy="9446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1685365</xdr:colOff>
      <xdr:row>0</xdr:row>
      <xdr:rowOff>103097</xdr:rowOff>
    </xdr:from>
    <xdr:to>
      <xdr:col>14</xdr:col>
      <xdr:colOff>1602443</xdr:colOff>
      <xdr:row>0</xdr:row>
      <xdr:rowOff>1378324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Matériel distribué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ériel distribu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947777" y="103097"/>
              <a:ext cx="1822078" cy="1275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1041025</xdr:colOff>
      <xdr:row>0</xdr:row>
      <xdr:rowOff>63875</xdr:rowOff>
    </xdr:from>
    <xdr:to>
      <xdr:col>10</xdr:col>
      <xdr:colOff>1075765</xdr:colOff>
      <xdr:row>0</xdr:row>
      <xdr:rowOff>1647266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Ci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34113" y="63875"/>
              <a:ext cx="1749240" cy="15833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71716</xdr:colOff>
      <xdr:row>0</xdr:row>
      <xdr:rowOff>91889</xdr:rowOff>
    </xdr:from>
    <xdr:to>
      <xdr:col>16</xdr:col>
      <xdr:colOff>616323</xdr:colOff>
      <xdr:row>0</xdr:row>
      <xdr:rowOff>2050677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6" name="Anim/P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im/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63981" y="91889"/>
              <a:ext cx="1911724" cy="19587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693645</xdr:colOff>
      <xdr:row>0</xdr:row>
      <xdr:rowOff>86287</xdr:rowOff>
    </xdr:from>
    <xdr:to>
      <xdr:col>17</xdr:col>
      <xdr:colOff>1075765</xdr:colOff>
      <xdr:row>0</xdr:row>
      <xdr:rowOff>2039471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7" name="Anim/P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im/P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53027" y="86287"/>
              <a:ext cx="1917326" cy="1953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11205</xdr:colOff>
      <xdr:row>0</xdr:row>
      <xdr:rowOff>1882588</xdr:rowOff>
    </xdr:from>
    <xdr:to>
      <xdr:col>5</xdr:col>
      <xdr:colOff>112059</xdr:colOff>
      <xdr:row>0</xdr:row>
      <xdr:rowOff>2425394</xdr:rowOff>
    </xdr:to>
    <xdr:sp macro="[0]!Atteindre_Programme" textlink="">
      <xdr:nvSpPr>
        <xdr:cNvPr id="40" name="Rectangle à coins arrondis 39"/>
        <xdr:cNvSpPr/>
      </xdr:nvSpPr>
      <xdr:spPr>
        <a:xfrm>
          <a:off x="1053352" y="1882588"/>
          <a:ext cx="2577354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25</xdr:col>
      <xdr:colOff>582706</xdr:colOff>
      <xdr:row>0</xdr:row>
      <xdr:rowOff>2319617</xdr:rowOff>
    </xdr:from>
    <xdr:to>
      <xdr:col>26</xdr:col>
      <xdr:colOff>1916206</xdr:colOff>
      <xdr:row>1</xdr:row>
      <xdr:rowOff>341099</xdr:rowOff>
    </xdr:to>
    <xdr:sp macro="[0]!Atteindre_Programme" textlink="">
      <xdr:nvSpPr>
        <xdr:cNvPr id="42" name="Rectangle à coins arrondis 41"/>
        <xdr:cNvSpPr/>
      </xdr:nvSpPr>
      <xdr:spPr>
        <a:xfrm>
          <a:off x="33763324" y="2319617"/>
          <a:ext cx="2835088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5</xdr:col>
      <xdr:colOff>941294</xdr:colOff>
      <xdr:row>0</xdr:row>
      <xdr:rowOff>2061883</xdr:rowOff>
    </xdr:from>
    <xdr:to>
      <xdr:col>7</xdr:col>
      <xdr:colOff>347382</xdr:colOff>
      <xdr:row>1</xdr:row>
      <xdr:rowOff>175559</xdr:rowOff>
    </xdr:to>
    <xdr:sp macro="[0]!Module3.Menu" textlink="">
      <xdr:nvSpPr>
        <xdr:cNvPr id="19" name="Plein_écran"/>
        <xdr:cNvSpPr/>
      </xdr:nvSpPr>
      <xdr:spPr>
        <a:xfrm>
          <a:off x="4459941" y="2061883"/>
          <a:ext cx="2117912" cy="635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800">
              <a:latin typeface="Nyala" panose="02000504070300020003" pitchFamily="2" charset="0"/>
            </a:rPr>
            <a:t>Plein écran</a:t>
          </a:r>
        </a:p>
      </xdr:txBody>
    </xdr:sp>
    <xdr:clientData/>
  </xdr:twoCellAnchor>
  <xdr:twoCellAnchor>
    <xdr:from>
      <xdr:col>22</xdr:col>
      <xdr:colOff>400136</xdr:colOff>
      <xdr:row>1</xdr:row>
      <xdr:rowOff>22411</xdr:rowOff>
    </xdr:from>
    <xdr:to>
      <xdr:col>22</xdr:col>
      <xdr:colOff>672353</xdr:colOff>
      <xdr:row>2</xdr:row>
      <xdr:rowOff>123265</xdr:rowOff>
    </xdr:to>
    <xdr:pic>
      <xdr:nvPicPr>
        <xdr:cNvPr id="31" name="Male Icon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01812" y="2543735"/>
          <a:ext cx="272217" cy="4930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21</xdr:col>
      <xdr:colOff>437028</xdr:colOff>
      <xdr:row>1</xdr:row>
      <xdr:rowOff>56030</xdr:rowOff>
    </xdr:from>
    <xdr:to>
      <xdr:col>21</xdr:col>
      <xdr:colOff>717175</xdr:colOff>
      <xdr:row>2</xdr:row>
      <xdr:rowOff>145677</xdr:rowOff>
    </xdr:to>
    <xdr:pic>
      <xdr:nvPicPr>
        <xdr:cNvPr id="32" name="Female Icon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94852" y="2577354"/>
          <a:ext cx="280147" cy="481852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253696</xdr:colOff>
      <xdr:row>2</xdr:row>
      <xdr:rowOff>190499</xdr:rowOff>
    </xdr:from>
    <xdr:ext cx="1126372" cy="497419"/>
    <xdr:sp macro="" textlink="$C$3">
      <xdr:nvSpPr>
        <xdr:cNvPr id="2" name="Rectangle 1"/>
        <xdr:cNvSpPr/>
      </xdr:nvSpPr>
      <xdr:spPr>
        <a:xfrm>
          <a:off x="7905446" y="761999"/>
          <a:ext cx="1126372" cy="49741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fld id="{8B43AD2D-E0AB-43DF-8A0E-E6494F03525C}" type="TxLink">
            <a:rPr lang="en-US" sz="32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rush Script MT" panose="03060802040406070304" pitchFamily="66" charset="0"/>
              <a:cs typeface="Calibri"/>
            </a:rPr>
            <a:pPr algn="l"/>
            <a:t>2016</a:t>
          </a:fld>
          <a:endParaRPr lang="fr-FR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0</xdr:col>
      <xdr:colOff>285751</xdr:colOff>
      <xdr:row>6</xdr:row>
      <xdr:rowOff>31747</xdr:rowOff>
    </xdr:from>
    <xdr:ext cx="2645832" cy="412753"/>
    <xdr:sp macro="" textlink="">
      <xdr:nvSpPr>
        <xdr:cNvPr id="3" name="Rectangle à coins arrondis 2"/>
        <xdr:cNvSpPr/>
      </xdr:nvSpPr>
      <xdr:spPr>
        <a:xfrm>
          <a:off x="285751" y="1830914"/>
          <a:ext cx="2645832" cy="412753"/>
        </a:xfrm>
        <a:prstGeom prst="roundRect">
          <a:avLst/>
        </a:prstGeom>
        <a:noFill/>
        <a:ln>
          <a:solidFill>
            <a:srgbClr val="92D050"/>
          </a:solidFill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6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Réseaux/Postes</a:t>
          </a:r>
        </a:p>
      </xdr:txBody>
    </xdr:sp>
    <xdr:clientData/>
  </xdr:oneCellAnchor>
  <xdr:oneCellAnchor>
    <xdr:from>
      <xdr:col>3</xdr:col>
      <xdr:colOff>349252</xdr:colOff>
      <xdr:row>2</xdr:row>
      <xdr:rowOff>232833</xdr:rowOff>
    </xdr:from>
    <xdr:ext cx="2656416" cy="423333"/>
    <xdr:sp macro="" textlink="">
      <xdr:nvSpPr>
        <xdr:cNvPr id="4" name="Rectangle 3"/>
        <xdr:cNvSpPr/>
      </xdr:nvSpPr>
      <xdr:spPr>
        <a:xfrm>
          <a:off x="3302002" y="730250"/>
          <a:ext cx="2656416" cy="423333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r>
            <a:rPr lang="en-US" sz="20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Synthèse par Réseaux</a:t>
          </a:r>
          <a:endParaRPr lang="en-US" sz="20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oneCellAnchor>
  <xdr:twoCellAnchor editAs="oneCell">
    <xdr:from>
      <xdr:col>0</xdr:col>
      <xdr:colOff>21167</xdr:colOff>
      <xdr:row>1</xdr:row>
      <xdr:rowOff>10583</xdr:rowOff>
    </xdr:from>
    <xdr:to>
      <xdr:col>1</xdr:col>
      <xdr:colOff>476250</xdr:colOff>
      <xdr:row>3</xdr:row>
      <xdr:rowOff>243417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21167" y="229658"/>
          <a:ext cx="1086908" cy="787400"/>
        </a:xfrm>
        <a:prstGeom prst="rect">
          <a:avLst/>
        </a:prstGeom>
      </xdr:spPr>
    </xdr:pic>
    <xdr:clientData/>
  </xdr:twoCellAnchor>
  <xdr:twoCellAnchor>
    <xdr:from>
      <xdr:col>1</xdr:col>
      <xdr:colOff>10584</xdr:colOff>
      <xdr:row>3</xdr:row>
      <xdr:rowOff>74084</xdr:rowOff>
    </xdr:from>
    <xdr:to>
      <xdr:col>2</xdr:col>
      <xdr:colOff>1619251</xdr:colOff>
      <xdr:row>4</xdr:row>
      <xdr:rowOff>288806</xdr:rowOff>
    </xdr:to>
    <xdr:sp macro="[0]!Atteindre_Programme" textlink="">
      <xdr:nvSpPr>
        <xdr:cNvPr id="17" name="Rectangle à coins arrondis 16"/>
        <xdr:cNvSpPr/>
      </xdr:nvSpPr>
      <xdr:spPr>
        <a:xfrm>
          <a:off x="645584" y="846667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253696</xdr:colOff>
      <xdr:row>2</xdr:row>
      <xdr:rowOff>190499</xdr:rowOff>
    </xdr:from>
    <xdr:ext cx="1126372" cy="497419"/>
    <xdr:sp macro="" textlink="$C$3">
      <xdr:nvSpPr>
        <xdr:cNvPr id="2" name="Rectangle 1"/>
        <xdr:cNvSpPr/>
      </xdr:nvSpPr>
      <xdr:spPr>
        <a:xfrm>
          <a:off x="7911796" y="761999"/>
          <a:ext cx="1126372" cy="49741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fld id="{8B43AD2D-E0AB-43DF-8A0E-E6494F03525C}" type="TxLink">
            <a:rPr lang="en-US" sz="32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rush Script MT" panose="03060802040406070304" pitchFamily="66" charset="0"/>
              <a:cs typeface="Calibri"/>
            </a:rPr>
            <a:pPr algn="l"/>
            <a:t>2016</a:t>
          </a:fld>
          <a:endParaRPr lang="fr-FR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0</xdr:col>
      <xdr:colOff>285751</xdr:colOff>
      <xdr:row>6</xdr:row>
      <xdr:rowOff>31747</xdr:rowOff>
    </xdr:from>
    <xdr:ext cx="2645832" cy="412753"/>
    <xdr:sp macro="" textlink="">
      <xdr:nvSpPr>
        <xdr:cNvPr id="3" name="Rectangle à coins arrondis 2"/>
        <xdr:cNvSpPr/>
      </xdr:nvSpPr>
      <xdr:spPr>
        <a:xfrm>
          <a:off x="285751" y="1822447"/>
          <a:ext cx="2645832" cy="412753"/>
        </a:xfrm>
        <a:prstGeom prst="roundRect">
          <a:avLst/>
        </a:prstGeom>
        <a:noFill/>
        <a:ln>
          <a:solidFill>
            <a:srgbClr val="92D050"/>
          </a:solidFill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6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District Sanitaire</a:t>
          </a:r>
        </a:p>
      </xdr:txBody>
    </xdr:sp>
    <xdr:clientData/>
  </xdr:oneCellAnchor>
  <xdr:oneCellAnchor>
    <xdr:from>
      <xdr:col>3</xdr:col>
      <xdr:colOff>349251</xdr:colOff>
      <xdr:row>2</xdr:row>
      <xdr:rowOff>232833</xdr:rowOff>
    </xdr:from>
    <xdr:ext cx="2603499" cy="423333"/>
    <xdr:sp macro="" textlink="">
      <xdr:nvSpPr>
        <xdr:cNvPr id="4" name="Rectangle 3"/>
        <xdr:cNvSpPr/>
      </xdr:nvSpPr>
      <xdr:spPr>
        <a:xfrm>
          <a:off x="3302001" y="804333"/>
          <a:ext cx="2603499" cy="423333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r>
            <a:rPr lang="en-US" sz="18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Synthèse par District S.</a:t>
          </a:r>
          <a:endParaRPr lang="en-US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oneCellAnchor>
  <xdr:twoCellAnchor editAs="oneCell">
    <xdr:from>
      <xdr:col>0</xdr:col>
      <xdr:colOff>21167</xdr:colOff>
      <xdr:row>1</xdr:row>
      <xdr:rowOff>10583</xdr:rowOff>
    </xdr:from>
    <xdr:to>
      <xdr:col>1</xdr:col>
      <xdr:colOff>476250</xdr:colOff>
      <xdr:row>3</xdr:row>
      <xdr:rowOff>169333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21167" y="229658"/>
          <a:ext cx="1093258" cy="787400"/>
        </a:xfrm>
        <a:prstGeom prst="rect">
          <a:avLst/>
        </a:prstGeom>
      </xdr:spPr>
    </xdr:pic>
    <xdr:clientData/>
  </xdr:twoCellAnchor>
  <xdr:twoCellAnchor>
    <xdr:from>
      <xdr:col>1</xdr:col>
      <xdr:colOff>10583</xdr:colOff>
      <xdr:row>3</xdr:row>
      <xdr:rowOff>95250</xdr:rowOff>
    </xdr:from>
    <xdr:to>
      <xdr:col>2</xdr:col>
      <xdr:colOff>1619250</xdr:colOff>
      <xdr:row>4</xdr:row>
      <xdr:rowOff>309973</xdr:rowOff>
    </xdr:to>
    <xdr:sp macro="[0]!Atteindre_Programme" textlink="">
      <xdr:nvSpPr>
        <xdr:cNvPr id="8" name="Rectangle à coins arrondis 7"/>
        <xdr:cNvSpPr/>
      </xdr:nvSpPr>
      <xdr:spPr>
        <a:xfrm>
          <a:off x="645583" y="941917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253696</xdr:colOff>
      <xdr:row>2</xdr:row>
      <xdr:rowOff>190499</xdr:rowOff>
    </xdr:from>
    <xdr:ext cx="1126372" cy="497419"/>
    <xdr:sp macro="" textlink="$C$3">
      <xdr:nvSpPr>
        <xdr:cNvPr id="2" name="Rectangle 1"/>
        <xdr:cNvSpPr/>
      </xdr:nvSpPr>
      <xdr:spPr>
        <a:xfrm>
          <a:off x="7911796" y="761999"/>
          <a:ext cx="1126372" cy="49741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fld id="{8B43AD2D-E0AB-43DF-8A0E-E6494F03525C}" type="TxLink">
            <a:rPr lang="en-US" sz="32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rush Script MT" panose="03060802040406070304" pitchFamily="66" charset="0"/>
              <a:cs typeface="Calibri"/>
            </a:rPr>
            <a:pPr algn="l"/>
            <a:t>2016</a:t>
          </a:fld>
          <a:endParaRPr lang="fr-FR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0</xdr:col>
      <xdr:colOff>285751</xdr:colOff>
      <xdr:row>6</xdr:row>
      <xdr:rowOff>31747</xdr:rowOff>
    </xdr:from>
    <xdr:ext cx="2645832" cy="412753"/>
    <xdr:sp macro="" textlink="">
      <xdr:nvSpPr>
        <xdr:cNvPr id="3" name="Rectangle à coins arrondis 2"/>
        <xdr:cNvSpPr/>
      </xdr:nvSpPr>
      <xdr:spPr>
        <a:xfrm>
          <a:off x="285751" y="1822447"/>
          <a:ext cx="2645832" cy="412753"/>
        </a:xfrm>
        <a:prstGeom prst="roundRect">
          <a:avLst/>
        </a:prstGeom>
        <a:noFill/>
        <a:ln>
          <a:solidFill>
            <a:srgbClr val="92D050"/>
          </a:solidFill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6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District Sanitaire</a:t>
          </a:r>
        </a:p>
      </xdr:txBody>
    </xdr:sp>
    <xdr:clientData/>
  </xdr:oneCellAnchor>
  <xdr:oneCellAnchor>
    <xdr:from>
      <xdr:col>3</xdr:col>
      <xdr:colOff>349251</xdr:colOff>
      <xdr:row>2</xdr:row>
      <xdr:rowOff>232833</xdr:rowOff>
    </xdr:from>
    <xdr:ext cx="2698749" cy="423333"/>
    <xdr:sp macro="" textlink="">
      <xdr:nvSpPr>
        <xdr:cNvPr id="4" name="Rectangle 3"/>
        <xdr:cNvSpPr/>
      </xdr:nvSpPr>
      <xdr:spPr>
        <a:xfrm>
          <a:off x="3302001" y="804333"/>
          <a:ext cx="2698749" cy="423333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r>
            <a:rPr lang="en-US" sz="18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Synthèse par Province S.</a:t>
          </a:r>
          <a:endParaRPr lang="en-US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oneCellAnchor>
  <xdr:twoCellAnchor editAs="oneCell">
    <xdr:from>
      <xdr:col>0</xdr:col>
      <xdr:colOff>21167</xdr:colOff>
      <xdr:row>1</xdr:row>
      <xdr:rowOff>10583</xdr:rowOff>
    </xdr:from>
    <xdr:to>
      <xdr:col>1</xdr:col>
      <xdr:colOff>476250</xdr:colOff>
      <xdr:row>3</xdr:row>
      <xdr:rowOff>169333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21167" y="229658"/>
          <a:ext cx="1093258" cy="787400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3</xdr:row>
      <xdr:rowOff>84667</xdr:rowOff>
    </xdr:from>
    <xdr:to>
      <xdr:col>2</xdr:col>
      <xdr:colOff>1640417</xdr:colOff>
      <xdr:row>4</xdr:row>
      <xdr:rowOff>299390</xdr:rowOff>
    </xdr:to>
    <xdr:sp macro="[0]!Atteindre_Programme" textlink="">
      <xdr:nvSpPr>
        <xdr:cNvPr id="8" name="Rectangle à coins arrondis 7"/>
        <xdr:cNvSpPr/>
      </xdr:nvSpPr>
      <xdr:spPr>
        <a:xfrm>
          <a:off x="666750" y="931334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253696</xdr:colOff>
      <xdr:row>2</xdr:row>
      <xdr:rowOff>190499</xdr:rowOff>
    </xdr:from>
    <xdr:ext cx="1126372" cy="497419"/>
    <xdr:sp macro="" textlink="$C$3">
      <xdr:nvSpPr>
        <xdr:cNvPr id="2" name="Rectangle 1"/>
        <xdr:cNvSpPr/>
      </xdr:nvSpPr>
      <xdr:spPr>
        <a:xfrm>
          <a:off x="7911796" y="761999"/>
          <a:ext cx="1126372" cy="49741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fld id="{8B43AD2D-E0AB-43DF-8A0E-E6494F03525C}" type="TxLink">
            <a:rPr lang="en-US" sz="32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Brush Script MT" panose="03060802040406070304" pitchFamily="66" charset="0"/>
              <a:cs typeface="Calibri"/>
            </a:rPr>
            <a:pPr algn="l"/>
            <a:t>2016</a:t>
          </a:fld>
          <a:endParaRPr lang="fr-FR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0</xdr:col>
      <xdr:colOff>285751</xdr:colOff>
      <xdr:row>6</xdr:row>
      <xdr:rowOff>31747</xdr:rowOff>
    </xdr:from>
    <xdr:ext cx="2645832" cy="412753"/>
    <xdr:sp macro="" textlink="">
      <xdr:nvSpPr>
        <xdr:cNvPr id="3" name="Rectangle à coins arrondis 2"/>
        <xdr:cNvSpPr/>
      </xdr:nvSpPr>
      <xdr:spPr>
        <a:xfrm>
          <a:off x="285751" y="1822447"/>
          <a:ext cx="2645832" cy="412753"/>
        </a:xfrm>
        <a:prstGeom prst="roundRect">
          <a:avLst/>
        </a:prstGeom>
        <a:noFill/>
        <a:ln>
          <a:solidFill>
            <a:srgbClr val="92D050"/>
          </a:solidFill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16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District Sanitaire</a:t>
          </a:r>
        </a:p>
      </xdr:txBody>
    </xdr:sp>
    <xdr:clientData/>
  </xdr:oneCellAnchor>
  <xdr:oneCellAnchor>
    <xdr:from>
      <xdr:col>3</xdr:col>
      <xdr:colOff>465667</xdr:colOff>
      <xdr:row>2</xdr:row>
      <xdr:rowOff>243416</xdr:rowOff>
    </xdr:from>
    <xdr:ext cx="2158999" cy="423333"/>
    <xdr:sp macro="" textlink="">
      <xdr:nvSpPr>
        <xdr:cNvPr id="4" name="Rectangle 3"/>
        <xdr:cNvSpPr/>
      </xdr:nvSpPr>
      <xdr:spPr>
        <a:xfrm>
          <a:off x="3418417" y="814916"/>
          <a:ext cx="2158999" cy="423333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r>
            <a:rPr lang="en-US" sz="18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aiandra GD" panose="020E0502030308020204" pitchFamily="34" charset="0"/>
            </a:rPr>
            <a:t>Synthèse par ASBL</a:t>
          </a:r>
          <a:endParaRPr lang="en-US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Maiandra GD" panose="020E0502030308020204" pitchFamily="34" charset="0"/>
          </a:endParaRPr>
        </a:p>
      </xdr:txBody>
    </xdr:sp>
    <xdr:clientData/>
  </xdr:oneCellAnchor>
  <xdr:twoCellAnchor editAs="oneCell">
    <xdr:from>
      <xdr:col>0</xdr:col>
      <xdr:colOff>21167</xdr:colOff>
      <xdr:row>1</xdr:row>
      <xdr:rowOff>10583</xdr:rowOff>
    </xdr:from>
    <xdr:to>
      <xdr:col>1</xdr:col>
      <xdr:colOff>476250</xdr:colOff>
      <xdr:row>3</xdr:row>
      <xdr:rowOff>169333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21167" y="229658"/>
          <a:ext cx="1093258" cy="787400"/>
        </a:xfrm>
        <a:prstGeom prst="rect">
          <a:avLst/>
        </a:prstGeom>
      </xdr:spPr>
    </xdr:pic>
    <xdr:clientData/>
  </xdr:twoCellAnchor>
  <xdr:twoCellAnchor>
    <xdr:from>
      <xdr:col>1</xdr:col>
      <xdr:colOff>10582</xdr:colOff>
      <xdr:row>3</xdr:row>
      <xdr:rowOff>113360</xdr:rowOff>
    </xdr:from>
    <xdr:to>
      <xdr:col>2</xdr:col>
      <xdr:colOff>1619249</xdr:colOff>
      <xdr:row>4</xdr:row>
      <xdr:rowOff>328083</xdr:rowOff>
    </xdr:to>
    <xdr:sp macro="[0]!Atteindre_Programme" textlink="">
      <xdr:nvSpPr>
        <xdr:cNvPr id="6" name="Rectangle à coins arrondis 5"/>
        <xdr:cNvSpPr/>
      </xdr:nvSpPr>
      <xdr:spPr>
        <a:xfrm>
          <a:off x="645582" y="960027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542925</xdr:colOff>
      <xdr:row>1</xdr:row>
      <xdr:rowOff>148793</xdr:rowOff>
    </xdr:from>
    <xdr:to>
      <xdr:col>12</xdr:col>
      <xdr:colOff>361950</xdr:colOff>
      <xdr:row>3</xdr:row>
      <xdr:rowOff>159613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15225" y="491693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0</xdr:row>
      <xdr:rowOff>0</xdr:rowOff>
    </xdr:from>
    <xdr:to>
      <xdr:col>13</xdr:col>
      <xdr:colOff>676275</xdr:colOff>
      <xdr:row>1</xdr:row>
      <xdr:rowOff>9525</xdr:rowOff>
    </xdr:to>
    <xdr:sp macro="[0]!Atteindre_Programme" textlink="">
      <xdr:nvSpPr>
        <xdr:cNvPr id="7" name="Rectangle à coins arrondis 6"/>
        <xdr:cNvSpPr/>
      </xdr:nvSpPr>
      <xdr:spPr>
        <a:xfrm>
          <a:off x="7115175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133349</xdr:colOff>
      <xdr:row>52</xdr:row>
      <xdr:rowOff>76200</xdr:rowOff>
    </xdr:from>
    <xdr:to>
      <xdr:col>22</xdr:col>
      <xdr:colOff>19050</xdr:colOff>
      <xdr:row>61</xdr:row>
      <xdr:rowOff>133348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52</xdr:row>
      <xdr:rowOff>57150</xdr:rowOff>
    </xdr:from>
    <xdr:to>
      <xdr:col>25</xdr:col>
      <xdr:colOff>133351</xdr:colOff>
      <xdr:row>61</xdr:row>
      <xdr:rowOff>114298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531804</xdr:colOff>
      <xdr:row>3</xdr:row>
      <xdr:rowOff>222016</xdr:rowOff>
    </xdr:from>
    <xdr:to>
      <xdr:col>2</xdr:col>
      <xdr:colOff>773769</xdr:colOff>
      <xdr:row>7</xdr:row>
      <xdr:rowOff>133350</xdr:rowOff>
    </xdr:to>
    <xdr:pic>
      <xdr:nvPicPr>
        <xdr:cNvPr id="21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229" y="1012591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66675</xdr:colOff>
      <xdr:row>4</xdr:row>
      <xdr:rowOff>1</xdr:rowOff>
    </xdr:from>
    <xdr:to>
      <xdr:col>7</xdr:col>
      <xdr:colOff>359071</xdr:colOff>
      <xdr:row>7</xdr:row>
      <xdr:rowOff>123825</xdr:rowOff>
    </xdr:to>
    <xdr:pic>
      <xdr:nvPicPr>
        <xdr:cNvPr id="22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0" y="1028701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542925</xdr:colOff>
      <xdr:row>1</xdr:row>
      <xdr:rowOff>148793</xdr:rowOff>
    </xdr:from>
    <xdr:to>
      <xdr:col>12</xdr:col>
      <xdr:colOff>361950</xdr:colOff>
      <xdr:row>3</xdr:row>
      <xdr:rowOff>159613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15225" y="491693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0</xdr:row>
      <xdr:rowOff>0</xdr:rowOff>
    </xdr:from>
    <xdr:to>
      <xdr:col>13</xdr:col>
      <xdr:colOff>676275</xdr:colOff>
      <xdr:row>1</xdr:row>
      <xdr:rowOff>9525</xdr:rowOff>
    </xdr:to>
    <xdr:sp macro="[0]!Atteindre_Programme" textlink="">
      <xdr:nvSpPr>
        <xdr:cNvPr id="13" name="Rectangle à coins arrondis 12"/>
        <xdr:cNvSpPr/>
      </xdr:nvSpPr>
      <xdr:spPr>
        <a:xfrm>
          <a:off x="7115175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133349</xdr:colOff>
      <xdr:row>52</xdr:row>
      <xdr:rowOff>76200</xdr:rowOff>
    </xdr:from>
    <xdr:to>
      <xdr:col>22</xdr:col>
      <xdr:colOff>19050</xdr:colOff>
      <xdr:row>61</xdr:row>
      <xdr:rowOff>133348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52</xdr:row>
      <xdr:rowOff>57150</xdr:rowOff>
    </xdr:from>
    <xdr:to>
      <xdr:col>25</xdr:col>
      <xdr:colOff>133351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180975</xdr:rowOff>
    </xdr:from>
    <xdr:to>
      <xdr:col>2</xdr:col>
      <xdr:colOff>765840</xdr:colOff>
      <xdr:row>7</xdr:row>
      <xdr:rowOff>92309</xdr:rowOff>
    </xdr:to>
    <xdr:pic>
      <xdr:nvPicPr>
        <xdr:cNvPr id="14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197085</xdr:rowOff>
    </xdr:from>
    <xdr:to>
      <xdr:col>7</xdr:col>
      <xdr:colOff>351142</xdr:colOff>
      <xdr:row>7</xdr:row>
      <xdr:rowOff>82784</xdr:rowOff>
    </xdr:to>
    <xdr:pic>
      <xdr:nvPicPr>
        <xdr:cNvPr id="15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590550</xdr:colOff>
      <xdr:row>1</xdr:row>
      <xdr:rowOff>139268</xdr:rowOff>
    </xdr:from>
    <xdr:to>
      <xdr:col>12</xdr:col>
      <xdr:colOff>409575</xdr:colOff>
      <xdr:row>3</xdr:row>
      <xdr:rowOff>150088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62850" y="48216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209550</xdr:colOff>
      <xdr:row>0</xdr:row>
      <xdr:rowOff>9525</xdr:rowOff>
    </xdr:from>
    <xdr:to>
      <xdr:col>13</xdr:col>
      <xdr:colOff>742950</xdr:colOff>
      <xdr:row>1</xdr:row>
      <xdr:rowOff>19050</xdr:rowOff>
    </xdr:to>
    <xdr:sp macro="[0]!Atteindre_Programme" textlink="">
      <xdr:nvSpPr>
        <xdr:cNvPr id="8" name="Rectangle à coins arrondis 7"/>
        <xdr:cNvSpPr/>
      </xdr:nvSpPr>
      <xdr:spPr>
        <a:xfrm>
          <a:off x="7181850" y="952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514350</xdr:colOff>
      <xdr:row>3</xdr:row>
      <xdr:rowOff>180975</xdr:rowOff>
    </xdr:from>
    <xdr:to>
      <xdr:col>2</xdr:col>
      <xdr:colOff>756315</xdr:colOff>
      <xdr:row>7</xdr:row>
      <xdr:rowOff>92309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49221</xdr:colOff>
      <xdr:row>3</xdr:row>
      <xdr:rowOff>197085</xdr:rowOff>
    </xdr:from>
    <xdr:to>
      <xdr:col>7</xdr:col>
      <xdr:colOff>341617</xdr:colOff>
      <xdr:row>7</xdr:row>
      <xdr:rowOff>82784</xdr:rowOff>
    </xdr:to>
    <xdr:pic>
      <xdr:nvPicPr>
        <xdr:cNvPr id="15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796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561975</xdr:colOff>
      <xdr:row>1</xdr:row>
      <xdr:rowOff>158318</xdr:rowOff>
    </xdr:from>
    <xdr:to>
      <xdr:col>12</xdr:col>
      <xdr:colOff>381000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34275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0</xdr:row>
      <xdr:rowOff>0</xdr:rowOff>
    </xdr:from>
    <xdr:to>
      <xdr:col>13</xdr:col>
      <xdr:colOff>762000</xdr:colOff>
      <xdr:row>1</xdr:row>
      <xdr:rowOff>9525</xdr:rowOff>
    </xdr:to>
    <xdr:sp macro="[0]!Atteindre_Programme" textlink="">
      <xdr:nvSpPr>
        <xdr:cNvPr id="8" name="Rectangle à coins arrondis 7"/>
        <xdr:cNvSpPr/>
      </xdr:nvSpPr>
      <xdr:spPr>
        <a:xfrm>
          <a:off x="7200900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180975</xdr:rowOff>
    </xdr:from>
    <xdr:to>
      <xdr:col>2</xdr:col>
      <xdr:colOff>765840</xdr:colOff>
      <xdr:row>7</xdr:row>
      <xdr:rowOff>92309</xdr:rowOff>
    </xdr:to>
    <xdr:pic>
      <xdr:nvPicPr>
        <xdr:cNvPr id="13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197085</xdr:rowOff>
    </xdr:from>
    <xdr:to>
      <xdr:col>7</xdr:col>
      <xdr:colOff>351142</xdr:colOff>
      <xdr:row>7</xdr:row>
      <xdr:rowOff>82784</xdr:rowOff>
    </xdr:to>
    <xdr:pic>
      <xdr:nvPicPr>
        <xdr:cNvPr id="14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552450</xdr:colOff>
      <xdr:row>1</xdr:row>
      <xdr:rowOff>158318</xdr:rowOff>
    </xdr:from>
    <xdr:to>
      <xdr:col>12</xdr:col>
      <xdr:colOff>371475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24750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333375</xdr:colOff>
      <xdr:row>0</xdr:row>
      <xdr:rowOff>28575</xdr:rowOff>
    </xdr:from>
    <xdr:to>
      <xdr:col>13</xdr:col>
      <xdr:colOff>866775</xdr:colOff>
      <xdr:row>1</xdr:row>
      <xdr:rowOff>38100</xdr:rowOff>
    </xdr:to>
    <xdr:sp macro="[0]!Atteindre_Programme" textlink="">
      <xdr:nvSpPr>
        <xdr:cNvPr id="8" name="Rectangle à coins arrondis 7"/>
        <xdr:cNvSpPr/>
      </xdr:nvSpPr>
      <xdr:spPr>
        <a:xfrm>
          <a:off x="7305675" y="2857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190500</xdr:rowOff>
    </xdr:from>
    <xdr:to>
      <xdr:col>2</xdr:col>
      <xdr:colOff>765840</xdr:colOff>
      <xdr:row>7</xdr:row>
      <xdr:rowOff>101834</xdr:rowOff>
    </xdr:to>
    <xdr:pic>
      <xdr:nvPicPr>
        <xdr:cNvPr id="13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81075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206610</xdr:rowOff>
    </xdr:from>
    <xdr:to>
      <xdr:col>7</xdr:col>
      <xdr:colOff>351142</xdr:colOff>
      <xdr:row>7</xdr:row>
      <xdr:rowOff>92309</xdr:rowOff>
    </xdr:to>
    <xdr:pic>
      <xdr:nvPicPr>
        <xdr:cNvPr id="14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97185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38101</xdr:colOff>
      <xdr:row>3</xdr:row>
      <xdr:rowOff>190500</xdr:rowOff>
    </xdr:from>
    <xdr:to>
      <xdr:col>2</xdr:col>
      <xdr:colOff>293473</xdr:colOff>
      <xdr:row>6</xdr:row>
      <xdr:rowOff>47625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390526" y="981075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542925</xdr:colOff>
      <xdr:row>1</xdr:row>
      <xdr:rowOff>148793</xdr:rowOff>
    </xdr:from>
    <xdr:to>
      <xdr:col>12</xdr:col>
      <xdr:colOff>361950</xdr:colOff>
      <xdr:row>3</xdr:row>
      <xdr:rowOff>150088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15225" y="491693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0</xdr:row>
      <xdr:rowOff>0</xdr:rowOff>
    </xdr:from>
    <xdr:to>
      <xdr:col>13</xdr:col>
      <xdr:colOff>676275</xdr:colOff>
      <xdr:row>1</xdr:row>
      <xdr:rowOff>9525</xdr:rowOff>
    </xdr:to>
    <xdr:sp macro="[0]!Atteindre_Programme" textlink="">
      <xdr:nvSpPr>
        <xdr:cNvPr id="7" name="Rectangle à coins arrondis 6"/>
        <xdr:cNvSpPr/>
      </xdr:nvSpPr>
      <xdr:spPr>
        <a:xfrm>
          <a:off x="7115175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133349</xdr:colOff>
      <xdr:row>52</xdr:row>
      <xdr:rowOff>76200</xdr:rowOff>
    </xdr:from>
    <xdr:to>
      <xdr:col>22</xdr:col>
      <xdr:colOff>19050</xdr:colOff>
      <xdr:row>61</xdr:row>
      <xdr:rowOff>133348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52</xdr:row>
      <xdr:rowOff>57150</xdr:rowOff>
    </xdr:from>
    <xdr:to>
      <xdr:col>25</xdr:col>
      <xdr:colOff>133351</xdr:colOff>
      <xdr:row>61</xdr:row>
      <xdr:rowOff>114298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180975</xdr:rowOff>
    </xdr:from>
    <xdr:to>
      <xdr:col>2</xdr:col>
      <xdr:colOff>765840</xdr:colOff>
      <xdr:row>7</xdr:row>
      <xdr:rowOff>92309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197085</xdr:rowOff>
    </xdr:from>
    <xdr:to>
      <xdr:col>7</xdr:col>
      <xdr:colOff>351142</xdr:colOff>
      <xdr:row>7</xdr:row>
      <xdr:rowOff>82784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66676</xdr:colOff>
      <xdr:row>3</xdr:row>
      <xdr:rowOff>161925</xdr:rowOff>
    </xdr:from>
    <xdr:to>
      <xdr:col>2</xdr:col>
      <xdr:colOff>322048</xdr:colOff>
      <xdr:row>6</xdr:row>
      <xdr:rowOff>19050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419101" y="9525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590550</xdr:colOff>
      <xdr:row>1</xdr:row>
      <xdr:rowOff>139268</xdr:rowOff>
    </xdr:from>
    <xdr:to>
      <xdr:col>12</xdr:col>
      <xdr:colOff>409575</xdr:colOff>
      <xdr:row>3</xdr:row>
      <xdr:rowOff>150088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62850" y="48216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209550</xdr:colOff>
      <xdr:row>0</xdr:row>
      <xdr:rowOff>9525</xdr:rowOff>
    </xdr:from>
    <xdr:to>
      <xdr:col>13</xdr:col>
      <xdr:colOff>742950</xdr:colOff>
      <xdr:row>1</xdr:row>
      <xdr:rowOff>19050</xdr:rowOff>
    </xdr:to>
    <xdr:sp macro="[0]!Atteindre_Programme" textlink="">
      <xdr:nvSpPr>
        <xdr:cNvPr id="7" name="Rectangle à coins arrondis 6"/>
        <xdr:cNvSpPr/>
      </xdr:nvSpPr>
      <xdr:spPr>
        <a:xfrm>
          <a:off x="7181850" y="952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514350</xdr:colOff>
      <xdr:row>3</xdr:row>
      <xdr:rowOff>180975</xdr:rowOff>
    </xdr:from>
    <xdr:to>
      <xdr:col>2</xdr:col>
      <xdr:colOff>756315</xdr:colOff>
      <xdr:row>7</xdr:row>
      <xdr:rowOff>92309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49221</xdr:colOff>
      <xdr:row>3</xdr:row>
      <xdr:rowOff>197085</xdr:rowOff>
    </xdr:from>
    <xdr:to>
      <xdr:col>7</xdr:col>
      <xdr:colOff>341617</xdr:colOff>
      <xdr:row>7</xdr:row>
      <xdr:rowOff>82784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796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104776</xdr:colOff>
      <xdr:row>3</xdr:row>
      <xdr:rowOff>142875</xdr:rowOff>
    </xdr:from>
    <xdr:to>
      <xdr:col>2</xdr:col>
      <xdr:colOff>360148</xdr:colOff>
      <xdr:row>6</xdr:row>
      <xdr:rowOff>0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457201" y="93345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561975</xdr:colOff>
      <xdr:row>1</xdr:row>
      <xdr:rowOff>158318</xdr:rowOff>
    </xdr:from>
    <xdr:to>
      <xdr:col>12</xdr:col>
      <xdr:colOff>381000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34275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0</xdr:row>
      <xdr:rowOff>0</xdr:rowOff>
    </xdr:from>
    <xdr:to>
      <xdr:col>13</xdr:col>
      <xdr:colOff>762000</xdr:colOff>
      <xdr:row>1</xdr:row>
      <xdr:rowOff>9525</xdr:rowOff>
    </xdr:to>
    <xdr:sp macro="[0]!Atteindre_Programme" textlink="">
      <xdr:nvSpPr>
        <xdr:cNvPr id="7" name="Rectangle à coins arrondis 6"/>
        <xdr:cNvSpPr/>
      </xdr:nvSpPr>
      <xdr:spPr>
        <a:xfrm>
          <a:off x="7200900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180975</xdr:rowOff>
    </xdr:from>
    <xdr:to>
      <xdr:col>2</xdr:col>
      <xdr:colOff>765840</xdr:colOff>
      <xdr:row>7</xdr:row>
      <xdr:rowOff>92309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7155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197085</xdr:rowOff>
    </xdr:from>
    <xdr:to>
      <xdr:col>7</xdr:col>
      <xdr:colOff>351142</xdr:colOff>
      <xdr:row>7</xdr:row>
      <xdr:rowOff>82784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8766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161926</xdr:colOff>
      <xdr:row>3</xdr:row>
      <xdr:rowOff>180975</xdr:rowOff>
    </xdr:from>
    <xdr:to>
      <xdr:col>2</xdr:col>
      <xdr:colOff>417298</xdr:colOff>
      <xdr:row>6</xdr:row>
      <xdr:rowOff>38100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514351" y="97155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552450</xdr:colOff>
      <xdr:row>1</xdr:row>
      <xdr:rowOff>158318</xdr:rowOff>
    </xdr:from>
    <xdr:to>
      <xdr:col>12</xdr:col>
      <xdr:colOff>371475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24750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333375</xdr:colOff>
      <xdr:row>0</xdr:row>
      <xdr:rowOff>28575</xdr:rowOff>
    </xdr:from>
    <xdr:to>
      <xdr:col>13</xdr:col>
      <xdr:colOff>866775</xdr:colOff>
      <xdr:row>1</xdr:row>
      <xdr:rowOff>38100</xdr:rowOff>
    </xdr:to>
    <xdr:sp macro="[0]!Atteindre_Programme" textlink="">
      <xdr:nvSpPr>
        <xdr:cNvPr id="7" name="Rectangle à coins arrondis 6"/>
        <xdr:cNvSpPr/>
      </xdr:nvSpPr>
      <xdr:spPr>
        <a:xfrm>
          <a:off x="7305675" y="2857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190500</xdr:rowOff>
    </xdr:from>
    <xdr:to>
      <xdr:col>2</xdr:col>
      <xdr:colOff>765840</xdr:colOff>
      <xdr:row>7</xdr:row>
      <xdr:rowOff>101834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981075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3</xdr:row>
      <xdr:rowOff>206610</xdr:rowOff>
    </xdr:from>
    <xdr:to>
      <xdr:col>7</xdr:col>
      <xdr:colOff>351142</xdr:colOff>
      <xdr:row>7</xdr:row>
      <xdr:rowOff>92309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997185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542925</xdr:colOff>
      <xdr:row>1</xdr:row>
      <xdr:rowOff>148793</xdr:rowOff>
    </xdr:from>
    <xdr:to>
      <xdr:col>12</xdr:col>
      <xdr:colOff>361950</xdr:colOff>
      <xdr:row>3</xdr:row>
      <xdr:rowOff>159613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15225" y="491693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0</xdr:row>
      <xdr:rowOff>0</xdr:rowOff>
    </xdr:from>
    <xdr:to>
      <xdr:col>13</xdr:col>
      <xdr:colOff>676275</xdr:colOff>
      <xdr:row>1</xdr:row>
      <xdr:rowOff>9525</xdr:rowOff>
    </xdr:to>
    <xdr:sp macro="[0]!Atteindre_Programme" textlink="">
      <xdr:nvSpPr>
        <xdr:cNvPr id="7" name="Rectangle à coins arrondis 6"/>
        <xdr:cNvSpPr/>
      </xdr:nvSpPr>
      <xdr:spPr>
        <a:xfrm>
          <a:off x="7115175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133349</xdr:colOff>
      <xdr:row>52</xdr:row>
      <xdr:rowOff>76200</xdr:rowOff>
    </xdr:from>
    <xdr:to>
      <xdr:col>22</xdr:col>
      <xdr:colOff>19050</xdr:colOff>
      <xdr:row>61</xdr:row>
      <xdr:rowOff>133348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52</xdr:row>
      <xdr:rowOff>57150</xdr:rowOff>
    </xdr:from>
    <xdr:to>
      <xdr:col>25</xdr:col>
      <xdr:colOff>133351</xdr:colOff>
      <xdr:row>61</xdr:row>
      <xdr:rowOff>114298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3</xdr:row>
      <xdr:rowOff>209550</xdr:rowOff>
    </xdr:from>
    <xdr:to>
      <xdr:col>2</xdr:col>
      <xdr:colOff>775365</xdr:colOff>
      <xdr:row>7</xdr:row>
      <xdr:rowOff>120884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825" y="1000125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68271</xdr:colOff>
      <xdr:row>3</xdr:row>
      <xdr:rowOff>225660</xdr:rowOff>
    </xdr:from>
    <xdr:to>
      <xdr:col>7</xdr:col>
      <xdr:colOff>360667</xdr:colOff>
      <xdr:row>7</xdr:row>
      <xdr:rowOff>111359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6846" y="1016235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590550</xdr:colOff>
      <xdr:row>1</xdr:row>
      <xdr:rowOff>139268</xdr:rowOff>
    </xdr:from>
    <xdr:to>
      <xdr:col>12</xdr:col>
      <xdr:colOff>409575</xdr:colOff>
      <xdr:row>3</xdr:row>
      <xdr:rowOff>150088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62850" y="48216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209550</xdr:colOff>
      <xdr:row>0</xdr:row>
      <xdr:rowOff>9525</xdr:rowOff>
    </xdr:from>
    <xdr:to>
      <xdr:col>13</xdr:col>
      <xdr:colOff>742950</xdr:colOff>
      <xdr:row>1</xdr:row>
      <xdr:rowOff>19050</xdr:rowOff>
    </xdr:to>
    <xdr:sp macro="[0]!Atteindre_Programme" textlink="">
      <xdr:nvSpPr>
        <xdr:cNvPr id="7" name="Rectangle à coins arrondis 6"/>
        <xdr:cNvSpPr/>
      </xdr:nvSpPr>
      <xdr:spPr>
        <a:xfrm>
          <a:off x="7181850" y="952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523875</xdr:colOff>
      <xdr:row>3</xdr:row>
      <xdr:rowOff>228600</xdr:rowOff>
    </xdr:from>
    <xdr:to>
      <xdr:col>2</xdr:col>
      <xdr:colOff>765840</xdr:colOff>
      <xdr:row>7</xdr:row>
      <xdr:rowOff>139934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1019175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58746</xdr:colOff>
      <xdr:row>4</xdr:row>
      <xdr:rowOff>6585</xdr:rowOff>
    </xdr:from>
    <xdr:to>
      <xdr:col>7</xdr:col>
      <xdr:colOff>351142</xdr:colOff>
      <xdr:row>7</xdr:row>
      <xdr:rowOff>130409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321" y="1035285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561975</xdr:colOff>
      <xdr:row>1</xdr:row>
      <xdr:rowOff>158318</xdr:rowOff>
    </xdr:from>
    <xdr:to>
      <xdr:col>12</xdr:col>
      <xdr:colOff>381000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34275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0</xdr:row>
      <xdr:rowOff>0</xdr:rowOff>
    </xdr:from>
    <xdr:to>
      <xdr:col>13</xdr:col>
      <xdr:colOff>762000</xdr:colOff>
      <xdr:row>1</xdr:row>
      <xdr:rowOff>9525</xdr:rowOff>
    </xdr:to>
    <xdr:sp macro="[0]!Atteindre_Programme" textlink="">
      <xdr:nvSpPr>
        <xdr:cNvPr id="7" name="Rectangle à coins arrondis 6"/>
        <xdr:cNvSpPr/>
      </xdr:nvSpPr>
      <xdr:spPr>
        <a:xfrm>
          <a:off x="7200900" y="0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514350</xdr:colOff>
      <xdr:row>3</xdr:row>
      <xdr:rowOff>200025</xdr:rowOff>
    </xdr:from>
    <xdr:to>
      <xdr:col>2</xdr:col>
      <xdr:colOff>756315</xdr:colOff>
      <xdr:row>7</xdr:row>
      <xdr:rowOff>111359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99060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49221</xdr:colOff>
      <xdr:row>3</xdr:row>
      <xdr:rowOff>216135</xdr:rowOff>
    </xdr:from>
    <xdr:to>
      <xdr:col>7</xdr:col>
      <xdr:colOff>341617</xdr:colOff>
      <xdr:row>7</xdr:row>
      <xdr:rowOff>101834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7796" y="100671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114301</xdr:rowOff>
    </xdr:from>
    <xdr:to>
      <xdr:col>9</xdr:col>
      <xdr:colOff>1314450</xdr:colOff>
      <xdr:row>31</xdr:row>
      <xdr:rowOff>85726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628651</xdr:colOff>
      <xdr:row>1</xdr:row>
      <xdr:rowOff>76200</xdr:rowOff>
    </xdr:from>
    <xdr:to>
      <xdr:col>9</xdr:col>
      <xdr:colOff>1265023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6105526" y="419100"/>
          <a:ext cx="636372" cy="457200"/>
        </a:xfrm>
        <a:prstGeom prst="rect">
          <a:avLst/>
        </a:prstGeom>
      </xdr:spPr>
    </xdr:pic>
    <xdr:clientData/>
  </xdr:twoCellAnchor>
  <xdr:twoCellAnchor>
    <xdr:from>
      <xdr:col>11</xdr:col>
      <xdr:colOff>790575</xdr:colOff>
      <xdr:row>5</xdr:row>
      <xdr:rowOff>142874</xdr:rowOff>
    </xdr:from>
    <xdr:to>
      <xdr:col>18</xdr:col>
      <xdr:colOff>695325</xdr:colOff>
      <xdr:row>23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133349</xdr:colOff>
      <xdr:row>34</xdr:row>
      <xdr:rowOff>0</xdr:rowOff>
    </xdr:from>
    <xdr:to>
      <xdr:col>18</xdr:col>
      <xdr:colOff>771525</xdr:colOff>
      <xdr:row>50</xdr:row>
      <xdr:rowOff>19050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552450</xdr:colOff>
      <xdr:row>1</xdr:row>
      <xdr:rowOff>158318</xdr:rowOff>
    </xdr:from>
    <xdr:to>
      <xdr:col>12</xdr:col>
      <xdr:colOff>371475</xdr:colOff>
      <xdr:row>3</xdr:row>
      <xdr:rowOff>169138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7524750" y="501218"/>
          <a:ext cx="638175" cy="458495"/>
        </a:xfrm>
        <a:prstGeom prst="rect">
          <a:avLst/>
        </a:prstGeom>
      </xdr:spPr>
    </xdr:pic>
    <xdr:clientData/>
  </xdr:twoCellAnchor>
  <xdr:twoCellAnchor>
    <xdr:from>
      <xdr:col>11</xdr:col>
      <xdr:colOff>333375</xdr:colOff>
      <xdr:row>0</xdr:row>
      <xdr:rowOff>28575</xdr:rowOff>
    </xdr:from>
    <xdr:to>
      <xdr:col>13</xdr:col>
      <xdr:colOff>866775</xdr:colOff>
      <xdr:row>1</xdr:row>
      <xdr:rowOff>38100</xdr:rowOff>
    </xdr:to>
    <xdr:sp macro="[0]!Atteindre_Programme" textlink="">
      <xdr:nvSpPr>
        <xdr:cNvPr id="7" name="Rectangle à coins arrondis 6"/>
        <xdr:cNvSpPr/>
      </xdr:nvSpPr>
      <xdr:spPr>
        <a:xfrm>
          <a:off x="7305675" y="28575"/>
          <a:ext cx="2038350" cy="3524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  <xdr:twoCellAnchor>
    <xdr:from>
      <xdr:col>20</xdr:col>
      <xdr:colOff>104775</xdr:colOff>
      <xdr:row>31</xdr:row>
      <xdr:rowOff>133351</xdr:rowOff>
    </xdr:from>
    <xdr:to>
      <xdr:col>24</xdr:col>
      <xdr:colOff>228600</xdr:colOff>
      <xdr:row>46</xdr:row>
      <xdr:rowOff>57150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6</xdr:row>
      <xdr:rowOff>76200</xdr:rowOff>
    </xdr:from>
    <xdr:to>
      <xdr:col>27</xdr:col>
      <xdr:colOff>19050</xdr:colOff>
      <xdr:row>24</xdr:row>
      <xdr:rowOff>1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52</xdr:row>
      <xdr:rowOff>38100</xdr:rowOff>
    </xdr:from>
    <xdr:to>
      <xdr:col>22</xdr:col>
      <xdr:colOff>381001</xdr:colOff>
      <xdr:row>61</xdr:row>
      <xdr:rowOff>95248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</xdr:colOff>
      <xdr:row>52</xdr:row>
      <xdr:rowOff>57150</xdr:rowOff>
    </xdr:from>
    <xdr:to>
      <xdr:col>25</xdr:col>
      <xdr:colOff>285752</xdr:colOff>
      <xdr:row>61</xdr:row>
      <xdr:rowOff>114298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4</xdr:row>
      <xdr:rowOff>0</xdr:rowOff>
    </xdr:from>
    <xdr:to>
      <xdr:col>2</xdr:col>
      <xdr:colOff>775365</xdr:colOff>
      <xdr:row>8</xdr:row>
      <xdr:rowOff>6584</xdr:rowOff>
    </xdr:to>
    <xdr:pic>
      <xdr:nvPicPr>
        <xdr:cNvPr id="12" name="Male Icon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6825" y="1028700"/>
          <a:ext cx="241965" cy="720959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  <xdr:twoCellAnchor>
    <xdr:from>
      <xdr:col>7</xdr:col>
      <xdr:colOff>68271</xdr:colOff>
      <xdr:row>4</xdr:row>
      <xdr:rowOff>16110</xdr:rowOff>
    </xdr:from>
    <xdr:to>
      <xdr:col>7</xdr:col>
      <xdr:colOff>360667</xdr:colOff>
      <xdr:row>7</xdr:row>
      <xdr:rowOff>139934</xdr:rowOff>
    </xdr:to>
    <xdr:pic>
      <xdr:nvPicPr>
        <xdr:cNvPr id="13" name="Female Icon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6846" y="1044810"/>
          <a:ext cx="292396" cy="695324"/>
        </a:xfrm>
        <a:prstGeom prst="rect">
          <a:avLst/>
        </a:prstGeom>
        <a:effectLst>
          <a:glow rad="101600">
            <a:schemeClr val="bg1"/>
          </a:glow>
        </a:effec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1190625</xdr:colOff>
      <xdr:row>16</xdr:row>
      <xdr:rowOff>114299</xdr:rowOff>
    </xdr:from>
    <xdr:ext cx="4057650" cy="657225"/>
    <xdr:sp macro="" textlink="">
      <xdr:nvSpPr>
        <xdr:cNvPr id="2" name="Rectangle à coins arrondis 1"/>
        <xdr:cNvSpPr/>
      </xdr:nvSpPr>
      <xdr:spPr>
        <a:xfrm>
          <a:off x="1190625" y="3248024"/>
          <a:ext cx="4057650" cy="657225"/>
        </a:xfrm>
        <a:prstGeom prst="roundRect">
          <a:avLst/>
        </a:prstGeom>
        <a:ln>
          <a:solidFill>
            <a:srgbClr val="00B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3600" b="1" i="0" u="none" strike="noStrike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  <a:latin typeface="Berlin Sans FB Demi" panose="020E0802020502020306" pitchFamily="34" charset="0"/>
            </a:rPr>
            <a:t>Gestion des accès</a:t>
          </a:r>
        </a:p>
      </xdr:txBody>
    </xdr:sp>
    <xdr:clientData/>
  </xdr:oneCellAnchor>
  <xdr:twoCellAnchor editAs="oneCell">
    <xdr:from>
      <xdr:col>5</xdr:col>
      <xdr:colOff>923925</xdr:colOff>
      <xdr:row>14</xdr:row>
      <xdr:rowOff>161925</xdr:rowOff>
    </xdr:from>
    <xdr:to>
      <xdr:col>8</xdr:col>
      <xdr:colOff>274323</xdr:colOff>
      <xdr:row>21</xdr:row>
      <xdr:rowOff>38100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728" t="17035" r="15686" b="17015"/>
        <a:stretch/>
      </xdr:blipFill>
      <xdr:spPr>
        <a:xfrm>
          <a:off x="5343525" y="2914650"/>
          <a:ext cx="2245998" cy="1247775"/>
        </a:xfrm>
        <a:prstGeom prst="rect">
          <a:avLst/>
        </a:prstGeom>
      </xdr:spPr>
    </xdr:pic>
    <xdr:clientData/>
  </xdr:twoCellAnchor>
  <xdr:twoCellAnchor>
    <xdr:from>
      <xdr:col>8</xdr:col>
      <xdr:colOff>781050</xdr:colOff>
      <xdr:row>16</xdr:row>
      <xdr:rowOff>9525</xdr:rowOff>
    </xdr:from>
    <xdr:to>
      <xdr:col>11</xdr:col>
      <xdr:colOff>519642</xdr:colOff>
      <xdr:row>18</xdr:row>
      <xdr:rowOff>133231</xdr:rowOff>
    </xdr:to>
    <xdr:sp macro="[0]!Atteindre_EspaceAdmin" textlink="">
      <xdr:nvSpPr>
        <xdr:cNvPr id="9" name="Rectangle à coins arrondis 8"/>
        <xdr:cNvSpPr/>
      </xdr:nvSpPr>
      <xdr:spPr>
        <a:xfrm>
          <a:off x="7972425" y="3238500"/>
          <a:ext cx="2243667" cy="542806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Maiandra GD" panose="020E0502030308020204" pitchFamily="34" charset="0"/>
            </a:rPr>
            <a:t>Retour</a:t>
          </a:r>
          <a:r>
            <a:rPr lang="fr-FR" sz="1400" b="1" baseline="0">
              <a:solidFill>
                <a:sysClr val="windowText" lastClr="000000"/>
              </a:solidFill>
              <a:latin typeface="Maiandra GD" panose="020E0502030308020204" pitchFamily="34" charset="0"/>
            </a:rPr>
            <a:t> au menu</a:t>
          </a:r>
          <a:endParaRPr lang="fr-FR" sz="1400" b="1">
            <a:solidFill>
              <a:sysClr val="windowText" lastClr="000000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ois1" sourceName="Mois">
  <extLst>
    <x:ext xmlns:x15="http://schemas.microsoft.com/office/spreadsheetml/2010/11/main" uri="{2F2917AC-EB37-4324-AD4E-5DD8C200BD13}">
      <x15:tableSlicerCache tableId="8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Rubriques" sourceName="Nom Réseau">
  <extLst>
    <x:ext xmlns:x15="http://schemas.microsoft.com/office/spreadsheetml/2010/11/main" uri="{2F2917AC-EB37-4324-AD4E-5DD8C200BD13}">
      <x15:tableSlicerCache tableId="8" column="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ee" sourceName="Annee">
  <extLst>
    <x:ext xmlns:x15="http://schemas.microsoft.com/office/spreadsheetml/2010/11/main" uri="{2F2917AC-EB37-4324-AD4E-5DD8C200BD13}">
      <x15:tableSlicerCache tableId="8" column="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Lieu_d_intervention" sourceName="Lieu d'intervention">
  <extLst>
    <x:ext xmlns:x15="http://schemas.microsoft.com/office/spreadsheetml/2010/11/main" uri="{2F2917AC-EB37-4324-AD4E-5DD8C200BD13}">
      <x15:tableSlicerCache tableId="8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s" sourceName="Thèmes">
  <extLst>
    <x:ext xmlns:x15="http://schemas.microsoft.com/office/spreadsheetml/2010/11/main" uri="{2F2917AC-EB37-4324-AD4E-5DD8C200BD13}">
      <x15:tableSlicerCache tableId="8" column="1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émo_Preservatif" sourceName="Démo Preservatif">
  <extLst>
    <x:ext xmlns:x15="http://schemas.microsoft.com/office/spreadsheetml/2010/11/main" uri="{2F2917AC-EB37-4324-AD4E-5DD8C200BD13}">
      <x15:tableSlicerCache tableId="8" column="1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émoignage" sourceName="Témoignage">
  <extLst>
    <x:ext xmlns:x15="http://schemas.microsoft.com/office/spreadsheetml/2010/11/main" uri="{2F2917AC-EB37-4324-AD4E-5DD8C200BD13}">
      <x15:tableSlicerCache tableId="8" column="1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Matériel_distribué" sourceName="Matériel distribué">
  <extLst>
    <x:ext xmlns:x15="http://schemas.microsoft.com/office/spreadsheetml/2010/11/main" uri="{2F2917AC-EB37-4324-AD4E-5DD8C200BD13}">
      <x15:tableSlicerCache tableId="8" column="17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Cible" sourceName="Cible">
  <extLst>
    <x:ext xmlns:x15="http://schemas.microsoft.com/office/spreadsheetml/2010/11/main" uri="{2F2917AC-EB37-4324-AD4E-5DD8C200BD13}">
      <x15:tableSlicerCache tableId="8" column="18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im_PE_1" sourceName="Animateur - PE 1">
  <extLst>
    <x:ext xmlns:x15="http://schemas.microsoft.com/office/spreadsheetml/2010/11/main" uri="{2F2917AC-EB37-4324-AD4E-5DD8C200BD13}">
      <x15:tableSlicerCache tableId="8" column="21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im_PE_2" sourceName="Animateur - PE 2">
  <extLst>
    <x:ext xmlns:x15="http://schemas.microsoft.com/office/spreadsheetml/2010/11/main" uri="{2F2917AC-EB37-4324-AD4E-5DD8C200BD13}">
      <x15:tableSlicerCache tableId="8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ois 1" cache="Segment_Mois1" caption="Mois" rowHeight="241300"/>
  <slicer name="Rubriques" cache="Segment_Rubriques" caption="Nom Réseau" rowHeight="241300"/>
  <slicer name="Annee" cache="Segment_Annee" caption="Annee" rowHeight="241300"/>
  <slicer name="Lieu d'intervention" cache="Segment_Lieu_d_intervention" caption="Lieu d'intervention" rowHeight="241300"/>
  <slicer name="Thèmes" cache="Segment_Thèmes" caption="Thèmes" rowHeight="241300"/>
  <slicer name="Démo Preservatif" cache="Segment_Démo_Preservatif" caption="Démo Preservatif" rowHeight="241300"/>
  <slicer name="Témoignage" cache="Segment_Témoignage" caption="Témoignage" rowHeight="241300"/>
  <slicer name="Matériel distribué" cache="Segment_Matériel_distribué" caption="Matériel distribué" rowHeight="241300"/>
  <slicer name="Cible" cache="Segment_Cible" caption="Cible" rowHeight="241300"/>
  <slicer name="Anim/PE 1" cache="Segment_Anim_PE_1" caption="Animateur - PE 1" rowHeight="241300"/>
  <slicer name="Anim/PE 2" cache="Segment_Anim_PE_2" caption="Animateur - PE 2" rowHeight="241300"/>
</slicers>
</file>

<file path=xl/tables/table1.xml><?xml version="1.0" encoding="utf-8"?>
<table xmlns="http://schemas.openxmlformats.org/spreadsheetml/2006/main" id="1" name="Tableau1" displayName="Tableau1" ref="H6:H10" totalsRowShown="0" headerRowDxfId="82" headerRowBorderDxfId="81">
  <tableColumns count="1">
    <tableColumn id="1" name="Matériels distribués" dataDxfId="80"/>
  </tableColumns>
  <tableStyleInfo name="Style de tableau 1" showFirstColumn="0" showLastColumn="0" showRowStripes="1" showColumnStripes="0"/>
</table>
</file>

<file path=xl/tables/table2.xml><?xml version="1.0" encoding="utf-8"?>
<table xmlns="http://schemas.openxmlformats.org/spreadsheetml/2006/main" id="3" name="Tableau_projets" displayName="Tableau_projets" ref="D6:D8" totalsRowShown="0" headerRowDxfId="79">
  <tableColumns count="1">
    <tableColumn id="3" name="Variables"/>
  </tableColumns>
  <tableStyleInfo name="Style de tableau 1" showFirstColumn="0" showLastColumn="0" showRowStripes="1" showColumnStripes="0"/>
</table>
</file>

<file path=xl/tables/table3.xml><?xml version="1.0" encoding="utf-8"?>
<table xmlns="http://schemas.openxmlformats.org/spreadsheetml/2006/main" id="5" name="Tableau5" displayName="Tableau5" ref="L6:L10" totalsRowShown="0" headerRowDxfId="78">
  <tableColumns count="1">
    <tableColumn id="1" name="Cible"/>
  </tableColumns>
  <tableStyleInfo name="Style de tableau 1" showFirstColumn="0" showLastColumn="0" showRowStripes="1" showColumnStripes="0"/>
</table>
</file>

<file path=xl/tables/table4.xml><?xml version="1.0" encoding="utf-8"?>
<table xmlns="http://schemas.openxmlformats.org/spreadsheetml/2006/main" id="9" name="Tableau9" displayName="Tableau9" ref="B6:B10" totalsRowShown="0" headerRowDxfId="77" headerRowBorderDxfId="76">
  <tableColumns count="1">
    <tableColumn id="1" name="Lieu d'intervention"/>
  </tableColumns>
  <tableStyleInfo name="Style de tableau 1" showFirstColumn="0" showLastColumn="0" showRowStripes="1" showColumnStripes="0"/>
</table>
</file>

<file path=xl/tables/table5.xml><?xml version="1.0" encoding="utf-8"?>
<table xmlns="http://schemas.openxmlformats.org/spreadsheetml/2006/main" id="10" name="Tableau10" displayName="Tableau10" ref="F6:F13" totalsRowShown="0" headerRowDxfId="75" tableBorderDxfId="74">
  <tableColumns count="1">
    <tableColumn id="2" name="Thèmes"/>
  </tableColumns>
  <tableStyleInfo name="Style de tableau 1" showFirstColumn="0" showLastColumn="0" showRowStripes="1" showColumnStripes="0"/>
</table>
</file>

<file path=xl/tables/table6.xml><?xml version="1.0" encoding="utf-8"?>
<table xmlns="http://schemas.openxmlformats.org/spreadsheetml/2006/main" id="6" name="Tableau107" displayName="Tableau107" ref="N4:Q42" totalsRowShown="0" headerRowDxfId="73" dataDxfId="71" headerRowBorderDxfId="72" tableBorderDxfId="70">
  <autoFilter ref="N4:Q42"/>
  <tableColumns count="4">
    <tableColumn id="2" name="Réseaux/Poste" dataDxfId="69"/>
    <tableColumn id="1" name="Province Sanitaire" dataDxfId="68"/>
    <tableColumn id="3" name="District Sanitaire" dataDxfId="67"/>
    <tableColumn id="4" name="ASBL" dataDxfId="66"/>
  </tableColumns>
  <tableStyleInfo name="Style de tableau 1" showFirstColumn="0" showLastColumn="0" showRowStripes="1" showColumnStripes="0"/>
</table>
</file>

<file path=xl/tables/table7.xml><?xml version="1.0" encoding="utf-8"?>
<table xmlns="http://schemas.openxmlformats.org/spreadsheetml/2006/main" id="7" name="Tableau108" displayName="Tableau108" ref="B20:B23" totalsRowShown="0" headerRowDxfId="65" headerRowBorderDxfId="64" tableBorderDxfId="63">
  <tableColumns count="1">
    <tableColumn id="2" name="Province sanitaire"/>
  </tableColumns>
  <tableStyleInfo name="Style de tableau 1" showFirstColumn="0" showLastColumn="0" showRowStripes="1" showColumnStripes="0"/>
</table>
</file>

<file path=xl/tables/table8.xml><?xml version="1.0" encoding="utf-8"?>
<table xmlns="http://schemas.openxmlformats.org/spreadsheetml/2006/main" id="11" name="Tableau1012" displayName="Tableau1012" ref="D20:D24" totalsRowShown="0" headerRowDxfId="62" dataDxfId="60" headerRowBorderDxfId="61" tableBorderDxfId="59">
  <tableColumns count="1">
    <tableColumn id="2" name="ASBL" dataDxfId="58"/>
  </tableColumns>
  <tableStyleInfo name="Style de tableau 1" showFirstColumn="0" showLastColumn="0" showRowStripes="1" showColumnStripes="0"/>
</table>
</file>

<file path=xl/tables/table9.xml><?xml version="1.0" encoding="utf-8"?>
<table xmlns="http://schemas.openxmlformats.org/spreadsheetml/2006/main" id="12" name="Tableau1013" displayName="Tableau1013" ref="F20:F25" totalsRowShown="0" headerRowDxfId="57" dataDxfId="55" headerRowBorderDxfId="56" tableBorderDxfId="54">
  <tableColumns count="1">
    <tableColumn id="2" name="District sanitaire" dataDxfId="53"/>
  </tableColumns>
  <tableStyleInfo name="Style de tableau 1" showFirstColumn="0" showLastColumn="0" showRowStripes="1" showColumnStripes="0"/>
</table>
</file>

<file path=xl/tables/table10.xml><?xml version="1.0" encoding="utf-8"?>
<table xmlns="http://schemas.openxmlformats.org/spreadsheetml/2006/main" id="8" name="Tableau_Data" displayName="Tableau_Data" ref="B7:AA16" totalsRowCount="1" headerRowDxfId="40" dataDxfId="38" totalsRowDxfId="37" headerRowBorderDxfId="39" totalsRowBorderDxfId="36">
  <autoFilter ref="B7:AA15"/>
  <sortState ref="B8:N122">
    <sortCondition sortBy="cellColor" ref="D7:D122" dxfId="35"/>
  </sortState>
  <tableColumns count="26">
    <tableColumn id="1" name="Fiche n°" totalsRowLabel="Total" totalsRowDxfId="34"/>
    <tableColumn id="8" name="Annee" totalsRowDxfId="33">
      <calculatedColumnFormula>IF(D8="","",YEAR(D8))</calculatedColumnFormula>
    </tableColumn>
    <tableColumn id="2" name="Date" dataDxfId="32" totalsRowDxfId="31"/>
    <tableColumn id="3" name="Mois" totalsRowDxfId="30">
      <calculatedColumnFormula>IF(Données!D8="","",MONTH(D8))</calculatedColumnFormula>
    </tableColumn>
    <tableColumn id="4" name="Code fiche" totalsRowFunction="count" totalsRowDxfId="29"/>
    <tableColumn id="5" name="Colline" totalsRowFunction="count" totalsRowDxfId="28"/>
    <tableColumn id="6" name="Lieu d'intervention" totalsRowFunction="count" dataDxfId="27" totalsRowDxfId="26"/>
    <tableColumn id="25" name="Si Autres Lieu" totalsRowFunction="count" dataDxfId="25" totalsRowDxfId="24"/>
    <tableColumn id="7" name="Nom Réseau" totalsRowFunction="count" totalsRowDxfId="23"/>
    <tableColumn id="13" name="Province sanitaire" totalsRowFunction="count" dataDxfId="22" totalsRowDxfId="21">
      <calculatedColumnFormula>VLOOKUP(J8,Paramètres!$N$5:$Q$100,2,0)</calculatedColumnFormula>
    </tableColumn>
    <tableColumn id="24" name="District sanitaire" totalsRowFunction="count" dataDxfId="20" totalsRowDxfId="19">
      <calculatedColumnFormula>VLOOKUP(J8,Paramètres!$N$5:$Q$100,3,0)</calculatedColumnFormula>
    </tableColumn>
    <tableColumn id="23" name="ASBL" totalsRowFunction="count" dataDxfId="18" totalsRowDxfId="17">
      <calculatedColumnFormula>VLOOKUP(J8,Paramètres!$N$5:$Q$100,4,0)</calculatedColumnFormula>
    </tableColumn>
    <tableColumn id="9" name="Durée (En minutes)" totalsRowFunction="sum" totalsRowDxfId="16"/>
    <tableColumn id="14" name="Thèmes" totalsRowFunction="count" totalsRowDxfId="15"/>
    <tableColumn id="26" name="Si Autres Thème" dataDxfId="14" totalsRowDxfId="13"/>
    <tableColumn id="15" name="Démo Preservatif" totalsRowFunction="count" totalsRowDxfId="12"/>
    <tableColumn id="16" name="Témoignage" totalsRowFunction="count" totalsRowDxfId="11"/>
    <tableColumn id="17" name="Matériel distribué" totalsRowFunction="count" totalsRowDxfId="10"/>
    <tableColumn id="27" name="Si Autre Materiel" dataDxfId="9" totalsRowDxfId="8"/>
    <tableColumn id="18" name="Cible" totalsRowFunction="count" totalsRowDxfId="7"/>
    <tableColumn id="10" name="Féminin" totalsRowFunction="sum" totalsRowDxfId="6"/>
    <tableColumn id="11" name="Masculin" totalsRowFunction="sum" totalsRowDxfId="5"/>
    <tableColumn id="19" name="Total" totalsRowFunction="sum" dataDxfId="4" totalsRowDxfId="3" dataCellStyle="Monétaire">
      <calculatedColumnFormula>SUM(Tableau_Data[[#This Row],[Féminin]:[Masculin]])</calculatedColumnFormula>
    </tableColumn>
    <tableColumn id="21" name="Animateur - PE 1" totalsRowFunction="count" totalsRowDxfId="2" dataCellStyle="Monétaire"/>
    <tableColumn id="20" name="Animateur - PE 2" totalsRowFunction="count" totalsRowDxfId="1" dataCellStyle="Monétaire"/>
    <tableColumn id="12" name="Observations" totalsRowFunction="count" totalsRowDxfId="0"/>
  </tableColumns>
  <tableStyleInfo name="Style de tableau 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00B0F0"/>
  </sheetPr>
  <dimension ref="A1"/>
  <sheetViews>
    <sheetView workbookViewId="0">
      <selection activeCell="H11" sqref="H11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nu">
    <tabColor rgb="FF92D050"/>
  </sheetPr>
  <dimension ref="A1"/>
  <sheetViews>
    <sheetView zoomScale="90" zoomScaleNormal="90" workbookViewId="0">
      <selection activeCell="F23" sqref="F23"/>
    </sheetView>
  </sheetViews>
  <sheetFormatPr baseColWidth="10" defaultColWidth="9.140625" defaultRowHeight="15" x14ac:dyDescent="0.25"/>
  <cols>
    <col min="1" max="16384" width="9.140625" style="191"/>
  </cols>
  <sheetData>
    <row r="1" spans="1:1" x14ac:dyDescent="0.25">
      <c r="A1" s="191" t="s">
        <v>17</v>
      </c>
    </row>
  </sheetData>
  <protectedRanges>
    <protectedRange sqref="P18" name="Plage1"/>
  </protectedRange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nu1">
    <tabColor rgb="FFFFC000"/>
  </sheetPr>
  <dimension ref="A1"/>
  <sheetViews>
    <sheetView zoomScale="90" zoomScaleNormal="90" workbookViewId="0">
      <selection activeCell="R23" sqref="R23"/>
    </sheetView>
  </sheetViews>
  <sheetFormatPr baseColWidth="10" defaultColWidth="9.140625" defaultRowHeight="15" x14ac:dyDescent="0.25"/>
  <cols>
    <col min="1" max="16384" width="9.140625" style="192"/>
  </cols>
  <sheetData>
    <row r="1" spans="1:1" x14ac:dyDescent="0.25">
      <c r="A1" s="192" t="s">
        <v>17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ètres">
    <tabColor rgb="FF00B050"/>
  </sheetPr>
  <dimension ref="A1:CO67"/>
  <sheetViews>
    <sheetView showGridLines="0" zoomScaleNormal="100" workbookViewId="0">
      <pane xSplit="1" ySplit="4" topLeftCell="B5" activePane="bottomRight" state="frozen"/>
      <selection pane="topRight" activeCell="C1" sqref="C1"/>
      <selection pane="bottomLeft" activeCell="A5" sqref="A5"/>
      <selection pane="bottomRight" activeCell="B10" sqref="B10"/>
    </sheetView>
  </sheetViews>
  <sheetFormatPr baseColWidth="10" defaultColWidth="9.140625" defaultRowHeight="15" x14ac:dyDescent="0.25"/>
  <cols>
    <col min="1" max="1" width="2.85546875" style="65" customWidth="1"/>
    <col min="2" max="2" width="21.28515625" customWidth="1"/>
    <col min="3" max="3" width="1.42578125" customWidth="1"/>
    <col min="4" max="4" width="14.28515625" customWidth="1"/>
    <col min="5" max="5" width="2" customWidth="1"/>
    <col min="6" max="6" width="25.140625" customWidth="1"/>
    <col min="7" max="7" width="4.42578125" customWidth="1"/>
    <col min="8" max="8" width="22.85546875" customWidth="1"/>
    <col min="9" max="9" width="4.5703125" customWidth="1"/>
    <col min="10" max="10" width="14.28515625" customWidth="1"/>
    <col min="11" max="11" width="2.28515625" customWidth="1"/>
    <col min="12" max="12" width="22.42578125" customWidth="1"/>
    <col min="13" max="13" width="6.42578125" style="65" customWidth="1"/>
    <col min="14" max="14" width="28.42578125" style="65" customWidth="1"/>
    <col min="15" max="15" width="24.140625" style="65" customWidth="1"/>
    <col min="16" max="16" width="19.5703125" style="65" customWidth="1"/>
    <col min="17" max="17" width="18.140625" style="65" customWidth="1"/>
    <col min="18" max="19" width="9.140625" style="65"/>
    <col min="20" max="20" width="7" style="65" customWidth="1"/>
    <col min="21" max="21" width="10.140625" style="65" customWidth="1"/>
    <col min="22" max="93" width="9.140625" style="65"/>
  </cols>
  <sheetData>
    <row r="1" spans="2:17" s="65" customFormat="1" ht="59.25" customHeight="1" x14ac:dyDescent="0.25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</row>
    <row r="2" spans="2:17" ht="20.25" customHeight="1" thickBot="1" x14ac:dyDescent="0.3">
      <c r="B2" s="239" t="s">
        <v>53</v>
      </c>
      <c r="C2" s="240"/>
      <c r="D2" s="240"/>
      <c r="E2" s="240"/>
      <c r="F2" s="240"/>
      <c r="G2" s="240"/>
      <c r="H2" s="240"/>
      <c r="I2" s="240"/>
      <c r="J2" s="240"/>
      <c r="K2" s="240"/>
      <c r="L2" s="241"/>
      <c r="N2" s="242" t="s">
        <v>162</v>
      </c>
      <c r="O2" s="242"/>
      <c r="P2" s="242"/>
      <c r="Q2" s="243"/>
    </row>
    <row r="3" spans="2:17" ht="15.75" thickBot="1" x14ac:dyDescent="0.3">
      <c r="B3" s="68"/>
      <c r="C3" s="14"/>
      <c r="D3" s="14"/>
      <c r="E3" s="14"/>
      <c r="F3" s="14"/>
      <c r="G3" s="14"/>
      <c r="H3" s="14"/>
      <c r="I3" s="14"/>
      <c r="J3" s="14"/>
      <c r="K3" s="14"/>
      <c r="L3" s="69"/>
    </row>
    <row r="4" spans="2:17" ht="20.25" customHeight="1" thickBot="1" x14ac:dyDescent="0.3">
      <c r="B4" s="70" t="s">
        <v>23</v>
      </c>
      <c r="C4" s="14"/>
      <c r="D4" s="8" t="s">
        <v>34</v>
      </c>
      <c r="E4" s="14"/>
      <c r="F4" s="8" t="s">
        <v>26</v>
      </c>
      <c r="G4" s="5"/>
      <c r="H4" s="6" t="s">
        <v>33</v>
      </c>
      <c r="I4" s="14"/>
      <c r="J4" s="8" t="s">
        <v>1</v>
      </c>
      <c r="K4" s="14"/>
      <c r="L4" s="71" t="s">
        <v>30</v>
      </c>
      <c r="N4" s="101" t="s">
        <v>109</v>
      </c>
      <c r="O4" s="102" t="s">
        <v>110</v>
      </c>
      <c r="P4" s="102" t="s">
        <v>111</v>
      </c>
      <c r="Q4" s="103" t="s">
        <v>25</v>
      </c>
    </row>
    <row r="5" spans="2:17" ht="12.75" customHeight="1" x14ac:dyDescent="0.25">
      <c r="B5" s="68"/>
      <c r="C5" s="14"/>
      <c r="D5" s="4"/>
      <c r="E5" s="4"/>
      <c r="F5" s="14"/>
      <c r="G5" s="14"/>
      <c r="H5" s="4"/>
      <c r="I5" s="4"/>
      <c r="J5" s="14"/>
      <c r="K5" s="14"/>
      <c r="L5" s="69"/>
      <c r="N5" s="104" t="s">
        <v>112</v>
      </c>
      <c r="O5" s="104" t="s">
        <v>115</v>
      </c>
      <c r="P5" s="104" t="s">
        <v>115</v>
      </c>
      <c r="Q5" s="105" t="s">
        <v>101</v>
      </c>
    </row>
    <row r="6" spans="2:17" x14ac:dyDescent="0.25">
      <c r="B6" s="72" t="s">
        <v>23</v>
      </c>
      <c r="C6" s="14"/>
      <c r="D6" s="2" t="s">
        <v>34</v>
      </c>
      <c r="E6" s="1"/>
      <c r="F6" s="2" t="s">
        <v>26</v>
      </c>
      <c r="G6" s="14"/>
      <c r="H6" s="3" t="s">
        <v>33</v>
      </c>
      <c r="I6" s="14"/>
      <c r="J6" s="1" t="s">
        <v>1</v>
      </c>
      <c r="K6" s="14"/>
      <c r="L6" s="73" t="s">
        <v>30</v>
      </c>
      <c r="N6" s="104" t="s">
        <v>113</v>
      </c>
      <c r="O6" s="104" t="s">
        <v>115</v>
      </c>
      <c r="P6" s="104" t="s">
        <v>115</v>
      </c>
      <c r="Q6" s="105" t="s">
        <v>101</v>
      </c>
    </row>
    <row r="7" spans="2:17" x14ac:dyDescent="0.25">
      <c r="B7" s="68" t="s">
        <v>88</v>
      </c>
      <c r="C7" s="14"/>
      <c r="D7" s="9" t="s">
        <v>35</v>
      </c>
      <c r="E7" s="27"/>
      <c r="F7" s="10" t="s">
        <v>37</v>
      </c>
      <c r="G7" s="14"/>
      <c r="H7" s="14" t="s">
        <v>16</v>
      </c>
      <c r="I7" s="14"/>
      <c r="J7" s="15">
        <v>2016</v>
      </c>
      <c r="K7" s="14"/>
      <c r="L7" s="69" t="s">
        <v>51</v>
      </c>
      <c r="N7" s="104" t="s">
        <v>124</v>
      </c>
      <c r="O7" s="104" t="s">
        <v>115</v>
      </c>
      <c r="P7" s="104" t="s">
        <v>115</v>
      </c>
      <c r="Q7" s="105" t="s">
        <v>101</v>
      </c>
    </row>
    <row r="8" spans="2:17" x14ac:dyDescent="0.25">
      <c r="B8" s="68" t="s">
        <v>208</v>
      </c>
      <c r="C8" s="14"/>
      <c r="D8" s="9" t="s">
        <v>36</v>
      </c>
      <c r="E8" s="27"/>
      <c r="F8" s="10" t="s">
        <v>38</v>
      </c>
      <c r="G8" s="14"/>
      <c r="H8" s="14" t="s">
        <v>50</v>
      </c>
      <c r="I8" s="14"/>
      <c r="J8" s="14"/>
      <c r="K8" s="14"/>
      <c r="L8" s="69" t="s">
        <v>32</v>
      </c>
      <c r="N8" s="104" t="s">
        <v>125</v>
      </c>
      <c r="O8" s="104" t="s">
        <v>115</v>
      </c>
      <c r="P8" s="104" t="s">
        <v>115</v>
      </c>
      <c r="Q8" s="105" t="s">
        <v>101</v>
      </c>
    </row>
    <row r="9" spans="2:17" x14ac:dyDescent="0.25">
      <c r="B9" s="68" t="s">
        <v>89</v>
      </c>
      <c r="C9" s="14"/>
      <c r="D9" s="14"/>
      <c r="E9" s="27"/>
      <c r="F9" s="10" t="s">
        <v>39</v>
      </c>
      <c r="G9" s="14"/>
      <c r="H9" s="14" t="s">
        <v>123</v>
      </c>
      <c r="I9" s="14"/>
      <c r="J9" s="14"/>
      <c r="K9" s="14"/>
      <c r="L9" s="69" t="s">
        <v>31</v>
      </c>
      <c r="N9" s="104" t="s">
        <v>126</v>
      </c>
      <c r="O9" s="104" t="s">
        <v>115</v>
      </c>
      <c r="P9" s="104" t="s">
        <v>115</v>
      </c>
      <c r="Q9" s="105" t="s">
        <v>101</v>
      </c>
    </row>
    <row r="10" spans="2:17" x14ac:dyDescent="0.25">
      <c r="B10" s="68" t="s">
        <v>90</v>
      </c>
      <c r="C10" s="14"/>
      <c r="D10" s="14"/>
      <c r="E10" s="27"/>
      <c r="F10" s="10" t="s">
        <v>40</v>
      </c>
      <c r="G10" s="14"/>
      <c r="H10" s="14" t="s">
        <v>18</v>
      </c>
      <c r="I10" s="14"/>
      <c r="J10" s="14"/>
      <c r="K10" s="14"/>
      <c r="L10" s="69" t="s">
        <v>52</v>
      </c>
      <c r="N10" s="104" t="s">
        <v>127</v>
      </c>
      <c r="O10" s="104" t="s">
        <v>115</v>
      </c>
      <c r="P10" s="104" t="s">
        <v>115</v>
      </c>
      <c r="Q10" s="105" t="s">
        <v>101</v>
      </c>
    </row>
    <row r="11" spans="2:17" x14ac:dyDescent="0.25">
      <c r="B11" s="68"/>
      <c r="C11" s="14"/>
      <c r="D11" s="14"/>
      <c r="E11" s="14"/>
      <c r="F11" s="10" t="s">
        <v>41</v>
      </c>
      <c r="G11" s="14"/>
      <c r="H11" s="14"/>
      <c r="I11" s="14"/>
      <c r="J11" s="14"/>
      <c r="K11" s="14"/>
      <c r="L11" s="69"/>
      <c r="N11" s="104" t="s">
        <v>128</v>
      </c>
      <c r="O11" s="104" t="s">
        <v>115</v>
      </c>
      <c r="P11" s="104" t="s">
        <v>120</v>
      </c>
      <c r="Q11" s="105" t="s">
        <v>101</v>
      </c>
    </row>
    <row r="12" spans="2:17" x14ac:dyDescent="0.25">
      <c r="B12" s="68"/>
      <c r="C12" s="14"/>
      <c r="D12" s="14"/>
      <c r="E12" s="14"/>
      <c r="F12" s="10" t="s">
        <v>42</v>
      </c>
      <c r="G12" s="14"/>
      <c r="H12" s="14"/>
      <c r="I12" s="14"/>
      <c r="J12" s="14"/>
      <c r="K12" s="14"/>
      <c r="L12" s="69"/>
      <c r="N12" s="104" t="s">
        <v>129</v>
      </c>
      <c r="O12" s="104" t="s">
        <v>115</v>
      </c>
      <c r="P12" s="104" t="s">
        <v>120</v>
      </c>
      <c r="Q12" s="105" t="s">
        <v>101</v>
      </c>
    </row>
    <row r="13" spans="2:17" x14ac:dyDescent="0.25">
      <c r="B13" s="68"/>
      <c r="C13" s="14"/>
      <c r="D13" s="14"/>
      <c r="E13" s="14"/>
      <c r="F13" s="10" t="s">
        <v>18</v>
      </c>
      <c r="G13" s="14"/>
      <c r="H13" s="14"/>
      <c r="I13" s="14"/>
      <c r="J13" s="14"/>
      <c r="K13" s="14"/>
      <c r="L13" s="69"/>
      <c r="N13" s="104" t="s">
        <v>130</v>
      </c>
      <c r="O13" s="104" t="s">
        <v>115</v>
      </c>
      <c r="P13" s="104" t="s">
        <v>120</v>
      </c>
      <c r="Q13" s="105" t="s">
        <v>101</v>
      </c>
    </row>
    <row r="14" spans="2:17" x14ac:dyDescent="0.25">
      <c r="B14" s="68"/>
      <c r="C14" s="14"/>
      <c r="D14" s="14"/>
      <c r="E14" s="14"/>
      <c r="F14" s="16"/>
      <c r="G14" s="14"/>
      <c r="H14" s="14"/>
      <c r="I14" s="14"/>
      <c r="J14" s="14"/>
      <c r="K14" s="14"/>
      <c r="L14" s="69"/>
      <c r="N14" s="104" t="s">
        <v>131</v>
      </c>
      <c r="O14" s="104" t="s">
        <v>115</v>
      </c>
      <c r="P14" s="104" t="s">
        <v>120</v>
      </c>
      <c r="Q14" s="105" t="s">
        <v>101</v>
      </c>
    </row>
    <row r="15" spans="2:17" x14ac:dyDescent="0.25">
      <c r="B15" s="74"/>
      <c r="C15" s="75"/>
      <c r="D15" s="75"/>
      <c r="E15" s="75"/>
      <c r="F15" s="75"/>
      <c r="G15" s="75"/>
      <c r="H15" s="75"/>
      <c r="I15" s="75"/>
      <c r="J15" s="75"/>
      <c r="K15" s="75"/>
      <c r="L15" s="76"/>
      <c r="N15" s="104" t="s">
        <v>132</v>
      </c>
      <c r="O15" s="104" t="s">
        <v>115</v>
      </c>
      <c r="P15" s="104" t="s">
        <v>120</v>
      </c>
      <c r="Q15" s="105" t="s">
        <v>101</v>
      </c>
    </row>
    <row r="16" spans="2:17" s="65" customFormat="1" x14ac:dyDescent="0.25">
      <c r="N16" s="104" t="s">
        <v>133</v>
      </c>
      <c r="O16" s="104" t="s">
        <v>115</v>
      </c>
      <c r="P16" s="104" t="s">
        <v>120</v>
      </c>
      <c r="Q16" s="105" t="s">
        <v>101</v>
      </c>
    </row>
    <row r="17" spans="2:17" s="65" customFormat="1" x14ac:dyDescent="0.25">
      <c r="N17" s="104" t="s">
        <v>134</v>
      </c>
      <c r="O17" s="104" t="s">
        <v>115</v>
      </c>
      <c r="P17" s="104" t="s">
        <v>120</v>
      </c>
      <c r="Q17" s="105" t="s">
        <v>101</v>
      </c>
    </row>
    <row r="18" spans="2:17" s="65" customFormat="1" x14ac:dyDescent="0.25">
      <c r="J18" s="91" t="s">
        <v>79</v>
      </c>
      <c r="K18" s="90" t="s">
        <v>80</v>
      </c>
      <c r="N18" s="104" t="s">
        <v>135</v>
      </c>
      <c r="O18" s="104" t="s">
        <v>115</v>
      </c>
      <c r="P18" s="104" t="s">
        <v>120</v>
      </c>
      <c r="Q18" s="105" t="s">
        <v>101</v>
      </c>
    </row>
    <row r="19" spans="2:17" s="65" customFormat="1" ht="15.75" thickBot="1" x14ac:dyDescent="0.3">
      <c r="N19" s="104" t="s">
        <v>136</v>
      </c>
      <c r="O19" s="104" t="s">
        <v>116</v>
      </c>
      <c r="P19" s="104" t="s">
        <v>121</v>
      </c>
      <c r="Q19" s="105" t="s">
        <v>100</v>
      </c>
    </row>
    <row r="20" spans="2:17" s="65" customFormat="1" ht="15.75" thickBot="1" x14ac:dyDescent="0.3">
      <c r="B20" s="95" t="s">
        <v>114</v>
      </c>
      <c r="D20" s="96" t="s">
        <v>25</v>
      </c>
      <c r="F20" s="96" t="s">
        <v>119</v>
      </c>
      <c r="J20" s="107" t="s">
        <v>1</v>
      </c>
      <c r="N20" s="104" t="s">
        <v>137</v>
      </c>
      <c r="O20" s="104" t="s">
        <v>116</v>
      </c>
      <c r="P20" s="104" t="s">
        <v>121</v>
      </c>
      <c r="Q20" s="105" t="s">
        <v>100</v>
      </c>
    </row>
    <row r="21" spans="2:17" s="65" customFormat="1" x14ac:dyDescent="0.25">
      <c r="B21" s="93" t="s">
        <v>115</v>
      </c>
      <c r="D21" s="97" t="s">
        <v>101</v>
      </c>
      <c r="F21" s="99" t="s">
        <v>115</v>
      </c>
      <c r="J21" s="106">
        <v>2016</v>
      </c>
      <c r="N21" s="104" t="s">
        <v>138</v>
      </c>
      <c r="O21" s="104" t="s">
        <v>116</v>
      </c>
      <c r="P21" s="104" t="s">
        <v>121</v>
      </c>
      <c r="Q21" s="105" t="s">
        <v>100</v>
      </c>
    </row>
    <row r="22" spans="2:17" s="65" customFormat="1" x14ac:dyDescent="0.25">
      <c r="B22" s="10" t="s">
        <v>116</v>
      </c>
      <c r="D22" s="98" t="s">
        <v>100</v>
      </c>
      <c r="F22" s="100" t="s">
        <v>120</v>
      </c>
      <c r="J22" s="94">
        <v>2017</v>
      </c>
      <c r="N22" s="104" t="s">
        <v>139</v>
      </c>
      <c r="O22" s="104" t="s">
        <v>116</v>
      </c>
      <c r="P22" s="104" t="s">
        <v>121</v>
      </c>
      <c r="Q22" s="105" t="s">
        <v>100</v>
      </c>
    </row>
    <row r="23" spans="2:17" s="65" customFormat="1" x14ac:dyDescent="0.25">
      <c r="B23" s="10" t="s">
        <v>117</v>
      </c>
      <c r="D23" s="98" t="s">
        <v>98</v>
      </c>
      <c r="F23" s="100" t="s">
        <v>121</v>
      </c>
      <c r="J23" s="94">
        <v>2018</v>
      </c>
      <c r="N23" s="104" t="s">
        <v>140</v>
      </c>
      <c r="O23" s="104" t="s">
        <v>116</v>
      </c>
      <c r="P23" s="104" t="s">
        <v>121</v>
      </c>
      <c r="Q23" s="105" t="s">
        <v>100</v>
      </c>
    </row>
    <row r="24" spans="2:17" s="65" customFormat="1" x14ac:dyDescent="0.25">
      <c r="D24" s="98" t="s">
        <v>118</v>
      </c>
      <c r="F24" s="100" t="s">
        <v>122</v>
      </c>
      <c r="J24" s="94">
        <v>2019</v>
      </c>
      <c r="N24" s="104" t="s">
        <v>141</v>
      </c>
      <c r="O24" s="104" t="s">
        <v>116</v>
      </c>
      <c r="P24" s="104" t="s">
        <v>121</v>
      </c>
      <c r="Q24" s="105" t="s">
        <v>100</v>
      </c>
    </row>
    <row r="25" spans="2:17" s="65" customFormat="1" x14ac:dyDescent="0.25">
      <c r="F25" s="100" t="s">
        <v>117</v>
      </c>
      <c r="J25" s="94">
        <v>2020</v>
      </c>
      <c r="N25" s="104" t="s">
        <v>142</v>
      </c>
      <c r="O25" s="104" t="s">
        <v>116</v>
      </c>
      <c r="P25" s="104" t="s">
        <v>121</v>
      </c>
      <c r="Q25" s="105" t="s">
        <v>100</v>
      </c>
    </row>
    <row r="26" spans="2:17" s="65" customFormat="1" x14ac:dyDescent="0.25">
      <c r="J26" s="94">
        <v>2021</v>
      </c>
      <c r="N26" s="104" t="s">
        <v>143</v>
      </c>
      <c r="O26" s="104" t="s">
        <v>116</v>
      </c>
      <c r="P26" s="104" t="s">
        <v>121</v>
      </c>
      <c r="Q26" s="105" t="s">
        <v>100</v>
      </c>
    </row>
    <row r="27" spans="2:17" s="65" customFormat="1" x14ac:dyDescent="0.25">
      <c r="J27" s="94">
        <v>2022</v>
      </c>
      <c r="N27" s="104" t="s">
        <v>144</v>
      </c>
      <c r="O27" s="104" t="s">
        <v>116</v>
      </c>
      <c r="P27" s="104" t="s">
        <v>122</v>
      </c>
      <c r="Q27" s="105" t="s">
        <v>98</v>
      </c>
    </row>
    <row r="28" spans="2:17" s="65" customFormat="1" x14ac:dyDescent="0.25">
      <c r="J28" s="94">
        <v>2023</v>
      </c>
      <c r="N28" s="104" t="s">
        <v>145</v>
      </c>
      <c r="O28" s="104" t="s">
        <v>116</v>
      </c>
      <c r="P28" s="104" t="s">
        <v>122</v>
      </c>
      <c r="Q28" s="105" t="s">
        <v>98</v>
      </c>
    </row>
    <row r="29" spans="2:17" s="65" customFormat="1" x14ac:dyDescent="0.25">
      <c r="J29" s="94">
        <v>2024</v>
      </c>
      <c r="N29" s="104" t="s">
        <v>146</v>
      </c>
      <c r="O29" s="104" t="s">
        <v>116</v>
      </c>
      <c r="P29" s="104" t="s">
        <v>122</v>
      </c>
      <c r="Q29" s="105" t="s">
        <v>98</v>
      </c>
    </row>
    <row r="30" spans="2:17" s="65" customFormat="1" x14ac:dyDescent="0.25">
      <c r="J30" s="94">
        <v>2025</v>
      </c>
      <c r="N30" s="104" t="s">
        <v>147</v>
      </c>
      <c r="O30" s="104" t="s">
        <v>116</v>
      </c>
      <c r="P30" s="104" t="s">
        <v>122</v>
      </c>
      <c r="Q30" s="105" t="s">
        <v>98</v>
      </c>
    </row>
    <row r="31" spans="2:17" s="65" customFormat="1" x14ac:dyDescent="0.25">
      <c r="J31" s="94">
        <v>2026</v>
      </c>
      <c r="N31" s="104" t="s">
        <v>148</v>
      </c>
      <c r="O31" s="104" t="s">
        <v>116</v>
      </c>
      <c r="P31" s="104" t="s">
        <v>122</v>
      </c>
      <c r="Q31" s="105" t="s">
        <v>98</v>
      </c>
    </row>
    <row r="32" spans="2:17" s="65" customFormat="1" x14ac:dyDescent="0.25">
      <c r="J32" s="94">
        <v>2027</v>
      </c>
      <c r="N32" s="104" t="s">
        <v>149</v>
      </c>
      <c r="O32" s="104" t="s">
        <v>116</v>
      </c>
      <c r="P32" s="104" t="s">
        <v>122</v>
      </c>
      <c r="Q32" s="105" t="s">
        <v>98</v>
      </c>
    </row>
    <row r="33" spans="2:17" s="65" customFormat="1" x14ac:dyDescent="0.25">
      <c r="J33" s="94">
        <v>2028</v>
      </c>
      <c r="N33" s="104" t="s">
        <v>150</v>
      </c>
      <c r="O33" s="104" t="s">
        <v>117</v>
      </c>
      <c r="P33" s="104" t="s">
        <v>117</v>
      </c>
      <c r="Q33" s="105" t="s">
        <v>118</v>
      </c>
    </row>
    <row r="34" spans="2:17" s="65" customFormat="1" x14ac:dyDescent="0.25">
      <c r="J34" s="94">
        <v>2029</v>
      </c>
      <c r="N34" s="104" t="s">
        <v>151</v>
      </c>
      <c r="O34" s="104" t="s">
        <v>117</v>
      </c>
      <c r="P34" s="104" t="s">
        <v>117</v>
      </c>
      <c r="Q34" s="105" t="s">
        <v>118</v>
      </c>
    </row>
    <row r="35" spans="2:17" s="65" customFormat="1" x14ac:dyDescent="0.25">
      <c r="J35" s="94">
        <v>2030</v>
      </c>
      <c r="N35" s="104" t="s">
        <v>152</v>
      </c>
      <c r="O35" s="104" t="s">
        <v>117</v>
      </c>
      <c r="P35" s="104" t="s">
        <v>117</v>
      </c>
      <c r="Q35" s="105" t="s">
        <v>118</v>
      </c>
    </row>
    <row r="36" spans="2:17" s="65" customFormat="1" x14ac:dyDescent="0.25">
      <c r="N36" s="104" t="s">
        <v>153</v>
      </c>
      <c r="O36" s="104" t="s">
        <v>117</v>
      </c>
      <c r="P36" s="104" t="s">
        <v>117</v>
      </c>
      <c r="Q36" s="105" t="s">
        <v>118</v>
      </c>
    </row>
    <row r="37" spans="2:17" s="65" customFormat="1" x14ac:dyDescent="0.25">
      <c r="N37" s="104" t="s">
        <v>154</v>
      </c>
      <c r="O37" s="104" t="s">
        <v>117</v>
      </c>
      <c r="P37" s="104" t="s">
        <v>117</v>
      </c>
      <c r="Q37" s="105" t="s">
        <v>118</v>
      </c>
    </row>
    <row r="38" spans="2:17" s="65" customFormat="1" x14ac:dyDescent="0.25">
      <c r="N38" s="104" t="s">
        <v>155</v>
      </c>
      <c r="O38" s="104" t="s">
        <v>117</v>
      </c>
      <c r="P38" s="104" t="s">
        <v>117</v>
      </c>
      <c r="Q38" s="105" t="s">
        <v>118</v>
      </c>
    </row>
    <row r="39" spans="2:17" s="65" customFormat="1" x14ac:dyDescent="0.25">
      <c r="N39" s="104" t="s">
        <v>156</v>
      </c>
      <c r="O39" s="104" t="s">
        <v>117</v>
      </c>
      <c r="P39" s="104" t="s">
        <v>117</v>
      </c>
      <c r="Q39" s="105" t="s">
        <v>118</v>
      </c>
    </row>
    <row r="40" spans="2:17" s="65" customFormat="1" x14ac:dyDescent="0.25">
      <c r="N40" s="104" t="s">
        <v>157</v>
      </c>
      <c r="O40" s="104" t="s">
        <v>117</v>
      </c>
      <c r="P40" s="104" t="s">
        <v>117</v>
      </c>
      <c r="Q40" s="105" t="s">
        <v>118</v>
      </c>
    </row>
    <row r="41" spans="2:17" s="65" customFormat="1" x14ac:dyDescent="0.25">
      <c r="N41" s="104" t="s">
        <v>158</v>
      </c>
      <c r="O41" s="104" t="s">
        <v>117</v>
      </c>
      <c r="P41" s="104" t="s">
        <v>117</v>
      </c>
      <c r="Q41" s="105" t="s">
        <v>118</v>
      </c>
    </row>
    <row r="42" spans="2:17" s="65" customFormat="1" x14ac:dyDescent="0.25">
      <c r="E42" s="67"/>
      <c r="N42" s="104" t="s">
        <v>159</v>
      </c>
      <c r="O42" s="104" t="s">
        <v>117</v>
      </c>
      <c r="P42" s="104" t="s">
        <v>117</v>
      </c>
      <c r="Q42" s="105" t="s">
        <v>118</v>
      </c>
    </row>
    <row r="43" spans="2:17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</row>
    <row r="44" spans="2:17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</row>
    <row r="45" spans="2:17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</row>
    <row r="46" spans="2:17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</row>
    <row r="47" spans="2:17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</row>
    <row r="48" spans="2:17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</row>
    <row r="49" spans="2:12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</row>
    <row r="50" spans="2:12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</row>
    <row r="51" spans="2:12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</row>
    <row r="52" spans="2:12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</row>
    <row r="53" spans="2:12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</row>
    <row r="54" spans="2:12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</row>
    <row r="55" spans="2:12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</row>
    <row r="56" spans="2:12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</row>
    <row r="57" spans="2:12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</row>
    <row r="58" spans="2:12" x14ac:dyDescent="0.25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</row>
    <row r="59" spans="2:12" x14ac:dyDescent="0.25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</row>
    <row r="60" spans="2:12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</row>
    <row r="61" spans="2:12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</row>
    <row r="62" spans="2:12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</row>
    <row r="63" spans="2:12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</row>
    <row r="64" spans="2:12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</row>
    <row r="65" spans="2:12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</row>
    <row r="66" spans="2:12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</row>
    <row r="67" spans="2:12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</row>
  </sheetData>
  <mergeCells count="2">
    <mergeCell ref="B2:L2"/>
    <mergeCell ref="N2:Q2"/>
  </mergeCells>
  <conditionalFormatting sqref="D7:D8">
    <cfRule type="expression" dxfId="83" priority="86">
      <formula>#REF!="Clôturé"</formula>
    </cfRule>
  </conditionalFormatting>
  <dataValidations count="4">
    <dataValidation type="list" allowBlank="1" showInputMessage="1" showErrorMessage="1" sqref="O5:O42">
      <formula1>$B$21:$B$23</formula1>
    </dataValidation>
    <dataValidation type="list" allowBlank="1" showInputMessage="1" showErrorMessage="1" sqref="P5:P42">
      <formula1>$F$21:$F$25</formula1>
    </dataValidation>
    <dataValidation type="list" allowBlank="1" showInputMessage="1" showErrorMessage="1" sqref="Q5:Q42">
      <formula1>$D$21:$D$24</formula1>
    </dataValidation>
    <dataValidation type="list" allowBlank="1" showInputMessage="1" showErrorMessage="1" sqref="J7">
      <formula1>$J$21:$J$35</formula1>
    </dataValidation>
  </dataValidations>
  <pageMargins left="0.7" right="0.7" top="0.75" bottom="0.75" header="0.3" footer="0.3"/>
  <pageSetup paperSize="9" scale="60" orientation="landscape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onnées">
    <tabColor rgb="FFFF0000"/>
  </sheetPr>
  <dimension ref="A1:AA129"/>
  <sheetViews>
    <sheetView showGridLines="0" tabSelected="1" zoomScale="85" zoomScaleNormal="85" workbookViewId="0">
      <pane ySplit="7" topLeftCell="A8" activePane="bottomLeft" state="frozen"/>
      <selection pane="bottomLeft" activeCell="I7" sqref="I7"/>
    </sheetView>
  </sheetViews>
  <sheetFormatPr baseColWidth="10" defaultColWidth="9.140625" defaultRowHeight="15" x14ac:dyDescent="0.25"/>
  <cols>
    <col min="1" max="1" width="2.85546875" customWidth="1"/>
    <col min="2" max="2" width="12.7109375" customWidth="1"/>
    <col min="3" max="3" width="10.140625" customWidth="1"/>
    <col min="4" max="4" width="16.5703125" customWidth="1"/>
    <col min="5" max="5" width="10.42578125" customWidth="1"/>
    <col min="6" max="6" width="18" customWidth="1"/>
    <col min="7" max="7" width="22.7109375" customWidth="1"/>
    <col min="8" max="8" width="26.140625" customWidth="1"/>
    <col min="9" max="10" width="25.7109375" customWidth="1"/>
    <col min="11" max="11" width="22.7109375" customWidth="1"/>
    <col min="12" max="12" width="19" customWidth="1"/>
    <col min="13" max="13" width="16.140625" customWidth="1"/>
    <col min="14" max="14" width="28.5703125" customWidth="1"/>
    <col min="15" max="15" width="24.42578125" customWidth="1"/>
    <col min="16" max="16" width="20.5703125" customWidth="1"/>
    <col min="17" max="17" width="23" customWidth="1"/>
    <col min="18" max="18" width="24.85546875" customWidth="1"/>
    <col min="19" max="19" width="23.7109375" customWidth="1"/>
    <col min="20" max="20" width="20.42578125" customWidth="1"/>
    <col min="21" max="21" width="23.28515625" customWidth="1"/>
    <col min="22" max="22" width="18.7109375" customWidth="1"/>
    <col min="23" max="23" width="17" customWidth="1"/>
    <col min="24" max="24" width="16.7109375" style="223" customWidth="1"/>
    <col min="25" max="25" width="28.5703125" customWidth="1"/>
    <col min="26" max="26" width="22.5703125" customWidth="1"/>
    <col min="27" max="27" width="29.140625" customWidth="1"/>
  </cols>
  <sheetData>
    <row r="1" spans="1:27" ht="198.75" customHeight="1" x14ac:dyDescent="0.25">
      <c r="B1" s="249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</row>
    <row r="2" spans="1:27" ht="30.75" customHeight="1" x14ac:dyDescent="0.25">
      <c r="B2" s="251" t="s">
        <v>91</v>
      </c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</row>
    <row r="3" spans="1:27" ht="14.25" customHeight="1" x14ac:dyDescent="0.25"/>
    <row r="4" spans="1:27" ht="13.5" customHeight="1" thickBot="1" x14ac:dyDescent="0.3">
      <c r="D4" s="28"/>
      <c r="E4" s="244"/>
      <c r="F4" s="245"/>
      <c r="G4" s="29"/>
      <c r="H4" s="30"/>
      <c r="I4" s="31"/>
      <c r="V4" s="210" t="s">
        <v>199</v>
      </c>
      <c r="W4" s="211" t="s">
        <v>198</v>
      </c>
      <c r="X4" s="224" t="s">
        <v>2</v>
      </c>
    </row>
    <row r="5" spans="1:27" ht="24" customHeight="1" thickBot="1" x14ac:dyDescent="0.3">
      <c r="B5" s="14"/>
      <c r="C5" s="246" t="str">
        <f>Tableau_Data[[#Totals],[Code fiche]]&amp;" Fiches correctement renseignées "</f>
        <v xml:space="preserve">8 Fiches correctement renseignées </v>
      </c>
      <c r="D5" s="247"/>
      <c r="E5" s="247"/>
      <c r="F5" s="248"/>
      <c r="V5" s="77">
        <f>Tableau_Data[[#Totals],[Féminin]]</f>
        <v>355</v>
      </c>
      <c r="W5" s="77">
        <f>Tableau_Data[[#Totals],[Masculin]]</f>
        <v>492</v>
      </c>
      <c r="X5" s="225">
        <f>Tableau_Data[[#Totals],[Total]]</f>
        <v>847</v>
      </c>
    </row>
    <row r="6" spans="1:27" ht="7.5" customHeight="1" thickBot="1" x14ac:dyDescent="0.3">
      <c r="H6" s="229" t="s">
        <v>90</v>
      </c>
      <c r="I6" s="229" t="s">
        <v>90</v>
      </c>
      <c r="J6" s="229"/>
      <c r="K6" s="229"/>
      <c r="L6" s="229"/>
      <c r="M6" s="229"/>
      <c r="N6" s="229"/>
      <c r="O6" s="229" t="s">
        <v>90</v>
      </c>
      <c r="P6" s="229" t="s">
        <v>90</v>
      </c>
      <c r="Q6" s="229"/>
      <c r="R6" s="229"/>
      <c r="S6" s="229" t="s">
        <v>90</v>
      </c>
      <c r="T6" s="229" t="s">
        <v>90</v>
      </c>
      <c r="U6" s="229"/>
      <c r="V6" s="229"/>
      <c r="W6" s="229"/>
      <c r="X6" s="230"/>
      <c r="Y6" s="229"/>
      <c r="Z6" s="229"/>
      <c r="AA6" s="229"/>
    </row>
    <row r="7" spans="1:27" ht="24.75" customHeight="1" thickBot="1" x14ac:dyDescent="0.3">
      <c r="A7" s="13"/>
      <c r="B7" s="44" t="s">
        <v>20</v>
      </c>
      <c r="C7" s="49" t="s">
        <v>15</v>
      </c>
      <c r="D7" s="45" t="s">
        <v>0</v>
      </c>
      <c r="E7" s="49" t="s">
        <v>14</v>
      </c>
      <c r="F7" s="45" t="s">
        <v>21</v>
      </c>
      <c r="G7" s="45" t="s">
        <v>22</v>
      </c>
      <c r="H7" s="45" t="s">
        <v>23</v>
      </c>
      <c r="I7" s="184" t="s">
        <v>177</v>
      </c>
      <c r="J7" s="45" t="s">
        <v>24</v>
      </c>
      <c r="K7" s="115" t="s">
        <v>114</v>
      </c>
      <c r="L7" s="115" t="s">
        <v>119</v>
      </c>
      <c r="M7" s="115" t="s">
        <v>25</v>
      </c>
      <c r="N7" s="46" t="s">
        <v>200</v>
      </c>
      <c r="O7" s="46" t="s">
        <v>26</v>
      </c>
      <c r="P7" s="183" t="s">
        <v>178</v>
      </c>
      <c r="Q7" s="46" t="s">
        <v>27</v>
      </c>
      <c r="R7" s="46" t="s">
        <v>28</v>
      </c>
      <c r="S7" s="46" t="s">
        <v>29</v>
      </c>
      <c r="T7" s="183" t="s">
        <v>179</v>
      </c>
      <c r="U7" s="46" t="s">
        <v>30</v>
      </c>
      <c r="V7" s="45" t="s">
        <v>199</v>
      </c>
      <c r="W7" s="45" t="s">
        <v>198</v>
      </c>
      <c r="X7" s="226" t="s">
        <v>2</v>
      </c>
      <c r="Y7" s="47" t="s">
        <v>160</v>
      </c>
      <c r="Z7" s="47" t="s">
        <v>161</v>
      </c>
      <c r="AA7" s="48" t="s">
        <v>19</v>
      </c>
    </row>
    <row r="8" spans="1:27" ht="21.75" customHeight="1" x14ac:dyDescent="0.25">
      <c r="B8" s="12">
        <v>1</v>
      </c>
      <c r="C8" s="50">
        <f t="shared" ref="C8:C14" si="0">IF(D8="","",YEAR(D8))</f>
        <v>2016</v>
      </c>
      <c r="D8" s="88">
        <v>42375</v>
      </c>
      <c r="E8" s="50">
        <f>IF(Données!D8="","",MONTH(D8))</f>
        <v>1</v>
      </c>
      <c r="F8" s="32" t="s">
        <v>43</v>
      </c>
      <c r="G8" s="40"/>
      <c r="H8" s="36" t="s">
        <v>90</v>
      </c>
      <c r="I8" s="212" t="s">
        <v>90</v>
      </c>
      <c r="J8" s="36" t="s">
        <v>112</v>
      </c>
      <c r="K8" s="116" t="str">
        <f>VLOOKUP(J8,Paramètres!$N$5:$Q$100,2,0)</f>
        <v>Muramya</v>
      </c>
      <c r="L8" s="117" t="str">
        <f>VLOOKUP(J8,Paramètres!$N$5:$Q$100,3,0)</f>
        <v>Muramya</v>
      </c>
      <c r="M8" s="118" t="str">
        <f>VLOOKUP(J8,Paramètres!$N$5:$Q$100,4,0)</f>
        <v>SYM</v>
      </c>
      <c r="N8" s="112">
        <v>5</v>
      </c>
      <c r="O8" s="36" t="s">
        <v>18</v>
      </c>
      <c r="P8" s="36" t="s">
        <v>18</v>
      </c>
      <c r="Q8" s="36" t="s">
        <v>35</v>
      </c>
      <c r="R8" s="36" t="s">
        <v>35</v>
      </c>
      <c r="S8" s="36" t="s">
        <v>18</v>
      </c>
      <c r="T8" s="36" t="s">
        <v>90</v>
      </c>
      <c r="U8" s="36" t="s">
        <v>51</v>
      </c>
      <c r="V8" s="41">
        <v>20</v>
      </c>
      <c r="W8" s="42">
        <v>45</v>
      </c>
      <c r="X8" s="227">
        <f>SUM(Tableau_Data[[#This Row],[Féminin]:[Masculin]])</f>
        <v>65</v>
      </c>
      <c r="Y8" s="38" t="s">
        <v>54</v>
      </c>
      <c r="Z8" s="38" t="s">
        <v>59</v>
      </c>
      <c r="AA8" s="39" t="s">
        <v>63</v>
      </c>
    </row>
    <row r="9" spans="1:27" ht="20.25" customHeight="1" x14ac:dyDescent="0.25">
      <c r="B9" s="11">
        <f>IF(Données!B8="","",1+B8)</f>
        <v>2</v>
      </c>
      <c r="C9" s="50">
        <f t="shared" si="0"/>
        <v>2016</v>
      </c>
      <c r="D9" s="88">
        <v>42406</v>
      </c>
      <c r="E9" s="50">
        <f>IF(Données!D9="","",MONTH(D9))</f>
        <v>2</v>
      </c>
      <c r="F9" s="33" t="s">
        <v>44</v>
      </c>
      <c r="G9" s="40"/>
      <c r="H9" s="36" t="s">
        <v>89</v>
      </c>
      <c r="I9" s="212"/>
      <c r="J9" s="36" t="s">
        <v>153</v>
      </c>
      <c r="K9" s="116" t="str">
        <f>VLOOKUP(J9,Paramètres!$N$5:$Q$100,2,0)</f>
        <v>Gitega</v>
      </c>
      <c r="L9" s="117" t="str">
        <f>VLOOKUP(J9,Paramètres!$N$5:$Q$100,3,0)</f>
        <v>Gitega</v>
      </c>
      <c r="M9" s="118" t="str">
        <f>VLOOKUP(J9,Paramètres!$N$5:$Q$100,4,0)</f>
        <v>FVS AMADE</v>
      </c>
      <c r="N9" s="113">
        <v>4</v>
      </c>
      <c r="O9" s="36" t="s">
        <v>18</v>
      </c>
      <c r="P9" s="36" t="s">
        <v>207</v>
      </c>
      <c r="Q9" s="36" t="s">
        <v>36</v>
      </c>
      <c r="R9" s="36" t="s">
        <v>36</v>
      </c>
      <c r="S9" s="36" t="s">
        <v>50</v>
      </c>
      <c r="T9" s="36" t="s">
        <v>207</v>
      </c>
      <c r="U9" s="36" t="s">
        <v>32</v>
      </c>
      <c r="V9" s="41">
        <v>15</v>
      </c>
      <c r="W9" s="42">
        <v>75</v>
      </c>
      <c r="X9" s="227">
        <f>SUM(Tableau_Data[[#This Row],[Féminin]:[Masculin]])</f>
        <v>90</v>
      </c>
      <c r="Y9" s="38" t="s">
        <v>56</v>
      </c>
      <c r="Z9" s="38" t="s">
        <v>62</v>
      </c>
      <c r="AA9" s="39" t="s">
        <v>64</v>
      </c>
    </row>
    <row r="10" spans="1:27" ht="21.75" customHeight="1" x14ac:dyDescent="0.25">
      <c r="B10" s="11">
        <f>IF(Données!B9="","",1+B9)</f>
        <v>3</v>
      </c>
      <c r="C10" s="50">
        <f t="shared" si="0"/>
        <v>2016</v>
      </c>
      <c r="D10" s="88">
        <v>42436</v>
      </c>
      <c r="E10" s="50">
        <f>IF(Données!D10="","",MONTH(D10))</f>
        <v>3</v>
      </c>
      <c r="F10" s="32" t="s">
        <v>47</v>
      </c>
      <c r="G10" s="40"/>
      <c r="H10" s="36" t="s">
        <v>90</v>
      </c>
      <c r="I10" s="212"/>
      <c r="J10" s="36" t="s">
        <v>124</v>
      </c>
      <c r="K10" s="116" t="str">
        <f>VLOOKUP(J10,Paramètres!$N$5:$Q$100,2,0)</f>
        <v>Muramya</v>
      </c>
      <c r="L10" s="117" t="str">
        <f>VLOOKUP(J10,Paramètres!$N$5:$Q$100,3,0)</f>
        <v>Muramya</v>
      </c>
      <c r="M10" s="118" t="str">
        <f>VLOOKUP(J10,Paramètres!$N$5:$Q$100,4,0)</f>
        <v>SYM</v>
      </c>
      <c r="N10" s="112">
        <v>8</v>
      </c>
      <c r="O10" s="36" t="s">
        <v>40</v>
      </c>
      <c r="P10" s="36"/>
      <c r="Q10" s="36" t="s">
        <v>35</v>
      </c>
      <c r="R10" s="36" t="s">
        <v>35</v>
      </c>
      <c r="S10" s="36" t="s">
        <v>50</v>
      </c>
      <c r="T10" s="36"/>
      <c r="U10" s="36" t="s">
        <v>31</v>
      </c>
      <c r="V10" s="41">
        <v>50</v>
      </c>
      <c r="W10" s="42">
        <v>80</v>
      </c>
      <c r="X10" s="227">
        <f>SUM(Tableau_Data[[#This Row],[Féminin]:[Masculin]])</f>
        <v>130</v>
      </c>
      <c r="Y10" s="38" t="s">
        <v>54</v>
      </c>
      <c r="Z10" s="38" t="s">
        <v>60</v>
      </c>
      <c r="AA10" s="39" t="s">
        <v>64</v>
      </c>
    </row>
    <row r="11" spans="1:27" ht="21" customHeight="1" x14ac:dyDescent="0.25">
      <c r="B11" s="11">
        <f>IF(Données!B10="","",1+B10)</f>
        <v>4</v>
      </c>
      <c r="C11" s="50">
        <f t="shared" si="0"/>
        <v>2016</v>
      </c>
      <c r="D11" s="88">
        <v>42376</v>
      </c>
      <c r="E11" s="50">
        <f>IF(Données!D11="","",MONTH(D11))</f>
        <v>1</v>
      </c>
      <c r="F11" s="34" t="s">
        <v>45</v>
      </c>
      <c r="G11" s="40"/>
      <c r="H11" s="36" t="s">
        <v>208</v>
      </c>
      <c r="I11" s="212"/>
      <c r="J11" s="36" t="s">
        <v>154</v>
      </c>
      <c r="K11" s="116" t="str">
        <f>VLOOKUP(J11,Paramètres!$N$5:$Q$100,2,0)</f>
        <v>Gitega</v>
      </c>
      <c r="L11" s="117" t="str">
        <f>VLOOKUP(J11,Paramètres!$N$5:$Q$100,3,0)</f>
        <v>Gitega</v>
      </c>
      <c r="M11" s="118" t="str">
        <f>VLOOKUP(J11,Paramètres!$N$5:$Q$100,4,0)</f>
        <v>FVS AMADE</v>
      </c>
      <c r="N11" s="112">
        <v>7</v>
      </c>
      <c r="O11" s="36" t="s">
        <v>39</v>
      </c>
      <c r="P11" s="36"/>
      <c r="Q11" s="36" t="s">
        <v>36</v>
      </c>
      <c r="R11" s="36" t="s">
        <v>36</v>
      </c>
      <c r="S11" s="36" t="s">
        <v>16</v>
      </c>
      <c r="T11" s="36"/>
      <c r="U11" s="36" t="s">
        <v>52</v>
      </c>
      <c r="V11" s="37">
        <v>45</v>
      </c>
      <c r="W11" s="42">
        <v>70</v>
      </c>
      <c r="X11" s="227">
        <f>SUM(Tableau_Data[[#This Row],[Féminin]:[Masculin]])</f>
        <v>115</v>
      </c>
      <c r="Y11" s="38" t="s">
        <v>55</v>
      </c>
      <c r="Z11" s="38" t="s">
        <v>61</v>
      </c>
      <c r="AA11" s="39" t="s">
        <v>63</v>
      </c>
    </row>
    <row r="12" spans="1:27" ht="21.75" customHeight="1" x14ac:dyDescent="0.25">
      <c r="B12" s="11">
        <f>IF(Données!B11="","",1+B11)</f>
        <v>5</v>
      </c>
      <c r="C12" s="50">
        <f t="shared" si="0"/>
        <v>2016</v>
      </c>
      <c r="D12" s="88">
        <v>42467</v>
      </c>
      <c r="E12" s="50">
        <f>IF(Données!D12="","",MONTH(D12))</f>
        <v>4</v>
      </c>
      <c r="F12" s="32" t="s">
        <v>48</v>
      </c>
      <c r="G12" s="40"/>
      <c r="H12" s="36" t="s">
        <v>90</v>
      </c>
      <c r="I12" s="212"/>
      <c r="J12" s="36" t="s">
        <v>124</v>
      </c>
      <c r="K12" s="116" t="str">
        <f>VLOOKUP(J12,Paramètres!$N$5:$Q$100,2,0)</f>
        <v>Muramya</v>
      </c>
      <c r="L12" s="117" t="str">
        <f>VLOOKUP(J12,Paramètres!$N$5:$Q$100,3,0)</f>
        <v>Muramya</v>
      </c>
      <c r="M12" s="118" t="str">
        <f>VLOOKUP(J12,Paramètres!$N$5:$Q$100,4,0)</f>
        <v>SYM</v>
      </c>
      <c r="N12" s="112">
        <v>9</v>
      </c>
      <c r="O12" s="36" t="s">
        <v>18</v>
      </c>
      <c r="P12" s="36"/>
      <c r="Q12" s="36" t="s">
        <v>35</v>
      </c>
      <c r="R12" s="36" t="s">
        <v>35</v>
      </c>
      <c r="S12" s="36" t="s">
        <v>50</v>
      </c>
      <c r="T12" s="36"/>
      <c r="U12" s="36" t="s">
        <v>31</v>
      </c>
      <c r="V12" s="41">
        <v>60</v>
      </c>
      <c r="W12" s="42">
        <v>28</v>
      </c>
      <c r="X12" s="227">
        <f>SUM(Tableau_Data[[#This Row],[Féminin]:[Masculin]])</f>
        <v>88</v>
      </c>
      <c r="Y12" s="38" t="s">
        <v>57</v>
      </c>
      <c r="Z12" s="38" t="s">
        <v>60</v>
      </c>
      <c r="AA12" s="39" t="s">
        <v>64</v>
      </c>
    </row>
    <row r="13" spans="1:27" ht="19.5" customHeight="1" x14ac:dyDescent="0.25">
      <c r="B13" s="11">
        <f>IF(Données!B12="","",1+B12)</f>
        <v>6</v>
      </c>
      <c r="C13" s="50">
        <f>IF(D13="","",YEAR(D13))</f>
        <v>2016</v>
      </c>
      <c r="D13" s="88">
        <v>42376</v>
      </c>
      <c r="E13" s="50">
        <f>IF(Données!D13="","",MONTH(D13))</f>
        <v>1</v>
      </c>
      <c r="F13" s="51" t="s">
        <v>46</v>
      </c>
      <c r="G13" s="40"/>
      <c r="H13" s="36" t="s">
        <v>90</v>
      </c>
      <c r="I13" s="212"/>
      <c r="J13" s="36" t="s">
        <v>124</v>
      </c>
      <c r="K13" s="116" t="str">
        <f>VLOOKUP(J13,Paramètres!$N$5:$Q$100,2,0)</f>
        <v>Muramya</v>
      </c>
      <c r="L13" s="117" t="str">
        <f>VLOOKUP(J13,Paramètres!$N$5:$Q$100,3,0)</f>
        <v>Muramya</v>
      </c>
      <c r="M13" s="118" t="str">
        <f>VLOOKUP(J13,Paramètres!$N$5:$Q$100,4,0)</f>
        <v>SYM</v>
      </c>
      <c r="N13" s="114">
        <v>2</v>
      </c>
      <c r="O13" s="36" t="s">
        <v>37</v>
      </c>
      <c r="P13" s="36"/>
      <c r="Q13" s="36" t="s">
        <v>36</v>
      </c>
      <c r="R13" s="36" t="s">
        <v>36</v>
      </c>
      <c r="S13" s="36" t="s">
        <v>16</v>
      </c>
      <c r="T13" s="36"/>
      <c r="U13" s="36" t="s">
        <v>32</v>
      </c>
      <c r="V13" s="41">
        <v>70</v>
      </c>
      <c r="W13" s="43">
        <v>34</v>
      </c>
      <c r="X13" s="228">
        <f>SUM(Tableau_Data[[#This Row],[Féminin]:[Masculin]])</f>
        <v>104</v>
      </c>
      <c r="Y13" s="38" t="s">
        <v>56</v>
      </c>
      <c r="Z13" s="38" t="s">
        <v>62</v>
      </c>
      <c r="AA13" s="39" t="s">
        <v>63</v>
      </c>
    </row>
    <row r="14" spans="1:27" ht="23.25" customHeight="1" x14ac:dyDescent="0.25">
      <c r="B14" s="11">
        <f>IF(Données!B13="","",1+B13)</f>
        <v>7</v>
      </c>
      <c r="C14" s="52">
        <f t="shared" si="0"/>
        <v>2016</v>
      </c>
      <c r="D14" s="88">
        <v>42376</v>
      </c>
      <c r="E14" s="52">
        <f>IF(Données!D14="","",MONTH(D14))</f>
        <v>1</v>
      </c>
      <c r="F14" s="35" t="s">
        <v>49</v>
      </c>
      <c r="G14" s="40"/>
      <c r="H14" s="36" t="s">
        <v>89</v>
      </c>
      <c r="I14" s="212"/>
      <c r="J14" s="36" t="s">
        <v>124</v>
      </c>
      <c r="K14" s="116" t="str">
        <f>VLOOKUP(J14,Paramètres!$N$5:$Q$100,2,0)</f>
        <v>Muramya</v>
      </c>
      <c r="L14" s="117" t="str">
        <f>VLOOKUP(J14,Paramètres!$N$5:$Q$100,3,0)</f>
        <v>Muramya</v>
      </c>
      <c r="M14" s="118" t="str">
        <f>VLOOKUP(J14,Paramètres!$N$5:$Q$100,4,0)</f>
        <v>SYM</v>
      </c>
      <c r="N14" s="112">
        <v>1</v>
      </c>
      <c r="O14" s="36" t="s">
        <v>41</v>
      </c>
      <c r="P14" s="36"/>
      <c r="Q14" s="36" t="s">
        <v>35</v>
      </c>
      <c r="R14" s="36" t="s">
        <v>35</v>
      </c>
      <c r="S14" s="36" t="s">
        <v>123</v>
      </c>
      <c r="T14" s="36"/>
      <c r="U14" s="36" t="s">
        <v>51</v>
      </c>
      <c r="V14" s="41">
        <v>35</v>
      </c>
      <c r="W14" s="42">
        <v>75</v>
      </c>
      <c r="X14" s="227">
        <f>SUM(Tableau_Data[[#This Row],[Féminin]:[Masculin]])</f>
        <v>110</v>
      </c>
      <c r="Y14" s="38" t="s">
        <v>58</v>
      </c>
      <c r="Z14" s="38" t="s">
        <v>59</v>
      </c>
      <c r="AA14" s="39" t="s">
        <v>63</v>
      </c>
    </row>
    <row r="15" spans="1:27" ht="15" customHeight="1" x14ac:dyDescent="0.25">
      <c r="B15" s="11">
        <f>IF(Données!B14="","",1+B14)</f>
        <v>8</v>
      </c>
      <c r="C15" s="215">
        <f>IF(D15="","",YEAR(D15))</f>
        <v>2016</v>
      </c>
      <c r="D15" s="88">
        <v>42377</v>
      </c>
      <c r="E15" s="215">
        <f>IF(Données!D15="","",MONTH(D15))</f>
        <v>1</v>
      </c>
      <c r="F15" s="35" t="s">
        <v>209</v>
      </c>
      <c r="G15" s="40"/>
      <c r="H15" s="218" t="s">
        <v>90</v>
      </c>
      <c r="I15" s="212" t="s">
        <v>210</v>
      </c>
      <c r="J15" s="216" t="s">
        <v>113</v>
      </c>
      <c r="K15" s="219" t="str">
        <f>VLOOKUP(J15,Paramètres!$N$5:$Q$100,2,0)</f>
        <v>Muramya</v>
      </c>
      <c r="L15" s="220" t="str">
        <f>VLOOKUP(J15,Paramètres!$N$5:$Q$100,3,0)</f>
        <v>Muramya</v>
      </c>
      <c r="M15" s="221" t="str">
        <f>VLOOKUP(J15,Paramètres!$N$5:$Q$100,4,0)</f>
        <v>SYM</v>
      </c>
      <c r="N15" s="112">
        <v>50</v>
      </c>
      <c r="O15" s="216" t="s">
        <v>18</v>
      </c>
      <c r="P15" s="36" t="s">
        <v>211</v>
      </c>
      <c r="Q15" s="216" t="s">
        <v>35</v>
      </c>
      <c r="R15" s="216" t="s">
        <v>36</v>
      </c>
      <c r="S15" s="216" t="s">
        <v>18</v>
      </c>
      <c r="T15" s="36" t="s">
        <v>212</v>
      </c>
      <c r="U15" s="216" t="s">
        <v>31</v>
      </c>
      <c r="V15" s="217">
        <v>60</v>
      </c>
      <c r="W15" s="42">
        <v>85</v>
      </c>
      <c r="X15" s="227">
        <f>SUM(Tableau_Data[[#This Row],[Féminin]:[Masculin]])</f>
        <v>145</v>
      </c>
      <c r="Y15" s="222" t="s">
        <v>213</v>
      </c>
      <c r="Z15" s="222" t="s">
        <v>60</v>
      </c>
      <c r="AA15" s="39" t="s">
        <v>63</v>
      </c>
    </row>
    <row r="16" spans="1:27" x14ac:dyDescent="0.25">
      <c r="B16" s="190" t="s">
        <v>2</v>
      </c>
      <c r="C16" s="190"/>
      <c r="D16" s="190"/>
      <c r="E16" s="190"/>
      <c r="F16" s="190">
        <f>SUBTOTAL(103,Tableau_Data[Code fiche])</f>
        <v>8</v>
      </c>
      <c r="G16" s="53">
        <f>SUBTOTAL(103,Tableau_Data[Colline])</f>
        <v>0</v>
      </c>
      <c r="H16" s="53">
        <f>SUBTOTAL(103,Tableau_Data[Lieu d''intervention])</f>
        <v>8</v>
      </c>
      <c r="I16" s="53">
        <f>SUBTOTAL(103,Tableau_Data[Si Autres Lieu])</f>
        <v>2</v>
      </c>
      <c r="J16" s="53">
        <f>SUBTOTAL(103,Tableau_Data[Nom Réseau])</f>
        <v>8</v>
      </c>
      <c r="K16" s="182">
        <f>SUBTOTAL(103,Tableau_Data[Province sanitaire])</f>
        <v>8</v>
      </c>
      <c r="L16" s="182">
        <f>SUBTOTAL(103,Tableau_Data[District sanitaire])</f>
        <v>8</v>
      </c>
      <c r="M16" s="182">
        <f>SUBTOTAL(103,Tableau_Data[ASBL])</f>
        <v>8</v>
      </c>
      <c r="N16" s="190">
        <f>SUBTOTAL(109,Tableau_Data[Durée (En minutes)])</f>
        <v>86</v>
      </c>
      <c r="O16" s="53">
        <f>SUBTOTAL(103,Tableau_Data[Thèmes])</f>
        <v>8</v>
      </c>
      <c r="P16" s="53"/>
      <c r="Q16" s="53">
        <f>SUBTOTAL(103,Tableau_Data[Démo Preservatif])</f>
        <v>8</v>
      </c>
      <c r="R16" s="53">
        <f>SUBTOTAL(103,Tableau_Data[Témoignage])</f>
        <v>8</v>
      </c>
      <c r="S16" s="53">
        <f>SUBTOTAL(103,Tableau_Data[Matériel distribué])</f>
        <v>8</v>
      </c>
      <c r="T16" s="53"/>
      <c r="U16" s="53">
        <f>SUBTOTAL(103,Tableau_Data[Cible])</f>
        <v>8</v>
      </c>
      <c r="V16" s="109">
        <f>SUBTOTAL(109,Tableau_Data[Féminin])</f>
        <v>355</v>
      </c>
      <c r="W16" s="110">
        <f>SUBTOTAL(109,Tableau_Data[Masculin])</f>
        <v>492</v>
      </c>
      <c r="X16" s="109">
        <f>SUBTOTAL(109,Tableau_Data[Total])</f>
        <v>847</v>
      </c>
      <c r="Y16" s="111">
        <f>SUBTOTAL(103,Tableau_Data[Animateur - PE 1])</f>
        <v>8</v>
      </c>
      <c r="Z16" s="111">
        <f>SUBTOTAL(103,Tableau_Data[Animateur - PE 2])</f>
        <v>8</v>
      </c>
      <c r="AA16" s="53">
        <f>SUBTOTAL(103,Tableau_Data[Observations])</f>
        <v>8</v>
      </c>
    </row>
    <row r="17" spans="23:23" ht="15" customHeight="1" x14ac:dyDescent="0.25"/>
    <row r="18" spans="23:23" ht="15" customHeight="1" x14ac:dyDescent="0.25"/>
    <row r="19" spans="23:23" ht="15" customHeight="1" x14ac:dyDescent="0.25"/>
    <row r="20" spans="23:23" ht="15" customHeight="1" x14ac:dyDescent="0.25"/>
    <row r="21" spans="23:23" ht="15" customHeight="1" x14ac:dyDescent="0.25"/>
    <row r="22" spans="23:23" ht="15" customHeight="1" x14ac:dyDescent="0.25"/>
    <row r="23" spans="23:23" ht="15" customHeight="1" x14ac:dyDescent="0.25"/>
    <row r="24" spans="23:23" ht="15" customHeight="1" x14ac:dyDescent="0.25"/>
    <row r="25" spans="23:23" ht="15" customHeight="1" x14ac:dyDescent="0.25"/>
    <row r="26" spans="23:23" ht="15" customHeight="1" x14ac:dyDescent="0.25"/>
    <row r="27" spans="23:23" ht="15" customHeight="1" x14ac:dyDescent="0.25"/>
    <row r="28" spans="23:23" ht="15" customHeight="1" x14ac:dyDescent="0.25"/>
    <row r="29" spans="23:23" ht="15" customHeight="1" x14ac:dyDescent="0.25"/>
    <row r="31" spans="23:23" ht="15" customHeight="1" x14ac:dyDescent="0.25"/>
    <row r="32" spans="23:23" x14ac:dyDescent="0.25">
      <c r="W32" s="20"/>
    </row>
    <row r="33" ht="15" customHeight="1" x14ac:dyDescent="0.25"/>
    <row r="71" spans="23:23" x14ac:dyDescent="0.25">
      <c r="W71" s="20"/>
    </row>
    <row r="123" spans="23:23" x14ac:dyDescent="0.25">
      <c r="W123" s="20"/>
    </row>
    <row r="124" spans="23:23" x14ac:dyDescent="0.25">
      <c r="W124" s="20"/>
    </row>
    <row r="125" spans="23:23" x14ac:dyDescent="0.25">
      <c r="W125" s="20"/>
    </row>
    <row r="126" spans="23:23" x14ac:dyDescent="0.25">
      <c r="W126" s="20"/>
    </row>
    <row r="127" spans="23:23" x14ac:dyDescent="0.25">
      <c r="W127" s="20"/>
    </row>
    <row r="128" spans="23:23" x14ac:dyDescent="0.25">
      <c r="W128" s="20"/>
    </row>
    <row r="129" spans="23:23" x14ac:dyDescent="0.25">
      <c r="W129" s="20"/>
    </row>
  </sheetData>
  <protectedRanges>
    <protectedRange algorithmName="SHA-512" hashValue="7ORuLfeuhArsgy4aWfzWgfghDzPdHLO2KsNF6cuvomgvJ4Tc1FzZCPPW11680a1Nwjx0w+wqi4EJSr+8ZiIDvQ==" saltValue="RhVHMrOT8KLpooC4CK1W8g==" spinCount="100000" sqref="H6:U6" name="Plage1"/>
  </protectedRanges>
  <mergeCells count="4">
    <mergeCell ref="E4:F4"/>
    <mergeCell ref="C5:F5"/>
    <mergeCell ref="B1:AA1"/>
    <mergeCell ref="B2:AA2"/>
  </mergeCells>
  <conditionalFormatting sqref="H8:H15">
    <cfRule type="cellIs" dxfId="52" priority="20" operator="equal">
      <formula>$I$6</formula>
    </cfRule>
  </conditionalFormatting>
  <conditionalFormatting sqref="O8:O15">
    <cfRule type="cellIs" dxfId="51" priority="18" operator="equal">
      <formula>$O$6</formula>
    </cfRule>
  </conditionalFormatting>
  <conditionalFormatting sqref="S8:S15">
    <cfRule type="cellIs" dxfId="50" priority="16" operator="equal">
      <formula>$S$6</formula>
    </cfRule>
  </conditionalFormatting>
  <conditionalFormatting sqref="I8:I15">
    <cfRule type="containsBlanks" dxfId="49" priority="9">
      <formula>LEN(TRIM(I8))=0</formula>
    </cfRule>
    <cfRule type="cellIs" dxfId="48" priority="11" operator="notEqual">
      <formula>$I$6</formula>
    </cfRule>
  </conditionalFormatting>
  <conditionalFormatting sqref="P8:P15">
    <cfRule type="cellIs" dxfId="47" priority="4" operator="equal">
      <formula>$P$6</formula>
    </cfRule>
    <cfRule type="containsBlanks" dxfId="46" priority="5">
      <formula>LEN(TRIM(P8))=0</formula>
    </cfRule>
    <cfRule type="cellIs" dxfId="45" priority="6" operator="notEqual">
      <formula>$P$6</formula>
    </cfRule>
    <cfRule type="containsBlanks" dxfId="44" priority="24">
      <formula>LEN(TRIM(P8))=0</formula>
    </cfRule>
  </conditionalFormatting>
  <conditionalFormatting sqref="T8:T15">
    <cfRule type="containsBlanks" dxfId="43" priority="1">
      <formula>LEN(TRIM(T8))=0</formula>
    </cfRule>
    <cfRule type="cellIs" dxfId="42" priority="2" operator="equal">
      <formula>$T$6</formula>
    </cfRule>
    <cfRule type="cellIs" dxfId="41" priority="3" operator="notEqual">
      <formula>$T$6</formula>
    </cfRule>
  </conditionalFormatting>
  <dataValidations count="3">
    <dataValidation type="list" allowBlank="1" showInputMessage="1" showErrorMessage="1" sqref="Q8:R15">
      <formula1>Variables</formula1>
    </dataValidation>
    <dataValidation type="list" allowBlank="1" showInputMessage="1" showErrorMessage="1" errorTitle="Si Autres Thèmes" error="Veuillez renseigner sur la Colonne Autres Thèmes SVP" sqref="O8:O15">
      <formula1>Thèmes</formula1>
    </dataValidation>
    <dataValidation allowBlank="1" showInputMessage="1" sqref="I8:I15 P8:P15 T8:T15"/>
  </dataValidations>
  <pageMargins left="0.7" right="0.7" top="0.75" bottom="0.75" header="0.3" footer="0.3"/>
  <pageSetup paperSize="9" scale="65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A808DC95-519A-41C4-BE2D-C2A217958377}">
            <x14:iconSet iconSet="3Triangles">
              <x14:cfvo type="percent">
                <xm:f>0</xm:f>
              </x14:cfvo>
              <x14:cfvo type="num">
                <xm:f>50000</xm:f>
              </x14:cfvo>
              <x14:cfvo type="num">
                <xm:f>60000</xm:f>
              </x14:cfvo>
            </x14:iconSet>
          </x14:cfRule>
          <xm:sqref>I4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i Autres matériels distribués" error="Veuillez renseigner sur la Colonne Autres Matériels SVP">
          <x14:formula1>
            <xm:f>Paramètres!$H$7:$H$10</xm:f>
          </x14:formula1>
          <xm:sqref>S8:S15</xm:sqref>
        </x14:dataValidation>
        <x14:dataValidation type="list" allowBlank="1" showInputMessage="1" showErrorMessage="1">
          <x14:formula1>
            <xm:f>Paramètres!$L$7:$L$10</xm:f>
          </x14:formula1>
          <xm:sqref>U8:U15</xm:sqref>
        </x14:dataValidation>
        <x14:dataValidation type="list" allowBlank="1" showInputMessage="1" showErrorMessage="1">
          <x14:formula1>
            <xm:f>Paramètres!$N$5:$N$42</xm:f>
          </x14:formula1>
          <xm:sqref>J8:J15</xm:sqref>
        </x14:dataValidation>
        <x14:dataValidation type="list" allowBlank="1" showInputMessage="1" showErrorMessage="1" errorTitle="Si Autres lieu d'intervention" error="Veuillez renseignez sur la colonne Autres Lieu SVP">
          <x14:formula1>
            <xm:f>Paramètres!$B$7:$B$10</xm:f>
          </x14:formula1>
          <xm:sqref>H8:H15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nthèse6">
    <tabColor theme="9" tint="-0.249977111117893"/>
    <pageSetUpPr fitToPage="1"/>
  </sheetPr>
  <dimension ref="A1:CI110"/>
  <sheetViews>
    <sheetView showGridLines="0" zoomScale="90" zoomScaleNormal="90" workbookViewId="0">
      <pane xSplit="3" ySplit="8" topLeftCell="D9" activePane="bottomRight" state="frozen"/>
      <selection activeCell="B1" sqref="B1"/>
      <selection pane="topRight" activeCell="D1" sqref="D1"/>
      <selection pane="bottomLeft" activeCell="B9" sqref="B9"/>
      <selection pane="bottomRight" activeCell="G7" sqref="G7"/>
    </sheetView>
  </sheetViews>
  <sheetFormatPr baseColWidth="10" defaultRowHeight="16.5" x14ac:dyDescent="0.3"/>
  <cols>
    <col min="1" max="2" width="9.5703125" style="17" customWidth="1"/>
    <col min="3" max="3" width="25.28515625" style="17" customWidth="1"/>
    <col min="4" max="4" width="11.42578125" style="25"/>
    <col min="5" max="5" width="17.28515625" style="17" customWidth="1"/>
    <col min="6" max="6" width="3" style="17" customWidth="1"/>
    <col min="7" max="7" width="18.85546875" style="17" customWidth="1"/>
    <col min="8" max="8" width="2.28515625" style="17" customWidth="1"/>
    <col min="9" max="9" width="17.5703125" style="17" customWidth="1"/>
    <col min="10" max="10" width="6.85546875" style="17" customWidth="1"/>
    <col min="11" max="11" width="5.85546875" style="17" customWidth="1"/>
    <col min="12" max="12" width="7.28515625" style="17" customWidth="1"/>
    <col min="13" max="13" width="2.28515625" style="17" customWidth="1"/>
    <col min="14" max="14" width="8.7109375" style="17" customWidth="1"/>
    <col min="15" max="15" width="2.28515625" style="17" customWidth="1"/>
    <col min="16" max="16" width="7.42578125" style="17" customWidth="1"/>
    <col min="17" max="17" width="3" style="17" customWidth="1"/>
    <col min="18" max="18" width="8.140625" style="17" customWidth="1"/>
    <col min="19" max="19" width="2.28515625" style="17" customWidth="1"/>
    <col min="20" max="20" width="8" style="17" customWidth="1"/>
    <col min="21" max="21" width="2.28515625" style="17" customWidth="1"/>
    <col min="22" max="22" width="7.140625" style="17" customWidth="1"/>
    <col min="23" max="23" width="3" style="17" customWidth="1"/>
    <col min="24" max="24" width="7.7109375" style="17" customWidth="1"/>
    <col min="25" max="25" width="1.85546875" style="17" customWidth="1"/>
    <col min="26" max="26" width="7.28515625" style="17" customWidth="1"/>
    <col min="27" max="27" width="1.85546875" style="17" customWidth="1"/>
    <col min="28" max="28" width="8.140625" style="17" customWidth="1"/>
    <col min="29" max="29" width="2.28515625" style="17" customWidth="1"/>
    <col min="30" max="30" width="7.140625" style="17" customWidth="1"/>
    <col min="31" max="31" width="2" style="17" customWidth="1"/>
    <col min="32" max="32" width="8" style="17" customWidth="1"/>
    <col min="33" max="33" width="1.7109375" style="17" customWidth="1"/>
    <col min="34" max="34" width="7.5703125" style="17" customWidth="1"/>
    <col min="35" max="35" width="11.42578125" style="17"/>
    <col min="36" max="36" width="7.28515625" style="17" customWidth="1"/>
    <col min="37" max="37" width="1.7109375" style="17" customWidth="1"/>
    <col min="38" max="38" width="7.28515625" style="17" customWidth="1"/>
    <col min="39" max="39" width="2" style="17" customWidth="1"/>
    <col min="40" max="40" width="7.7109375" style="17" customWidth="1"/>
    <col min="41" max="41" width="3.7109375" style="17" customWidth="1"/>
    <col min="42" max="42" width="8.42578125" style="17" customWidth="1"/>
    <col min="43" max="43" width="2.28515625" style="17" customWidth="1"/>
    <col min="44" max="44" width="8.140625" style="17" customWidth="1"/>
    <col min="45" max="45" width="1.85546875" style="17" customWidth="1"/>
    <col min="46" max="46" width="8.7109375" style="17" customWidth="1"/>
    <col min="47" max="47" width="3.28515625" style="17" customWidth="1"/>
    <col min="48" max="48" width="7.28515625" style="17" customWidth="1"/>
    <col min="49" max="49" width="2" style="17" customWidth="1"/>
    <col min="50" max="50" width="8" style="17" customWidth="1"/>
    <col min="51" max="51" width="2" style="17" customWidth="1"/>
    <col min="52" max="52" width="7.28515625" style="17" customWidth="1"/>
    <col min="53" max="53" width="3.28515625" style="17" customWidth="1"/>
    <col min="54" max="54" width="8.42578125" style="17" customWidth="1"/>
    <col min="55" max="55" width="1.5703125" style="17" customWidth="1"/>
    <col min="56" max="56" width="8.140625" style="17" customWidth="1"/>
    <col min="57" max="57" width="1.7109375" style="17" customWidth="1"/>
    <col min="58" max="58" width="8.140625" style="17" customWidth="1"/>
    <col min="59" max="59" width="2.7109375" style="17" customWidth="1"/>
    <col min="60" max="60" width="8.140625" style="17" customWidth="1"/>
    <col min="61" max="61" width="1.85546875" style="17" customWidth="1"/>
    <col min="62" max="62" width="8.42578125" style="17" customWidth="1"/>
    <col min="63" max="63" width="1.5703125" style="17" customWidth="1"/>
    <col min="64" max="64" width="8.140625" style="17" customWidth="1"/>
    <col min="65" max="65" width="2.7109375" style="17" customWidth="1"/>
    <col min="66" max="66" width="8.42578125" style="17" customWidth="1"/>
    <col min="67" max="67" width="2.28515625" style="17" customWidth="1"/>
    <col min="68" max="68" width="7.5703125" style="17" customWidth="1"/>
    <col min="69" max="69" width="1.85546875" style="17" customWidth="1"/>
    <col min="70" max="70" width="8.28515625" style="17" customWidth="1"/>
    <col min="71" max="71" width="2.140625" style="17" customWidth="1"/>
    <col min="72" max="72" width="8.5703125" style="17" customWidth="1"/>
    <col min="73" max="73" width="1.7109375" style="17" customWidth="1"/>
    <col min="74" max="74" width="8.42578125" style="17" customWidth="1"/>
    <col min="75" max="75" width="1.7109375" style="17" customWidth="1"/>
    <col min="76" max="76" width="8.85546875" style="17" customWidth="1"/>
    <col min="77" max="16384" width="11.42578125" style="17"/>
  </cols>
  <sheetData>
    <row r="1" spans="1:76" ht="17.25" thickBot="1" x14ac:dyDescent="0.35">
      <c r="E1" s="261" t="s">
        <v>201</v>
      </c>
      <c r="F1" s="261"/>
      <c r="H1" s="261" t="s">
        <v>202</v>
      </c>
      <c r="I1" s="261"/>
      <c r="K1" s="274">
        <f ca="1">TODAY()</f>
        <v>42701</v>
      </c>
      <c r="L1" s="275"/>
      <c r="M1" s="275"/>
      <c r="N1" s="275"/>
      <c r="O1" s="276"/>
    </row>
    <row r="2" spans="1:76" ht="21.75" customHeight="1" thickBot="1" x14ac:dyDescent="0.4">
      <c r="C2" s="80" t="s">
        <v>75</v>
      </c>
      <c r="D2" s="124"/>
      <c r="E2" s="262">
        <f>SUMIFS(Tableau_Data[Masculin],Tableau_Data[Annee],Reseaux!C$3)</f>
        <v>492</v>
      </c>
      <c r="F2" s="263"/>
      <c r="G2" s="22"/>
      <c r="H2" s="264">
        <f>SUMIFS(Tableau_Data[Féminin],Tableau_Data[Annee],Reseaux!C$3)</f>
        <v>355</v>
      </c>
      <c r="I2" s="265"/>
      <c r="J2" s="22"/>
      <c r="K2" s="154"/>
      <c r="L2" s="185">
        <f>SUMIFS(Tableau_Data[Masculin],Tableau_Data[Lieu d''intervention],$L$9,Tableau_Data[Annee],$F$3)</f>
        <v>0</v>
      </c>
      <c r="N2" s="186">
        <f>SUMIFS(Tableau_Data[Féminin],Tableau_Data[Lieu d''intervention],$L$9,Tableau_Data[Annee],$F$3)</f>
        <v>0</v>
      </c>
      <c r="O2" s="24"/>
      <c r="P2" s="187">
        <f>SUM(L2:N2)</f>
        <v>0</v>
      </c>
      <c r="R2" s="185">
        <f>SUMIFS(Tableau_Data[Masculin],Tableau_Data[Lieu d''intervention],$R$9,Tableau_Data[Annee],$F$3)</f>
        <v>70</v>
      </c>
      <c r="T2" s="186">
        <f>SUMIFS(Tableau_Data[Féminin],Tableau_Data[Lieu d''intervention],$R$9,Tableau_Data[Annee],$F$3)</f>
        <v>45</v>
      </c>
      <c r="U2" s="24"/>
      <c r="V2" s="187">
        <f>SUM(R2:T2)</f>
        <v>115</v>
      </c>
      <c r="X2" s="185">
        <f>SUMIFS(Tableau_Data[Masculin],Tableau_Data[Lieu d''intervention],$X$9,Tableau_Data[Annee],$F$3)</f>
        <v>150</v>
      </c>
      <c r="Z2" s="186">
        <f>SUMIFS(Tableau_Data[Féminin],Tableau_Data[Lieu d''intervention],$X$9,Tableau_Data[Annee],$F$3)</f>
        <v>50</v>
      </c>
      <c r="AA2" s="24"/>
      <c r="AB2" s="187">
        <f>SUM(X2:Z2)</f>
        <v>200</v>
      </c>
      <c r="AD2" s="185">
        <f>SUMIFS(Tableau_Data[Masculin],Tableau_Data[Lieu d''intervention],$AD$9,Tableau_Data[Annee],$F$3)</f>
        <v>272</v>
      </c>
      <c r="AF2" s="186">
        <f>SUMIFS(Tableau_Data[Féminin],Tableau_Data[Lieu d''intervention],$AD$9,Tableau_Data[Annee],$F$3)</f>
        <v>260</v>
      </c>
      <c r="AG2" s="24"/>
      <c r="AH2" s="187">
        <f>SUM(AD2:AF2)</f>
        <v>532</v>
      </c>
      <c r="AJ2" s="185">
        <f>SUMIFS(Tableau_Data[Masculin],Tableau_Data[Thèmes],$AJ$9,Tableau_Data[Annee],$F$3)</f>
        <v>34</v>
      </c>
      <c r="AL2" s="186">
        <f>SUMIFS(Tableau_Data[Féminin],Tableau_Data[Thèmes],$AJ$9,Tableau_Data[Annee],$F$3)</f>
        <v>70</v>
      </c>
      <c r="AM2" s="24"/>
      <c r="AN2" s="187">
        <f>SUM(AJ2:AL2)</f>
        <v>104</v>
      </c>
      <c r="AP2" s="185">
        <f>SUMIFS(Tableau_Data[Masculin],Tableau_Data[Thèmes],$AP$9,Tableau_Data[Annee],$F$3)</f>
        <v>0</v>
      </c>
      <c r="AR2" s="186">
        <f>SUMIFS(Tableau_Data[Féminin],Tableau_Data[Thèmes],$AP$9,Tableau_Data[Annee],$F$3)</f>
        <v>0</v>
      </c>
      <c r="AS2" s="24"/>
      <c r="AT2" s="187">
        <f>SUM(AP2:AR2)</f>
        <v>0</v>
      </c>
      <c r="AV2" s="185">
        <f>SUMIFS(Tableau_Data[Masculin],Tableau_Data[Thèmes],$AV$9,Tableau_Data[Annee],$F$3)</f>
        <v>70</v>
      </c>
      <c r="AX2" s="186">
        <f>SUMIFS(Tableau_Data[Féminin],Tableau_Data[Thèmes],$AV$9,Tableau_Data[Annee],$F$3)</f>
        <v>45</v>
      </c>
      <c r="AY2" s="24"/>
      <c r="AZ2" s="187">
        <f>SUM(AV2:AX2)</f>
        <v>115</v>
      </c>
      <c r="BB2" s="185">
        <f>SUMIFS(Tableau_Data[Masculin],Tableau_Data[Thèmes],$BB$9,Tableau_Data[Annee],$F$3)</f>
        <v>80</v>
      </c>
      <c r="BD2" s="186">
        <f>SUMIFS(Tableau_Data[Féminin],Tableau_Data[Thèmes],$BB$9,Tableau_Data[Annee],$F$3)</f>
        <v>50</v>
      </c>
      <c r="BE2" s="24"/>
      <c r="BF2" s="187">
        <f>SUM(BB2:BD2)</f>
        <v>130</v>
      </c>
      <c r="BH2" s="185">
        <f>SUMIFS(Tableau_Data[Masculin],Tableau_Data[Thèmes],$BH$9,Tableau_Data[Annee],$F$3)</f>
        <v>75</v>
      </c>
      <c r="BJ2" s="186">
        <f>SUMIFS(Tableau_Data[Féminin],Tableau_Data[Thèmes],$BH$9,Tableau_Data[Annee],$F$3)</f>
        <v>35</v>
      </c>
      <c r="BK2" s="24"/>
      <c r="BL2" s="187">
        <f>SUM(BH2:BJ2)</f>
        <v>110</v>
      </c>
      <c r="BN2" s="185">
        <f>SUMIFS(Tableau_Data[Masculin],Tableau_Data[Thèmes],$BN$9,Tableau_Data[Annee],$F$3)</f>
        <v>0</v>
      </c>
      <c r="BP2" s="186">
        <f>SUMIFS(Tableau_Data[Féminin],Tableau_Data[Thèmes],$BN$9,Tableau_Data[Annee],$F$3)</f>
        <v>0</v>
      </c>
      <c r="BQ2" s="24"/>
      <c r="BR2" s="187">
        <f>SUM(BN2:BP2)</f>
        <v>0</v>
      </c>
      <c r="BT2" s="185">
        <f>SUMIFS(Tableau_Data[Masculin],Tableau_Data[Thèmes],$BT$9,Tableau_Data[Annee],$F$3)</f>
        <v>233</v>
      </c>
      <c r="BV2" s="186">
        <f>SUMIFS(Tableau_Data[Féminin],Tableau_Data[Thèmes],$BT$9,Tableau_Data[Annee],$F$3)</f>
        <v>155</v>
      </c>
      <c r="BW2" s="24"/>
      <c r="BX2" s="187">
        <f>SUM(BT2:BV2)</f>
        <v>388</v>
      </c>
    </row>
    <row r="3" spans="1:76" ht="21.75" thickBot="1" x14ac:dyDescent="0.4">
      <c r="C3" s="121">
        <v>2016</v>
      </c>
      <c r="D3" s="125"/>
      <c r="F3" s="19">
        <f>C3</f>
        <v>2016</v>
      </c>
      <c r="G3" s="18"/>
      <c r="H3" s="18"/>
      <c r="I3" s="18"/>
      <c r="J3" s="18"/>
      <c r="K3" s="18"/>
      <c r="M3" s="23"/>
      <c r="O3" s="81"/>
    </row>
    <row r="4" spans="1:76" ht="25.5" customHeight="1" x14ac:dyDescent="0.3">
      <c r="D4" s="79"/>
      <c r="E4" s="78"/>
      <c r="F4" s="79"/>
      <c r="H4" s="256" t="s">
        <v>3</v>
      </c>
      <c r="I4" s="257"/>
      <c r="J4" s="152">
        <f>VLOOKUP(H4,Reseaux!$CB$53:$CC$64,2,0)</f>
        <v>1</v>
      </c>
    </row>
    <row r="5" spans="1:76" ht="26.25" customHeight="1" thickBot="1" x14ac:dyDescent="0.35"/>
    <row r="6" spans="1:76" ht="31.5" customHeight="1" thickBot="1" x14ac:dyDescent="0.35">
      <c r="B6" s="286" t="s">
        <v>76</v>
      </c>
      <c r="C6" s="287"/>
      <c r="D6" s="142"/>
      <c r="E6" s="266" t="s">
        <v>164</v>
      </c>
      <c r="F6" s="267"/>
      <c r="G6" s="267"/>
      <c r="H6" s="267"/>
      <c r="I6" s="268"/>
      <c r="J6" s="142"/>
      <c r="K6" s="142"/>
      <c r="L6" s="269" t="s">
        <v>166</v>
      </c>
      <c r="M6" s="270"/>
      <c r="N6" s="270"/>
      <c r="O6" s="270"/>
      <c r="P6" s="270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8"/>
      <c r="AJ6" s="288" t="s">
        <v>167</v>
      </c>
      <c r="AK6" s="289"/>
      <c r="AL6" s="289"/>
      <c r="AM6" s="289"/>
      <c r="AN6" s="289"/>
      <c r="AO6" s="290"/>
      <c r="AP6" s="290"/>
      <c r="AQ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0"/>
      <c r="BE6" s="290"/>
      <c r="BF6" s="290"/>
      <c r="BG6" s="290"/>
      <c r="BH6" s="290"/>
      <c r="BI6" s="290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  <c r="BV6" s="290"/>
      <c r="BW6" s="290"/>
      <c r="BX6" s="291"/>
    </row>
    <row r="7" spans="1:76" ht="17.25" customHeight="1" x14ac:dyDescent="0.3">
      <c r="B7" s="21"/>
      <c r="C7" s="21"/>
      <c r="D7" s="143"/>
      <c r="E7" s="144" t="str">
        <f>E10</f>
        <v>MASCULIN</v>
      </c>
      <c r="F7" s="143"/>
      <c r="G7" s="144" t="str">
        <f>G10</f>
        <v>FEMININ</v>
      </c>
      <c r="H7" s="143"/>
      <c r="I7" s="143"/>
      <c r="J7" s="143"/>
      <c r="K7" s="143"/>
      <c r="L7" s="271" t="str">
        <f>L9</f>
        <v>ECOLE</v>
      </c>
      <c r="M7" s="272"/>
      <c r="N7" s="272"/>
      <c r="O7" s="272"/>
      <c r="P7" s="273"/>
      <c r="R7" s="271" t="str">
        <f>R9</f>
        <v>CENTRE DE SANTE</v>
      </c>
      <c r="S7" s="272"/>
      <c r="T7" s="272"/>
      <c r="U7" s="272"/>
      <c r="V7" s="273"/>
      <c r="W7" s="150"/>
      <c r="X7" s="271" t="str">
        <f>X9</f>
        <v>COMMUNAUTE</v>
      </c>
      <c r="Y7" s="272"/>
      <c r="Z7" s="272"/>
      <c r="AA7" s="272"/>
      <c r="AB7" s="273"/>
      <c r="AC7" s="150"/>
      <c r="AD7" s="271" t="str">
        <f>AD9</f>
        <v>AUTRES</v>
      </c>
      <c r="AE7" s="272"/>
      <c r="AF7" s="272"/>
      <c r="AG7" s="272"/>
      <c r="AH7" s="273"/>
      <c r="AJ7" s="253" t="str">
        <f>AJ9</f>
        <v>IST/VIH SIDA</v>
      </c>
      <c r="AK7" s="254"/>
      <c r="AL7" s="254"/>
      <c r="AM7" s="254"/>
      <c r="AN7" s="255"/>
      <c r="AP7" s="253" t="str">
        <f>AP9</f>
        <v>Violences sexuelles/VBG</v>
      </c>
      <c r="AQ7" s="254"/>
      <c r="AR7" s="254"/>
      <c r="AS7" s="254"/>
      <c r="AT7" s="255"/>
      <c r="AV7" s="253" t="str">
        <f>AV9</f>
        <v>Amour et Sexualité</v>
      </c>
      <c r="AW7" s="254"/>
      <c r="AX7" s="254"/>
      <c r="AY7" s="254"/>
      <c r="AZ7" s="255"/>
      <c r="BB7" s="253" t="str">
        <f>BB9</f>
        <v>Grossesses non désirées</v>
      </c>
      <c r="BC7" s="254"/>
      <c r="BD7" s="254"/>
      <c r="BE7" s="254"/>
      <c r="BF7" s="255"/>
      <c r="BH7" s="253" t="str">
        <f>BH9</f>
        <v>PF</v>
      </c>
      <c r="BI7" s="254"/>
      <c r="BJ7" s="254"/>
      <c r="BK7" s="254"/>
      <c r="BL7" s="255"/>
      <c r="BN7" s="253" t="str">
        <f>BN9</f>
        <v>CPN</v>
      </c>
      <c r="BO7" s="254"/>
      <c r="BP7" s="254"/>
      <c r="BQ7" s="254"/>
      <c r="BR7" s="255"/>
      <c r="BT7" s="253" t="str">
        <f>BT9</f>
        <v>Autres</v>
      </c>
      <c r="BU7" s="254"/>
      <c r="BV7" s="254"/>
      <c r="BW7" s="254"/>
      <c r="BX7" s="255"/>
    </row>
    <row r="8" spans="1:76" ht="19.5" customHeight="1" x14ac:dyDescent="0.3">
      <c r="B8" s="21"/>
      <c r="C8" s="21"/>
      <c r="D8" s="84"/>
      <c r="E8" s="149">
        <f>E51</f>
        <v>309</v>
      </c>
      <c r="F8" s="145"/>
      <c r="G8" s="147">
        <f>G51</f>
        <v>230</v>
      </c>
      <c r="H8" s="145"/>
      <c r="I8" s="149">
        <f>I51</f>
        <v>539</v>
      </c>
      <c r="J8" s="21"/>
      <c r="K8" s="21"/>
      <c r="L8" s="149">
        <f>L51</f>
        <v>0</v>
      </c>
      <c r="M8" s="151"/>
      <c r="N8" s="147">
        <f>N51</f>
        <v>0</v>
      </c>
      <c r="O8" s="151"/>
      <c r="P8" s="148">
        <f>P51</f>
        <v>0</v>
      </c>
      <c r="Q8" s="146"/>
      <c r="R8" s="148">
        <f t="shared" ref="R8:AF8" si="0">R51</f>
        <v>70</v>
      </c>
      <c r="S8" s="146"/>
      <c r="T8" s="147">
        <f t="shared" si="0"/>
        <v>45</v>
      </c>
      <c r="U8" s="146"/>
      <c r="V8" s="148">
        <f t="shared" si="0"/>
        <v>115</v>
      </c>
      <c r="W8" s="146"/>
      <c r="X8" s="148">
        <f t="shared" si="0"/>
        <v>75</v>
      </c>
      <c r="Y8" s="146">
        <f t="shared" si="0"/>
        <v>0</v>
      </c>
      <c r="Z8" s="147">
        <f t="shared" si="0"/>
        <v>35</v>
      </c>
      <c r="AA8" s="146">
        <f t="shared" si="0"/>
        <v>0</v>
      </c>
      <c r="AB8" s="148">
        <f t="shared" si="0"/>
        <v>110</v>
      </c>
      <c r="AC8" s="146"/>
      <c r="AD8" s="148">
        <f t="shared" si="0"/>
        <v>164</v>
      </c>
      <c r="AE8" s="146"/>
      <c r="AF8" s="147">
        <f t="shared" si="0"/>
        <v>150</v>
      </c>
      <c r="AG8" s="146"/>
      <c r="AH8" s="148">
        <f>AH51</f>
        <v>314</v>
      </c>
      <c r="AJ8" s="148">
        <f>AJ51</f>
        <v>34</v>
      </c>
      <c r="AL8" s="147">
        <f>AL51</f>
        <v>70</v>
      </c>
      <c r="AN8" s="148">
        <f>AN51</f>
        <v>104</v>
      </c>
      <c r="AP8" s="148">
        <f>AP51</f>
        <v>0</v>
      </c>
      <c r="AR8" s="147">
        <f>AR51</f>
        <v>0</v>
      </c>
      <c r="AT8" s="148">
        <f>AT51</f>
        <v>0</v>
      </c>
      <c r="AV8" s="148">
        <f>AV51</f>
        <v>70</v>
      </c>
      <c r="AX8" s="147">
        <f>AX51</f>
        <v>45</v>
      </c>
      <c r="AZ8" s="148">
        <f>AZ51</f>
        <v>115</v>
      </c>
      <c r="BB8" s="148">
        <f>BB51</f>
        <v>0</v>
      </c>
      <c r="BD8" s="147">
        <f>BD51</f>
        <v>0</v>
      </c>
      <c r="BF8" s="148">
        <f>BF51</f>
        <v>0</v>
      </c>
      <c r="BH8" s="148">
        <f>BH51</f>
        <v>75</v>
      </c>
      <c r="BJ8" s="147">
        <f>BJ51</f>
        <v>35</v>
      </c>
      <c r="BL8" s="148">
        <f>BL51</f>
        <v>110</v>
      </c>
      <c r="BN8" s="148">
        <f>BN51</f>
        <v>0</v>
      </c>
      <c r="BP8" s="147">
        <f>BP51</f>
        <v>0</v>
      </c>
      <c r="BR8" s="148">
        <f>BR51</f>
        <v>0</v>
      </c>
      <c r="BT8" s="148">
        <f>BT51</f>
        <v>130</v>
      </c>
      <c r="BV8" s="147">
        <f>BV51</f>
        <v>80</v>
      </c>
      <c r="BX8" s="148">
        <f>BX51</f>
        <v>210</v>
      </c>
    </row>
    <row r="9" spans="1:76" ht="21" customHeight="1" thickBot="1" x14ac:dyDescent="0.35">
      <c r="F9" s="25"/>
      <c r="L9" s="258" t="str">
        <f>Paramètres!B7</f>
        <v>ECOLE</v>
      </c>
      <c r="M9" s="259"/>
      <c r="N9" s="259"/>
      <c r="O9" s="259"/>
      <c r="P9" s="260"/>
      <c r="R9" s="258" t="str">
        <f>Paramètres!B8</f>
        <v>CENTRE DE SANTE</v>
      </c>
      <c r="S9" s="259"/>
      <c r="T9" s="259"/>
      <c r="U9" s="259"/>
      <c r="V9" s="260"/>
      <c r="X9" s="258" t="str">
        <f>Paramètres!B9</f>
        <v>COMMUNAUTE</v>
      </c>
      <c r="Y9" s="259"/>
      <c r="Z9" s="259"/>
      <c r="AA9" s="259"/>
      <c r="AB9" s="260"/>
      <c r="AD9" s="258" t="str">
        <f>Paramètres!B10</f>
        <v>AUTRES</v>
      </c>
      <c r="AE9" s="259"/>
      <c r="AF9" s="259"/>
      <c r="AG9" s="259"/>
      <c r="AH9" s="260"/>
      <c r="AJ9" s="258" t="str">
        <f>Paramètres!F7</f>
        <v>IST/VIH SIDA</v>
      </c>
      <c r="AK9" s="259"/>
      <c r="AL9" s="259"/>
      <c r="AM9" s="259"/>
      <c r="AN9" s="260"/>
      <c r="AP9" s="258" t="str">
        <f>Paramètres!F8</f>
        <v>Violences sexuelles/VBG</v>
      </c>
      <c r="AQ9" s="259"/>
      <c r="AR9" s="259"/>
      <c r="AS9" s="259"/>
      <c r="AT9" s="260"/>
      <c r="AV9" s="258" t="str">
        <f>Paramètres!F9</f>
        <v>Amour et Sexualité</v>
      </c>
      <c r="AW9" s="259"/>
      <c r="AX9" s="259"/>
      <c r="AY9" s="259"/>
      <c r="AZ9" s="260"/>
      <c r="BB9" s="258" t="str">
        <f>Paramètres!F10</f>
        <v>Grossesses non désirées</v>
      </c>
      <c r="BC9" s="259"/>
      <c r="BD9" s="259"/>
      <c r="BE9" s="259"/>
      <c r="BF9" s="260"/>
      <c r="BH9" s="258" t="str">
        <f>Paramètres!F11</f>
        <v>PF</v>
      </c>
      <c r="BI9" s="259"/>
      <c r="BJ9" s="259"/>
      <c r="BK9" s="259"/>
      <c r="BL9" s="260"/>
      <c r="BN9" s="258" t="str">
        <f>Paramètres!F12</f>
        <v>CPN</v>
      </c>
      <c r="BO9" s="259"/>
      <c r="BP9" s="259"/>
      <c r="BQ9" s="259"/>
      <c r="BR9" s="260"/>
      <c r="BT9" s="258" t="str">
        <f>Paramètres!F13</f>
        <v>Autres</v>
      </c>
      <c r="BU9" s="259"/>
      <c r="BV9" s="259"/>
      <c r="BW9" s="259"/>
      <c r="BX9" s="260"/>
    </row>
    <row r="10" spans="1:76" ht="17.25" thickBot="1" x14ac:dyDescent="0.35">
      <c r="E10" s="127" t="s">
        <v>203</v>
      </c>
      <c r="F10" s="25"/>
      <c r="G10" s="128" t="s">
        <v>204</v>
      </c>
      <c r="L10" s="130" t="s">
        <v>197</v>
      </c>
      <c r="M10" s="25"/>
      <c r="N10" s="131" t="s">
        <v>87</v>
      </c>
      <c r="R10" s="130" t="s">
        <v>197</v>
      </c>
      <c r="S10" s="25"/>
      <c r="T10" s="131" t="s">
        <v>87</v>
      </c>
      <c r="X10" s="130" t="s">
        <v>197</v>
      </c>
      <c r="Y10" s="25"/>
      <c r="Z10" s="131" t="s">
        <v>87</v>
      </c>
      <c r="AD10" s="130" t="s">
        <v>197</v>
      </c>
      <c r="AE10" s="25"/>
      <c r="AF10" s="131" t="s">
        <v>87</v>
      </c>
      <c r="AJ10" s="130" t="s">
        <v>197</v>
      </c>
      <c r="AK10" s="25"/>
      <c r="AL10" s="131" t="s">
        <v>87</v>
      </c>
      <c r="AP10" s="130" t="s">
        <v>197</v>
      </c>
      <c r="AQ10" s="25"/>
      <c r="AR10" s="131" t="s">
        <v>87</v>
      </c>
      <c r="AV10" s="130" t="s">
        <v>197</v>
      </c>
      <c r="AW10" s="25"/>
      <c r="AX10" s="131" t="s">
        <v>87</v>
      </c>
      <c r="BB10" s="130" t="s">
        <v>197</v>
      </c>
      <c r="BC10" s="25"/>
      <c r="BD10" s="131" t="s">
        <v>87</v>
      </c>
      <c r="BH10" s="130" t="s">
        <v>197</v>
      </c>
      <c r="BI10" s="25"/>
      <c r="BJ10" s="131" t="s">
        <v>87</v>
      </c>
      <c r="BN10" s="130" t="s">
        <v>197</v>
      </c>
      <c r="BO10" s="25"/>
      <c r="BP10" s="131" t="s">
        <v>87</v>
      </c>
      <c r="BT10" s="130" t="s">
        <v>197</v>
      </c>
      <c r="BU10" s="25"/>
      <c r="BV10" s="131" t="s">
        <v>87</v>
      </c>
    </row>
    <row r="11" spans="1:76" ht="17.25" thickBot="1" x14ac:dyDescent="0.35">
      <c r="F11" s="25"/>
      <c r="M11" s="25"/>
      <c r="S11" s="25"/>
      <c r="Y11" s="25"/>
      <c r="AE11" s="25"/>
      <c r="AK11" s="25"/>
      <c r="AQ11" s="25"/>
      <c r="AW11" s="25"/>
      <c r="BC11" s="25"/>
      <c r="BI11" s="25"/>
      <c r="BO11" s="25"/>
      <c r="BU11" s="25"/>
    </row>
    <row r="12" spans="1:76" ht="17.100000000000001" customHeight="1" x14ac:dyDescent="0.3">
      <c r="A12" s="82"/>
      <c r="B12" s="83">
        <v>1</v>
      </c>
      <c r="C12" s="122" t="str">
        <f>Paramètres!N5</f>
        <v>CDS Muramya</v>
      </c>
      <c r="D12" s="126"/>
      <c r="E12" s="136">
        <f>SUMIFS(Tableau_Data[Masculin],Tableau_Data[Nom Réseau],Reseaux!$C12,Tableau_Data[Annee],Reseaux!$F$3,Tableau_Data[Mois],Reseaux!J$4)</f>
        <v>45</v>
      </c>
      <c r="F12" s="126"/>
      <c r="G12" s="136">
        <f>SUMIFS(Tableau_Data[Féminin],Tableau_Data[Nom Réseau],Reseaux!$C12,Tableau_Data[Annee],Reseaux!$F$3,Tableau_Data[Mois],Reseaux!J$4)</f>
        <v>20</v>
      </c>
      <c r="H12" s="126"/>
      <c r="I12" s="137">
        <f>SUM(E12:G12)</f>
        <v>65</v>
      </c>
      <c r="J12" s="126"/>
      <c r="K12" s="126"/>
      <c r="L12" s="138">
        <f>SUMIFS(Tableau_Data[Masculin],Tableau_Data[Nom Réseau],Reseaux!$C12,Tableau_Data[Lieu d''intervention],Reseaux!$L$9,Tableau_Data[Annee],Reseaux!$F$3,Tableau_Data[Mois],Reseaux!J$4)</f>
        <v>0</v>
      </c>
      <c r="M12" s="126"/>
      <c r="N12" s="136">
        <f>SUMIFS(Tableau_Data[Féminin],Tableau_Data[Nom Réseau],Reseaux!$C12,Tableau_Data[Lieu d''intervention],Reseaux!$L$9,Tableau_Data[Annee],Reseaux!$F$3,Tableau_Data[Mois],Reseaux!J$4)</f>
        <v>0</v>
      </c>
      <c r="O12" s="126"/>
      <c r="P12" s="137">
        <f>SUM(L12:N12)</f>
        <v>0</v>
      </c>
      <c r="R12" s="136">
        <f>SUMIFS(Tableau_Data[Masculin],Tableau_Data[Nom Réseau],Reseaux!$C12,Tableau_Data[Lieu d''intervention],Reseaux!$R$9,Tableau_Data[Annee],Reseaux!$F$3,Tableau_Data[Mois],Reseaux!J$4)</f>
        <v>0</v>
      </c>
      <c r="S12" s="126"/>
      <c r="T12" s="136">
        <f>SUMIFS(Tableau_Data[Féminin],Tableau_Data[Nom Réseau],Reseaux!$C12,Tableau_Data[Lieu d''intervention],Reseaux!$R$9,Tableau_Data[Annee],Reseaux!$F$3,Tableau_Data[Mois],Reseaux!J$4)</f>
        <v>0</v>
      </c>
      <c r="U12" s="126"/>
      <c r="V12" s="137">
        <f>SUM(R12:T12)</f>
        <v>0</v>
      </c>
      <c r="X12" s="136">
        <f>SUMIFS(Tableau_Data[Masculin],Tableau_Data[Nom Réseau],Reseaux!$C12,Tableau_Data[Lieu d''intervention],Reseaux!$X$9,Tableau_Data[Annee],Reseaux!$F$3,Tableau_Data[Mois],Reseaux!J$4)</f>
        <v>0</v>
      </c>
      <c r="Y12" s="126"/>
      <c r="Z12" s="136">
        <f>SUMIFS(Tableau_Data[Féminin],Tableau_Data[Nom Réseau],Reseaux!$C12,Tableau_Data[Lieu d''intervention],Reseaux!$X$9,Tableau_Data[Annee],Reseaux!$F$3,Tableau_Data[Mois],Reseaux!J$4)</f>
        <v>0</v>
      </c>
      <c r="AA12" s="126"/>
      <c r="AB12" s="137">
        <f>SUM(X12:Z12)</f>
        <v>0</v>
      </c>
      <c r="AD12" s="136">
        <f>SUMIFS(Tableau_Data[Masculin],Tableau_Data[Nom Réseau],Reseaux!$C12,Tableau_Data[Lieu d''intervention],Reseaux!$AD$9,Tableau_Data[Annee],Reseaux!$F$3,Tableau_Data[Mois],Reseaux!J$4)</f>
        <v>45</v>
      </c>
      <c r="AE12" s="126"/>
      <c r="AF12" s="136">
        <f>SUMIFS(Tableau_Data[Féminin],Tableau_Data[Nom Réseau],Reseaux!$C12,Tableau_Data[Lieu d''intervention],Reseaux!$AD$9,Tableau_Data[Annee],Reseaux!$F$3,Tableau_Data[Mois],Reseaux!J$4)</f>
        <v>20</v>
      </c>
      <c r="AG12" s="126"/>
      <c r="AH12" s="137">
        <f>SUM(AD12:AF12)</f>
        <v>65</v>
      </c>
      <c r="AJ12" s="136">
        <f>SUMIFS(Tableau_Data[Masculin],Tableau_Data[Nom Réseau],Reseaux!$C12,Tableau_Data[Thèmes],Reseaux!$AJ$9,Tableau_Data[Annee],Reseaux!$F$3,Tableau_Data[Mois],Reseaux!J$4)</f>
        <v>0</v>
      </c>
      <c r="AK12" s="126"/>
      <c r="AL12" s="136">
        <f>SUMIFS(Tableau_Data[Féminin],Tableau_Data[Nom Réseau],Reseaux!$C12,Tableau_Data[Thèmes],Reseaux!$AJ$9,Tableau_Data[Annee],Reseaux!$F$3,Tableau_Data[Mois],Reseaux!J$4)</f>
        <v>0</v>
      </c>
      <c r="AM12" s="126"/>
      <c r="AN12" s="137">
        <f>SUM(AJ12:AL12)</f>
        <v>0</v>
      </c>
      <c r="AP12" s="136">
        <f>SUMIFS(Tableau_Data[Masculin],Tableau_Data[Nom Réseau],Reseaux!$C12,Tableau_Data[Thèmes],Reseaux!$AP$9,Tableau_Data[Annee],Reseaux!$F$3,Tableau_Data[Mois],Reseaux!J$4)</f>
        <v>0</v>
      </c>
      <c r="AQ12" s="126"/>
      <c r="AR12" s="136">
        <f>SUMIFS(Tableau_Data[Féminin],Tableau_Data[Nom Réseau],Reseaux!$C12,Tableau_Data[Thèmes],Reseaux!$AP$9,Tableau_Data[Annee],Reseaux!$F$3,Tableau_Data[Mois],Reseaux!J$4)</f>
        <v>0</v>
      </c>
      <c r="AS12" s="126"/>
      <c r="AT12" s="137">
        <f>SUM(AP12:AR12)</f>
        <v>0</v>
      </c>
      <c r="AV12" s="136">
        <f>SUMIFS(Tableau_Data[Masculin],Tableau_Data[Nom Réseau],Reseaux!$C12,Tableau_Data[Thèmes],Reseaux!$AV$9,Tableau_Data[Annee],Reseaux!$F$3,Tableau_Data[Mois],Reseaux!J$4)</f>
        <v>0</v>
      </c>
      <c r="AW12" s="126"/>
      <c r="AX12" s="136">
        <f>SUMIFS(Tableau_Data[Féminin],Tableau_Data[Nom Réseau],Reseaux!$C12,Tableau_Data[Thèmes],Reseaux!$AV$9,Tableau_Data[Annee],Reseaux!$F$3,Tableau_Data[Mois],Reseaux!J$4)</f>
        <v>0</v>
      </c>
      <c r="AY12" s="126"/>
      <c r="AZ12" s="137">
        <f>SUM(AV12:AX12)</f>
        <v>0</v>
      </c>
      <c r="BB12" s="136">
        <f>SUMIFS(Tableau_Data[Masculin],Tableau_Data[Nom Réseau],Reseaux!$C12,Tableau_Data[Thèmes],Reseaux!$BB$9,Tableau_Data[Annee],Reseaux!$F$3,Tableau_Data[Mois],Reseaux!J$4)</f>
        <v>0</v>
      </c>
      <c r="BC12" s="126"/>
      <c r="BD12" s="136">
        <f>SUMIFS(Tableau_Data[Féminin],Tableau_Data[Nom Réseau],Reseaux!$C12,Tableau_Data[Thèmes],Reseaux!$BB$9,Tableau_Data[Annee],Reseaux!$F$3,Tableau_Data[Mois],Reseaux!$J$4)</f>
        <v>0</v>
      </c>
      <c r="BE12" s="126"/>
      <c r="BF12" s="137">
        <f>SUM(BB12:BD12)</f>
        <v>0</v>
      </c>
      <c r="BH12" s="136">
        <f>SUMIFS(Tableau_Data[Masculin],Tableau_Data[Nom Réseau],Reseaux!$C12,Tableau_Data[Thèmes],Reseaux!$BH$9,Tableau_Data[Annee],Reseaux!$F$3,Tableau_Data[Mois],Reseaux!$J$4)</f>
        <v>0</v>
      </c>
      <c r="BI12" s="126"/>
      <c r="BJ12" s="136">
        <f>SUMIFS(Tableau_Data[Féminin],Tableau_Data[Nom Réseau],Reseaux!$C12,Tableau_Data[Thèmes],Reseaux!$BH$9,Tableau_Data[Annee],Reseaux!$F$3,Tableau_Data[Mois],Reseaux!$J$4)</f>
        <v>0</v>
      </c>
      <c r="BK12" s="126"/>
      <c r="BL12" s="137">
        <f>SUM(BH12:BJ12)</f>
        <v>0</v>
      </c>
      <c r="BN12" s="136">
        <f>SUMIFS(Tableau_Data[Masculin],Tableau_Data[Nom Réseau],Reseaux!$C12,Tableau_Data[Thèmes],Reseaux!$BN$9,Tableau_Data[Annee],Reseaux!$F$3,Tableau_Data[Mois],Reseaux!$J$4)</f>
        <v>0</v>
      </c>
      <c r="BO12" s="126"/>
      <c r="BP12" s="136">
        <f>SUMIFS(Tableau_Data[Féminin],Tableau_Data[Nom Réseau],Reseaux!$C12,Tableau_Data[Thèmes],Reseaux!$BN$9,Tableau_Data[Annee],Reseaux!$F$3,Tableau_Data[Mois],Reseaux!$J$4)</f>
        <v>0</v>
      </c>
      <c r="BQ12" s="126"/>
      <c r="BR12" s="137">
        <f>SUM(BN12:BP12)</f>
        <v>0</v>
      </c>
      <c r="BT12" s="136">
        <f>SUMIFS(Tableau_Data[Masculin],Tableau_Data[Nom Réseau],Reseaux!$C12,Tableau_Data[Thèmes],Reseaux!$BT$9,Tableau_Data[Annee],Reseaux!$F$3,Tableau_Data[Mois],Reseaux!$J$4)</f>
        <v>45</v>
      </c>
      <c r="BU12" s="126"/>
      <c r="BV12" s="136">
        <f>SUMIFS(Tableau_Data[Féminin],Tableau_Data[Nom Réseau],Reseaux!$C12,Tableau_Data[Thèmes],Reseaux!$BT$9,Tableau_Data[Annee],Reseaux!$F$3,Tableau_Data[Mois],Reseaux!$J$4)</f>
        <v>20</v>
      </c>
      <c r="BW12" s="126"/>
      <c r="BX12" s="137">
        <f>SUM(BT12:BV12)</f>
        <v>65</v>
      </c>
    </row>
    <row r="13" spans="1:76" ht="17.100000000000001" customHeight="1" x14ac:dyDescent="0.3">
      <c r="A13" s="82"/>
      <c r="B13" s="119">
        <f>IF(Reseaux!B12="","",1+B12)</f>
        <v>2</v>
      </c>
      <c r="C13" s="123" t="str">
        <f>Paramètres!N6</f>
        <v>CDS Bugarama</v>
      </c>
      <c r="D13" s="126"/>
      <c r="E13" s="136">
        <f>SUMIFS(Tableau_Data[Masculin],Tableau_Data[Nom Réseau],Reseaux!$C13,Tableau_Data[Annee],Reseaux!$F$3,Tableau_Data[Mois],Reseaux!J$4)</f>
        <v>85</v>
      </c>
      <c r="F13" s="126"/>
      <c r="G13" s="136">
        <f>SUMIFS(Tableau_Data[Féminin],Tableau_Data[Nom Réseau],Reseaux!$C13,Tableau_Data[Annee],Reseaux!$F$3,Tableau_Data[Mois],Reseaux!J$4)</f>
        <v>60</v>
      </c>
      <c r="H13" s="126"/>
      <c r="I13" s="137">
        <f t="shared" ref="I13:I49" si="1">SUM(E13:G13)</f>
        <v>145</v>
      </c>
      <c r="J13" s="126"/>
      <c r="K13" s="126"/>
      <c r="L13" s="138">
        <f>SUMIFS(Tableau_Data[Masculin],Tableau_Data[Nom Réseau],Reseaux!$C13,Tableau_Data[Lieu d''intervention],Reseaux!$L$9,Tableau_Data[Annee],Reseaux!$F$3,Tableau_Data[Mois],Reseaux!J$4)</f>
        <v>0</v>
      </c>
      <c r="M13" s="126"/>
      <c r="N13" s="136">
        <f>SUMIFS(Tableau_Data[Féminin],Tableau_Data[Nom Réseau],Reseaux!$C13,Tableau_Data[Lieu d''intervention],Reseaux!$L$9,Tableau_Data[Annee],Reseaux!$F$3,Tableau_Data[Mois],Reseaux!J$4)</f>
        <v>0</v>
      </c>
      <c r="O13" s="126"/>
      <c r="P13" s="137">
        <f t="shared" ref="P13:P49" si="2">SUM(L13:N13)</f>
        <v>0</v>
      </c>
      <c r="R13" s="136">
        <f>SUMIFS(Tableau_Data[Masculin],Tableau_Data[Nom Réseau],Reseaux!$C13,Tableau_Data[Lieu d''intervention],Reseaux!$R$9,Tableau_Data[Annee],Reseaux!$F$3,Tableau_Data[Mois],Reseaux!J$4)</f>
        <v>0</v>
      </c>
      <c r="S13" s="126"/>
      <c r="T13" s="136">
        <f>SUMIFS(Tableau_Data[Féminin],Tableau_Data[Nom Réseau],Reseaux!$C13,Tableau_Data[Lieu d''intervention],Reseaux!$R$9,Tableau_Data[Annee],Reseaux!$F$3,Tableau_Data[Mois],Reseaux!J$4)</f>
        <v>0</v>
      </c>
      <c r="U13" s="126"/>
      <c r="V13" s="137">
        <f t="shared" ref="V13:V49" si="3">SUM(R13:T13)</f>
        <v>0</v>
      </c>
      <c r="X13" s="136">
        <f>SUMIFS(Tableau_Data[Masculin],Tableau_Data[Nom Réseau],Reseaux!$C13,Tableau_Data[Lieu d''intervention],Reseaux!$X$9,Tableau_Data[Annee],Reseaux!$F$3,Tableau_Data[Mois],Reseaux!J$4)</f>
        <v>0</v>
      </c>
      <c r="Y13" s="126"/>
      <c r="Z13" s="136">
        <f>SUMIFS(Tableau_Data[Féminin],Tableau_Data[Nom Réseau],Reseaux!$C13,Tableau_Data[Lieu d''intervention],Reseaux!$X$9,Tableau_Data[Annee],Reseaux!$F$3,Tableau_Data[Mois],Reseaux!J$4)</f>
        <v>0</v>
      </c>
      <c r="AA13" s="126"/>
      <c r="AB13" s="137">
        <f t="shared" ref="AB13:AB49" si="4">SUM(X13:Z13)</f>
        <v>0</v>
      </c>
      <c r="AD13" s="136">
        <f>SUMIFS(Tableau_Data[Masculin],Tableau_Data[Nom Réseau],Reseaux!$C13,Tableau_Data[Lieu d''intervention],Reseaux!$AD$9,Tableau_Data[Annee],Reseaux!$F$3,Tableau_Data[Mois],Reseaux!J$4)</f>
        <v>85</v>
      </c>
      <c r="AE13" s="126"/>
      <c r="AF13" s="136">
        <f>SUMIFS(Tableau_Data[Féminin],Tableau_Data[Nom Réseau],Reseaux!$C13,Tableau_Data[Lieu d''intervention],Reseaux!$AD$9,Tableau_Data[Annee],Reseaux!$F$3,Tableau_Data[Mois],Reseaux!J$4)</f>
        <v>60</v>
      </c>
      <c r="AG13" s="126"/>
      <c r="AH13" s="137">
        <f t="shared" ref="AH13:AH49" si="5">SUM(AD13:AF13)</f>
        <v>145</v>
      </c>
      <c r="AJ13" s="136">
        <f>SUMIFS(Tableau_Data[Masculin],Tableau_Data[Nom Réseau],Reseaux!$C13,Tableau_Data[Thèmes],Reseaux!$AJ$9,Tableau_Data[Annee],Reseaux!$F$3,Tableau_Data[Mois],Reseaux!J$4)</f>
        <v>0</v>
      </c>
      <c r="AK13" s="126"/>
      <c r="AL13" s="136">
        <f>SUMIFS(Tableau_Data[Féminin],Tableau_Data[Nom Réseau],Reseaux!$C13,Tableau_Data[Thèmes],Reseaux!$AJ$9,Tableau_Data[Annee],Reseaux!$F$3,Tableau_Data[Mois],Reseaux!J$4)</f>
        <v>0</v>
      </c>
      <c r="AM13" s="126"/>
      <c r="AN13" s="137">
        <f t="shared" ref="AN13:AN49" si="6">SUM(AJ13:AL13)</f>
        <v>0</v>
      </c>
      <c r="AP13" s="136">
        <f>SUMIFS(Tableau_Data[Masculin],Tableau_Data[Nom Réseau],Reseaux!$C13,Tableau_Data[Thèmes],Reseaux!$AP$9,Tableau_Data[Annee],Reseaux!$F$3,Tableau_Data[Mois],Reseaux!J$4)</f>
        <v>0</v>
      </c>
      <c r="AQ13" s="126"/>
      <c r="AR13" s="136">
        <f>SUMIFS(Tableau_Data[Féminin],Tableau_Data[Nom Réseau],Reseaux!$C13,Tableau_Data[Thèmes],Reseaux!$AP$9,Tableau_Data[Annee],Reseaux!$F$3,Tableau_Data[Mois],Reseaux!J$4)</f>
        <v>0</v>
      </c>
      <c r="AS13" s="126"/>
      <c r="AT13" s="137">
        <f t="shared" ref="AT13:AT49" si="7">SUM(AP13:AR13)</f>
        <v>0</v>
      </c>
      <c r="AV13" s="136">
        <f>SUMIFS(Tableau_Data[Masculin],Tableau_Data[Nom Réseau],Reseaux!$C13,Tableau_Data[Thèmes],Reseaux!$AV$9,Tableau_Data[Annee],Reseaux!$F$3,Tableau_Data[Mois],Reseaux!J$4)</f>
        <v>0</v>
      </c>
      <c r="AW13" s="126"/>
      <c r="AX13" s="136">
        <f>SUMIFS(Tableau_Data[Féminin],Tableau_Data[Nom Réseau],Reseaux!$C13,Tableau_Data[Thèmes],Reseaux!$AV$9,Tableau_Data[Annee],Reseaux!$F$3,Tableau_Data[Mois],Reseaux!J$4)</f>
        <v>0</v>
      </c>
      <c r="AY13" s="126"/>
      <c r="AZ13" s="137">
        <f t="shared" ref="AZ13:AZ49" si="8">SUM(AV13:AX13)</f>
        <v>0</v>
      </c>
      <c r="BB13" s="136">
        <f>SUMIFS(Tableau_Data[Masculin],Tableau_Data[Nom Réseau],Reseaux!$C13,Tableau_Data[Thèmes],Reseaux!$BB$9,Tableau_Data[Annee],Reseaux!$F$3,Tableau_Data[Mois],Reseaux!J$4)</f>
        <v>0</v>
      </c>
      <c r="BC13" s="126"/>
      <c r="BD13" s="136">
        <f>SUMIFS(Tableau_Data[Féminin],Tableau_Data[Nom Réseau],Reseaux!$C13,Tableau_Data[Thèmes],Reseaux!$BB$9,Tableau_Data[Annee],Reseaux!$F$3,Tableau_Data[Mois],Reseaux!$J$4)</f>
        <v>0</v>
      </c>
      <c r="BE13" s="126"/>
      <c r="BF13" s="137">
        <f t="shared" ref="BF13:BF49" si="9">SUM(BB13:BD13)</f>
        <v>0</v>
      </c>
      <c r="BH13" s="136">
        <f>SUMIFS(Tableau_Data[Masculin],Tableau_Data[Nom Réseau],Reseaux!$C13,Tableau_Data[Thèmes],Reseaux!$BH$9,Tableau_Data[Annee],Reseaux!$F$3,Tableau_Data[Mois],Reseaux!$J$4)</f>
        <v>0</v>
      </c>
      <c r="BI13" s="126"/>
      <c r="BJ13" s="136">
        <f>SUMIFS(Tableau_Data[Féminin],Tableau_Data[Nom Réseau],Reseaux!$C13,Tableau_Data[Thèmes],Reseaux!$BH$9,Tableau_Data[Annee],Reseaux!$F$3,Tableau_Data[Mois],Reseaux!$J$4)</f>
        <v>0</v>
      </c>
      <c r="BK13" s="126"/>
      <c r="BL13" s="137">
        <f t="shared" ref="BL13:BL49" si="10">SUM(BH13:BJ13)</f>
        <v>0</v>
      </c>
      <c r="BN13" s="136">
        <f>SUMIFS(Tableau_Data[Masculin],Tableau_Data[Nom Réseau],Reseaux!$C13,Tableau_Data[Thèmes],Reseaux!$BN$9,Tableau_Data[Annee],Reseaux!$F$3,Tableau_Data[Mois],Reseaux!$J$4)</f>
        <v>0</v>
      </c>
      <c r="BO13" s="126"/>
      <c r="BP13" s="136">
        <f>SUMIFS(Tableau_Data[Féminin],Tableau_Data[Nom Réseau],Reseaux!$C13,Tableau_Data[Thèmes],Reseaux!$BN$9,Tableau_Data[Annee],Reseaux!$F$3,Tableau_Data[Mois],Reseaux!$J$4)</f>
        <v>0</v>
      </c>
      <c r="BQ13" s="126"/>
      <c r="BR13" s="137">
        <f t="shared" ref="BR13:BR49" si="11">SUM(BN13:BP13)</f>
        <v>0</v>
      </c>
      <c r="BT13" s="136">
        <f>SUMIFS(Tableau_Data[Masculin],Tableau_Data[Nom Réseau],Reseaux!$C13,Tableau_Data[Thèmes],Reseaux!$BT$9,Tableau_Data[Annee],Reseaux!$F$3,Tableau_Data[Mois],Reseaux!$J$4)</f>
        <v>85</v>
      </c>
      <c r="BU13" s="126"/>
      <c r="BV13" s="136">
        <f>SUMIFS(Tableau_Data[Féminin],Tableau_Data[Nom Réseau],Reseaux!$C13,Tableau_Data[Thèmes],Reseaux!$BT$9,Tableau_Data[Annee],Reseaux!$F$3,Tableau_Data[Mois],Reseaux!$J$4)</f>
        <v>60</v>
      </c>
      <c r="BW13" s="126"/>
      <c r="BX13" s="137">
        <f t="shared" ref="BX13:BX49" si="12">SUM(BT13:BV13)</f>
        <v>145</v>
      </c>
    </row>
    <row r="14" spans="1:76" ht="17.100000000000001" customHeight="1" x14ac:dyDescent="0.3">
      <c r="A14" s="82"/>
      <c r="B14" s="119">
        <f>IF(Reseaux!B13="","",1+B13)</f>
        <v>3</v>
      </c>
      <c r="C14" s="123" t="str">
        <f>Paramètres!N7</f>
        <v>CDS Rwesa</v>
      </c>
      <c r="D14" s="126"/>
      <c r="E14" s="136">
        <f>SUMIFS(Tableau_Data[Masculin],Tableau_Data[Nom Réseau],Reseaux!$C14,Tableau_Data[Annee],Reseaux!$F$3,Tableau_Data[Mois],Reseaux!J$4)</f>
        <v>109</v>
      </c>
      <c r="F14" s="126"/>
      <c r="G14" s="136">
        <f>SUMIFS(Tableau_Data[Féminin],Tableau_Data[Nom Réseau],Reseaux!$C14,Tableau_Data[Annee],Reseaux!$F$3,Tableau_Data[Mois],Reseaux!J$4)</f>
        <v>105</v>
      </c>
      <c r="H14" s="126"/>
      <c r="I14" s="137">
        <f t="shared" si="1"/>
        <v>214</v>
      </c>
      <c r="J14" s="126"/>
      <c r="K14" s="126"/>
      <c r="L14" s="138">
        <f>SUMIFS(Tableau_Data[Masculin],Tableau_Data[Nom Réseau],Reseaux!$C14,Tableau_Data[Lieu d''intervention],Reseaux!$L$9,Tableau_Data[Annee],Reseaux!$F$3,Tableau_Data[Mois],Reseaux!J$4)</f>
        <v>0</v>
      </c>
      <c r="M14" s="126"/>
      <c r="N14" s="136">
        <f>SUMIFS(Tableau_Data[Féminin],Tableau_Data[Nom Réseau],Reseaux!$C14,Tableau_Data[Lieu d''intervention],Reseaux!$L$9,Tableau_Data[Annee],Reseaux!$F$3,Tableau_Data[Mois],Reseaux!J$4)</f>
        <v>0</v>
      </c>
      <c r="O14" s="126"/>
      <c r="P14" s="137">
        <f t="shared" si="2"/>
        <v>0</v>
      </c>
      <c r="R14" s="136">
        <f>SUMIFS(Tableau_Data[Masculin],Tableau_Data[Nom Réseau],Reseaux!$C14,Tableau_Data[Lieu d''intervention],Reseaux!$R$9,Tableau_Data[Annee],Reseaux!$F$3,Tableau_Data[Mois],Reseaux!J$4)</f>
        <v>0</v>
      </c>
      <c r="S14" s="126"/>
      <c r="T14" s="136">
        <f>SUMIFS(Tableau_Data[Féminin],Tableau_Data[Nom Réseau],Reseaux!$C14,Tableau_Data[Lieu d''intervention],Reseaux!$R$9,Tableau_Data[Annee],Reseaux!$F$3,Tableau_Data[Mois],Reseaux!J$4)</f>
        <v>0</v>
      </c>
      <c r="U14" s="126"/>
      <c r="V14" s="137">
        <f t="shared" si="3"/>
        <v>0</v>
      </c>
      <c r="X14" s="136">
        <f>SUMIFS(Tableau_Data[Masculin],Tableau_Data[Nom Réseau],Reseaux!$C14,Tableau_Data[Lieu d''intervention],Reseaux!$X$9,Tableau_Data[Annee],Reseaux!$F$3,Tableau_Data[Mois],Reseaux!J$4)</f>
        <v>75</v>
      </c>
      <c r="Y14" s="126"/>
      <c r="Z14" s="136">
        <f>SUMIFS(Tableau_Data[Féminin],Tableau_Data[Nom Réseau],Reseaux!$C14,Tableau_Data[Lieu d''intervention],Reseaux!$X$9,Tableau_Data[Annee],Reseaux!$F$3,Tableau_Data[Mois],Reseaux!J$4)</f>
        <v>35</v>
      </c>
      <c r="AA14" s="126"/>
      <c r="AB14" s="137">
        <f t="shared" si="4"/>
        <v>110</v>
      </c>
      <c r="AD14" s="136">
        <f>SUMIFS(Tableau_Data[Masculin],Tableau_Data[Nom Réseau],Reseaux!$C14,Tableau_Data[Lieu d''intervention],Reseaux!$AD$9,Tableau_Data[Annee],Reseaux!$F$3,Tableau_Data[Mois],Reseaux!J$4)</f>
        <v>34</v>
      </c>
      <c r="AE14" s="126"/>
      <c r="AF14" s="136">
        <f>SUMIFS(Tableau_Data[Féminin],Tableau_Data[Nom Réseau],Reseaux!$C14,Tableau_Data[Lieu d''intervention],Reseaux!$AD$9,Tableau_Data[Annee],Reseaux!$F$3,Tableau_Data[Mois],Reseaux!J$4)</f>
        <v>70</v>
      </c>
      <c r="AG14" s="126"/>
      <c r="AH14" s="137">
        <f t="shared" si="5"/>
        <v>104</v>
      </c>
      <c r="AJ14" s="136">
        <f>SUMIFS(Tableau_Data[Masculin],Tableau_Data[Nom Réseau],Reseaux!$C14,Tableau_Data[Thèmes],Reseaux!$AJ$9,Tableau_Data[Annee],Reseaux!$F$3,Tableau_Data[Mois],Reseaux!J$4)</f>
        <v>34</v>
      </c>
      <c r="AK14" s="126"/>
      <c r="AL14" s="136">
        <f>SUMIFS(Tableau_Data[Féminin],Tableau_Data[Nom Réseau],Reseaux!$C14,Tableau_Data[Thèmes],Reseaux!$AJ$9,Tableau_Data[Annee],Reseaux!$F$3,Tableau_Data[Mois],Reseaux!J$4)</f>
        <v>70</v>
      </c>
      <c r="AM14" s="126"/>
      <c r="AN14" s="137">
        <f t="shared" si="6"/>
        <v>104</v>
      </c>
      <c r="AP14" s="136">
        <f>SUMIFS(Tableau_Data[Masculin],Tableau_Data[Nom Réseau],Reseaux!$C14,Tableau_Data[Thèmes],Reseaux!$AP$9,Tableau_Data[Annee],Reseaux!$F$3,Tableau_Data[Mois],Reseaux!J$4)</f>
        <v>0</v>
      </c>
      <c r="AQ14" s="126"/>
      <c r="AR14" s="136">
        <f>SUMIFS(Tableau_Data[Féminin],Tableau_Data[Nom Réseau],Reseaux!$C14,Tableau_Data[Thèmes],Reseaux!$AP$9,Tableau_Data[Annee],Reseaux!$F$3,Tableau_Data[Mois],Reseaux!J$4)</f>
        <v>0</v>
      </c>
      <c r="AS14" s="126"/>
      <c r="AT14" s="137">
        <f t="shared" si="7"/>
        <v>0</v>
      </c>
      <c r="AV14" s="136">
        <f>SUMIFS(Tableau_Data[Masculin],Tableau_Data[Nom Réseau],Reseaux!$C14,Tableau_Data[Thèmes],Reseaux!$AV$9,Tableau_Data[Annee],Reseaux!$F$3,Tableau_Data[Mois],Reseaux!J$4)</f>
        <v>0</v>
      </c>
      <c r="AW14" s="126"/>
      <c r="AX14" s="136">
        <f>SUMIFS(Tableau_Data[Féminin],Tableau_Data[Nom Réseau],Reseaux!$C14,Tableau_Data[Thèmes],Reseaux!$AV$9,Tableau_Data[Annee],Reseaux!$F$3,Tableau_Data[Mois],Reseaux!J$4)</f>
        <v>0</v>
      </c>
      <c r="AY14" s="126"/>
      <c r="AZ14" s="137">
        <f t="shared" si="8"/>
        <v>0</v>
      </c>
      <c r="BB14" s="136">
        <f>SUMIFS(Tableau_Data[Masculin],Tableau_Data[Nom Réseau],Reseaux!$C14,Tableau_Data[Thèmes],Reseaux!$BB$9,Tableau_Data[Annee],Reseaux!$F$3,Tableau_Data[Mois],Reseaux!J$4)</f>
        <v>0</v>
      </c>
      <c r="BC14" s="126"/>
      <c r="BD14" s="136">
        <f>SUMIFS(Tableau_Data[Féminin],Tableau_Data[Nom Réseau],Reseaux!$C14,Tableau_Data[Thèmes],Reseaux!$BB$9,Tableau_Data[Annee],Reseaux!$F$3,Tableau_Data[Mois],Reseaux!$J$4)</f>
        <v>0</v>
      </c>
      <c r="BE14" s="126"/>
      <c r="BF14" s="137">
        <f t="shared" si="9"/>
        <v>0</v>
      </c>
      <c r="BH14" s="136">
        <f>SUMIFS(Tableau_Data[Masculin],Tableau_Data[Nom Réseau],Reseaux!$C14,Tableau_Data[Thèmes],Reseaux!$BH$9,Tableau_Data[Annee],Reseaux!$F$3,Tableau_Data[Mois],Reseaux!$J$4)</f>
        <v>75</v>
      </c>
      <c r="BI14" s="126"/>
      <c r="BJ14" s="136">
        <f>SUMIFS(Tableau_Data[Féminin],Tableau_Data[Nom Réseau],Reseaux!$C14,Tableau_Data[Thèmes],Reseaux!$BH$9,Tableau_Data[Annee],Reseaux!$F$3,Tableau_Data[Mois],Reseaux!$J$4)</f>
        <v>35</v>
      </c>
      <c r="BK14" s="126"/>
      <c r="BL14" s="137">
        <f t="shared" si="10"/>
        <v>110</v>
      </c>
      <c r="BN14" s="136">
        <f>SUMIFS(Tableau_Data[Masculin],Tableau_Data[Nom Réseau],Reseaux!$C14,Tableau_Data[Thèmes],Reseaux!$BN$9,Tableau_Data[Annee],Reseaux!$F$3,Tableau_Data[Mois],Reseaux!$J$4)</f>
        <v>0</v>
      </c>
      <c r="BO14" s="126"/>
      <c r="BP14" s="136">
        <f>SUMIFS(Tableau_Data[Féminin],Tableau_Data[Nom Réseau],Reseaux!$C14,Tableau_Data[Thèmes],Reseaux!$BN$9,Tableau_Data[Annee],Reseaux!$F$3,Tableau_Data[Mois],Reseaux!$J$4)</f>
        <v>0</v>
      </c>
      <c r="BQ14" s="126"/>
      <c r="BR14" s="137">
        <f t="shared" si="11"/>
        <v>0</v>
      </c>
      <c r="BT14" s="136">
        <f>SUMIFS(Tableau_Data[Masculin],Tableau_Data[Nom Réseau],Reseaux!$C14,Tableau_Data[Thèmes],Reseaux!$BT$9,Tableau_Data[Annee],Reseaux!$F$3,Tableau_Data[Mois],Reseaux!$J$4)</f>
        <v>0</v>
      </c>
      <c r="BU14" s="126"/>
      <c r="BV14" s="136">
        <f>SUMIFS(Tableau_Data[Féminin],Tableau_Data[Nom Réseau],Reseaux!$C14,Tableau_Data[Thèmes],Reseaux!$BT$9,Tableau_Data[Annee],Reseaux!$F$3,Tableau_Data[Mois],Reseaux!$J$4)</f>
        <v>0</v>
      </c>
      <c r="BW14" s="126"/>
      <c r="BX14" s="137">
        <f t="shared" si="12"/>
        <v>0</v>
      </c>
    </row>
    <row r="15" spans="1:76" ht="17.100000000000001" customHeight="1" x14ac:dyDescent="0.3">
      <c r="A15" s="82"/>
      <c r="B15" s="119">
        <f>IF(Reseaux!B14="","",1+B14)</f>
        <v>4</v>
      </c>
      <c r="C15" s="123" t="str">
        <f>Paramètres!N8</f>
        <v>CDS Shumba</v>
      </c>
      <c r="D15" s="126"/>
      <c r="E15" s="136">
        <f>SUMIFS(Tableau_Data[Masculin],Tableau_Data[Nom Réseau],Reseaux!$C15,Tableau_Data[Annee],Reseaux!$F$3,Tableau_Data[Mois],Reseaux!J$4)</f>
        <v>0</v>
      </c>
      <c r="F15" s="126"/>
      <c r="G15" s="136">
        <f>SUMIFS(Tableau_Data[Féminin],Tableau_Data[Nom Réseau],Reseaux!$C15,Tableau_Data[Annee],Reseaux!$F$3,Tableau_Data[Mois],Reseaux!J$4)</f>
        <v>0</v>
      </c>
      <c r="H15" s="126"/>
      <c r="I15" s="137">
        <f t="shared" si="1"/>
        <v>0</v>
      </c>
      <c r="J15" s="126"/>
      <c r="K15" s="126"/>
      <c r="L15" s="138">
        <f>SUMIFS(Tableau_Data[Masculin],Tableau_Data[Nom Réseau],Reseaux!$C15,Tableau_Data[Lieu d''intervention],Reseaux!$L$9,Tableau_Data[Annee],Reseaux!$F$3,Tableau_Data[Mois],Reseaux!J$4)</f>
        <v>0</v>
      </c>
      <c r="M15" s="126"/>
      <c r="N15" s="136">
        <f>SUMIFS(Tableau_Data[Féminin],Tableau_Data[Nom Réseau],Reseaux!$C15,Tableau_Data[Lieu d''intervention],Reseaux!$L$9,Tableau_Data[Annee],Reseaux!$F$3,Tableau_Data[Mois],Reseaux!J$4)</f>
        <v>0</v>
      </c>
      <c r="O15" s="126"/>
      <c r="P15" s="137">
        <f t="shared" si="2"/>
        <v>0</v>
      </c>
      <c r="R15" s="136">
        <f>SUMIFS(Tableau_Data[Masculin],Tableau_Data[Nom Réseau],Reseaux!$C15,Tableau_Data[Lieu d''intervention],Reseaux!$R$9,Tableau_Data[Annee],Reseaux!$F$3,Tableau_Data[Mois],Reseaux!J$4)</f>
        <v>0</v>
      </c>
      <c r="S15" s="126"/>
      <c r="T15" s="136">
        <f>SUMIFS(Tableau_Data[Féminin],Tableau_Data[Nom Réseau],Reseaux!$C15,Tableau_Data[Lieu d''intervention],Reseaux!$R$9,Tableau_Data[Annee],Reseaux!$F$3,Tableau_Data[Mois],Reseaux!J$4)</f>
        <v>0</v>
      </c>
      <c r="U15" s="126"/>
      <c r="V15" s="137">
        <f t="shared" si="3"/>
        <v>0</v>
      </c>
      <c r="X15" s="136">
        <f>SUMIFS(Tableau_Data[Masculin],Tableau_Data[Nom Réseau],Reseaux!$C15,Tableau_Data[Lieu d''intervention],Reseaux!$X$9,Tableau_Data[Annee],Reseaux!$F$3,Tableau_Data[Mois],Reseaux!J$4)</f>
        <v>0</v>
      </c>
      <c r="Y15" s="126"/>
      <c r="Z15" s="136">
        <f>SUMIFS(Tableau_Data[Féminin],Tableau_Data[Nom Réseau],Reseaux!$C15,Tableau_Data[Lieu d''intervention],Reseaux!$X$9,Tableau_Data[Annee],Reseaux!$F$3,Tableau_Data[Mois],Reseaux!J$4)</f>
        <v>0</v>
      </c>
      <c r="AA15" s="126"/>
      <c r="AB15" s="137">
        <f t="shared" si="4"/>
        <v>0</v>
      </c>
      <c r="AD15" s="136">
        <f>SUMIFS(Tableau_Data[Masculin],Tableau_Data[Nom Réseau],Reseaux!$C15,Tableau_Data[Lieu d''intervention],Reseaux!$AD$9,Tableau_Data[Annee],Reseaux!$F$3,Tableau_Data[Mois],Reseaux!J$4)</f>
        <v>0</v>
      </c>
      <c r="AE15" s="126"/>
      <c r="AF15" s="136">
        <f>SUMIFS(Tableau_Data[Féminin],Tableau_Data[Nom Réseau],Reseaux!$C15,Tableau_Data[Lieu d''intervention],Reseaux!$AD$9,Tableau_Data[Annee],Reseaux!$F$3,Tableau_Data[Mois],Reseaux!J$4)</f>
        <v>0</v>
      </c>
      <c r="AG15" s="126"/>
      <c r="AH15" s="137">
        <f t="shared" si="5"/>
        <v>0</v>
      </c>
      <c r="AJ15" s="136">
        <f>SUMIFS(Tableau_Data[Masculin],Tableau_Data[Nom Réseau],Reseaux!$C15,Tableau_Data[Thèmes],Reseaux!$AJ$9,Tableau_Data[Annee],Reseaux!$F$3,Tableau_Data[Mois],Reseaux!J$4)</f>
        <v>0</v>
      </c>
      <c r="AK15" s="126"/>
      <c r="AL15" s="136">
        <f>SUMIFS(Tableau_Data[Féminin],Tableau_Data[Nom Réseau],Reseaux!$C15,Tableau_Data[Thèmes],Reseaux!$AJ$9,Tableau_Data[Annee],Reseaux!$F$3,Tableau_Data[Mois],Reseaux!J$4)</f>
        <v>0</v>
      </c>
      <c r="AM15" s="126"/>
      <c r="AN15" s="137">
        <f t="shared" si="6"/>
        <v>0</v>
      </c>
      <c r="AP15" s="136">
        <f>SUMIFS(Tableau_Data[Masculin],Tableau_Data[Nom Réseau],Reseaux!$C15,Tableau_Data[Thèmes],Reseaux!$AP$9,Tableau_Data[Annee],Reseaux!$F$3,Tableau_Data[Mois],Reseaux!J$4)</f>
        <v>0</v>
      </c>
      <c r="AQ15" s="126"/>
      <c r="AR15" s="136">
        <f>SUMIFS(Tableau_Data[Féminin],Tableau_Data[Nom Réseau],Reseaux!$C15,Tableau_Data[Thèmes],Reseaux!$AP$9,Tableau_Data[Annee],Reseaux!$F$3,Tableau_Data[Mois],Reseaux!J$4)</f>
        <v>0</v>
      </c>
      <c r="AS15" s="126"/>
      <c r="AT15" s="137">
        <f t="shared" si="7"/>
        <v>0</v>
      </c>
      <c r="AV15" s="136">
        <f>SUMIFS(Tableau_Data[Masculin],Tableau_Data[Nom Réseau],Reseaux!$C15,Tableau_Data[Thèmes],Reseaux!$AV$9,Tableau_Data[Annee],Reseaux!$F$3,Tableau_Data[Mois],Reseaux!J$4)</f>
        <v>0</v>
      </c>
      <c r="AW15" s="126"/>
      <c r="AX15" s="136">
        <f>SUMIFS(Tableau_Data[Féminin],Tableau_Data[Nom Réseau],Reseaux!$C15,Tableau_Data[Thèmes],Reseaux!$AV$9,Tableau_Data[Annee],Reseaux!$F$3,Tableau_Data[Mois],Reseaux!J$4)</f>
        <v>0</v>
      </c>
      <c r="AY15" s="126"/>
      <c r="AZ15" s="137">
        <f t="shared" si="8"/>
        <v>0</v>
      </c>
      <c r="BB15" s="136">
        <f>SUMIFS(Tableau_Data[Masculin],Tableau_Data[Nom Réseau],Reseaux!$C15,Tableau_Data[Thèmes],Reseaux!$BB$9,Tableau_Data[Annee],Reseaux!$F$3,Tableau_Data[Mois],Reseaux!J$4)</f>
        <v>0</v>
      </c>
      <c r="BC15" s="126"/>
      <c r="BD15" s="136">
        <f>SUMIFS(Tableau_Data[Féminin],Tableau_Data[Nom Réseau],Reseaux!$C15,Tableau_Data[Thèmes],Reseaux!$BB$9,Tableau_Data[Annee],Reseaux!$F$3,Tableau_Data[Mois],Reseaux!$J$4)</f>
        <v>0</v>
      </c>
      <c r="BE15" s="126"/>
      <c r="BF15" s="137">
        <f t="shared" si="9"/>
        <v>0</v>
      </c>
      <c r="BH15" s="136">
        <f>SUMIFS(Tableau_Data[Masculin],Tableau_Data[Nom Réseau],Reseaux!$C15,Tableau_Data[Thèmes],Reseaux!$BH$9,Tableau_Data[Annee],Reseaux!$F$3,Tableau_Data[Mois],Reseaux!$J$4)</f>
        <v>0</v>
      </c>
      <c r="BI15" s="126"/>
      <c r="BJ15" s="136">
        <f>SUMIFS(Tableau_Data[Féminin],Tableau_Data[Nom Réseau],Reseaux!$C15,Tableau_Data[Thèmes],Reseaux!$BH$9,Tableau_Data[Annee],Reseaux!$F$3,Tableau_Data[Mois],Reseaux!$J$4)</f>
        <v>0</v>
      </c>
      <c r="BK15" s="126"/>
      <c r="BL15" s="137">
        <f t="shared" si="10"/>
        <v>0</v>
      </c>
      <c r="BN15" s="136">
        <f>SUMIFS(Tableau_Data[Masculin],Tableau_Data[Nom Réseau],Reseaux!$C15,Tableau_Data[Thèmes],Reseaux!$BN$9,Tableau_Data[Annee],Reseaux!$F$3,Tableau_Data[Mois],Reseaux!$J$4)</f>
        <v>0</v>
      </c>
      <c r="BO15" s="126"/>
      <c r="BP15" s="136">
        <f>SUMIFS(Tableau_Data[Féminin],Tableau_Data[Nom Réseau],Reseaux!$C15,Tableau_Data[Thèmes],Reseaux!$BN$9,Tableau_Data[Annee],Reseaux!$F$3,Tableau_Data[Mois],Reseaux!$J$4)</f>
        <v>0</v>
      </c>
      <c r="BQ15" s="126"/>
      <c r="BR15" s="137">
        <f t="shared" si="11"/>
        <v>0</v>
      </c>
      <c r="BT15" s="136">
        <f>SUMIFS(Tableau_Data[Masculin],Tableau_Data[Nom Réseau],Reseaux!$C15,Tableau_Data[Thèmes],Reseaux!$BT$9,Tableau_Data[Annee],Reseaux!$F$3,Tableau_Data[Mois],Reseaux!$J$4)</f>
        <v>0</v>
      </c>
      <c r="BU15" s="126"/>
      <c r="BV15" s="136">
        <f>SUMIFS(Tableau_Data[Féminin],Tableau_Data[Nom Réseau],Reseaux!$C15,Tableau_Data[Thèmes],Reseaux!$BT$9,Tableau_Data[Annee],Reseaux!$F$3,Tableau_Data[Mois],Reseaux!$J$4)</f>
        <v>0</v>
      </c>
      <c r="BW15" s="126"/>
      <c r="BX15" s="137">
        <f t="shared" si="12"/>
        <v>0</v>
      </c>
    </row>
    <row r="16" spans="1:76" ht="17.100000000000001" customHeight="1" x14ac:dyDescent="0.3">
      <c r="A16" s="82"/>
      <c r="B16" s="119">
        <f>IF(Reseaux!B15="","",1+B15)</f>
        <v>5</v>
      </c>
      <c r="C16" s="123" t="str">
        <f>Paramètres!N9</f>
        <v>CDS Busangana</v>
      </c>
      <c r="D16" s="126"/>
      <c r="E16" s="136">
        <f>SUMIFS(Tableau_Data[Masculin],Tableau_Data[Nom Réseau],Reseaux!$C16,Tableau_Data[Annee],Reseaux!$F$3,Tableau_Data[Mois],Reseaux!J$4)</f>
        <v>0</v>
      </c>
      <c r="F16" s="126"/>
      <c r="G16" s="136">
        <f>SUMIFS(Tableau_Data[Féminin],Tableau_Data[Nom Réseau],Reseaux!$C16,Tableau_Data[Annee],Reseaux!$F$3,Tableau_Data[Mois],Reseaux!J$4)</f>
        <v>0</v>
      </c>
      <c r="H16" s="126"/>
      <c r="I16" s="137">
        <f t="shared" si="1"/>
        <v>0</v>
      </c>
      <c r="J16" s="126"/>
      <c r="K16" s="126"/>
      <c r="L16" s="138">
        <f>SUMIFS(Tableau_Data[Masculin],Tableau_Data[Nom Réseau],Reseaux!$C16,Tableau_Data[Lieu d''intervention],Reseaux!$L$9,Tableau_Data[Annee],Reseaux!$F$3,Tableau_Data[Mois],Reseaux!J$4)</f>
        <v>0</v>
      </c>
      <c r="M16" s="126"/>
      <c r="N16" s="136">
        <f>SUMIFS(Tableau_Data[Féminin],Tableau_Data[Nom Réseau],Reseaux!$C16,Tableau_Data[Lieu d''intervention],Reseaux!$L$9,Tableau_Data[Annee],Reseaux!$F$3,Tableau_Data[Mois],Reseaux!J$4)</f>
        <v>0</v>
      </c>
      <c r="O16" s="126"/>
      <c r="P16" s="137">
        <f t="shared" si="2"/>
        <v>0</v>
      </c>
      <c r="R16" s="136">
        <f>SUMIFS(Tableau_Data[Masculin],Tableau_Data[Nom Réseau],Reseaux!$C16,Tableau_Data[Lieu d''intervention],Reseaux!$R$9,Tableau_Data[Annee],Reseaux!$F$3,Tableau_Data[Mois],Reseaux!J$4)</f>
        <v>0</v>
      </c>
      <c r="S16" s="126"/>
      <c r="T16" s="136">
        <f>SUMIFS(Tableau_Data[Féminin],Tableau_Data[Nom Réseau],Reseaux!$C16,Tableau_Data[Lieu d''intervention],Reseaux!$R$9,Tableau_Data[Annee],Reseaux!$F$3,Tableau_Data[Mois],Reseaux!J$4)</f>
        <v>0</v>
      </c>
      <c r="U16" s="126"/>
      <c r="V16" s="137">
        <f t="shared" si="3"/>
        <v>0</v>
      </c>
      <c r="X16" s="136">
        <f>SUMIFS(Tableau_Data[Masculin],Tableau_Data[Nom Réseau],Reseaux!$C16,Tableau_Data[Lieu d''intervention],Reseaux!$X$9,Tableau_Data[Annee],Reseaux!$F$3,Tableau_Data[Mois],Reseaux!J$4)</f>
        <v>0</v>
      </c>
      <c r="Y16" s="126"/>
      <c r="Z16" s="136">
        <f>SUMIFS(Tableau_Data[Féminin],Tableau_Data[Nom Réseau],Reseaux!$C16,Tableau_Data[Lieu d''intervention],Reseaux!$X$9,Tableau_Data[Annee],Reseaux!$F$3,Tableau_Data[Mois],Reseaux!J$4)</f>
        <v>0</v>
      </c>
      <c r="AA16" s="126"/>
      <c r="AB16" s="137">
        <f t="shared" si="4"/>
        <v>0</v>
      </c>
      <c r="AD16" s="136">
        <f>SUMIFS(Tableau_Data[Masculin],Tableau_Data[Nom Réseau],Reseaux!$C16,Tableau_Data[Lieu d''intervention],Reseaux!$AD$9,Tableau_Data[Annee],Reseaux!$F$3,Tableau_Data[Mois],Reseaux!J$4)</f>
        <v>0</v>
      </c>
      <c r="AE16" s="126"/>
      <c r="AF16" s="136">
        <f>SUMIFS(Tableau_Data[Féminin],Tableau_Data[Nom Réseau],Reseaux!$C16,Tableau_Data[Lieu d''intervention],Reseaux!$AD$9,Tableau_Data[Annee],Reseaux!$F$3,Tableau_Data[Mois],Reseaux!J$4)</f>
        <v>0</v>
      </c>
      <c r="AG16" s="126"/>
      <c r="AH16" s="137">
        <f t="shared" si="5"/>
        <v>0</v>
      </c>
      <c r="AJ16" s="136">
        <f>SUMIFS(Tableau_Data[Masculin],Tableau_Data[Nom Réseau],Reseaux!$C16,Tableau_Data[Thèmes],Reseaux!$AJ$9,Tableau_Data[Annee],Reseaux!$F$3,Tableau_Data[Mois],Reseaux!J$4)</f>
        <v>0</v>
      </c>
      <c r="AK16" s="126"/>
      <c r="AL16" s="136">
        <f>SUMIFS(Tableau_Data[Féminin],Tableau_Data[Nom Réseau],Reseaux!$C16,Tableau_Data[Thèmes],Reseaux!$AJ$9,Tableau_Data[Annee],Reseaux!$F$3,Tableau_Data[Mois],Reseaux!J$4)</f>
        <v>0</v>
      </c>
      <c r="AM16" s="126"/>
      <c r="AN16" s="137">
        <f t="shared" si="6"/>
        <v>0</v>
      </c>
      <c r="AP16" s="136">
        <f>SUMIFS(Tableau_Data[Masculin],Tableau_Data[Nom Réseau],Reseaux!$C16,Tableau_Data[Thèmes],Reseaux!$AP$9,Tableau_Data[Annee],Reseaux!$F$3,Tableau_Data[Mois],Reseaux!J$4)</f>
        <v>0</v>
      </c>
      <c r="AQ16" s="126"/>
      <c r="AR16" s="136">
        <f>SUMIFS(Tableau_Data[Féminin],Tableau_Data[Nom Réseau],Reseaux!$C16,Tableau_Data[Thèmes],Reseaux!$AP$9,Tableau_Data[Annee],Reseaux!$F$3,Tableau_Data[Mois],Reseaux!J$4)</f>
        <v>0</v>
      </c>
      <c r="AS16" s="126"/>
      <c r="AT16" s="137">
        <f t="shared" si="7"/>
        <v>0</v>
      </c>
      <c r="AV16" s="136">
        <f>SUMIFS(Tableau_Data[Masculin],Tableau_Data[Nom Réseau],Reseaux!$C16,Tableau_Data[Thèmes],Reseaux!$AV$9,Tableau_Data[Annee],Reseaux!$F$3,Tableau_Data[Mois],Reseaux!J$4)</f>
        <v>0</v>
      </c>
      <c r="AW16" s="126"/>
      <c r="AX16" s="136">
        <f>SUMIFS(Tableau_Data[Féminin],Tableau_Data[Nom Réseau],Reseaux!$C16,Tableau_Data[Thèmes],Reseaux!$AV$9,Tableau_Data[Annee],Reseaux!$F$3,Tableau_Data[Mois],Reseaux!J$4)</f>
        <v>0</v>
      </c>
      <c r="AY16" s="126"/>
      <c r="AZ16" s="137">
        <f t="shared" si="8"/>
        <v>0</v>
      </c>
      <c r="BB16" s="136">
        <f>SUMIFS(Tableau_Data[Masculin],Tableau_Data[Nom Réseau],Reseaux!$C16,Tableau_Data[Thèmes],Reseaux!$BB$9,Tableau_Data[Annee],Reseaux!$F$3,Tableau_Data[Mois],Reseaux!J$4)</f>
        <v>0</v>
      </c>
      <c r="BC16" s="126"/>
      <c r="BD16" s="136">
        <f>SUMIFS(Tableau_Data[Féminin],Tableau_Data[Nom Réseau],Reseaux!$C16,Tableau_Data[Thèmes],Reseaux!$BB$9,Tableau_Data[Annee],Reseaux!$F$3,Tableau_Data[Mois],Reseaux!$J$4)</f>
        <v>0</v>
      </c>
      <c r="BE16" s="126"/>
      <c r="BF16" s="137">
        <f t="shared" si="9"/>
        <v>0</v>
      </c>
      <c r="BH16" s="136">
        <f>SUMIFS(Tableau_Data[Masculin],Tableau_Data[Nom Réseau],Reseaux!$C16,Tableau_Data[Thèmes],Reseaux!$BH$9,Tableau_Data[Annee],Reseaux!$F$3,Tableau_Data[Mois],Reseaux!$J$4)</f>
        <v>0</v>
      </c>
      <c r="BI16" s="126"/>
      <c r="BJ16" s="136">
        <f>SUMIFS(Tableau_Data[Féminin],Tableau_Data[Nom Réseau],Reseaux!$C16,Tableau_Data[Thèmes],Reseaux!$BH$9,Tableau_Data[Annee],Reseaux!$F$3,Tableau_Data[Mois],Reseaux!$J$4)</f>
        <v>0</v>
      </c>
      <c r="BK16" s="126"/>
      <c r="BL16" s="137">
        <f t="shared" si="10"/>
        <v>0</v>
      </c>
      <c r="BN16" s="136">
        <f>SUMIFS(Tableau_Data[Masculin],Tableau_Data[Nom Réseau],Reseaux!$C16,Tableau_Data[Thèmes],Reseaux!$BN$9,Tableau_Data[Annee],Reseaux!$F$3,Tableau_Data[Mois],Reseaux!$J$4)</f>
        <v>0</v>
      </c>
      <c r="BO16" s="126"/>
      <c r="BP16" s="136">
        <f>SUMIFS(Tableau_Data[Féminin],Tableau_Data[Nom Réseau],Reseaux!$C16,Tableau_Data[Thèmes],Reseaux!$BN$9,Tableau_Data[Annee],Reseaux!$F$3,Tableau_Data[Mois],Reseaux!$J$4)</f>
        <v>0</v>
      </c>
      <c r="BQ16" s="126"/>
      <c r="BR16" s="137">
        <f t="shared" si="11"/>
        <v>0</v>
      </c>
      <c r="BT16" s="136">
        <f>SUMIFS(Tableau_Data[Masculin],Tableau_Data[Nom Réseau],Reseaux!$C16,Tableau_Data[Thèmes],Reseaux!$BT$9,Tableau_Data[Annee],Reseaux!$F$3,Tableau_Data[Mois],Reseaux!$J$4)</f>
        <v>0</v>
      </c>
      <c r="BU16" s="126"/>
      <c r="BV16" s="136">
        <f>SUMIFS(Tableau_Data[Féminin],Tableau_Data[Nom Réseau],Reseaux!$C16,Tableau_Data[Thèmes],Reseaux!$BT$9,Tableau_Data[Annee],Reseaux!$F$3,Tableau_Data[Mois],Reseaux!$J$4)</f>
        <v>0</v>
      </c>
      <c r="BW16" s="126"/>
      <c r="BX16" s="137">
        <f t="shared" si="12"/>
        <v>0</v>
      </c>
    </row>
    <row r="17" spans="1:76" ht="17.100000000000001" customHeight="1" x14ac:dyDescent="0.3">
      <c r="A17" s="82"/>
      <c r="B17" s="119">
        <f>IF(Reseaux!B16="","",1+B16)</f>
        <v>6</v>
      </c>
      <c r="C17" s="123" t="str">
        <f>Paramètres!N10</f>
        <v>CDS Giko</v>
      </c>
      <c r="D17" s="126"/>
      <c r="E17" s="136">
        <f>SUMIFS(Tableau_Data[Masculin],Tableau_Data[Nom Réseau],Reseaux!$C17,Tableau_Data[Annee],Reseaux!$F$3,Tableau_Data[Mois],Reseaux!J$4)</f>
        <v>0</v>
      </c>
      <c r="F17" s="126"/>
      <c r="G17" s="136">
        <f>SUMIFS(Tableau_Data[Féminin],Tableau_Data[Nom Réseau],Reseaux!$C17,Tableau_Data[Annee],Reseaux!$F$3,Tableau_Data[Mois],Reseaux!J$4)</f>
        <v>0</v>
      </c>
      <c r="H17" s="126"/>
      <c r="I17" s="137">
        <f t="shared" si="1"/>
        <v>0</v>
      </c>
      <c r="J17" s="126"/>
      <c r="K17" s="126"/>
      <c r="L17" s="138">
        <f>SUMIFS(Tableau_Data[Masculin],Tableau_Data[Nom Réseau],Reseaux!$C17,Tableau_Data[Lieu d''intervention],Reseaux!$L$9,Tableau_Data[Annee],Reseaux!$F$3,Tableau_Data[Mois],Reseaux!J$4)</f>
        <v>0</v>
      </c>
      <c r="M17" s="126"/>
      <c r="N17" s="136">
        <f>SUMIFS(Tableau_Data[Féminin],Tableau_Data[Nom Réseau],Reseaux!$C17,Tableau_Data[Lieu d''intervention],Reseaux!$L$9,Tableau_Data[Annee],Reseaux!$F$3,Tableau_Data[Mois],Reseaux!J$4)</f>
        <v>0</v>
      </c>
      <c r="O17" s="126"/>
      <c r="P17" s="137">
        <f t="shared" si="2"/>
        <v>0</v>
      </c>
      <c r="R17" s="136">
        <f>SUMIFS(Tableau_Data[Masculin],Tableau_Data[Nom Réseau],Reseaux!$C17,Tableau_Data[Lieu d''intervention],Reseaux!$R$9,Tableau_Data[Annee],Reseaux!$F$3,Tableau_Data[Mois],Reseaux!J$4)</f>
        <v>0</v>
      </c>
      <c r="S17" s="126"/>
      <c r="T17" s="136">
        <f>SUMIFS(Tableau_Data[Féminin],Tableau_Data[Nom Réseau],Reseaux!$C17,Tableau_Data[Lieu d''intervention],Reseaux!$R$9,Tableau_Data[Annee],Reseaux!$F$3,Tableau_Data[Mois],Reseaux!J$4)</f>
        <v>0</v>
      </c>
      <c r="U17" s="126"/>
      <c r="V17" s="137">
        <f t="shared" si="3"/>
        <v>0</v>
      </c>
      <c r="W17" s="135"/>
      <c r="X17" s="136">
        <f>SUMIFS(Tableau_Data[Masculin],Tableau_Data[Nom Réseau],Reseaux!$C17,Tableau_Data[Lieu d''intervention],Reseaux!$X$9,Tableau_Data[Annee],Reseaux!$F$3,Tableau_Data[Mois],Reseaux!J$4)</f>
        <v>0</v>
      </c>
      <c r="Y17" s="126"/>
      <c r="Z17" s="136">
        <f>SUMIFS(Tableau_Data[Féminin],Tableau_Data[Nom Réseau],Reseaux!$C17,Tableau_Data[Lieu d''intervention],Reseaux!$X$9,Tableau_Data[Annee],Reseaux!$F$3,Tableau_Data[Mois],Reseaux!J$4)</f>
        <v>0</v>
      </c>
      <c r="AA17" s="126"/>
      <c r="AB17" s="137">
        <f t="shared" si="4"/>
        <v>0</v>
      </c>
      <c r="AD17" s="136">
        <f>SUMIFS(Tableau_Data[Masculin],Tableau_Data[Nom Réseau],Reseaux!$C17,Tableau_Data[Lieu d''intervention],Reseaux!$AD$9,Tableau_Data[Annee],Reseaux!$F$3,Tableau_Data[Mois],Reseaux!J$4)</f>
        <v>0</v>
      </c>
      <c r="AE17" s="126"/>
      <c r="AF17" s="136">
        <f>SUMIFS(Tableau_Data[Féminin],Tableau_Data[Nom Réseau],Reseaux!$C17,Tableau_Data[Lieu d''intervention],Reseaux!$AD$9,Tableau_Data[Annee],Reseaux!$F$3,Tableau_Data[Mois],Reseaux!J$4)</f>
        <v>0</v>
      </c>
      <c r="AG17" s="126"/>
      <c r="AH17" s="137">
        <f t="shared" si="5"/>
        <v>0</v>
      </c>
      <c r="AJ17" s="136">
        <f>SUMIFS(Tableau_Data[Masculin],Tableau_Data[Nom Réseau],Reseaux!$C17,Tableau_Data[Thèmes],Reseaux!$AJ$9,Tableau_Data[Annee],Reseaux!$F$3,Tableau_Data[Mois],Reseaux!J$4)</f>
        <v>0</v>
      </c>
      <c r="AK17" s="126"/>
      <c r="AL17" s="136">
        <f>SUMIFS(Tableau_Data[Féminin],Tableau_Data[Nom Réseau],Reseaux!$C17,Tableau_Data[Thèmes],Reseaux!$AJ$9,Tableau_Data[Annee],Reseaux!$F$3,Tableau_Data[Mois],Reseaux!J$4)</f>
        <v>0</v>
      </c>
      <c r="AM17" s="126"/>
      <c r="AN17" s="137">
        <f t="shared" si="6"/>
        <v>0</v>
      </c>
      <c r="AP17" s="136">
        <f>SUMIFS(Tableau_Data[Masculin],Tableau_Data[Nom Réseau],Reseaux!$C17,Tableau_Data[Thèmes],Reseaux!$AP$9,Tableau_Data[Annee],Reseaux!$F$3,Tableau_Data[Mois],Reseaux!J$4)</f>
        <v>0</v>
      </c>
      <c r="AQ17" s="126"/>
      <c r="AR17" s="136">
        <f>SUMIFS(Tableau_Data[Féminin],Tableau_Data[Nom Réseau],Reseaux!$C17,Tableau_Data[Thèmes],Reseaux!$AP$9,Tableau_Data[Annee],Reseaux!$F$3,Tableau_Data[Mois],Reseaux!J$4)</f>
        <v>0</v>
      </c>
      <c r="AS17" s="126"/>
      <c r="AT17" s="137">
        <f t="shared" si="7"/>
        <v>0</v>
      </c>
      <c r="AV17" s="136">
        <f>SUMIFS(Tableau_Data[Masculin],Tableau_Data[Nom Réseau],Reseaux!$C17,Tableau_Data[Thèmes],Reseaux!$AV$9,Tableau_Data[Annee],Reseaux!$F$3,Tableau_Data[Mois],Reseaux!J$4)</f>
        <v>0</v>
      </c>
      <c r="AW17" s="126"/>
      <c r="AX17" s="136">
        <f>SUMIFS(Tableau_Data[Féminin],Tableau_Data[Nom Réseau],Reseaux!$C17,Tableau_Data[Thèmes],Reseaux!$AV$9,Tableau_Data[Annee],Reseaux!$F$3,Tableau_Data[Mois],Reseaux!J$4)</f>
        <v>0</v>
      </c>
      <c r="AY17" s="126"/>
      <c r="AZ17" s="137">
        <f t="shared" si="8"/>
        <v>0</v>
      </c>
      <c r="BB17" s="136">
        <f>SUMIFS(Tableau_Data[Masculin],Tableau_Data[Nom Réseau],Reseaux!$C17,Tableau_Data[Thèmes],Reseaux!$BB$9,Tableau_Data[Annee],Reseaux!$F$3,Tableau_Data[Mois],Reseaux!J$4)</f>
        <v>0</v>
      </c>
      <c r="BC17" s="126"/>
      <c r="BD17" s="136">
        <f>SUMIFS(Tableau_Data[Féminin],Tableau_Data[Nom Réseau],Reseaux!$C17,Tableau_Data[Thèmes],Reseaux!$BB$9,Tableau_Data[Annee],Reseaux!$F$3,Tableau_Data[Mois],Reseaux!$J$4)</f>
        <v>0</v>
      </c>
      <c r="BE17" s="126"/>
      <c r="BF17" s="137">
        <f t="shared" si="9"/>
        <v>0</v>
      </c>
      <c r="BH17" s="136">
        <f>SUMIFS(Tableau_Data[Masculin],Tableau_Data[Nom Réseau],Reseaux!$C17,Tableau_Data[Thèmes],Reseaux!$BH$9,Tableau_Data[Annee],Reseaux!$F$3,Tableau_Data[Mois],Reseaux!$J$4)</f>
        <v>0</v>
      </c>
      <c r="BI17" s="126"/>
      <c r="BJ17" s="136">
        <f>SUMIFS(Tableau_Data[Féminin],Tableau_Data[Nom Réseau],Reseaux!$C17,Tableau_Data[Thèmes],Reseaux!$BH$9,Tableau_Data[Annee],Reseaux!$F$3,Tableau_Data[Mois],Reseaux!$J$4)</f>
        <v>0</v>
      </c>
      <c r="BK17" s="126"/>
      <c r="BL17" s="137">
        <f t="shared" si="10"/>
        <v>0</v>
      </c>
      <c r="BN17" s="136">
        <f>SUMIFS(Tableau_Data[Masculin],Tableau_Data[Nom Réseau],Reseaux!$C17,Tableau_Data[Thèmes],Reseaux!$BN$9,Tableau_Data[Annee],Reseaux!$F$3,Tableau_Data[Mois],Reseaux!$J$4)</f>
        <v>0</v>
      </c>
      <c r="BO17" s="126"/>
      <c r="BP17" s="136">
        <f>SUMIFS(Tableau_Data[Féminin],Tableau_Data[Nom Réseau],Reseaux!$C17,Tableau_Data[Thèmes],Reseaux!$BN$9,Tableau_Data[Annee],Reseaux!$F$3,Tableau_Data[Mois],Reseaux!$J$4)</f>
        <v>0</v>
      </c>
      <c r="BQ17" s="126"/>
      <c r="BR17" s="137">
        <f t="shared" si="11"/>
        <v>0</v>
      </c>
      <c r="BT17" s="136">
        <f>SUMIFS(Tableau_Data[Masculin],Tableau_Data[Nom Réseau],Reseaux!$C17,Tableau_Data[Thèmes],Reseaux!$BT$9,Tableau_Data[Annee],Reseaux!$F$3,Tableau_Data[Mois],Reseaux!$J$4)</f>
        <v>0</v>
      </c>
      <c r="BU17" s="126"/>
      <c r="BV17" s="136">
        <f>SUMIFS(Tableau_Data[Féminin],Tableau_Data[Nom Réseau],Reseaux!$C17,Tableau_Data[Thèmes],Reseaux!$BT$9,Tableau_Data[Annee],Reseaux!$F$3,Tableau_Data[Mois],Reseaux!$J$4)</f>
        <v>0</v>
      </c>
      <c r="BW17" s="126"/>
      <c r="BX17" s="137">
        <f t="shared" si="12"/>
        <v>0</v>
      </c>
    </row>
    <row r="18" spans="1:76" ht="17.100000000000001" customHeight="1" x14ac:dyDescent="0.3">
      <c r="A18" s="82"/>
      <c r="B18" s="119">
        <f>IF(Reseaux!B17="","",1+B17)</f>
        <v>7</v>
      </c>
      <c r="C18" s="123" t="str">
        <f>Paramètres!N11</f>
        <v>PS Gatabo</v>
      </c>
      <c r="D18" s="126"/>
      <c r="E18" s="136">
        <f>SUMIFS(Tableau_Data[Masculin],Tableau_Data[Nom Réseau],Reseaux!$C18,Tableau_Data[Annee],Reseaux!$F$3,Tableau_Data[Mois],Reseaux!J$4)</f>
        <v>0</v>
      </c>
      <c r="F18" s="126"/>
      <c r="G18" s="136">
        <f>SUMIFS(Tableau_Data[Féminin],Tableau_Data[Nom Réseau],Reseaux!$C18,Tableau_Data[Annee],Reseaux!$F$3,Tableau_Data[Mois],Reseaux!J$4)</f>
        <v>0</v>
      </c>
      <c r="H18" s="126"/>
      <c r="I18" s="137">
        <f t="shared" si="1"/>
        <v>0</v>
      </c>
      <c r="J18" s="126"/>
      <c r="K18" s="126"/>
      <c r="L18" s="138">
        <f>SUMIFS(Tableau_Data[Masculin],Tableau_Data[Nom Réseau],Reseaux!$C18,Tableau_Data[Lieu d''intervention],Reseaux!$L$9,Tableau_Data[Annee],Reseaux!$F$3,Tableau_Data[Mois],Reseaux!J$4)</f>
        <v>0</v>
      </c>
      <c r="M18" s="126"/>
      <c r="N18" s="136">
        <f>SUMIFS(Tableau_Data[Féminin],Tableau_Data[Nom Réseau],Reseaux!$C18,Tableau_Data[Lieu d''intervention],Reseaux!$L$9,Tableau_Data[Annee],Reseaux!$F$3,Tableau_Data[Mois],Reseaux!J$4)</f>
        <v>0</v>
      </c>
      <c r="O18" s="126"/>
      <c r="P18" s="137">
        <f t="shared" si="2"/>
        <v>0</v>
      </c>
      <c r="R18" s="136">
        <f>SUMIFS(Tableau_Data[Masculin],Tableau_Data[Nom Réseau],Reseaux!$C18,Tableau_Data[Lieu d''intervention],Reseaux!$R$9,Tableau_Data[Annee],Reseaux!$F$3,Tableau_Data[Mois],Reseaux!J$4)</f>
        <v>0</v>
      </c>
      <c r="S18" s="126"/>
      <c r="T18" s="136">
        <f>SUMIFS(Tableau_Data[Féminin],Tableau_Data[Nom Réseau],Reseaux!$C18,Tableau_Data[Lieu d''intervention],Reseaux!$R$9,Tableau_Data[Annee],Reseaux!$F$3,Tableau_Data[Mois],Reseaux!J$4)</f>
        <v>0</v>
      </c>
      <c r="U18" s="126"/>
      <c r="V18" s="137">
        <f t="shared" si="3"/>
        <v>0</v>
      </c>
      <c r="W18" s="108"/>
      <c r="X18" s="136">
        <f>SUMIFS(Tableau_Data[Masculin],Tableau_Data[Nom Réseau],Reseaux!$C18,Tableau_Data[Lieu d''intervention],Reseaux!$X$9,Tableau_Data[Annee],Reseaux!$F$3,Tableau_Data[Mois],Reseaux!J$4)</f>
        <v>0</v>
      </c>
      <c r="Y18" s="126"/>
      <c r="Z18" s="136">
        <f>SUMIFS(Tableau_Data[Féminin],Tableau_Data[Nom Réseau],Reseaux!$C18,Tableau_Data[Lieu d''intervention],Reseaux!$X$9,Tableau_Data[Annee],Reseaux!$F$3,Tableau_Data[Mois],Reseaux!J$4)</f>
        <v>0</v>
      </c>
      <c r="AA18" s="126"/>
      <c r="AB18" s="137">
        <f t="shared" si="4"/>
        <v>0</v>
      </c>
      <c r="AD18" s="136">
        <f>SUMIFS(Tableau_Data[Masculin],Tableau_Data[Nom Réseau],Reseaux!$C18,Tableau_Data[Lieu d''intervention],Reseaux!$AD$9,Tableau_Data[Annee],Reseaux!$F$3,Tableau_Data[Mois],Reseaux!J$4)</f>
        <v>0</v>
      </c>
      <c r="AE18" s="126"/>
      <c r="AF18" s="136">
        <f>SUMIFS(Tableau_Data[Féminin],Tableau_Data[Nom Réseau],Reseaux!$C18,Tableau_Data[Lieu d''intervention],Reseaux!$AD$9,Tableau_Data[Annee],Reseaux!$F$3,Tableau_Data[Mois],Reseaux!J$4)</f>
        <v>0</v>
      </c>
      <c r="AG18" s="126"/>
      <c r="AH18" s="137">
        <f t="shared" si="5"/>
        <v>0</v>
      </c>
      <c r="AJ18" s="136">
        <f>SUMIFS(Tableau_Data[Masculin],Tableau_Data[Nom Réseau],Reseaux!$C18,Tableau_Data[Thèmes],Reseaux!$AJ$9,Tableau_Data[Annee],Reseaux!$F$3,Tableau_Data[Mois],Reseaux!J$4)</f>
        <v>0</v>
      </c>
      <c r="AK18" s="126"/>
      <c r="AL18" s="136">
        <f>SUMIFS(Tableau_Data[Féminin],Tableau_Data[Nom Réseau],Reseaux!$C18,Tableau_Data[Thèmes],Reseaux!$AJ$9,Tableau_Data[Annee],Reseaux!$F$3,Tableau_Data[Mois],Reseaux!J$4)</f>
        <v>0</v>
      </c>
      <c r="AM18" s="126"/>
      <c r="AN18" s="137">
        <f t="shared" si="6"/>
        <v>0</v>
      </c>
      <c r="AP18" s="136">
        <f>SUMIFS(Tableau_Data[Masculin],Tableau_Data[Nom Réseau],Reseaux!$C18,Tableau_Data[Thèmes],Reseaux!$AP$9,Tableau_Data[Annee],Reseaux!$F$3,Tableau_Data[Mois],Reseaux!J$4)</f>
        <v>0</v>
      </c>
      <c r="AQ18" s="126"/>
      <c r="AR18" s="136">
        <f>SUMIFS(Tableau_Data[Féminin],Tableau_Data[Nom Réseau],Reseaux!$C18,Tableau_Data[Thèmes],Reseaux!$AP$9,Tableau_Data[Annee],Reseaux!$F$3,Tableau_Data[Mois],Reseaux!J$4)</f>
        <v>0</v>
      </c>
      <c r="AS18" s="126"/>
      <c r="AT18" s="137">
        <f t="shared" si="7"/>
        <v>0</v>
      </c>
      <c r="AV18" s="136">
        <f>SUMIFS(Tableau_Data[Masculin],Tableau_Data[Nom Réseau],Reseaux!$C18,Tableau_Data[Thèmes],Reseaux!$AV$9,Tableau_Data[Annee],Reseaux!$F$3,Tableau_Data[Mois],Reseaux!J$4)</f>
        <v>0</v>
      </c>
      <c r="AW18" s="126"/>
      <c r="AX18" s="136">
        <f>SUMIFS(Tableau_Data[Féminin],Tableau_Data[Nom Réseau],Reseaux!$C18,Tableau_Data[Thèmes],Reseaux!$AV$9,Tableau_Data[Annee],Reseaux!$F$3,Tableau_Data[Mois],Reseaux!J$4)</f>
        <v>0</v>
      </c>
      <c r="AY18" s="126"/>
      <c r="AZ18" s="137">
        <f t="shared" si="8"/>
        <v>0</v>
      </c>
      <c r="BB18" s="136">
        <f>SUMIFS(Tableau_Data[Masculin],Tableau_Data[Nom Réseau],Reseaux!$C18,Tableau_Data[Thèmes],Reseaux!$BB$9,Tableau_Data[Annee],Reseaux!$F$3,Tableau_Data[Mois],Reseaux!J$4)</f>
        <v>0</v>
      </c>
      <c r="BC18" s="126"/>
      <c r="BD18" s="136">
        <f>SUMIFS(Tableau_Data[Féminin],Tableau_Data[Nom Réseau],Reseaux!$C18,Tableau_Data[Thèmes],Reseaux!$BB$9,Tableau_Data[Annee],Reseaux!$F$3,Tableau_Data[Mois],Reseaux!$J$4)</f>
        <v>0</v>
      </c>
      <c r="BE18" s="126"/>
      <c r="BF18" s="137">
        <f t="shared" si="9"/>
        <v>0</v>
      </c>
      <c r="BH18" s="136">
        <f>SUMIFS(Tableau_Data[Masculin],Tableau_Data[Nom Réseau],Reseaux!$C18,Tableau_Data[Thèmes],Reseaux!$BH$9,Tableau_Data[Annee],Reseaux!$F$3,Tableau_Data[Mois],Reseaux!$J$4)</f>
        <v>0</v>
      </c>
      <c r="BI18" s="126"/>
      <c r="BJ18" s="136">
        <f>SUMIFS(Tableau_Data[Féminin],Tableau_Data[Nom Réseau],Reseaux!$C18,Tableau_Data[Thèmes],Reseaux!$BH$9,Tableau_Data[Annee],Reseaux!$F$3,Tableau_Data[Mois],Reseaux!$J$4)</f>
        <v>0</v>
      </c>
      <c r="BK18" s="126"/>
      <c r="BL18" s="137">
        <f t="shared" si="10"/>
        <v>0</v>
      </c>
      <c r="BN18" s="136">
        <f>SUMIFS(Tableau_Data[Masculin],Tableau_Data[Nom Réseau],Reseaux!$C18,Tableau_Data[Thèmes],Reseaux!$BN$9,Tableau_Data[Annee],Reseaux!$F$3,Tableau_Data[Mois],Reseaux!$J$4)</f>
        <v>0</v>
      </c>
      <c r="BO18" s="126"/>
      <c r="BP18" s="136">
        <f>SUMIFS(Tableau_Data[Féminin],Tableau_Data[Nom Réseau],Reseaux!$C18,Tableau_Data[Thèmes],Reseaux!$BN$9,Tableau_Data[Annee],Reseaux!$F$3,Tableau_Data[Mois],Reseaux!$J$4)</f>
        <v>0</v>
      </c>
      <c r="BQ18" s="126"/>
      <c r="BR18" s="137">
        <f t="shared" si="11"/>
        <v>0</v>
      </c>
      <c r="BT18" s="136">
        <f>SUMIFS(Tableau_Data[Masculin],Tableau_Data[Nom Réseau],Reseaux!$C18,Tableau_Data[Thèmes],Reseaux!$BT$9,Tableau_Data[Annee],Reseaux!$F$3,Tableau_Data[Mois],Reseaux!$J$4)</f>
        <v>0</v>
      </c>
      <c r="BU18" s="126"/>
      <c r="BV18" s="136">
        <f>SUMIFS(Tableau_Data[Féminin],Tableau_Data[Nom Réseau],Reseaux!$C18,Tableau_Data[Thèmes],Reseaux!$BT$9,Tableau_Data[Annee],Reseaux!$F$3,Tableau_Data[Mois],Reseaux!$J$4)</f>
        <v>0</v>
      </c>
      <c r="BW18" s="126"/>
      <c r="BX18" s="137">
        <f t="shared" si="12"/>
        <v>0</v>
      </c>
    </row>
    <row r="19" spans="1:76" ht="17.100000000000001" customHeight="1" x14ac:dyDescent="0.3">
      <c r="A19" s="82"/>
      <c r="B19" s="119">
        <f>IF(Reseaux!B18="","",1+B18)</f>
        <v>8</v>
      </c>
      <c r="C19" s="123" t="str">
        <f>Paramètres!N12</f>
        <v>CDS Rwuya</v>
      </c>
      <c r="D19" s="126"/>
      <c r="E19" s="136">
        <f>SUMIFS(Tableau_Data[Masculin],Tableau_Data[Nom Réseau],Reseaux!$C19,Tableau_Data[Annee],Reseaux!$F$3,Tableau_Data[Mois],Reseaux!J$4)</f>
        <v>0</v>
      </c>
      <c r="F19" s="126"/>
      <c r="G19" s="136">
        <f>SUMIFS(Tableau_Data[Féminin],Tableau_Data[Nom Réseau],Reseaux!$C19,Tableau_Data[Annee],Reseaux!$F$3,Tableau_Data[Mois],Reseaux!J$4)</f>
        <v>0</v>
      </c>
      <c r="H19" s="126"/>
      <c r="I19" s="137">
        <f t="shared" si="1"/>
        <v>0</v>
      </c>
      <c r="J19" s="126"/>
      <c r="K19" s="126"/>
      <c r="L19" s="138">
        <f>SUMIFS(Tableau_Data[Masculin],Tableau_Data[Nom Réseau],Reseaux!$C19,Tableau_Data[Lieu d''intervention],Reseaux!$L$9,Tableau_Data[Annee],Reseaux!$F$3,Tableau_Data[Mois],Reseaux!J$4)</f>
        <v>0</v>
      </c>
      <c r="M19" s="126"/>
      <c r="N19" s="136">
        <f>SUMIFS(Tableau_Data[Féminin],Tableau_Data[Nom Réseau],Reseaux!$C19,Tableau_Data[Lieu d''intervention],Reseaux!$L$9,Tableau_Data[Annee],Reseaux!$F$3,Tableau_Data[Mois],Reseaux!J$4)</f>
        <v>0</v>
      </c>
      <c r="O19" s="126"/>
      <c r="P19" s="137">
        <f t="shared" si="2"/>
        <v>0</v>
      </c>
      <c r="R19" s="136">
        <f>SUMIFS(Tableau_Data[Masculin],Tableau_Data[Nom Réseau],Reseaux!$C19,Tableau_Data[Lieu d''intervention],Reseaux!$R$9,Tableau_Data[Annee],Reseaux!$F$3,Tableau_Data[Mois],Reseaux!J$4)</f>
        <v>0</v>
      </c>
      <c r="S19" s="126"/>
      <c r="T19" s="136">
        <f>SUMIFS(Tableau_Data[Féminin],Tableau_Data[Nom Réseau],Reseaux!$C19,Tableau_Data[Lieu d''intervention],Reseaux!$R$9,Tableau_Data[Annee],Reseaux!$F$3,Tableau_Data[Mois],Reseaux!J$4)</f>
        <v>0</v>
      </c>
      <c r="U19" s="126"/>
      <c r="V19" s="137">
        <f t="shared" si="3"/>
        <v>0</v>
      </c>
      <c r="W19" s="108"/>
      <c r="X19" s="136">
        <f>SUMIFS(Tableau_Data[Masculin],Tableau_Data[Nom Réseau],Reseaux!$C19,Tableau_Data[Lieu d''intervention],Reseaux!$X$9,Tableau_Data[Annee],Reseaux!$F$3,Tableau_Data[Mois],Reseaux!J$4)</f>
        <v>0</v>
      </c>
      <c r="Y19" s="126"/>
      <c r="Z19" s="136">
        <f>SUMIFS(Tableau_Data[Féminin],Tableau_Data[Nom Réseau],Reseaux!$C19,Tableau_Data[Lieu d''intervention],Reseaux!$X$9,Tableau_Data[Annee],Reseaux!$F$3,Tableau_Data[Mois],Reseaux!J$4)</f>
        <v>0</v>
      </c>
      <c r="AA19" s="126"/>
      <c r="AB19" s="137">
        <f t="shared" si="4"/>
        <v>0</v>
      </c>
      <c r="AD19" s="136">
        <f>SUMIFS(Tableau_Data[Masculin],Tableau_Data[Nom Réseau],Reseaux!$C19,Tableau_Data[Lieu d''intervention],Reseaux!$AD$9,Tableau_Data[Annee],Reseaux!$F$3,Tableau_Data[Mois],Reseaux!J$4)</f>
        <v>0</v>
      </c>
      <c r="AE19" s="126"/>
      <c r="AF19" s="136">
        <f>SUMIFS(Tableau_Data[Féminin],Tableau_Data[Nom Réseau],Reseaux!$C19,Tableau_Data[Lieu d''intervention],Reseaux!$AD$9,Tableau_Data[Annee],Reseaux!$F$3,Tableau_Data[Mois],Reseaux!J$4)</f>
        <v>0</v>
      </c>
      <c r="AG19" s="126"/>
      <c r="AH19" s="137">
        <f t="shared" si="5"/>
        <v>0</v>
      </c>
      <c r="AJ19" s="136">
        <f>SUMIFS(Tableau_Data[Masculin],Tableau_Data[Nom Réseau],Reseaux!$C19,Tableau_Data[Thèmes],Reseaux!$AJ$9,Tableau_Data[Annee],Reseaux!$F$3,Tableau_Data[Mois],Reseaux!J$4)</f>
        <v>0</v>
      </c>
      <c r="AK19" s="126"/>
      <c r="AL19" s="136">
        <f>SUMIFS(Tableau_Data[Féminin],Tableau_Data[Nom Réseau],Reseaux!$C19,Tableau_Data[Thèmes],Reseaux!$AJ$9,Tableau_Data[Annee],Reseaux!$F$3,Tableau_Data[Mois],Reseaux!J$4)</f>
        <v>0</v>
      </c>
      <c r="AM19" s="126"/>
      <c r="AN19" s="137">
        <f t="shared" si="6"/>
        <v>0</v>
      </c>
      <c r="AP19" s="136">
        <f>SUMIFS(Tableau_Data[Masculin],Tableau_Data[Nom Réseau],Reseaux!$C19,Tableau_Data[Thèmes],Reseaux!$AP$9,Tableau_Data[Annee],Reseaux!$F$3,Tableau_Data[Mois],Reseaux!J$4)</f>
        <v>0</v>
      </c>
      <c r="AQ19" s="126"/>
      <c r="AR19" s="136">
        <f>SUMIFS(Tableau_Data[Féminin],Tableau_Data[Nom Réseau],Reseaux!$C19,Tableau_Data[Thèmes],Reseaux!$AP$9,Tableau_Data[Annee],Reseaux!$F$3,Tableau_Data[Mois],Reseaux!J$4)</f>
        <v>0</v>
      </c>
      <c r="AS19" s="126"/>
      <c r="AT19" s="137">
        <f t="shared" si="7"/>
        <v>0</v>
      </c>
      <c r="AV19" s="136">
        <f>SUMIFS(Tableau_Data[Masculin],Tableau_Data[Nom Réseau],Reseaux!$C19,Tableau_Data[Thèmes],Reseaux!$AV$9,Tableau_Data[Annee],Reseaux!$F$3,Tableau_Data[Mois],Reseaux!J$4)</f>
        <v>0</v>
      </c>
      <c r="AW19" s="126"/>
      <c r="AX19" s="136">
        <f>SUMIFS(Tableau_Data[Féminin],Tableau_Data[Nom Réseau],Reseaux!$C19,Tableau_Data[Thèmes],Reseaux!$AV$9,Tableau_Data[Annee],Reseaux!$F$3,Tableau_Data[Mois],Reseaux!J$4)</f>
        <v>0</v>
      </c>
      <c r="AY19" s="126"/>
      <c r="AZ19" s="137">
        <f t="shared" si="8"/>
        <v>0</v>
      </c>
      <c r="BB19" s="136">
        <f>SUMIFS(Tableau_Data[Masculin],Tableau_Data[Nom Réseau],Reseaux!$C19,Tableau_Data[Thèmes],Reseaux!$BB$9,Tableau_Data[Annee],Reseaux!$F$3,Tableau_Data[Mois],Reseaux!J$4)</f>
        <v>0</v>
      </c>
      <c r="BC19" s="126"/>
      <c r="BD19" s="136">
        <f>SUMIFS(Tableau_Data[Féminin],Tableau_Data[Nom Réseau],Reseaux!$C19,Tableau_Data[Thèmes],Reseaux!$BB$9,Tableau_Data[Annee],Reseaux!$F$3,Tableau_Data[Mois],Reseaux!$J$4)</f>
        <v>0</v>
      </c>
      <c r="BE19" s="126"/>
      <c r="BF19" s="137">
        <f t="shared" si="9"/>
        <v>0</v>
      </c>
      <c r="BH19" s="136">
        <f>SUMIFS(Tableau_Data[Masculin],Tableau_Data[Nom Réseau],Reseaux!$C19,Tableau_Data[Thèmes],Reseaux!$BH$9,Tableau_Data[Annee],Reseaux!$F$3,Tableau_Data[Mois],Reseaux!$J$4)</f>
        <v>0</v>
      </c>
      <c r="BI19" s="126"/>
      <c r="BJ19" s="136">
        <f>SUMIFS(Tableau_Data[Féminin],Tableau_Data[Nom Réseau],Reseaux!$C19,Tableau_Data[Thèmes],Reseaux!$BH$9,Tableau_Data[Annee],Reseaux!$F$3,Tableau_Data[Mois],Reseaux!$J$4)</f>
        <v>0</v>
      </c>
      <c r="BK19" s="126"/>
      <c r="BL19" s="137">
        <f t="shared" si="10"/>
        <v>0</v>
      </c>
      <c r="BN19" s="136">
        <f>SUMIFS(Tableau_Data[Masculin],Tableau_Data[Nom Réseau],Reseaux!$C19,Tableau_Data[Thèmes],Reseaux!$BN$9,Tableau_Data[Annee],Reseaux!$F$3,Tableau_Data[Mois],Reseaux!$J$4)</f>
        <v>0</v>
      </c>
      <c r="BO19" s="126"/>
      <c r="BP19" s="136">
        <f>SUMIFS(Tableau_Data[Féminin],Tableau_Data[Nom Réseau],Reseaux!$C19,Tableau_Data[Thèmes],Reseaux!$BN$9,Tableau_Data[Annee],Reseaux!$F$3,Tableau_Data[Mois],Reseaux!$J$4)</f>
        <v>0</v>
      </c>
      <c r="BQ19" s="126"/>
      <c r="BR19" s="137">
        <f t="shared" si="11"/>
        <v>0</v>
      </c>
      <c r="BT19" s="136">
        <f>SUMIFS(Tableau_Data[Masculin],Tableau_Data[Nom Réseau],Reseaux!$C19,Tableau_Data[Thèmes],Reseaux!$BT$9,Tableau_Data[Annee],Reseaux!$F$3,Tableau_Data[Mois],Reseaux!$J$4)</f>
        <v>0</v>
      </c>
      <c r="BU19" s="126"/>
      <c r="BV19" s="136">
        <f>SUMIFS(Tableau_Data[Féminin],Tableau_Data[Nom Réseau],Reseaux!$C19,Tableau_Data[Thèmes],Reseaux!$BT$9,Tableau_Data[Annee],Reseaux!$F$3,Tableau_Data[Mois],Reseaux!$J$4)</f>
        <v>0</v>
      </c>
      <c r="BW19" s="126"/>
      <c r="BX19" s="137">
        <f t="shared" si="12"/>
        <v>0</v>
      </c>
    </row>
    <row r="20" spans="1:76" ht="17.100000000000001" customHeight="1" x14ac:dyDescent="0.3">
      <c r="A20" s="82"/>
      <c r="B20" s="119">
        <f>IF(Reseaux!B19="","",1+B19)</f>
        <v>9</v>
      </c>
      <c r="C20" s="123" t="str">
        <f>Paramètres!N13</f>
        <v>CDS Kivoga</v>
      </c>
      <c r="D20" s="126"/>
      <c r="E20" s="136">
        <f>SUMIFS(Tableau_Data[Masculin],Tableau_Data[Nom Réseau],Reseaux!$C20,Tableau_Data[Annee],Reseaux!$F$3,Tableau_Data[Mois],Reseaux!J$4)</f>
        <v>0</v>
      </c>
      <c r="F20" s="126"/>
      <c r="G20" s="136">
        <f>SUMIFS(Tableau_Data[Féminin],Tableau_Data[Nom Réseau],Reseaux!$C20,Tableau_Data[Annee],Reseaux!$F$3,Tableau_Data[Mois],Reseaux!J$4)</f>
        <v>0</v>
      </c>
      <c r="H20" s="126"/>
      <c r="I20" s="137">
        <f t="shared" si="1"/>
        <v>0</v>
      </c>
      <c r="J20" s="126"/>
      <c r="K20" s="126"/>
      <c r="L20" s="138">
        <f>SUMIFS(Tableau_Data[Masculin],Tableau_Data[Nom Réseau],Reseaux!$C20,Tableau_Data[Lieu d''intervention],Reseaux!$L$9,Tableau_Data[Annee],Reseaux!$F$3,Tableau_Data[Mois],Reseaux!J$4)</f>
        <v>0</v>
      </c>
      <c r="M20" s="126"/>
      <c r="N20" s="136">
        <f>SUMIFS(Tableau_Data[Féminin],Tableau_Data[Nom Réseau],Reseaux!$C20,Tableau_Data[Lieu d''intervention],Reseaux!$L$9,Tableau_Data[Annee],Reseaux!$F$3,Tableau_Data[Mois],Reseaux!J$4)</f>
        <v>0</v>
      </c>
      <c r="O20" s="126"/>
      <c r="P20" s="137">
        <f t="shared" si="2"/>
        <v>0</v>
      </c>
      <c r="R20" s="136">
        <f>SUMIFS(Tableau_Data[Masculin],Tableau_Data[Nom Réseau],Reseaux!$C20,Tableau_Data[Lieu d''intervention],Reseaux!$R$9,Tableau_Data[Annee],Reseaux!$F$3,Tableau_Data[Mois],Reseaux!J$4)</f>
        <v>0</v>
      </c>
      <c r="S20" s="126"/>
      <c r="T20" s="136">
        <f>SUMIFS(Tableau_Data[Féminin],Tableau_Data[Nom Réseau],Reseaux!$C20,Tableau_Data[Lieu d''intervention],Reseaux!$R$9,Tableau_Data[Annee],Reseaux!$F$3,Tableau_Data[Mois],Reseaux!J$4)</f>
        <v>0</v>
      </c>
      <c r="U20" s="126"/>
      <c r="V20" s="137">
        <f t="shared" si="3"/>
        <v>0</v>
      </c>
      <c r="W20" s="108"/>
      <c r="X20" s="136">
        <f>SUMIFS(Tableau_Data[Masculin],Tableau_Data[Nom Réseau],Reseaux!$C20,Tableau_Data[Lieu d''intervention],Reseaux!$X$9,Tableau_Data[Annee],Reseaux!$F$3,Tableau_Data[Mois],Reseaux!J$4)</f>
        <v>0</v>
      </c>
      <c r="Y20" s="126"/>
      <c r="Z20" s="136">
        <f>SUMIFS(Tableau_Data[Féminin],Tableau_Data[Nom Réseau],Reseaux!$C20,Tableau_Data[Lieu d''intervention],Reseaux!$X$9,Tableau_Data[Annee],Reseaux!$F$3,Tableau_Data[Mois],Reseaux!J$4)</f>
        <v>0</v>
      </c>
      <c r="AA20" s="126"/>
      <c r="AB20" s="137">
        <f t="shared" si="4"/>
        <v>0</v>
      </c>
      <c r="AD20" s="136">
        <f>SUMIFS(Tableau_Data[Masculin],Tableau_Data[Nom Réseau],Reseaux!$C20,Tableau_Data[Lieu d''intervention],Reseaux!$AD$9,Tableau_Data[Annee],Reseaux!$F$3,Tableau_Data[Mois],Reseaux!J$4)</f>
        <v>0</v>
      </c>
      <c r="AE20" s="126"/>
      <c r="AF20" s="136">
        <f>SUMIFS(Tableau_Data[Féminin],Tableau_Data[Nom Réseau],Reseaux!$C20,Tableau_Data[Lieu d''intervention],Reseaux!$AD$9,Tableau_Data[Annee],Reseaux!$F$3,Tableau_Data[Mois],Reseaux!J$4)</f>
        <v>0</v>
      </c>
      <c r="AG20" s="126"/>
      <c r="AH20" s="137">
        <f t="shared" si="5"/>
        <v>0</v>
      </c>
      <c r="AJ20" s="136">
        <f>SUMIFS(Tableau_Data[Masculin],Tableau_Data[Nom Réseau],Reseaux!$C20,Tableau_Data[Thèmes],Reseaux!$AJ$9,Tableau_Data[Annee],Reseaux!$F$3,Tableau_Data[Mois],Reseaux!J$4)</f>
        <v>0</v>
      </c>
      <c r="AK20" s="126"/>
      <c r="AL20" s="136">
        <f>SUMIFS(Tableau_Data[Féminin],Tableau_Data[Nom Réseau],Reseaux!$C20,Tableau_Data[Thèmes],Reseaux!$AJ$9,Tableau_Data[Annee],Reseaux!$F$3,Tableau_Data[Mois],Reseaux!J$4)</f>
        <v>0</v>
      </c>
      <c r="AM20" s="126"/>
      <c r="AN20" s="137">
        <f t="shared" si="6"/>
        <v>0</v>
      </c>
      <c r="AP20" s="136">
        <f>SUMIFS(Tableau_Data[Masculin],Tableau_Data[Nom Réseau],Reseaux!$C20,Tableau_Data[Thèmes],Reseaux!$AP$9,Tableau_Data[Annee],Reseaux!$F$3,Tableau_Data[Mois],Reseaux!J$4)</f>
        <v>0</v>
      </c>
      <c r="AQ20" s="126"/>
      <c r="AR20" s="136">
        <f>SUMIFS(Tableau_Data[Féminin],Tableau_Data[Nom Réseau],Reseaux!$C20,Tableau_Data[Thèmes],Reseaux!$AP$9,Tableau_Data[Annee],Reseaux!$F$3,Tableau_Data[Mois],Reseaux!J$4)</f>
        <v>0</v>
      </c>
      <c r="AS20" s="126"/>
      <c r="AT20" s="137">
        <f t="shared" si="7"/>
        <v>0</v>
      </c>
      <c r="AV20" s="136">
        <f>SUMIFS(Tableau_Data[Masculin],Tableau_Data[Nom Réseau],Reseaux!$C20,Tableau_Data[Thèmes],Reseaux!$AV$9,Tableau_Data[Annee],Reseaux!$F$3,Tableau_Data[Mois],Reseaux!J$4)</f>
        <v>0</v>
      </c>
      <c r="AW20" s="126"/>
      <c r="AX20" s="136">
        <f>SUMIFS(Tableau_Data[Féminin],Tableau_Data[Nom Réseau],Reseaux!$C20,Tableau_Data[Thèmes],Reseaux!$AV$9,Tableau_Data[Annee],Reseaux!$F$3,Tableau_Data[Mois],Reseaux!J$4)</f>
        <v>0</v>
      </c>
      <c r="AY20" s="126"/>
      <c r="AZ20" s="137">
        <f t="shared" si="8"/>
        <v>0</v>
      </c>
      <c r="BB20" s="136">
        <f>SUMIFS(Tableau_Data[Masculin],Tableau_Data[Nom Réseau],Reseaux!$C20,Tableau_Data[Thèmes],Reseaux!$BB$9,Tableau_Data[Annee],Reseaux!$F$3,Tableau_Data[Mois],Reseaux!J$4)</f>
        <v>0</v>
      </c>
      <c r="BC20" s="126"/>
      <c r="BD20" s="136">
        <f>SUMIFS(Tableau_Data[Féminin],Tableau_Data[Nom Réseau],Reseaux!$C20,Tableau_Data[Thèmes],Reseaux!$BB$9,Tableau_Data[Annee],Reseaux!$F$3,Tableau_Data[Mois],Reseaux!$J$4)</f>
        <v>0</v>
      </c>
      <c r="BE20" s="126"/>
      <c r="BF20" s="137">
        <f t="shared" si="9"/>
        <v>0</v>
      </c>
      <c r="BH20" s="136">
        <f>SUMIFS(Tableau_Data[Masculin],Tableau_Data[Nom Réseau],Reseaux!$C20,Tableau_Data[Thèmes],Reseaux!$BH$9,Tableau_Data[Annee],Reseaux!$F$3,Tableau_Data[Mois],Reseaux!$J$4)</f>
        <v>0</v>
      </c>
      <c r="BI20" s="126"/>
      <c r="BJ20" s="136">
        <f>SUMIFS(Tableau_Data[Féminin],Tableau_Data[Nom Réseau],Reseaux!$C20,Tableau_Data[Thèmes],Reseaux!$BH$9,Tableau_Data[Annee],Reseaux!$F$3,Tableau_Data[Mois],Reseaux!$J$4)</f>
        <v>0</v>
      </c>
      <c r="BK20" s="126"/>
      <c r="BL20" s="137">
        <f t="shared" si="10"/>
        <v>0</v>
      </c>
      <c r="BN20" s="136">
        <f>SUMIFS(Tableau_Data[Masculin],Tableau_Data[Nom Réseau],Reseaux!$C20,Tableau_Data[Thèmes],Reseaux!$BN$9,Tableau_Data[Annee],Reseaux!$F$3,Tableau_Data[Mois],Reseaux!$J$4)</f>
        <v>0</v>
      </c>
      <c r="BO20" s="126"/>
      <c r="BP20" s="136">
        <f>SUMIFS(Tableau_Data[Féminin],Tableau_Data[Nom Réseau],Reseaux!$C20,Tableau_Data[Thèmes],Reseaux!$BN$9,Tableau_Data[Annee],Reseaux!$F$3,Tableau_Data[Mois],Reseaux!$J$4)</f>
        <v>0</v>
      </c>
      <c r="BQ20" s="126"/>
      <c r="BR20" s="137">
        <f t="shared" si="11"/>
        <v>0</v>
      </c>
      <c r="BT20" s="136">
        <f>SUMIFS(Tableau_Data[Masculin],Tableau_Data[Nom Réseau],Reseaux!$C20,Tableau_Data[Thèmes],Reseaux!$BT$9,Tableau_Data[Annee],Reseaux!$F$3,Tableau_Data[Mois],Reseaux!$J$4)</f>
        <v>0</v>
      </c>
      <c r="BU20" s="126"/>
      <c r="BV20" s="136">
        <f>SUMIFS(Tableau_Data[Féminin],Tableau_Data[Nom Réseau],Reseaux!$C20,Tableau_Data[Thèmes],Reseaux!$BT$9,Tableau_Data[Annee],Reseaux!$F$3,Tableau_Data[Mois],Reseaux!$J$4)</f>
        <v>0</v>
      </c>
      <c r="BW20" s="126"/>
      <c r="BX20" s="137">
        <f t="shared" si="12"/>
        <v>0</v>
      </c>
    </row>
    <row r="21" spans="1:76" ht="17.100000000000001" customHeight="1" x14ac:dyDescent="0.3">
      <c r="A21" s="82"/>
      <c r="B21" s="119">
        <f>IF(Reseaux!B20="","",1+B20)</f>
        <v>10</v>
      </c>
      <c r="C21" s="123" t="str">
        <f>Paramètres!N14</f>
        <v>CDS Rugari</v>
      </c>
      <c r="D21" s="126"/>
      <c r="E21" s="136">
        <f>SUMIFS(Tableau_Data[Masculin],Tableau_Data[Nom Réseau],Reseaux!$C21,Tableau_Data[Annee],Reseaux!$F$3,Tableau_Data[Mois],Reseaux!J$4)</f>
        <v>0</v>
      </c>
      <c r="F21" s="126"/>
      <c r="G21" s="136">
        <f>SUMIFS(Tableau_Data[Féminin],Tableau_Data[Nom Réseau],Reseaux!$C21,Tableau_Data[Annee],Reseaux!$F$3,Tableau_Data[Mois],Reseaux!J$4)</f>
        <v>0</v>
      </c>
      <c r="H21" s="126"/>
      <c r="I21" s="137">
        <f t="shared" si="1"/>
        <v>0</v>
      </c>
      <c r="J21" s="126"/>
      <c r="K21" s="126"/>
      <c r="L21" s="138">
        <f>SUMIFS(Tableau_Data[Masculin],Tableau_Data[Nom Réseau],Reseaux!$C21,Tableau_Data[Lieu d''intervention],Reseaux!$L$9,Tableau_Data[Annee],Reseaux!$F$3,Tableau_Data[Mois],Reseaux!J$4)</f>
        <v>0</v>
      </c>
      <c r="M21" s="126"/>
      <c r="N21" s="136">
        <f>SUMIFS(Tableau_Data[Féminin],Tableau_Data[Nom Réseau],Reseaux!$C21,Tableau_Data[Lieu d''intervention],Reseaux!$L$9,Tableau_Data[Annee],Reseaux!$F$3,Tableau_Data[Mois],Reseaux!J$4)</f>
        <v>0</v>
      </c>
      <c r="O21" s="126"/>
      <c r="P21" s="137">
        <f t="shared" si="2"/>
        <v>0</v>
      </c>
      <c r="R21" s="136">
        <f>SUMIFS(Tableau_Data[Masculin],Tableau_Data[Nom Réseau],Reseaux!$C21,Tableau_Data[Lieu d''intervention],Reseaux!$R$9,Tableau_Data[Annee],Reseaux!$F$3,Tableau_Data[Mois],Reseaux!J$4)</f>
        <v>0</v>
      </c>
      <c r="S21" s="126"/>
      <c r="T21" s="136">
        <f>SUMIFS(Tableau_Data[Féminin],Tableau_Data[Nom Réseau],Reseaux!$C21,Tableau_Data[Lieu d''intervention],Reseaux!$R$9,Tableau_Data[Annee],Reseaux!$F$3,Tableau_Data[Mois],Reseaux!J$4)</f>
        <v>0</v>
      </c>
      <c r="U21" s="126"/>
      <c r="V21" s="137">
        <f t="shared" si="3"/>
        <v>0</v>
      </c>
      <c r="W21" s="108"/>
      <c r="X21" s="136">
        <f>SUMIFS(Tableau_Data[Masculin],Tableau_Data[Nom Réseau],Reseaux!$C21,Tableau_Data[Lieu d''intervention],Reseaux!$X$9,Tableau_Data[Annee],Reseaux!$F$3,Tableau_Data[Mois],Reseaux!J$4)</f>
        <v>0</v>
      </c>
      <c r="Y21" s="126"/>
      <c r="Z21" s="136">
        <f>SUMIFS(Tableau_Data[Féminin],Tableau_Data[Nom Réseau],Reseaux!$C21,Tableau_Data[Lieu d''intervention],Reseaux!$X$9,Tableau_Data[Annee],Reseaux!$F$3,Tableau_Data[Mois],Reseaux!J$4)</f>
        <v>0</v>
      </c>
      <c r="AA21" s="126"/>
      <c r="AB21" s="137">
        <f t="shared" si="4"/>
        <v>0</v>
      </c>
      <c r="AD21" s="136">
        <f>SUMIFS(Tableau_Data[Masculin],Tableau_Data[Nom Réseau],Reseaux!$C21,Tableau_Data[Lieu d''intervention],Reseaux!$AD$9,Tableau_Data[Annee],Reseaux!$F$3,Tableau_Data[Mois],Reseaux!J$4)</f>
        <v>0</v>
      </c>
      <c r="AE21" s="126"/>
      <c r="AF21" s="136">
        <f>SUMIFS(Tableau_Data[Féminin],Tableau_Data[Nom Réseau],Reseaux!$C21,Tableau_Data[Lieu d''intervention],Reseaux!$AD$9,Tableau_Data[Annee],Reseaux!$F$3,Tableau_Data[Mois],Reseaux!J$4)</f>
        <v>0</v>
      </c>
      <c r="AG21" s="126"/>
      <c r="AH21" s="137">
        <f t="shared" si="5"/>
        <v>0</v>
      </c>
      <c r="AJ21" s="136">
        <f>SUMIFS(Tableau_Data[Masculin],Tableau_Data[Nom Réseau],Reseaux!$C21,Tableau_Data[Thèmes],Reseaux!$AJ$9,Tableau_Data[Annee],Reseaux!$F$3,Tableau_Data[Mois],Reseaux!J$4)</f>
        <v>0</v>
      </c>
      <c r="AK21" s="126"/>
      <c r="AL21" s="136">
        <f>SUMIFS(Tableau_Data[Féminin],Tableau_Data[Nom Réseau],Reseaux!$C21,Tableau_Data[Thèmes],Reseaux!$AJ$9,Tableau_Data[Annee],Reseaux!$F$3,Tableau_Data[Mois],Reseaux!J$4)</f>
        <v>0</v>
      </c>
      <c r="AM21" s="126"/>
      <c r="AN21" s="137">
        <f t="shared" si="6"/>
        <v>0</v>
      </c>
      <c r="AP21" s="136">
        <f>SUMIFS(Tableau_Data[Masculin],Tableau_Data[Nom Réseau],Reseaux!$C21,Tableau_Data[Thèmes],Reseaux!$AP$9,Tableau_Data[Annee],Reseaux!$F$3,Tableau_Data[Mois],Reseaux!J$4)</f>
        <v>0</v>
      </c>
      <c r="AQ21" s="126"/>
      <c r="AR21" s="136">
        <f>SUMIFS(Tableau_Data[Féminin],Tableau_Data[Nom Réseau],Reseaux!$C21,Tableau_Data[Thèmes],Reseaux!$AP$9,Tableau_Data[Annee],Reseaux!$F$3,Tableau_Data[Mois],Reseaux!J$4)</f>
        <v>0</v>
      </c>
      <c r="AS21" s="126"/>
      <c r="AT21" s="137">
        <f t="shared" si="7"/>
        <v>0</v>
      </c>
      <c r="AV21" s="136">
        <f>SUMIFS(Tableau_Data[Masculin],Tableau_Data[Nom Réseau],Reseaux!$C21,Tableau_Data[Thèmes],Reseaux!$AV$9,Tableau_Data[Annee],Reseaux!$F$3,Tableau_Data[Mois],Reseaux!J$4)</f>
        <v>0</v>
      </c>
      <c r="AW21" s="126"/>
      <c r="AX21" s="136">
        <f>SUMIFS(Tableau_Data[Féminin],Tableau_Data[Nom Réseau],Reseaux!$C21,Tableau_Data[Thèmes],Reseaux!$AV$9,Tableau_Data[Annee],Reseaux!$F$3,Tableau_Data[Mois],Reseaux!J$4)</f>
        <v>0</v>
      </c>
      <c r="AY21" s="126"/>
      <c r="AZ21" s="137">
        <f t="shared" si="8"/>
        <v>0</v>
      </c>
      <c r="BB21" s="136">
        <f>SUMIFS(Tableau_Data[Masculin],Tableau_Data[Nom Réseau],Reseaux!$C21,Tableau_Data[Thèmes],Reseaux!$BB$9,Tableau_Data[Annee],Reseaux!$F$3,Tableau_Data[Mois],Reseaux!J$4)</f>
        <v>0</v>
      </c>
      <c r="BC21" s="126"/>
      <c r="BD21" s="136">
        <f>SUMIFS(Tableau_Data[Féminin],Tableau_Data[Nom Réseau],Reseaux!$C21,Tableau_Data[Thèmes],Reseaux!$BB$9,Tableau_Data[Annee],Reseaux!$F$3,Tableau_Data[Mois],Reseaux!$J$4)</f>
        <v>0</v>
      </c>
      <c r="BE21" s="126"/>
      <c r="BF21" s="137">
        <f t="shared" si="9"/>
        <v>0</v>
      </c>
      <c r="BH21" s="136">
        <f>SUMIFS(Tableau_Data[Masculin],Tableau_Data[Nom Réseau],Reseaux!$C21,Tableau_Data[Thèmes],Reseaux!$BH$9,Tableau_Data[Annee],Reseaux!$F$3,Tableau_Data[Mois],Reseaux!$J$4)</f>
        <v>0</v>
      </c>
      <c r="BI21" s="126"/>
      <c r="BJ21" s="136">
        <f>SUMIFS(Tableau_Data[Féminin],Tableau_Data[Nom Réseau],Reseaux!$C21,Tableau_Data[Thèmes],Reseaux!$BH$9,Tableau_Data[Annee],Reseaux!$F$3,Tableau_Data[Mois],Reseaux!$J$4)</f>
        <v>0</v>
      </c>
      <c r="BK21" s="126"/>
      <c r="BL21" s="137">
        <f t="shared" si="10"/>
        <v>0</v>
      </c>
      <c r="BN21" s="136">
        <f>SUMIFS(Tableau_Data[Masculin],Tableau_Data[Nom Réseau],Reseaux!$C21,Tableau_Data[Thèmes],Reseaux!$BN$9,Tableau_Data[Annee],Reseaux!$F$3,Tableau_Data[Mois],Reseaux!$J$4)</f>
        <v>0</v>
      </c>
      <c r="BO21" s="126"/>
      <c r="BP21" s="136">
        <f>SUMIFS(Tableau_Data[Féminin],Tableau_Data[Nom Réseau],Reseaux!$C21,Tableau_Data[Thèmes],Reseaux!$BN$9,Tableau_Data[Annee],Reseaux!$F$3,Tableau_Data[Mois],Reseaux!$J$4)</f>
        <v>0</v>
      </c>
      <c r="BQ21" s="126"/>
      <c r="BR21" s="137">
        <f t="shared" si="11"/>
        <v>0</v>
      </c>
      <c r="BT21" s="136">
        <f>SUMIFS(Tableau_Data[Masculin],Tableau_Data[Nom Réseau],Reseaux!$C21,Tableau_Data[Thèmes],Reseaux!$BT$9,Tableau_Data[Annee],Reseaux!$F$3,Tableau_Data[Mois],Reseaux!$J$4)</f>
        <v>0</v>
      </c>
      <c r="BU21" s="126"/>
      <c r="BV21" s="136">
        <f>SUMIFS(Tableau_Data[Féminin],Tableau_Data[Nom Réseau],Reseaux!$C21,Tableau_Data[Thèmes],Reseaux!$BT$9,Tableau_Data[Annee],Reseaux!$F$3,Tableau_Data[Mois],Reseaux!$J$4)</f>
        <v>0</v>
      </c>
      <c r="BW21" s="126"/>
      <c r="BX21" s="137">
        <f t="shared" si="12"/>
        <v>0</v>
      </c>
    </row>
    <row r="22" spans="1:76" ht="17.100000000000001" customHeight="1" x14ac:dyDescent="0.3">
      <c r="A22" s="82"/>
      <c r="B22" s="119">
        <f>IF(Reseaux!B21="","",1+B21)</f>
        <v>11</v>
      </c>
      <c r="C22" s="123" t="str">
        <f>Paramètres!N15</f>
        <v>CDS Kaniga</v>
      </c>
      <c r="D22" s="126"/>
      <c r="E22" s="136">
        <f>SUMIFS(Tableau_Data[Masculin],Tableau_Data[Nom Réseau],Reseaux!$C22,Tableau_Data[Annee],Reseaux!$F$3,Tableau_Data[Mois],Reseaux!J$4)</f>
        <v>0</v>
      </c>
      <c r="F22" s="126"/>
      <c r="G22" s="136">
        <f>SUMIFS(Tableau_Data[Féminin],Tableau_Data[Nom Réseau],Reseaux!$C22,Tableau_Data[Annee],Reseaux!$F$3,Tableau_Data[Mois],Reseaux!J$4)</f>
        <v>0</v>
      </c>
      <c r="H22" s="126"/>
      <c r="I22" s="137">
        <f t="shared" si="1"/>
        <v>0</v>
      </c>
      <c r="J22" s="126"/>
      <c r="K22" s="126"/>
      <c r="L22" s="138">
        <f>SUMIFS(Tableau_Data[Masculin],Tableau_Data[Nom Réseau],Reseaux!$C22,Tableau_Data[Lieu d''intervention],Reseaux!$L$9,Tableau_Data[Annee],Reseaux!$F$3,Tableau_Data[Mois],Reseaux!J$4)</f>
        <v>0</v>
      </c>
      <c r="M22" s="126"/>
      <c r="N22" s="136">
        <f>SUMIFS(Tableau_Data[Féminin],Tableau_Data[Nom Réseau],Reseaux!$C22,Tableau_Data[Lieu d''intervention],Reseaux!$L$9,Tableau_Data[Annee],Reseaux!$F$3,Tableau_Data[Mois],Reseaux!J$4)</f>
        <v>0</v>
      </c>
      <c r="O22" s="126"/>
      <c r="P22" s="137">
        <f t="shared" si="2"/>
        <v>0</v>
      </c>
      <c r="R22" s="136">
        <f>SUMIFS(Tableau_Data[Masculin],Tableau_Data[Nom Réseau],Reseaux!$C22,Tableau_Data[Lieu d''intervention],Reseaux!$R$9,Tableau_Data[Annee],Reseaux!$F$3,Tableau_Data[Mois],Reseaux!J$4)</f>
        <v>0</v>
      </c>
      <c r="S22" s="126"/>
      <c r="T22" s="136">
        <f>SUMIFS(Tableau_Data[Féminin],Tableau_Data[Nom Réseau],Reseaux!$C22,Tableau_Data[Lieu d''intervention],Reseaux!$R$9,Tableau_Data[Annee],Reseaux!$F$3,Tableau_Data[Mois],Reseaux!J$4)</f>
        <v>0</v>
      </c>
      <c r="U22" s="126"/>
      <c r="V22" s="137">
        <f t="shared" si="3"/>
        <v>0</v>
      </c>
      <c r="W22" s="108"/>
      <c r="X22" s="136">
        <f>SUMIFS(Tableau_Data[Masculin],Tableau_Data[Nom Réseau],Reseaux!$C22,Tableau_Data[Lieu d''intervention],Reseaux!$X$9,Tableau_Data[Annee],Reseaux!$F$3,Tableau_Data[Mois],Reseaux!J$4)</f>
        <v>0</v>
      </c>
      <c r="Y22" s="126"/>
      <c r="Z22" s="136">
        <f>SUMIFS(Tableau_Data[Féminin],Tableau_Data[Nom Réseau],Reseaux!$C22,Tableau_Data[Lieu d''intervention],Reseaux!$X$9,Tableau_Data[Annee],Reseaux!$F$3,Tableau_Data[Mois],Reseaux!J$4)</f>
        <v>0</v>
      </c>
      <c r="AA22" s="126"/>
      <c r="AB22" s="137">
        <f t="shared" si="4"/>
        <v>0</v>
      </c>
      <c r="AD22" s="136">
        <f>SUMIFS(Tableau_Data[Masculin],Tableau_Data[Nom Réseau],Reseaux!$C22,Tableau_Data[Lieu d''intervention],Reseaux!$AD$9,Tableau_Data[Annee],Reseaux!$F$3,Tableau_Data[Mois],Reseaux!J$4)</f>
        <v>0</v>
      </c>
      <c r="AE22" s="126"/>
      <c r="AF22" s="136">
        <f>SUMIFS(Tableau_Data[Féminin],Tableau_Data[Nom Réseau],Reseaux!$C22,Tableau_Data[Lieu d''intervention],Reseaux!$AD$9,Tableau_Data[Annee],Reseaux!$F$3,Tableau_Data[Mois],Reseaux!J$4)</f>
        <v>0</v>
      </c>
      <c r="AG22" s="126"/>
      <c r="AH22" s="137">
        <f t="shared" si="5"/>
        <v>0</v>
      </c>
      <c r="AJ22" s="136">
        <f>SUMIFS(Tableau_Data[Masculin],Tableau_Data[Nom Réseau],Reseaux!$C22,Tableau_Data[Thèmes],Reseaux!$AJ$9,Tableau_Data[Annee],Reseaux!$F$3,Tableau_Data[Mois],Reseaux!J$4)</f>
        <v>0</v>
      </c>
      <c r="AK22" s="126"/>
      <c r="AL22" s="136">
        <f>SUMIFS(Tableau_Data[Féminin],Tableau_Data[Nom Réseau],Reseaux!$C22,Tableau_Data[Thèmes],Reseaux!$AJ$9,Tableau_Data[Annee],Reseaux!$F$3,Tableau_Data[Mois],Reseaux!J$4)</f>
        <v>0</v>
      </c>
      <c r="AM22" s="126"/>
      <c r="AN22" s="137">
        <f t="shared" si="6"/>
        <v>0</v>
      </c>
      <c r="AP22" s="136">
        <f>SUMIFS(Tableau_Data[Masculin],Tableau_Data[Nom Réseau],Reseaux!$C22,Tableau_Data[Thèmes],Reseaux!$AP$9,Tableau_Data[Annee],Reseaux!$F$3,Tableau_Data[Mois],Reseaux!J$4)</f>
        <v>0</v>
      </c>
      <c r="AQ22" s="126"/>
      <c r="AR22" s="136">
        <f>SUMIFS(Tableau_Data[Féminin],Tableau_Data[Nom Réseau],Reseaux!$C22,Tableau_Data[Thèmes],Reseaux!$AP$9,Tableau_Data[Annee],Reseaux!$F$3,Tableau_Data[Mois],Reseaux!J$4)</f>
        <v>0</v>
      </c>
      <c r="AS22" s="126"/>
      <c r="AT22" s="137">
        <f t="shared" si="7"/>
        <v>0</v>
      </c>
      <c r="AV22" s="136">
        <f>SUMIFS(Tableau_Data[Masculin],Tableau_Data[Nom Réseau],Reseaux!$C22,Tableau_Data[Thèmes],Reseaux!$AV$9,Tableau_Data[Annee],Reseaux!$F$3,Tableau_Data[Mois],Reseaux!J$4)</f>
        <v>0</v>
      </c>
      <c r="AW22" s="126"/>
      <c r="AX22" s="136">
        <f>SUMIFS(Tableau_Data[Féminin],Tableau_Data[Nom Réseau],Reseaux!$C22,Tableau_Data[Thèmes],Reseaux!$AV$9,Tableau_Data[Annee],Reseaux!$F$3,Tableau_Data[Mois],Reseaux!J$4)</f>
        <v>0</v>
      </c>
      <c r="AY22" s="126"/>
      <c r="AZ22" s="137">
        <f t="shared" si="8"/>
        <v>0</v>
      </c>
      <c r="BB22" s="136">
        <f>SUMIFS(Tableau_Data[Masculin],Tableau_Data[Nom Réseau],Reseaux!$C22,Tableau_Data[Thèmes],Reseaux!$BB$9,Tableau_Data[Annee],Reseaux!$F$3,Tableau_Data[Mois],Reseaux!J$4)</f>
        <v>0</v>
      </c>
      <c r="BC22" s="126"/>
      <c r="BD22" s="136">
        <f>SUMIFS(Tableau_Data[Féminin],Tableau_Data[Nom Réseau],Reseaux!$C22,Tableau_Data[Thèmes],Reseaux!$BB$9,Tableau_Data[Annee],Reseaux!$F$3,Tableau_Data[Mois],Reseaux!$J$4)</f>
        <v>0</v>
      </c>
      <c r="BE22" s="126"/>
      <c r="BF22" s="137">
        <f t="shared" si="9"/>
        <v>0</v>
      </c>
      <c r="BH22" s="136">
        <f>SUMIFS(Tableau_Data[Masculin],Tableau_Data[Nom Réseau],Reseaux!$C22,Tableau_Data[Thèmes],Reseaux!$BH$9,Tableau_Data[Annee],Reseaux!$F$3,Tableau_Data[Mois],Reseaux!$J$4)</f>
        <v>0</v>
      </c>
      <c r="BI22" s="126"/>
      <c r="BJ22" s="136">
        <f>SUMIFS(Tableau_Data[Féminin],Tableau_Data[Nom Réseau],Reseaux!$C22,Tableau_Data[Thèmes],Reseaux!$BH$9,Tableau_Data[Annee],Reseaux!$F$3,Tableau_Data[Mois],Reseaux!$J$4)</f>
        <v>0</v>
      </c>
      <c r="BK22" s="126"/>
      <c r="BL22" s="137">
        <f t="shared" si="10"/>
        <v>0</v>
      </c>
      <c r="BN22" s="136">
        <f>SUMIFS(Tableau_Data[Masculin],Tableau_Data[Nom Réseau],Reseaux!$C22,Tableau_Data[Thèmes],Reseaux!$BN$9,Tableau_Data[Annee],Reseaux!$F$3,Tableau_Data[Mois],Reseaux!$J$4)</f>
        <v>0</v>
      </c>
      <c r="BO22" s="126"/>
      <c r="BP22" s="136">
        <f>SUMIFS(Tableau_Data[Féminin],Tableau_Data[Nom Réseau],Reseaux!$C22,Tableau_Data[Thèmes],Reseaux!$BN$9,Tableau_Data[Annee],Reseaux!$F$3,Tableau_Data[Mois],Reseaux!$J$4)</f>
        <v>0</v>
      </c>
      <c r="BQ22" s="126"/>
      <c r="BR22" s="137">
        <f t="shared" si="11"/>
        <v>0</v>
      </c>
      <c r="BT22" s="136">
        <f>SUMIFS(Tableau_Data[Masculin],Tableau_Data[Nom Réseau],Reseaux!$C22,Tableau_Data[Thèmes],Reseaux!$BT$9,Tableau_Data[Annee],Reseaux!$F$3,Tableau_Data[Mois],Reseaux!$J$4)</f>
        <v>0</v>
      </c>
      <c r="BU22" s="126"/>
      <c r="BV22" s="136">
        <f>SUMIFS(Tableau_Data[Féminin],Tableau_Data[Nom Réseau],Reseaux!$C22,Tableau_Data[Thèmes],Reseaux!$BT$9,Tableau_Data[Annee],Reseaux!$F$3,Tableau_Data[Mois],Reseaux!$J$4)</f>
        <v>0</v>
      </c>
      <c r="BW22" s="126"/>
      <c r="BX22" s="137">
        <f t="shared" si="12"/>
        <v>0</v>
      </c>
    </row>
    <row r="23" spans="1:76" ht="17.100000000000001" customHeight="1" x14ac:dyDescent="0.3">
      <c r="A23" s="82"/>
      <c r="B23" s="119">
        <f>IF(Reseaux!B22="","",1+B22)</f>
        <v>12</v>
      </c>
      <c r="C23" s="123" t="str">
        <f>Paramètres!N16</f>
        <v>PS Rutegama</v>
      </c>
      <c r="D23" s="126"/>
      <c r="E23" s="136">
        <f>SUMIFS(Tableau_Data[Masculin],Tableau_Data[Nom Réseau],Reseaux!$C23,Tableau_Data[Annee],Reseaux!$F$3,Tableau_Data[Mois],Reseaux!J$4)</f>
        <v>0</v>
      </c>
      <c r="F23" s="126"/>
      <c r="G23" s="136">
        <f>SUMIFS(Tableau_Data[Féminin],Tableau_Data[Nom Réseau],Reseaux!$C23,Tableau_Data[Annee],Reseaux!$F$3,Tableau_Data[Mois],Reseaux!J$4)</f>
        <v>0</v>
      </c>
      <c r="H23" s="126"/>
      <c r="I23" s="137">
        <f t="shared" si="1"/>
        <v>0</v>
      </c>
      <c r="J23" s="126"/>
      <c r="K23" s="126"/>
      <c r="L23" s="138">
        <f>SUMIFS(Tableau_Data[Masculin],Tableau_Data[Nom Réseau],Reseaux!$C23,Tableau_Data[Lieu d''intervention],Reseaux!$L$9,Tableau_Data[Annee],Reseaux!$F$3,Tableau_Data[Mois],Reseaux!J$4)</f>
        <v>0</v>
      </c>
      <c r="M23" s="126"/>
      <c r="N23" s="136">
        <f>SUMIFS(Tableau_Data[Féminin],Tableau_Data[Nom Réseau],Reseaux!$C23,Tableau_Data[Lieu d''intervention],Reseaux!$L$9,Tableau_Data[Annee],Reseaux!$F$3,Tableau_Data[Mois],Reseaux!J$4)</f>
        <v>0</v>
      </c>
      <c r="O23" s="126"/>
      <c r="P23" s="137">
        <f t="shared" si="2"/>
        <v>0</v>
      </c>
      <c r="R23" s="136">
        <f>SUMIFS(Tableau_Data[Masculin],Tableau_Data[Nom Réseau],Reseaux!$C23,Tableau_Data[Lieu d''intervention],Reseaux!$R$9,Tableau_Data[Annee],Reseaux!$F$3,Tableau_Data[Mois],Reseaux!J$4)</f>
        <v>0</v>
      </c>
      <c r="S23" s="126"/>
      <c r="T23" s="136">
        <f>SUMIFS(Tableau_Data[Féminin],Tableau_Data[Nom Réseau],Reseaux!$C23,Tableau_Data[Lieu d''intervention],Reseaux!$R$9,Tableau_Data[Annee],Reseaux!$F$3,Tableau_Data[Mois],Reseaux!J$4)</f>
        <v>0</v>
      </c>
      <c r="U23" s="126"/>
      <c r="V23" s="137">
        <f t="shared" si="3"/>
        <v>0</v>
      </c>
      <c r="W23" s="108"/>
      <c r="X23" s="136">
        <f>SUMIFS(Tableau_Data[Masculin],Tableau_Data[Nom Réseau],Reseaux!$C23,Tableau_Data[Lieu d''intervention],Reseaux!$X$9,Tableau_Data[Annee],Reseaux!$F$3,Tableau_Data[Mois],Reseaux!J$4)</f>
        <v>0</v>
      </c>
      <c r="Y23" s="126"/>
      <c r="Z23" s="136">
        <f>SUMIFS(Tableau_Data[Féminin],Tableau_Data[Nom Réseau],Reseaux!$C23,Tableau_Data[Lieu d''intervention],Reseaux!$X$9,Tableau_Data[Annee],Reseaux!$F$3,Tableau_Data[Mois],Reseaux!J$4)</f>
        <v>0</v>
      </c>
      <c r="AA23" s="126"/>
      <c r="AB23" s="137">
        <f t="shared" si="4"/>
        <v>0</v>
      </c>
      <c r="AD23" s="136">
        <f>SUMIFS(Tableau_Data[Masculin],Tableau_Data[Nom Réseau],Reseaux!$C23,Tableau_Data[Lieu d''intervention],Reseaux!$AD$9,Tableau_Data[Annee],Reseaux!$F$3,Tableau_Data[Mois],Reseaux!J$4)</f>
        <v>0</v>
      </c>
      <c r="AE23" s="126"/>
      <c r="AF23" s="136">
        <f>SUMIFS(Tableau_Data[Féminin],Tableau_Data[Nom Réseau],Reseaux!$C23,Tableau_Data[Lieu d''intervention],Reseaux!$AD$9,Tableau_Data[Annee],Reseaux!$F$3,Tableau_Data[Mois],Reseaux!J$4)</f>
        <v>0</v>
      </c>
      <c r="AG23" s="126"/>
      <c r="AH23" s="137">
        <f t="shared" si="5"/>
        <v>0</v>
      </c>
      <c r="AJ23" s="136">
        <f>SUMIFS(Tableau_Data[Masculin],Tableau_Data[Nom Réseau],Reseaux!$C23,Tableau_Data[Thèmes],Reseaux!$AJ$9,Tableau_Data[Annee],Reseaux!$F$3,Tableau_Data[Mois],Reseaux!J$4)</f>
        <v>0</v>
      </c>
      <c r="AK23" s="126"/>
      <c r="AL23" s="136">
        <f>SUMIFS(Tableau_Data[Féminin],Tableau_Data[Nom Réseau],Reseaux!$C23,Tableau_Data[Thèmes],Reseaux!$AJ$9,Tableau_Data[Annee],Reseaux!$F$3,Tableau_Data[Mois],Reseaux!J$4)</f>
        <v>0</v>
      </c>
      <c r="AM23" s="126"/>
      <c r="AN23" s="137">
        <f t="shared" si="6"/>
        <v>0</v>
      </c>
      <c r="AP23" s="136">
        <f>SUMIFS(Tableau_Data[Masculin],Tableau_Data[Nom Réseau],Reseaux!$C23,Tableau_Data[Thèmes],Reseaux!$AP$9,Tableau_Data[Annee],Reseaux!$F$3,Tableau_Data[Mois],Reseaux!J$4)</f>
        <v>0</v>
      </c>
      <c r="AQ23" s="126"/>
      <c r="AR23" s="136">
        <f>SUMIFS(Tableau_Data[Féminin],Tableau_Data[Nom Réseau],Reseaux!$C23,Tableau_Data[Thèmes],Reseaux!$AP$9,Tableau_Data[Annee],Reseaux!$F$3,Tableau_Data[Mois],Reseaux!J$4)</f>
        <v>0</v>
      </c>
      <c r="AS23" s="126"/>
      <c r="AT23" s="137">
        <f t="shared" si="7"/>
        <v>0</v>
      </c>
      <c r="AV23" s="136">
        <f>SUMIFS(Tableau_Data[Masculin],Tableau_Data[Nom Réseau],Reseaux!$C23,Tableau_Data[Thèmes],Reseaux!$AV$9,Tableau_Data[Annee],Reseaux!$F$3,Tableau_Data[Mois],Reseaux!J$4)</f>
        <v>0</v>
      </c>
      <c r="AW23" s="126"/>
      <c r="AX23" s="136">
        <f>SUMIFS(Tableau_Data[Féminin],Tableau_Data[Nom Réseau],Reseaux!$C23,Tableau_Data[Thèmes],Reseaux!$AV$9,Tableau_Data[Annee],Reseaux!$F$3,Tableau_Data[Mois],Reseaux!J$4)</f>
        <v>0</v>
      </c>
      <c r="AY23" s="126"/>
      <c r="AZ23" s="137">
        <f t="shared" si="8"/>
        <v>0</v>
      </c>
      <c r="BB23" s="136">
        <f>SUMIFS(Tableau_Data[Masculin],Tableau_Data[Nom Réseau],Reseaux!$C23,Tableau_Data[Thèmes],Reseaux!$BB$9,Tableau_Data[Annee],Reseaux!$F$3,Tableau_Data[Mois],Reseaux!J$4)</f>
        <v>0</v>
      </c>
      <c r="BC23" s="126"/>
      <c r="BD23" s="136">
        <f>SUMIFS(Tableau_Data[Féminin],Tableau_Data[Nom Réseau],Reseaux!$C23,Tableau_Data[Thèmes],Reseaux!$BB$9,Tableau_Data[Annee],Reseaux!$F$3,Tableau_Data[Mois],Reseaux!$J$4)</f>
        <v>0</v>
      </c>
      <c r="BE23" s="126"/>
      <c r="BF23" s="137">
        <f t="shared" si="9"/>
        <v>0</v>
      </c>
      <c r="BH23" s="136">
        <f>SUMIFS(Tableau_Data[Masculin],Tableau_Data[Nom Réseau],Reseaux!$C23,Tableau_Data[Thèmes],Reseaux!$BH$9,Tableau_Data[Annee],Reseaux!$F$3,Tableau_Data[Mois],Reseaux!$J$4)</f>
        <v>0</v>
      </c>
      <c r="BI23" s="126"/>
      <c r="BJ23" s="136">
        <f>SUMIFS(Tableau_Data[Féminin],Tableau_Data[Nom Réseau],Reseaux!$C23,Tableau_Data[Thèmes],Reseaux!$BH$9,Tableau_Data[Annee],Reseaux!$F$3,Tableau_Data[Mois],Reseaux!$J$4)</f>
        <v>0</v>
      </c>
      <c r="BK23" s="126"/>
      <c r="BL23" s="137">
        <f t="shared" si="10"/>
        <v>0</v>
      </c>
      <c r="BN23" s="136">
        <f>SUMIFS(Tableau_Data[Masculin],Tableau_Data[Nom Réseau],Reseaux!$C23,Tableau_Data[Thèmes],Reseaux!$BN$9,Tableau_Data[Annee],Reseaux!$F$3,Tableau_Data[Mois],Reseaux!$J$4)</f>
        <v>0</v>
      </c>
      <c r="BO23" s="126"/>
      <c r="BP23" s="136">
        <f>SUMIFS(Tableau_Data[Féminin],Tableau_Data[Nom Réseau],Reseaux!$C23,Tableau_Data[Thèmes],Reseaux!$BN$9,Tableau_Data[Annee],Reseaux!$F$3,Tableau_Data[Mois],Reseaux!$J$4)</f>
        <v>0</v>
      </c>
      <c r="BQ23" s="126"/>
      <c r="BR23" s="137">
        <f t="shared" si="11"/>
        <v>0</v>
      </c>
      <c r="BT23" s="136">
        <f>SUMIFS(Tableau_Data[Masculin],Tableau_Data[Nom Réseau],Reseaux!$C23,Tableau_Data[Thèmes],Reseaux!$BT$9,Tableau_Data[Annee],Reseaux!$F$3,Tableau_Data[Mois],Reseaux!$J$4)</f>
        <v>0</v>
      </c>
      <c r="BU23" s="126"/>
      <c r="BV23" s="136">
        <f>SUMIFS(Tableau_Data[Féminin],Tableau_Data[Nom Réseau],Reseaux!$C23,Tableau_Data[Thèmes],Reseaux!$BT$9,Tableau_Data[Annee],Reseaux!$F$3,Tableau_Data[Mois],Reseaux!$J$4)</f>
        <v>0</v>
      </c>
      <c r="BW23" s="126"/>
      <c r="BX23" s="137">
        <f t="shared" si="12"/>
        <v>0</v>
      </c>
    </row>
    <row r="24" spans="1:76" ht="17.100000000000001" customHeight="1" x14ac:dyDescent="0.3">
      <c r="A24" s="82"/>
      <c r="B24" s="119">
        <f>IF(Reseaux!B23="","",1+B23)</f>
        <v>13</v>
      </c>
      <c r="C24" s="123" t="str">
        <f>Paramètres!N17</f>
        <v>CDS Munyinga</v>
      </c>
      <c r="D24" s="126"/>
      <c r="E24" s="136">
        <f>SUMIFS(Tableau_Data[Masculin],Tableau_Data[Nom Réseau],Reseaux!$C24,Tableau_Data[Annee],Reseaux!$F$3,Tableau_Data[Mois],Reseaux!J$4)</f>
        <v>0</v>
      </c>
      <c r="F24" s="126"/>
      <c r="G24" s="136">
        <f>SUMIFS(Tableau_Data[Féminin],Tableau_Data[Nom Réseau],Reseaux!$C24,Tableau_Data[Annee],Reseaux!$F$3,Tableau_Data[Mois],Reseaux!J$4)</f>
        <v>0</v>
      </c>
      <c r="H24" s="126"/>
      <c r="I24" s="137">
        <f t="shared" si="1"/>
        <v>0</v>
      </c>
      <c r="J24" s="126"/>
      <c r="K24" s="126"/>
      <c r="L24" s="138">
        <f>SUMIFS(Tableau_Data[Masculin],Tableau_Data[Nom Réseau],Reseaux!$C24,Tableau_Data[Lieu d''intervention],Reseaux!$L$9,Tableau_Data[Annee],Reseaux!$F$3,Tableau_Data[Mois],Reseaux!J$4)</f>
        <v>0</v>
      </c>
      <c r="M24" s="126"/>
      <c r="N24" s="136">
        <f>SUMIFS(Tableau_Data[Féminin],Tableau_Data[Nom Réseau],Reseaux!$C24,Tableau_Data[Lieu d''intervention],Reseaux!$L$9,Tableau_Data[Annee],Reseaux!$F$3,Tableau_Data[Mois],Reseaux!J$4)</f>
        <v>0</v>
      </c>
      <c r="O24" s="126"/>
      <c r="P24" s="137">
        <f t="shared" si="2"/>
        <v>0</v>
      </c>
      <c r="R24" s="136">
        <f>SUMIFS(Tableau_Data[Masculin],Tableau_Data[Nom Réseau],Reseaux!$C24,Tableau_Data[Lieu d''intervention],Reseaux!$R$9,Tableau_Data[Annee],Reseaux!$F$3,Tableau_Data[Mois],Reseaux!J$4)</f>
        <v>0</v>
      </c>
      <c r="S24" s="126"/>
      <c r="T24" s="136">
        <f>SUMIFS(Tableau_Data[Féminin],Tableau_Data[Nom Réseau],Reseaux!$C24,Tableau_Data[Lieu d''intervention],Reseaux!$R$9,Tableau_Data[Annee],Reseaux!$F$3,Tableau_Data[Mois],Reseaux!J$4)</f>
        <v>0</v>
      </c>
      <c r="U24" s="126"/>
      <c r="V24" s="137">
        <f t="shared" si="3"/>
        <v>0</v>
      </c>
      <c r="W24" s="108"/>
      <c r="X24" s="136">
        <f>SUMIFS(Tableau_Data[Masculin],Tableau_Data[Nom Réseau],Reseaux!$C24,Tableau_Data[Lieu d''intervention],Reseaux!$X$9,Tableau_Data[Annee],Reseaux!$F$3,Tableau_Data[Mois],Reseaux!J$4)</f>
        <v>0</v>
      </c>
      <c r="Y24" s="126"/>
      <c r="Z24" s="136">
        <f>SUMIFS(Tableau_Data[Féminin],Tableau_Data[Nom Réseau],Reseaux!$C24,Tableau_Data[Lieu d''intervention],Reseaux!$X$9,Tableau_Data[Annee],Reseaux!$F$3,Tableau_Data[Mois],Reseaux!J$4)</f>
        <v>0</v>
      </c>
      <c r="AA24" s="126"/>
      <c r="AB24" s="137">
        <f t="shared" si="4"/>
        <v>0</v>
      </c>
      <c r="AD24" s="136">
        <f>SUMIFS(Tableau_Data[Masculin],Tableau_Data[Nom Réseau],Reseaux!$C24,Tableau_Data[Lieu d''intervention],Reseaux!$AD$9,Tableau_Data[Annee],Reseaux!$F$3,Tableau_Data[Mois],Reseaux!J$4)</f>
        <v>0</v>
      </c>
      <c r="AE24" s="126"/>
      <c r="AF24" s="136">
        <f>SUMIFS(Tableau_Data[Féminin],Tableau_Data[Nom Réseau],Reseaux!$C24,Tableau_Data[Lieu d''intervention],Reseaux!$AD$9,Tableau_Data[Annee],Reseaux!$F$3,Tableau_Data[Mois],Reseaux!J$4)</f>
        <v>0</v>
      </c>
      <c r="AG24" s="126"/>
      <c r="AH24" s="137">
        <f t="shared" si="5"/>
        <v>0</v>
      </c>
      <c r="AJ24" s="136">
        <f>SUMIFS(Tableau_Data[Masculin],Tableau_Data[Nom Réseau],Reseaux!$C24,Tableau_Data[Thèmes],Reseaux!$AJ$9,Tableau_Data[Annee],Reseaux!$F$3,Tableau_Data[Mois],Reseaux!J$4)</f>
        <v>0</v>
      </c>
      <c r="AK24" s="126"/>
      <c r="AL24" s="136">
        <f>SUMIFS(Tableau_Data[Féminin],Tableau_Data[Nom Réseau],Reseaux!$C24,Tableau_Data[Thèmes],Reseaux!$AJ$9,Tableau_Data[Annee],Reseaux!$F$3,Tableau_Data[Mois],Reseaux!J$4)</f>
        <v>0</v>
      </c>
      <c r="AM24" s="126"/>
      <c r="AN24" s="137">
        <f t="shared" si="6"/>
        <v>0</v>
      </c>
      <c r="AP24" s="136">
        <f>SUMIFS(Tableau_Data[Masculin],Tableau_Data[Nom Réseau],Reseaux!$C24,Tableau_Data[Thèmes],Reseaux!$AP$9,Tableau_Data[Annee],Reseaux!$F$3,Tableau_Data[Mois],Reseaux!J$4)</f>
        <v>0</v>
      </c>
      <c r="AQ24" s="126"/>
      <c r="AR24" s="136">
        <f>SUMIFS(Tableau_Data[Féminin],Tableau_Data[Nom Réseau],Reseaux!$C24,Tableau_Data[Thèmes],Reseaux!$AP$9,Tableau_Data[Annee],Reseaux!$F$3,Tableau_Data[Mois],Reseaux!J$4)</f>
        <v>0</v>
      </c>
      <c r="AS24" s="126"/>
      <c r="AT24" s="137">
        <f t="shared" si="7"/>
        <v>0</v>
      </c>
      <c r="AV24" s="136">
        <f>SUMIFS(Tableau_Data[Masculin],Tableau_Data[Nom Réseau],Reseaux!$C24,Tableau_Data[Thèmes],Reseaux!$AV$9,Tableau_Data[Annee],Reseaux!$F$3,Tableau_Data[Mois],Reseaux!J$4)</f>
        <v>0</v>
      </c>
      <c r="AW24" s="126"/>
      <c r="AX24" s="136">
        <f>SUMIFS(Tableau_Data[Féminin],Tableau_Data[Nom Réseau],Reseaux!$C24,Tableau_Data[Thèmes],Reseaux!$AV$9,Tableau_Data[Annee],Reseaux!$F$3,Tableau_Data[Mois],Reseaux!J$4)</f>
        <v>0</v>
      </c>
      <c r="AY24" s="126"/>
      <c r="AZ24" s="137">
        <f t="shared" si="8"/>
        <v>0</v>
      </c>
      <c r="BB24" s="136">
        <f>SUMIFS(Tableau_Data[Masculin],Tableau_Data[Nom Réseau],Reseaux!$C24,Tableau_Data[Thèmes],Reseaux!$BB$9,Tableau_Data[Annee],Reseaux!$F$3,Tableau_Data[Mois],Reseaux!J$4)</f>
        <v>0</v>
      </c>
      <c r="BC24" s="126"/>
      <c r="BD24" s="136">
        <f>SUMIFS(Tableau_Data[Féminin],Tableau_Data[Nom Réseau],Reseaux!$C24,Tableau_Data[Thèmes],Reseaux!$BB$9,Tableau_Data[Annee],Reseaux!$F$3,Tableau_Data[Mois],Reseaux!$J$4)</f>
        <v>0</v>
      </c>
      <c r="BE24" s="126"/>
      <c r="BF24" s="137">
        <f t="shared" si="9"/>
        <v>0</v>
      </c>
      <c r="BH24" s="136">
        <f>SUMIFS(Tableau_Data[Masculin],Tableau_Data[Nom Réseau],Reseaux!$C24,Tableau_Data[Thèmes],Reseaux!$BH$9,Tableau_Data[Annee],Reseaux!$F$3,Tableau_Data[Mois],Reseaux!$J$4)</f>
        <v>0</v>
      </c>
      <c r="BI24" s="126"/>
      <c r="BJ24" s="136">
        <f>SUMIFS(Tableau_Data[Féminin],Tableau_Data[Nom Réseau],Reseaux!$C24,Tableau_Data[Thèmes],Reseaux!$BH$9,Tableau_Data[Annee],Reseaux!$F$3,Tableau_Data[Mois],Reseaux!$J$4)</f>
        <v>0</v>
      </c>
      <c r="BK24" s="126"/>
      <c r="BL24" s="137">
        <f t="shared" si="10"/>
        <v>0</v>
      </c>
      <c r="BN24" s="136">
        <f>SUMIFS(Tableau_Data[Masculin],Tableau_Data[Nom Réseau],Reseaux!$C24,Tableau_Data[Thèmes],Reseaux!$BN$9,Tableau_Data[Annee],Reseaux!$F$3,Tableau_Data[Mois],Reseaux!$J$4)</f>
        <v>0</v>
      </c>
      <c r="BO24" s="126"/>
      <c r="BP24" s="136">
        <f>SUMIFS(Tableau_Data[Féminin],Tableau_Data[Nom Réseau],Reseaux!$C24,Tableau_Data[Thèmes],Reseaux!$BN$9,Tableau_Data[Annee],Reseaux!$F$3,Tableau_Data[Mois],Reseaux!$J$4)</f>
        <v>0</v>
      </c>
      <c r="BQ24" s="126"/>
      <c r="BR24" s="137">
        <f t="shared" si="11"/>
        <v>0</v>
      </c>
      <c r="BT24" s="136">
        <f>SUMIFS(Tableau_Data[Masculin],Tableau_Data[Nom Réseau],Reseaux!$C24,Tableau_Data[Thèmes],Reseaux!$BT$9,Tableau_Data[Annee],Reseaux!$F$3,Tableau_Data[Mois],Reseaux!$J$4)</f>
        <v>0</v>
      </c>
      <c r="BU24" s="126"/>
      <c r="BV24" s="136">
        <f>SUMIFS(Tableau_Data[Féminin],Tableau_Data[Nom Réseau],Reseaux!$C24,Tableau_Data[Thèmes],Reseaux!$BT$9,Tableau_Data[Annee],Reseaux!$F$3,Tableau_Data[Mois],Reseaux!$J$4)</f>
        <v>0</v>
      </c>
      <c r="BW24" s="126"/>
      <c r="BX24" s="137">
        <f t="shared" si="12"/>
        <v>0</v>
      </c>
    </row>
    <row r="25" spans="1:76" ht="17.100000000000001" customHeight="1" x14ac:dyDescent="0.3">
      <c r="A25" s="82"/>
      <c r="B25" s="119">
        <f>IF(Reseaux!B24="","",1+B24)</f>
        <v>14</v>
      </c>
      <c r="C25" s="123" t="str">
        <f>Paramètres!N18</f>
        <v>CDS Marumane</v>
      </c>
      <c r="D25" s="126"/>
      <c r="E25" s="136">
        <f>SUMIFS(Tableau_Data[Masculin],Tableau_Data[Nom Réseau],Reseaux!$C25,Tableau_Data[Annee],Reseaux!$F$3,Tableau_Data[Mois],Reseaux!J$4)</f>
        <v>0</v>
      </c>
      <c r="F25" s="126"/>
      <c r="G25" s="136">
        <f>SUMIFS(Tableau_Data[Féminin],Tableau_Data[Nom Réseau],Reseaux!$C25,Tableau_Data[Annee],Reseaux!$F$3,Tableau_Data[Mois],Reseaux!J$4)</f>
        <v>0</v>
      </c>
      <c r="H25" s="126"/>
      <c r="I25" s="137">
        <f t="shared" si="1"/>
        <v>0</v>
      </c>
      <c r="J25" s="126"/>
      <c r="K25" s="126"/>
      <c r="L25" s="138">
        <f>SUMIFS(Tableau_Data[Masculin],Tableau_Data[Nom Réseau],Reseaux!$C25,Tableau_Data[Lieu d''intervention],Reseaux!$L$9,Tableau_Data[Annee],Reseaux!$F$3,Tableau_Data[Mois],Reseaux!J$4)</f>
        <v>0</v>
      </c>
      <c r="M25" s="126"/>
      <c r="N25" s="136">
        <f>SUMIFS(Tableau_Data[Féminin],Tableau_Data[Nom Réseau],Reseaux!$C25,Tableau_Data[Lieu d''intervention],Reseaux!$L$9,Tableau_Data[Annee],Reseaux!$F$3,Tableau_Data[Mois],Reseaux!J$4)</f>
        <v>0</v>
      </c>
      <c r="O25" s="126"/>
      <c r="P25" s="137">
        <f t="shared" si="2"/>
        <v>0</v>
      </c>
      <c r="R25" s="136">
        <f>SUMIFS(Tableau_Data[Masculin],Tableau_Data[Nom Réseau],Reseaux!$C25,Tableau_Data[Lieu d''intervention],Reseaux!$R$9,Tableau_Data[Annee],Reseaux!$F$3,Tableau_Data[Mois],Reseaux!J$4)</f>
        <v>0</v>
      </c>
      <c r="S25" s="126"/>
      <c r="T25" s="136">
        <f>SUMIFS(Tableau_Data[Féminin],Tableau_Data[Nom Réseau],Reseaux!$C25,Tableau_Data[Lieu d''intervention],Reseaux!$R$9,Tableau_Data[Annee],Reseaux!$F$3,Tableau_Data[Mois],Reseaux!J$4)</f>
        <v>0</v>
      </c>
      <c r="U25" s="126"/>
      <c r="V25" s="137">
        <f t="shared" si="3"/>
        <v>0</v>
      </c>
      <c r="W25" s="108"/>
      <c r="X25" s="136">
        <f>SUMIFS(Tableau_Data[Masculin],Tableau_Data[Nom Réseau],Reseaux!$C25,Tableau_Data[Lieu d''intervention],Reseaux!$X$9,Tableau_Data[Annee],Reseaux!$F$3,Tableau_Data[Mois],Reseaux!J$4)</f>
        <v>0</v>
      </c>
      <c r="Y25" s="126"/>
      <c r="Z25" s="136">
        <f>SUMIFS(Tableau_Data[Féminin],Tableau_Data[Nom Réseau],Reseaux!$C25,Tableau_Data[Lieu d''intervention],Reseaux!$X$9,Tableau_Data[Annee],Reseaux!$F$3,Tableau_Data[Mois],Reseaux!J$4)</f>
        <v>0</v>
      </c>
      <c r="AA25" s="126"/>
      <c r="AB25" s="137">
        <f t="shared" si="4"/>
        <v>0</v>
      </c>
      <c r="AD25" s="136">
        <f>SUMIFS(Tableau_Data[Masculin],Tableau_Data[Nom Réseau],Reseaux!$C25,Tableau_Data[Lieu d''intervention],Reseaux!$AD$9,Tableau_Data[Annee],Reseaux!$F$3,Tableau_Data[Mois],Reseaux!J$4)</f>
        <v>0</v>
      </c>
      <c r="AE25" s="126"/>
      <c r="AF25" s="136">
        <f>SUMIFS(Tableau_Data[Féminin],Tableau_Data[Nom Réseau],Reseaux!$C25,Tableau_Data[Lieu d''intervention],Reseaux!$AD$9,Tableau_Data[Annee],Reseaux!$F$3,Tableau_Data[Mois],Reseaux!J$4)</f>
        <v>0</v>
      </c>
      <c r="AG25" s="126"/>
      <c r="AH25" s="137">
        <f t="shared" si="5"/>
        <v>0</v>
      </c>
      <c r="AJ25" s="136">
        <f>SUMIFS(Tableau_Data[Masculin],Tableau_Data[Nom Réseau],Reseaux!$C25,Tableau_Data[Thèmes],Reseaux!$AJ$9,Tableau_Data[Annee],Reseaux!$F$3,Tableau_Data[Mois],Reseaux!J$4)</f>
        <v>0</v>
      </c>
      <c r="AK25" s="126"/>
      <c r="AL25" s="136">
        <f>SUMIFS(Tableau_Data[Féminin],Tableau_Data[Nom Réseau],Reseaux!$C25,Tableau_Data[Thèmes],Reseaux!$AJ$9,Tableau_Data[Annee],Reseaux!$F$3,Tableau_Data[Mois],Reseaux!J$4)</f>
        <v>0</v>
      </c>
      <c r="AM25" s="126"/>
      <c r="AN25" s="137">
        <f t="shared" si="6"/>
        <v>0</v>
      </c>
      <c r="AP25" s="136">
        <f>SUMIFS(Tableau_Data[Masculin],Tableau_Data[Nom Réseau],Reseaux!$C25,Tableau_Data[Thèmes],Reseaux!$AP$9,Tableau_Data[Annee],Reseaux!$F$3,Tableau_Data[Mois],Reseaux!J$4)</f>
        <v>0</v>
      </c>
      <c r="AQ25" s="126"/>
      <c r="AR25" s="136">
        <f>SUMIFS(Tableau_Data[Féminin],Tableau_Data[Nom Réseau],Reseaux!$C25,Tableau_Data[Thèmes],Reseaux!$AP$9,Tableau_Data[Annee],Reseaux!$F$3,Tableau_Data[Mois],Reseaux!J$4)</f>
        <v>0</v>
      </c>
      <c r="AS25" s="126"/>
      <c r="AT25" s="137">
        <f t="shared" si="7"/>
        <v>0</v>
      </c>
      <c r="AV25" s="136">
        <f>SUMIFS(Tableau_Data[Masculin],Tableau_Data[Nom Réseau],Reseaux!$C25,Tableau_Data[Thèmes],Reseaux!$AV$9,Tableau_Data[Annee],Reseaux!$F$3,Tableau_Data[Mois],Reseaux!J$4)</f>
        <v>0</v>
      </c>
      <c r="AW25" s="126"/>
      <c r="AX25" s="136">
        <f>SUMIFS(Tableau_Data[Féminin],Tableau_Data[Nom Réseau],Reseaux!$C25,Tableau_Data[Thèmes],Reseaux!$AV$9,Tableau_Data[Annee],Reseaux!$F$3,Tableau_Data[Mois],Reseaux!J$4)</f>
        <v>0</v>
      </c>
      <c r="AY25" s="126"/>
      <c r="AZ25" s="137">
        <f t="shared" si="8"/>
        <v>0</v>
      </c>
      <c r="BB25" s="136">
        <f>SUMIFS(Tableau_Data[Masculin],Tableau_Data[Nom Réseau],Reseaux!$C25,Tableau_Data[Thèmes],Reseaux!$BB$9,Tableau_Data[Annee],Reseaux!$F$3,Tableau_Data[Mois],Reseaux!J$4)</f>
        <v>0</v>
      </c>
      <c r="BC25" s="126"/>
      <c r="BD25" s="136">
        <f>SUMIFS(Tableau_Data[Féminin],Tableau_Data[Nom Réseau],Reseaux!$C25,Tableau_Data[Thèmes],Reseaux!$BB$9,Tableau_Data[Annee],Reseaux!$F$3,Tableau_Data[Mois],Reseaux!$J$4)</f>
        <v>0</v>
      </c>
      <c r="BE25" s="126"/>
      <c r="BF25" s="137">
        <f t="shared" si="9"/>
        <v>0</v>
      </c>
      <c r="BH25" s="136">
        <f>SUMIFS(Tableau_Data[Masculin],Tableau_Data[Nom Réseau],Reseaux!$C25,Tableau_Data[Thèmes],Reseaux!$BH$9,Tableau_Data[Annee],Reseaux!$F$3,Tableau_Data[Mois],Reseaux!$J$4)</f>
        <v>0</v>
      </c>
      <c r="BI25" s="126"/>
      <c r="BJ25" s="136">
        <f>SUMIFS(Tableau_Data[Féminin],Tableau_Data[Nom Réseau],Reseaux!$C25,Tableau_Data[Thèmes],Reseaux!$BH$9,Tableau_Data[Annee],Reseaux!$F$3,Tableau_Data[Mois],Reseaux!$J$4)</f>
        <v>0</v>
      </c>
      <c r="BK25" s="126"/>
      <c r="BL25" s="137">
        <f t="shared" si="10"/>
        <v>0</v>
      </c>
      <c r="BN25" s="136">
        <f>SUMIFS(Tableau_Data[Masculin],Tableau_Data[Nom Réseau],Reseaux!$C25,Tableau_Data[Thèmes],Reseaux!$BN$9,Tableau_Data[Annee],Reseaux!$F$3,Tableau_Data[Mois],Reseaux!$J$4)</f>
        <v>0</v>
      </c>
      <c r="BO25" s="126"/>
      <c r="BP25" s="136">
        <f>SUMIFS(Tableau_Data[Féminin],Tableau_Data[Nom Réseau],Reseaux!$C25,Tableau_Data[Thèmes],Reseaux!$BN$9,Tableau_Data[Annee],Reseaux!$F$3,Tableau_Data[Mois],Reseaux!$J$4)</f>
        <v>0</v>
      </c>
      <c r="BQ25" s="126"/>
      <c r="BR25" s="137">
        <f t="shared" si="11"/>
        <v>0</v>
      </c>
      <c r="BT25" s="136">
        <f>SUMIFS(Tableau_Data[Masculin],Tableau_Data[Nom Réseau],Reseaux!$C25,Tableau_Data[Thèmes],Reseaux!$BT$9,Tableau_Data[Annee],Reseaux!$F$3,Tableau_Data[Mois],Reseaux!$J$4)</f>
        <v>0</v>
      </c>
      <c r="BU25" s="126"/>
      <c r="BV25" s="136">
        <f>SUMIFS(Tableau_Data[Féminin],Tableau_Data[Nom Réseau],Reseaux!$C25,Tableau_Data[Thèmes],Reseaux!$BT$9,Tableau_Data[Annee],Reseaux!$F$3,Tableau_Data[Mois],Reseaux!$J$4)</f>
        <v>0</v>
      </c>
      <c r="BW25" s="126"/>
      <c r="BX25" s="137">
        <f t="shared" si="12"/>
        <v>0</v>
      </c>
    </row>
    <row r="26" spans="1:76" ht="17.100000000000001" customHeight="1" x14ac:dyDescent="0.3">
      <c r="A26" s="82"/>
      <c r="B26" s="119">
        <f>IF(Reseaux!B25="","",1+B25)</f>
        <v>15</v>
      </c>
      <c r="C26" s="123" t="str">
        <f>Paramètres!N19</f>
        <v>CDS Mutumba</v>
      </c>
      <c r="D26" s="126"/>
      <c r="E26" s="136">
        <f>SUMIFS(Tableau_Data[Masculin],Tableau_Data[Nom Réseau],Reseaux!$C26,Tableau_Data[Annee],Reseaux!$F$3,Tableau_Data[Mois],Reseaux!J$4)</f>
        <v>0</v>
      </c>
      <c r="F26" s="126"/>
      <c r="G26" s="136">
        <f>SUMIFS(Tableau_Data[Féminin],Tableau_Data[Nom Réseau],Reseaux!$C26,Tableau_Data[Annee],Reseaux!$F$3,Tableau_Data[Mois],Reseaux!J$4)</f>
        <v>0</v>
      </c>
      <c r="H26" s="126"/>
      <c r="I26" s="137">
        <f t="shared" si="1"/>
        <v>0</v>
      </c>
      <c r="J26" s="126"/>
      <c r="K26" s="126"/>
      <c r="L26" s="138">
        <f>SUMIFS(Tableau_Data[Masculin],Tableau_Data[Nom Réseau],Reseaux!$C26,Tableau_Data[Lieu d''intervention],Reseaux!$L$9,Tableau_Data[Annee],Reseaux!$F$3,Tableau_Data[Mois],Reseaux!J$4)</f>
        <v>0</v>
      </c>
      <c r="M26" s="126"/>
      <c r="N26" s="136">
        <f>SUMIFS(Tableau_Data[Féminin],Tableau_Data[Nom Réseau],Reseaux!$C26,Tableau_Data[Lieu d''intervention],Reseaux!$L$9,Tableau_Data[Annee],Reseaux!$F$3,Tableau_Data[Mois],Reseaux!J$4)</f>
        <v>0</v>
      </c>
      <c r="O26" s="126"/>
      <c r="P26" s="137">
        <f t="shared" si="2"/>
        <v>0</v>
      </c>
      <c r="R26" s="136">
        <f>SUMIFS(Tableau_Data[Masculin],Tableau_Data[Nom Réseau],Reseaux!$C26,Tableau_Data[Lieu d''intervention],Reseaux!$R$9,Tableau_Data[Annee],Reseaux!$F$3,Tableau_Data[Mois],Reseaux!J$4)</f>
        <v>0</v>
      </c>
      <c r="S26" s="126"/>
      <c r="T26" s="136">
        <f>SUMIFS(Tableau_Data[Féminin],Tableau_Data[Nom Réseau],Reseaux!$C26,Tableau_Data[Lieu d''intervention],Reseaux!$R$9,Tableau_Data[Annee],Reseaux!$F$3,Tableau_Data[Mois],Reseaux!J$4)</f>
        <v>0</v>
      </c>
      <c r="U26" s="126"/>
      <c r="V26" s="137">
        <f t="shared" si="3"/>
        <v>0</v>
      </c>
      <c r="W26" s="108"/>
      <c r="X26" s="136">
        <f>SUMIFS(Tableau_Data[Masculin],Tableau_Data[Nom Réseau],Reseaux!$C26,Tableau_Data[Lieu d''intervention],Reseaux!$X$9,Tableau_Data[Annee],Reseaux!$F$3,Tableau_Data[Mois],Reseaux!J$4)</f>
        <v>0</v>
      </c>
      <c r="Y26" s="126"/>
      <c r="Z26" s="136">
        <f>SUMIFS(Tableau_Data[Féminin],Tableau_Data[Nom Réseau],Reseaux!$C26,Tableau_Data[Lieu d''intervention],Reseaux!$X$9,Tableau_Data[Annee],Reseaux!$F$3,Tableau_Data[Mois],Reseaux!J$4)</f>
        <v>0</v>
      </c>
      <c r="AA26" s="126"/>
      <c r="AB26" s="137">
        <f t="shared" si="4"/>
        <v>0</v>
      </c>
      <c r="AD26" s="136">
        <f>SUMIFS(Tableau_Data[Masculin],Tableau_Data[Nom Réseau],Reseaux!$C26,Tableau_Data[Lieu d''intervention],Reseaux!$AD$9,Tableau_Data[Annee],Reseaux!$F$3,Tableau_Data[Mois],Reseaux!J$4)</f>
        <v>0</v>
      </c>
      <c r="AE26" s="126"/>
      <c r="AF26" s="136">
        <f>SUMIFS(Tableau_Data[Féminin],Tableau_Data[Nom Réseau],Reseaux!$C26,Tableau_Data[Lieu d''intervention],Reseaux!$AD$9,Tableau_Data[Annee],Reseaux!$F$3,Tableau_Data[Mois],Reseaux!J$4)</f>
        <v>0</v>
      </c>
      <c r="AG26" s="126"/>
      <c r="AH26" s="137">
        <f t="shared" si="5"/>
        <v>0</v>
      </c>
      <c r="AJ26" s="136">
        <f>SUMIFS(Tableau_Data[Masculin],Tableau_Data[Nom Réseau],Reseaux!$C26,Tableau_Data[Thèmes],Reseaux!$AJ$9,Tableau_Data[Annee],Reseaux!$F$3,Tableau_Data[Mois],Reseaux!J$4)</f>
        <v>0</v>
      </c>
      <c r="AK26" s="126"/>
      <c r="AL26" s="136">
        <f>SUMIFS(Tableau_Data[Féminin],Tableau_Data[Nom Réseau],Reseaux!$C26,Tableau_Data[Thèmes],Reseaux!$AJ$9,Tableau_Data[Annee],Reseaux!$F$3,Tableau_Data[Mois],Reseaux!J$4)</f>
        <v>0</v>
      </c>
      <c r="AM26" s="126"/>
      <c r="AN26" s="137">
        <f t="shared" si="6"/>
        <v>0</v>
      </c>
      <c r="AP26" s="136">
        <f>SUMIFS(Tableau_Data[Masculin],Tableau_Data[Nom Réseau],Reseaux!$C26,Tableau_Data[Thèmes],Reseaux!$AP$9,Tableau_Data[Annee],Reseaux!$F$3,Tableau_Data[Mois],Reseaux!J$4)</f>
        <v>0</v>
      </c>
      <c r="AQ26" s="126"/>
      <c r="AR26" s="136">
        <f>SUMIFS(Tableau_Data[Féminin],Tableau_Data[Nom Réseau],Reseaux!$C26,Tableau_Data[Thèmes],Reseaux!$AP$9,Tableau_Data[Annee],Reseaux!$F$3,Tableau_Data[Mois],Reseaux!J$4)</f>
        <v>0</v>
      </c>
      <c r="AS26" s="126"/>
      <c r="AT26" s="137">
        <f t="shared" si="7"/>
        <v>0</v>
      </c>
      <c r="AV26" s="136">
        <f>SUMIFS(Tableau_Data[Masculin],Tableau_Data[Nom Réseau],Reseaux!$C26,Tableau_Data[Thèmes],Reseaux!$AV$9,Tableau_Data[Annee],Reseaux!$F$3,Tableau_Data[Mois],Reseaux!J$4)</f>
        <v>0</v>
      </c>
      <c r="AW26" s="126"/>
      <c r="AX26" s="136">
        <f>SUMIFS(Tableau_Data[Féminin],Tableau_Data[Nom Réseau],Reseaux!$C26,Tableau_Data[Thèmes],Reseaux!$AV$9,Tableau_Data[Annee],Reseaux!$F$3,Tableau_Data[Mois],Reseaux!J$4)</f>
        <v>0</v>
      </c>
      <c r="AY26" s="126"/>
      <c r="AZ26" s="137">
        <f t="shared" si="8"/>
        <v>0</v>
      </c>
      <c r="BB26" s="136">
        <f>SUMIFS(Tableau_Data[Masculin],Tableau_Data[Nom Réseau],Reseaux!$C26,Tableau_Data[Thèmes],Reseaux!$BB$9,Tableau_Data[Annee],Reseaux!$F$3,Tableau_Data[Mois],Reseaux!J$4)</f>
        <v>0</v>
      </c>
      <c r="BC26" s="126"/>
      <c r="BD26" s="136">
        <f>SUMIFS(Tableau_Data[Féminin],Tableau_Data[Nom Réseau],Reseaux!$C26,Tableau_Data[Thèmes],Reseaux!$BB$9,Tableau_Data[Annee],Reseaux!$F$3,Tableau_Data[Mois],Reseaux!$J$4)</f>
        <v>0</v>
      </c>
      <c r="BE26" s="126"/>
      <c r="BF26" s="137">
        <f t="shared" si="9"/>
        <v>0</v>
      </c>
      <c r="BH26" s="136">
        <f>SUMIFS(Tableau_Data[Masculin],Tableau_Data[Nom Réseau],Reseaux!$C26,Tableau_Data[Thèmes],Reseaux!$BH$9,Tableau_Data[Annee],Reseaux!$F$3,Tableau_Data[Mois],Reseaux!$J$4)</f>
        <v>0</v>
      </c>
      <c r="BI26" s="126"/>
      <c r="BJ26" s="136">
        <f>SUMIFS(Tableau_Data[Féminin],Tableau_Data[Nom Réseau],Reseaux!$C26,Tableau_Data[Thèmes],Reseaux!$BH$9,Tableau_Data[Annee],Reseaux!$F$3,Tableau_Data[Mois],Reseaux!$J$4)</f>
        <v>0</v>
      </c>
      <c r="BK26" s="126"/>
      <c r="BL26" s="137">
        <f t="shared" si="10"/>
        <v>0</v>
      </c>
      <c r="BN26" s="136">
        <f>SUMIFS(Tableau_Data[Masculin],Tableau_Data[Nom Réseau],Reseaux!$C26,Tableau_Data[Thèmes],Reseaux!$BN$9,Tableau_Data[Annee],Reseaux!$F$3,Tableau_Data[Mois],Reseaux!$J$4)</f>
        <v>0</v>
      </c>
      <c r="BO26" s="126"/>
      <c r="BP26" s="136">
        <f>SUMIFS(Tableau_Data[Féminin],Tableau_Data[Nom Réseau],Reseaux!$C26,Tableau_Data[Thèmes],Reseaux!$BN$9,Tableau_Data[Annee],Reseaux!$F$3,Tableau_Data[Mois],Reseaux!$J$4)</f>
        <v>0</v>
      </c>
      <c r="BQ26" s="126"/>
      <c r="BR26" s="137">
        <f t="shared" si="11"/>
        <v>0</v>
      </c>
      <c r="BT26" s="136">
        <f>SUMIFS(Tableau_Data[Masculin],Tableau_Data[Nom Réseau],Reseaux!$C26,Tableau_Data[Thèmes],Reseaux!$BT$9,Tableau_Data[Annee],Reseaux!$F$3,Tableau_Data[Mois],Reseaux!$J$4)</f>
        <v>0</v>
      </c>
      <c r="BU26" s="126"/>
      <c r="BV26" s="136">
        <f>SUMIFS(Tableau_Data[Féminin],Tableau_Data[Nom Réseau],Reseaux!$C26,Tableau_Data[Thèmes],Reseaux!$BT$9,Tableau_Data[Annee],Reseaux!$F$3,Tableau_Data[Mois],Reseaux!$J$4)</f>
        <v>0</v>
      </c>
      <c r="BW26" s="126"/>
      <c r="BX26" s="137">
        <f t="shared" si="12"/>
        <v>0</v>
      </c>
    </row>
    <row r="27" spans="1:76" ht="17.100000000000001" customHeight="1" x14ac:dyDescent="0.3">
      <c r="A27" s="82"/>
      <c r="B27" s="119">
        <f>IF(Reseaux!B26="","",1+B26)</f>
        <v>16</v>
      </c>
      <c r="C27" s="123" t="str">
        <f>Paramètres!N20</f>
        <v>CDS Rwintare</v>
      </c>
      <c r="D27" s="126"/>
      <c r="E27" s="136">
        <f>SUMIFS(Tableau_Data[Masculin],Tableau_Data[Nom Réseau],Reseaux!$C27,Tableau_Data[Annee],Reseaux!$F$3,Tableau_Data[Mois],Reseaux!J$4)</f>
        <v>0</v>
      </c>
      <c r="F27" s="126"/>
      <c r="G27" s="136">
        <f>SUMIFS(Tableau_Data[Féminin],Tableau_Data[Nom Réseau],Reseaux!$C27,Tableau_Data[Annee],Reseaux!$F$3,Tableau_Data[Mois],Reseaux!J$4)</f>
        <v>0</v>
      </c>
      <c r="H27" s="126"/>
      <c r="I27" s="137">
        <f t="shared" si="1"/>
        <v>0</v>
      </c>
      <c r="J27" s="126"/>
      <c r="K27" s="126"/>
      <c r="L27" s="138">
        <f>SUMIFS(Tableau_Data[Masculin],Tableau_Data[Nom Réseau],Reseaux!$C27,Tableau_Data[Lieu d''intervention],Reseaux!$L$9,Tableau_Data[Annee],Reseaux!$F$3,Tableau_Data[Mois],Reseaux!J$4)</f>
        <v>0</v>
      </c>
      <c r="M27" s="126"/>
      <c r="N27" s="136">
        <f>SUMIFS(Tableau_Data[Féminin],Tableau_Data[Nom Réseau],Reseaux!$C27,Tableau_Data[Lieu d''intervention],Reseaux!$L$9,Tableau_Data[Annee],Reseaux!$F$3,Tableau_Data[Mois],Reseaux!J$4)</f>
        <v>0</v>
      </c>
      <c r="O27" s="126"/>
      <c r="P27" s="137">
        <f t="shared" si="2"/>
        <v>0</v>
      </c>
      <c r="R27" s="136">
        <f>SUMIFS(Tableau_Data[Masculin],Tableau_Data[Nom Réseau],Reseaux!$C27,Tableau_Data[Lieu d''intervention],Reseaux!$R$9,Tableau_Data[Annee],Reseaux!$F$3,Tableau_Data[Mois],Reseaux!J$4)</f>
        <v>0</v>
      </c>
      <c r="S27" s="126"/>
      <c r="T27" s="136">
        <f>SUMIFS(Tableau_Data[Féminin],Tableau_Data[Nom Réseau],Reseaux!$C27,Tableau_Data[Lieu d''intervention],Reseaux!$R$9,Tableau_Data[Annee],Reseaux!$F$3,Tableau_Data[Mois],Reseaux!J$4)</f>
        <v>0</v>
      </c>
      <c r="U27" s="126"/>
      <c r="V27" s="137">
        <f t="shared" si="3"/>
        <v>0</v>
      </c>
      <c r="W27" s="108"/>
      <c r="X27" s="136">
        <f>SUMIFS(Tableau_Data[Masculin],Tableau_Data[Nom Réseau],Reseaux!$C27,Tableau_Data[Lieu d''intervention],Reseaux!$X$9,Tableau_Data[Annee],Reseaux!$F$3,Tableau_Data[Mois],Reseaux!J$4)</f>
        <v>0</v>
      </c>
      <c r="Y27" s="126"/>
      <c r="Z27" s="136">
        <f>SUMIFS(Tableau_Data[Féminin],Tableau_Data[Nom Réseau],Reseaux!$C27,Tableau_Data[Lieu d''intervention],Reseaux!$X$9,Tableau_Data[Annee],Reseaux!$F$3,Tableau_Data[Mois],Reseaux!J$4)</f>
        <v>0</v>
      </c>
      <c r="AA27" s="126"/>
      <c r="AB27" s="137">
        <f t="shared" si="4"/>
        <v>0</v>
      </c>
      <c r="AD27" s="136">
        <f>SUMIFS(Tableau_Data[Masculin],Tableau_Data[Nom Réseau],Reseaux!$C27,Tableau_Data[Lieu d''intervention],Reseaux!$AD$9,Tableau_Data[Annee],Reseaux!$F$3,Tableau_Data[Mois],Reseaux!J$4)</f>
        <v>0</v>
      </c>
      <c r="AE27" s="126"/>
      <c r="AF27" s="136">
        <f>SUMIFS(Tableau_Data[Féminin],Tableau_Data[Nom Réseau],Reseaux!$C27,Tableau_Data[Lieu d''intervention],Reseaux!$AD$9,Tableau_Data[Annee],Reseaux!$F$3,Tableau_Data[Mois],Reseaux!J$4)</f>
        <v>0</v>
      </c>
      <c r="AG27" s="126"/>
      <c r="AH27" s="137">
        <f t="shared" si="5"/>
        <v>0</v>
      </c>
      <c r="AJ27" s="136">
        <f>SUMIFS(Tableau_Data[Masculin],Tableau_Data[Nom Réseau],Reseaux!$C27,Tableau_Data[Thèmes],Reseaux!$AJ$9,Tableau_Data[Annee],Reseaux!$F$3,Tableau_Data[Mois],Reseaux!J$4)</f>
        <v>0</v>
      </c>
      <c r="AK27" s="126"/>
      <c r="AL27" s="136">
        <f>SUMIFS(Tableau_Data[Féminin],Tableau_Data[Nom Réseau],Reseaux!$C27,Tableau_Data[Thèmes],Reseaux!$AJ$9,Tableau_Data[Annee],Reseaux!$F$3,Tableau_Data[Mois],Reseaux!J$4)</f>
        <v>0</v>
      </c>
      <c r="AM27" s="126"/>
      <c r="AN27" s="137">
        <f t="shared" si="6"/>
        <v>0</v>
      </c>
      <c r="AP27" s="136">
        <f>SUMIFS(Tableau_Data[Masculin],Tableau_Data[Nom Réseau],Reseaux!$C27,Tableau_Data[Thèmes],Reseaux!$AP$9,Tableau_Data[Annee],Reseaux!$F$3,Tableau_Data[Mois],Reseaux!J$4)</f>
        <v>0</v>
      </c>
      <c r="AQ27" s="126"/>
      <c r="AR27" s="136">
        <f>SUMIFS(Tableau_Data[Féminin],Tableau_Data[Nom Réseau],Reseaux!$C27,Tableau_Data[Thèmes],Reseaux!$AP$9,Tableau_Data[Annee],Reseaux!$F$3,Tableau_Data[Mois],Reseaux!J$4)</f>
        <v>0</v>
      </c>
      <c r="AS27" s="126"/>
      <c r="AT27" s="137">
        <f t="shared" si="7"/>
        <v>0</v>
      </c>
      <c r="AV27" s="136">
        <f>SUMIFS(Tableau_Data[Masculin],Tableau_Data[Nom Réseau],Reseaux!$C27,Tableau_Data[Thèmes],Reseaux!$AV$9,Tableau_Data[Annee],Reseaux!$F$3,Tableau_Data[Mois],Reseaux!J$4)</f>
        <v>0</v>
      </c>
      <c r="AW27" s="126"/>
      <c r="AX27" s="136">
        <f>SUMIFS(Tableau_Data[Féminin],Tableau_Data[Nom Réseau],Reseaux!$C27,Tableau_Data[Thèmes],Reseaux!$AV$9,Tableau_Data[Annee],Reseaux!$F$3,Tableau_Data[Mois],Reseaux!J$4)</f>
        <v>0</v>
      </c>
      <c r="AY27" s="126"/>
      <c r="AZ27" s="137">
        <f t="shared" si="8"/>
        <v>0</v>
      </c>
      <c r="BB27" s="136">
        <f>SUMIFS(Tableau_Data[Masculin],Tableau_Data[Nom Réseau],Reseaux!$C27,Tableau_Data[Thèmes],Reseaux!$BB$9,Tableau_Data[Annee],Reseaux!$F$3,Tableau_Data[Mois],Reseaux!J$4)</f>
        <v>0</v>
      </c>
      <c r="BC27" s="126"/>
      <c r="BD27" s="136">
        <f>SUMIFS(Tableau_Data[Féminin],Tableau_Data[Nom Réseau],Reseaux!$C27,Tableau_Data[Thèmes],Reseaux!$BB$9,Tableau_Data[Annee],Reseaux!$F$3,Tableau_Data[Mois],Reseaux!$J$4)</f>
        <v>0</v>
      </c>
      <c r="BE27" s="126"/>
      <c r="BF27" s="137">
        <f t="shared" si="9"/>
        <v>0</v>
      </c>
      <c r="BH27" s="136">
        <f>SUMIFS(Tableau_Data[Masculin],Tableau_Data[Nom Réseau],Reseaux!$C27,Tableau_Data[Thèmes],Reseaux!$BH$9,Tableau_Data[Annee],Reseaux!$F$3,Tableau_Data[Mois],Reseaux!$J$4)</f>
        <v>0</v>
      </c>
      <c r="BI27" s="126"/>
      <c r="BJ27" s="136">
        <f>SUMIFS(Tableau_Data[Féminin],Tableau_Data[Nom Réseau],Reseaux!$C27,Tableau_Data[Thèmes],Reseaux!$BH$9,Tableau_Data[Annee],Reseaux!$F$3,Tableau_Data[Mois],Reseaux!$J$4)</f>
        <v>0</v>
      </c>
      <c r="BK27" s="126"/>
      <c r="BL27" s="137">
        <f t="shared" si="10"/>
        <v>0</v>
      </c>
      <c r="BN27" s="136">
        <f>SUMIFS(Tableau_Data[Masculin],Tableau_Data[Nom Réseau],Reseaux!$C27,Tableau_Data[Thèmes],Reseaux!$BN$9,Tableau_Data[Annee],Reseaux!$F$3,Tableau_Data[Mois],Reseaux!$J$4)</f>
        <v>0</v>
      </c>
      <c r="BO27" s="126"/>
      <c r="BP27" s="136">
        <f>SUMIFS(Tableau_Data[Féminin],Tableau_Data[Nom Réseau],Reseaux!$C27,Tableau_Data[Thèmes],Reseaux!$BN$9,Tableau_Data[Annee],Reseaux!$F$3,Tableau_Data[Mois],Reseaux!$J$4)</f>
        <v>0</v>
      </c>
      <c r="BQ27" s="126"/>
      <c r="BR27" s="137">
        <f t="shared" si="11"/>
        <v>0</v>
      </c>
      <c r="BT27" s="136">
        <f>SUMIFS(Tableau_Data[Masculin],Tableau_Data[Nom Réseau],Reseaux!$C27,Tableau_Data[Thèmes],Reseaux!$BT$9,Tableau_Data[Annee],Reseaux!$F$3,Tableau_Data[Mois],Reseaux!$J$4)</f>
        <v>0</v>
      </c>
      <c r="BU27" s="126"/>
      <c r="BV27" s="136">
        <f>SUMIFS(Tableau_Data[Féminin],Tableau_Data[Nom Réseau],Reseaux!$C27,Tableau_Data[Thèmes],Reseaux!$BT$9,Tableau_Data[Annee],Reseaux!$F$3,Tableau_Data[Mois],Reseaux!$J$4)</f>
        <v>0</v>
      </c>
      <c r="BW27" s="126"/>
      <c r="BX27" s="137">
        <f t="shared" si="12"/>
        <v>0</v>
      </c>
    </row>
    <row r="28" spans="1:76" ht="17.100000000000001" customHeight="1" x14ac:dyDescent="0.3">
      <c r="A28" s="82"/>
      <c r="B28" s="119">
        <f>IF(Reseaux!B27="","",1+B27)</f>
        <v>17</v>
      </c>
      <c r="C28" s="123" t="str">
        <f>Paramètres!N21</f>
        <v>PS Nyarucamo</v>
      </c>
      <c r="D28" s="126"/>
      <c r="E28" s="136">
        <f>SUMIFS(Tableau_Data[Masculin],Tableau_Data[Nom Réseau],Reseaux!$C28,Tableau_Data[Annee],Reseaux!$F$3,Tableau_Data[Mois],Reseaux!J$4)</f>
        <v>0</v>
      </c>
      <c r="F28" s="126"/>
      <c r="G28" s="136">
        <f>SUMIFS(Tableau_Data[Féminin],Tableau_Data[Nom Réseau],Reseaux!$C28,Tableau_Data[Annee],Reseaux!$F$3,Tableau_Data[Mois],Reseaux!J$4)</f>
        <v>0</v>
      </c>
      <c r="H28" s="126"/>
      <c r="I28" s="137">
        <f t="shared" si="1"/>
        <v>0</v>
      </c>
      <c r="J28" s="126"/>
      <c r="K28" s="126"/>
      <c r="L28" s="138">
        <f>SUMIFS(Tableau_Data[Masculin],Tableau_Data[Nom Réseau],Reseaux!$C28,Tableau_Data[Lieu d''intervention],Reseaux!$L$9,Tableau_Data[Annee],Reseaux!$F$3,Tableau_Data[Mois],Reseaux!J$4)</f>
        <v>0</v>
      </c>
      <c r="M28" s="126"/>
      <c r="N28" s="136">
        <f>SUMIFS(Tableau_Data[Féminin],Tableau_Data[Nom Réseau],Reseaux!$C28,Tableau_Data[Lieu d''intervention],Reseaux!$L$9,Tableau_Data[Annee],Reseaux!$F$3,Tableau_Data[Mois],Reseaux!J$4)</f>
        <v>0</v>
      </c>
      <c r="O28" s="126"/>
      <c r="P28" s="137">
        <f t="shared" si="2"/>
        <v>0</v>
      </c>
      <c r="R28" s="136">
        <f>SUMIFS(Tableau_Data[Masculin],Tableau_Data[Nom Réseau],Reseaux!$C28,Tableau_Data[Lieu d''intervention],Reseaux!$R$9,Tableau_Data[Annee],Reseaux!$F$3,Tableau_Data[Mois],Reseaux!J$4)</f>
        <v>0</v>
      </c>
      <c r="S28" s="126"/>
      <c r="T28" s="136">
        <f>SUMIFS(Tableau_Data[Féminin],Tableau_Data[Nom Réseau],Reseaux!$C28,Tableau_Data[Lieu d''intervention],Reseaux!$R$9,Tableau_Data[Annee],Reseaux!$F$3,Tableau_Data[Mois],Reseaux!J$4)</f>
        <v>0</v>
      </c>
      <c r="U28" s="126"/>
      <c r="V28" s="137">
        <f t="shared" si="3"/>
        <v>0</v>
      </c>
      <c r="W28" s="108"/>
      <c r="X28" s="136">
        <f>SUMIFS(Tableau_Data[Masculin],Tableau_Data[Nom Réseau],Reseaux!$C28,Tableau_Data[Lieu d''intervention],Reseaux!$X$9,Tableau_Data[Annee],Reseaux!$F$3,Tableau_Data[Mois],Reseaux!J$4)</f>
        <v>0</v>
      </c>
      <c r="Y28" s="126"/>
      <c r="Z28" s="136">
        <f>SUMIFS(Tableau_Data[Féminin],Tableau_Data[Nom Réseau],Reseaux!$C28,Tableau_Data[Lieu d''intervention],Reseaux!$X$9,Tableau_Data[Annee],Reseaux!$F$3,Tableau_Data[Mois],Reseaux!J$4)</f>
        <v>0</v>
      </c>
      <c r="AA28" s="126"/>
      <c r="AB28" s="137">
        <f t="shared" si="4"/>
        <v>0</v>
      </c>
      <c r="AD28" s="136">
        <f>SUMIFS(Tableau_Data[Masculin],Tableau_Data[Nom Réseau],Reseaux!$C28,Tableau_Data[Lieu d''intervention],Reseaux!$AD$9,Tableau_Data[Annee],Reseaux!$F$3,Tableau_Data[Mois],Reseaux!J$4)</f>
        <v>0</v>
      </c>
      <c r="AE28" s="126"/>
      <c r="AF28" s="136">
        <f>SUMIFS(Tableau_Data[Féminin],Tableau_Data[Nom Réseau],Reseaux!$C28,Tableau_Data[Lieu d''intervention],Reseaux!$AD$9,Tableau_Data[Annee],Reseaux!$F$3,Tableau_Data[Mois],Reseaux!J$4)</f>
        <v>0</v>
      </c>
      <c r="AG28" s="126"/>
      <c r="AH28" s="137">
        <f t="shared" si="5"/>
        <v>0</v>
      </c>
      <c r="AJ28" s="136">
        <f>SUMIFS(Tableau_Data[Masculin],Tableau_Data[Nom Réseau],Reseaux!$C28,Tableau_Data[Thèmes],Reseaux!$AJ$9,Tableau_Data[Annee],Reseaux!$F$3,Tableau_Data[Mois],Reseaux!J$4)</f>
        <v>0</v>
      </c>
      <c r="AK28" s="126"/>
      <c r="AL28" s="136">
        <f>SUMIFS(Tableau_Data[Féminin],Tableau_Data[Nom Réseau],Reseaux!$C28,Tableau_Data[Thèmes],Reseaux!$AJ$9,Tableau_Data[Annee],Reseaux!$F$3,Tableau_Data[Mois],Reseaux!J$4)</f>
        <v>0</v>
      </c>
      <c r="AM28" s="126"/>
      <c r="AN28" s="137">
        <f t="shared" si="6"/>
        <v>0</v>
      </c>
      <c r="AP28" s="136">
        <f>SUMIFS(Tableau_Data[Masculin],Tableau_Data[Nom Réseau],Reseaux!$C28,Tableau_Data[Thèmes],Reseaux!$AP$9,Tableau_Data[Annee],Reseaux!$F$3,Tableau_Data[Mois],Reseaux!J$4)</f>
        <v>0</v>
      </c>
      <c r="AQ28" s="126"/>
      <c r="AR28" s="136">
        <f>SUMIFS(Tableau_Data[Féminin],Tableau_Data[Nom Réseau],Reseaux!$C28,Tableau_Data[Thèmes],Reseaux!$AP$9,Tableau_Data[Annee],Reseaux!$F$3,Tableau_Data[Mois],Reseaux!J$4)</f>
        <v>0</v>
      </c>
      <c r="AS28" s="126"/>
      <c r="AT28" s="137">
        <f t="shared" si="7"/>
        <v>0</v>
      </c>
      <c r="AV28" s="136">
        <f>SUMIFS(Tableau_Data[Masculin],Tableau_Data[Nom Réseau],Reseaux!$C28,Tableau_Data[Thèmes],Reseaux!$AV$9,Tableau_Data[Annee],Reseaux!$F$3,Tableau_Data[Mois],Reseaux!J$4)</f>
        <v>0</v>
      </c>
      <c r="AW28" s="126"/>
      <c r="AX28" s="136">
        <f>SUMIFS(Tableau_Data[Féminin],Tableau_Data[Nom Réseau],Reseaux!$C28,Tableau_Data[Thèmes],Reseaux!$AV$9,Tableau_Data[Annee],Reseaux!$F$3,Tableau_Data[Mois],Reseaux!J$4)</f>
        <v>0</v>
      </c>
      <c r="AY28" s="126"/>
      <c r="AZ28" s="137">
        <f t="shared" si="8"/>
        <v>0</v>
      </c>
      <c r="BB28" s="136">
        <f>SUMIFS(Tableau_Data[Masculin],Tableau_Data[Nom Réseau],Reseaux!$C28,Tableau_Data[Thèmes],Reseaux!$BB$9,Tableau_Data[Annee],Reseaux!$F$3,Tableau_Data[Mois],Reseaux!J$4)</f>
        <v>0</v>
      </c>
      <c r="BC28" s="126"/>
      <c r="BD28" s="136">
        <f>SUMIFS(Tableau_Data[Féminin],Tableau_Data[Nom Réseau],Reseaux!$C28,Tableau_Data[Thèmes],Reseaux!$BB$9,Tableau_Data[Annee],Reseaux!$F$3,Tableau_Data[Mois],Reseaux!$J$4)</f>
        <v>0</v>
      </c>
      <c r="BE28" s="126"/>
      <c r="BF28" s="137">
        <f t="shared" si="9"/>
        <v>0</v>
      </c>
      <c r="BH28" s="136">
        <f>SUMIFS(Tableau_Data[Masculin],Tableau_Data[Nom Réseau],Reseaux!$C28,Tableau_Data[Thèmes],Reseaux!$BH$9,Tableau_Data[Annee],Reseaux!$F$3,Tableau_Data[Mois],Reseaux!$J$4)</f>
        <v>0</v>
      </c>
      <c r="BI28" s="126"/>
      <c r="BJ28" s="136">
        <f>SUMIFS(Tableau_Data[Féminin],Tableau_Data[Nom Réseau],Reseaux!$C28,Tableau_Data[Thèmes],Reseaux!$BH$9,Tableau_Data[Annee],Reseaux!$F$3,Tableau_Data[Mois],Reseaux!$J$4)</f>
        <v>0</v>
      </c>
      <c r="BK28" s="126"/>
      <c r="BL28" s="137">
        <f t="shared" si="10"/>
        <v>0</v>
      </c>
      <c r="BN28" s="136">
        <f>SUMIFS(Tableau_Data[Masculin],Tableau_Data[Nom Réseau],Reseaux!$C28,Tableau_Data[Thèmes],Reseaux!$BN$9,Tableau_Data[Annee],Reseaux!$F$3,Tableau_Data[Mois],Reseaux!$J$4)</f>
        <v>0</v>
      </c>
      <c r="BO28" s="126"/>
      <c r="BP28" s="136">
        <f>SUMIFS(Tableau_Data[Féminin],Tableau_Data[Nom Réseau],Reseaux!$C28,Tableau_Data[Thèmes],Reseaux!$BN$9,Tableau_Data[Annee],Reseaux!$F$3,Tableau_Data[Mois],Reseaux!$J$4)</f>
        <v>0</v>
      </c>
      <c r="BQ28" s="126"/>
      <c r="BR28" s="137">
        <f t="shared" si="11"/>
        <v>0</v>
      </c>
      <c r="BT28" s="136">
        <f>SUMIFS(Tableau_Data[Masculin],Tableau_Data[Nom Réseau],Reseaux!$C28,Tableau_Data[Thèmes],Reseaux!$BT$9,Tableau_Data[Annee],Reseaux!$F$3,Tableau_Data[Mois],Reseaux!$J$4)</f>
        <v>0</v>
      </c>
      <c r="BU28" s="126"/>
      <c r="BV28" s="136">
        <f>SUMIFS(Tableau_Data[Féminin],Tableau_Data[Nom Réseau],Reseaux!$C28,Tableau_Data[Thèmes],Reseaux!$BT$9,Tableau_Data[Annee],Reseaux!$F$3,Tableau_Data[Mois],Reseaux!$J$4)</f>
        <v>0</v>
      </c>
      <c r="BW28" s="126"/>
      <c r="BX28" s="137">
        <f t="shared" si="12"/>
        <v>0</v>
      </c>
    </row>
    <row r="29" spans="1:76" ht="17.100000000000001" customHeight="1" x14ac:dyDescent="0.3">
      <c r="A29" s="82"/>
      <c r="B29" s="119">
        <f>IF(Reseaux!B28="","",1+B28)</f>
        <v>18</v>
      </c>
      <c r="C29" s="123" t="str">
        <f>Paramètres!N22</f>
        <v>CDS Fota</v>
      </c>
      <c r="D29" s="126"/>
      <c r="E29" s="136">
        <f>SUMIFS(Tableau_Data[Masculin],Tableau_Data[Nom Réseau],Reseaux!$C29,Tableau_Data[Annee],Reseaux!$F$3,Tableau_Data[Mois],Reseaux!J$4)</f>
        <v>0</v>
      </c>
      <c r="F29" s="126"/>
      <c r="G29" s="136">
        <f>SUMIFS(Tableau_Data[Féminin],Tableau_Data[Nom Réseau],Reseaux!$C29,Tableau_Data[Annee],Reseaux!$F$3,Tableau_Data[Mois],Reseaux!J$4)</f>
        <v>0</v>
      </c>
      <c r="H29" s="126"/>
      <c r="I29" s="137">
        <f t="shared" si="1"/>
        <v>0</v>
      </c>
      <c r="J29" s="126"/>
      <c r="K29" s="126"/>
      <c r="L29" s="138">
        <f>SUMIFS(Tableau_Data[Masculin],Tableau_Data[Nom Réseau],Reseaux!$C29,Tableau_Data[Lieu d''intervention],Reseaux!$L$9,Tableau_Data[Annee],Reseaux!$F$3,Tableau_Data[Mois],Reseaux!J$4)</f>
        <v>0</v>
      </c>
      <c r="M29" s="126"/>
      <c r="N29" s="136">
        <f>SUMIFS(Tableau_Data[Féminin],Tableau_Data[Nom Réseau],Reseaux!$C29,Tableau_Data[Lieu d''intervention],Reseaux!$L$9,Tableau_Data[Annee],Reseaux!$F$3,Tableau_Data[Mois],Reseaux!J$4)</f>
        <v>0</v>
      </c>
      <c r="O29" s="126"/>
      <c r="P29" s="137">
        <f t="shared" si="2"/>
        <v>0</v>
      </c>
      <c r="R29" s="136">
        <f>SUMIFS(Tableau_Data[Masculin],Tableau_Data[Nom Réseau],Reseaux!$C29,Tableau_Data[Lieu d''intervention],Reseaux!$R$9,Tableau_Data[Annee],Reseaux!$F$3,Tableau_Data[Mois],Reseaux!J$4)</f>
        <v>0</v>
      </c>
      <c r="S29" s="126"/>
      <c r="T29" s="136">
        <f>SUMIFS(Tableau_Data[Féminin],Tableau_Data[Nom Réseau],Reseaux!$C29,Tableau_Data[Lieu d''intervention],Reseaux!$R$9,Tableau_Data[Annee],Reseaux!$F$3,Tableau_Data[Mois],Reseaux!J$4)</f>
        <v>0</v>
      </c>
      <c r="U29" s="126"/>
      <c r="V29" s="137">
        <f t="shared" si="3"/>
        <v>0</v>
      </c>
      <c r="W29" s="108"/>
      <c r="X29" s="136">
        <f>SUMIFS(Tableau_Data[Masculin],Tableau_Data[Nom Réseau],Reseaux!$C29,Tableau_Data[Lieu d''intervention],Reseaux!$X$9,Tableau_Data[Annee],Reseaux!$F$3,Tableau_Data[Mois],Reseaux!J$4)</f>
        <v>0</v>
      </c>
      <c r="Y29" s="126"/>
      <c r="Z29" s="136">
        <f>SUMIFS(Tableau_Data[Féminin],Tableau_Data[Nom Réseau],Reseaux!$C29,Tableau_Data[Lieu d''intervention],Reseaux!$X$9,Tableau_Data[Annee],Reseaux!$F$3,Tableau_Data[Mois],Reseaux!J$4)</f>
        <v>0</v>
      </c>
      <c r="AA29" s="126"/>
      <c r="AB29" s="137">
        <f t="shared" si="4"/>
        <v>0</v>
      </c>
      <c r="AD29" s="136">
        <f>SUMIFS(Tableau_Data[Masculin],Tableau_Data[Nom Réseau],Reseaux!$C29,Tableau_Data[Lieu d''intervention],Reseaux!$AD$9,Tableau_Data[Annee],Reseaux!$F$3,Tableau_Data[Mois],Reseaux!J$4)</f>
        <v>0</v>
      </c>
      <c r="AE29" s="126"/>
      <c r="AF29" s="136">
        <f>SUMIFS(Tableau_Data[Féminin],Tableau_Data[Nom Réseau],Reseaux!$C29,Tableau_Data[Lieu d''intervention],Reseaux!$AD$9,Tableau_Data[Annee],Reseaux!$F$3,Tableau_Data[Mois],Reseaux!J$4)</f>
        <v>0</v>
      </c>
      <c r="AG29" s="126"/>
      <c r="AH29" s="137">
        <f t="shared" si="5"/>
        <v>0</v>
      </c>
      <c r="AJ29" s="136">
        <f>SUMIFS(Tableau_Data[Masculin],Tableau_Data[Nom Réseau],Reseaux!$C29,Tableau_Data[Thèmes],Reseaux!$AJ$9,Tableau_Data[Annee],Reseaux!$F$3,Tableau_Data[Mois],Reseaux!J$4)</f>
        <v>0</v>
      </c>
      <c r="AK29" s="126"/>
      <c r="AL29" s="136">
        <f>SUMIFS(Tableau_Data[Féminin],Tableau_Data[Nom Réseau],Reseaux!$C29,Tableau_Data[Thèmes],Reseaux!$AJ$9,Tableau_Data[Annee],Reseaux!$F$3,Tableau_Data[Mois],Reseaux!J$4)</f>
        <v>0</v>
      </c>
      <c r="AM29" s="126"/>
      <c r="AN29" s="137">
        <f t="shared" si="6"/>
        <v>0</v>
      </c>
      <c r="AP29" s="136">
        <f>SUMIFS(Tableau_Data[Masculin],Tableau_Data[Nom Réseau],Reseaux!$C29,Tableau_Data[Thèmes],Reseaux!$AP$9,Tableau_Data[Annee],Reseaux!$F$3,Tableau_Data[Mois],Reseaux!J$4)</f>
        <v>0</v>
      </c>
      <c r="AQ29" s="126"/>
      <c r="AR29" s="136">
        <f>SUMIFS(Tableau_Data[Féminin],Tableau_Data[Nom Réseau],Reseaux!$C29,Tableau_Data[Thèmes],Reseaux!$AP$9,Tableau_Data[Annee],Reseaux!$F$3,Tableau_Data[Mois],Reseaux!J$4)</f>
        <v>0</v>
      </c>
      <c r="AS29" s="126"/>
      <c r="AT29" s="137">
        <f t="shared" si="7"/>
        <v>0</v>
      </c>
      <c r="AV29" s="136">
        <f>SUMIFS(Tableau_Data[Masculin],Tableau_Data[Nom Réseau],Reseaux!$C29,Tableau_Data[Thèmes],Reseaux!$AV$9,Tableau_Data[Annee],Reseaux!$F$3,Tableau_Data[Mois],Reseaux!J$4)</f>
        <v>0</v>
      </c>
      <c r="AW29" s="126"/>
      <c r="AX29" s="136">
        <f>SUMIFS(Tableau_Data[Féminin],Tableau_Data[Nom Réseau],Reseaux!$C29,Tableau_Data[Thèmes],Reseaux!$AV$9,Tableau_Data[Annee],Reseaux!$F$3,Tableau_Data[Mois],Reseaux!J$4)</f>
        <v>0</v>
      </c>
      <c r="AY29" s="126"/>
      <c r="AZ29" s="137">
        <f t="shared" si="8"/>
        <v>0</v>
      </c>
      <c r="BB29" s="136">
        <f>SUMIFS(Tableau_Data[Masculin],Tableau_Data[Nom Réseau],Reseaux!$C29,Tableau_Data[Thèmes],Reseaux!$BB$9,Tableau_Data[Annee],Reseaux!$F$3,Tableau_Data[Mois],Reseaux!J$4)</f>
        <v>0</v>
      </c>
      <c r="BC29" s="126"/>
      <c r="BD29" s="136">
        <f>SUMIFS(Tableau_Data[Féminin],Tableau_Data[Nom Réseau],Reseaux!$C29,Tableau_Data[Thèmes],Reseaux!$BB$9,Tableau_Data[Annee],Reseaux!$F$3,Tableau_Data[Mois],Reseaux!$J$4)</f>
        <v>0</v>
      </c>
      <c r="BE29" s="126"/>
      <c r="BF29" s="137">
        <f t="shared" si="9"/>
        <v>0</v>
      </c>
      <c r="BH29" s="136">
        <f>SUMIFS(Tableau_Data[Masculin],Tableau_Data[Nom Réseau],Reseaux!$C29,Tableau_Data[Thèmes],Reseaux!$BH$9,Tableau_Data[Annee],Reseaux!$F$3,Tableau_Data[Mois],Reseaux!$J$4)</f>
        <v>0</v>
      </c>
      <c r="BI29" s="126"/>
      <c r="BJ29" s="136">
        <f>SUMIFS(Tableau_Data[Féminin],Tableau_Data[Nom Réseau],Reseaux!$C29,Tableau_Data[Thèmes],Reseaux!$BH$9,Tableau_Data[Annee],Reseaux!$F$3,Tableau_Data[Mois],Reseaux!$J$4)</f>
        <v>0</v>
      </c>
      <c r="BK29" s="126"/>
      <c r="BL29" s="137">
        <f t="shared" si="10"/>
        <v>0</v>
      </c>
      <c r="BN29" s="136">
        <f>SUMIFS(Tableau_Data[Masculin],Tableau_Data[Nom Réseau],Reseaux!$C29,Tableau_Data[Thèmes],Reseaux!$BN$9,Tableau_Data[Annee],Reseaux!$F$3,Tableau_Data[Mois],Reseaux!$J$4)</f>
        <v>0</v>
      </c>
      <c r="BO29" s="126"/>
      <c r="BP29" s="136">
        <f>SUMIFS(Tableau_Data[Féminin],Tableau_Data[Nom Réseau],Reseaux!$C29,Tableau_Data[Thèmes],Reseaux!$BN$9,Tableau_Data[Annee],Reseaux!$F$3,Tableau_Data[Mois],Reseaux!$J$4)</f>
        <v>0</v>
      </c>
      <c r="BQ29" s="126"/>
      <c r="BR29" s="137">
        <f t="shared" si="11"/>
        <v>0</v>
      </c>
      <c r="BT29" s="136">
        <f>SUMIFS(Tableau_Data[Masculin],Tableau_Data[Nom Réseau],Reseaux!$C29,Tableau_Data[Thèmes],Reseaux!$BT$9,Tableau_Data[Annee],Reseaux!$F$3,Tableau_Data[Mois],Reseaux!$J$4)</f>
        <v>0</v>
      </c>
      <c r="BU29" s="126"/>
      <c r="BV29" s="136">
        <f>SUMIFS(Tableau_Data[Féminin],Tableau_Data[Nom Réseau],Reseaux!$C29,Tableau_Data[Thèmes],Reseaux!$BT$9,Tableau_Data[Annee],Reseaux!$F$3,Tableau_Data[Mois],Reseaux!$J$4)</f>
        <v>0</v>
      </c>
      <c r="BW29" s="126"/>
      <c r="BX29" s="137">
        <f t="shared" si="12"/>
        <v>0</v>
      </c>
    </row>
    <row r="30" spans="1:76" ht="17.100000000000001" customHeight="1" x14ac:dyDescent="0.3">
      <c r="A30" s="82"/>
      <c r="B30" s="119">
        <f>IF(Reseaux!B29="","",1+B29)</f>
        <v>19</v>
      </c>
      <c r="C30" s="123" t="str">
        <f>Paramètres!N23</f>
        <v>CDS Gisozi</v>
      </c>
      <c r="D30" s="126"/>
      <c r="E30" s="136">
        <f>SUMIFS(Tableau_Data[Masculin],Tableau_Data[Nom Réseau],Reseaux!$C30,Tableau_Data[Annee],Reseaux!$F$3,Tableau_Data[Mois],Reseaux!J$4)</f>
        <v>0</v>
      </c>
      <c r="F30" s="126"/>
      <c r="G30" s="136">
        <f>SUMIFS(Tableau_Data[Féminin],Tableau_Data[Nom Réseau],Reseaux!$C30,Tableau_Data[Annee],Reseaux!$F$3,Tableau_Data[Mois],Reseaux!J$4)</f>
        <v>0</v>
      </c>
      <c r="H30" s="126"/>
      <c r="I30" s="137">
        <f t="shared" si="1"/>
        <v>0</v>
      </c>
      <c r="J30" s="126"/>
      <c r="K30" s="126"/>
      <c r="L30" s="138">
        <f>SUMIFS(Tableau_Data[Masculin],Tableau_Data[Nom Réseau],Reseaux!$C30,Tableau_Data[Lieu d''intervention],Reseaux!$L$9,Tableau_Data[Annee],Reseaux!$F$3,Tableau_Data[Mois],Reseaux!J$4)</f>
        <v>0</v>
      </c>
      <c r="M30" s="126"/>
      <c r="N30" s="136">
        <f>SUMIFS(Tableau_Data[Féminin],Tableau_Data[Nom Réseau],Reseaux!$C30,Tableau_Data[Lieu d''intervention],Reseaux!$L$9,Tableau_Data[Annee],Reseaux!$F$3,Tableau_Data[Mois],Reseaux!J$4)</f>
        <v>0</v>
      </c>
      <c r="O30" s="126"/>
      <c r="P30" s="137">
        <f t="shared" si="2"/>
        <v>0</v>
      </c>
      <c r="R30" s="136">
        <f>SUMIFS(Tableau_Data[Masculin],Tableau_Data[Nom Réseau],Reseaux!$C30,Tableau_Data[Lieu d''intervention],Reseaux!$R$9,Tableau_Data[Annee],Reseaux!$F$3,Tableau_Data[Mois],Reseaux!J$4)</f>
        <v>0</v>
      </c>
      <c r="S30" s="126"/>
      <c r="T30" s="136">
        <f>SUMIFS(Tableau_Data[Féminin],Tableau_Data[Nom Réseau],Reseaux!$C30,Tableau_Data[Lieu d''intervention],Reseaux!$R$9,Tableau_Data[Annee],Reseaux!$F$3,Tableau_Data[Mois],Reseaux!J$4)</f>
        <v>0</v>
      </c>
      <c r="U30" s="126"/>
      <c r="V30" s="137">
        <f t="shared" si="3"/>
        <v>0</v>
      </c>
      <c r="W30" s="108"/>
      <c r="X30" s="136">
        <f>SUMIFS(Tableau_Data[Masculin],Tableau_Data[Nom Réseau],Reseaux!$C30,Tableau_Data[Lieu d''intervention],Reseaux!$X$9,Tableau_Data[Annee],Reseaux!$F$3,Tableau_Data[Mois],Reseaux!J$4)</f>
        <v>0</v>
      </c>
      <c r="Y30" s="126"/>
      <c r="Z30" s="136">
        <f>SUMIFS(Tableau_Data[Féminin],Tableau_Data[Nom Réseau],Reseaux!$C30,Tableau_Data[Lieu d''intervention],Reseaux!$X$9,Tableau_Data[Annee],Reseaux!$F$3,Tableau_Data[Mois],Reseaux!J$4)</f>
        <v>0</v>
      </c>
      <c r="AA30" s="126"/>
      <c r="AB30" s="137">
        <f t="shared" si="4"/>
        <v>0</v>
      </c>
      <c r="AD30" s="136">
        <f>SUMIFS(Tableau_Data[Masculin],Tableau_Data[Nom Réseau],Reseaux!$C30,Tableau_Data[Lieu d''intervention],Reseaux!$AD$9,Tableau_Data[Annee],Reseaux!$F$3,Tableau_Data[Mois],Reseaux!J$4)</f>
        <v>0</v>
      </c>
      <c r="AE30" s="126"/>
      <c r="AF30" s="136">
        <f>SUMIFS(Tableau_Data[Féminin],Tableau_Data[Nom Réseau],Reseaux!$C30,Tableau_Data[Lieu d''intervention],Reseaux!$AD$9,Tableau_Data[Annee],Reseaux!$F$3,Tableau_Data[Mois],Reseaux!J$4)</f>
        <v>0</v>
      </c>
      <c r="AG30" s="126"/>
      <c r="AH30" s="137">
        <f t="shared" si="5"/>
        <v>0</v>
      </c>
      <c r="AJ30" s="136">
        <f>SUMIFS(Tableau_Data[Masculin],Tableau_Data[Nom Réseau],Reseaux!$C30,Tableau_Data[Thèmes],Reseaux!$AJ$9,Tableau_Data[Annee],Reseaux!$F$3,Tableau_Data[Mois],Reseaux!J$4)</f>
        <v>0</v>
      </c>
      <c r="AK30" s="126"/>
      <c r="AL30" s="136">
        <f>SUMIFS(Tableau_Data[Féminin],Tableau_Data[Nom Réseau],Reseaux!$C30,Tableau_Data[Thèmes],Reseaux!$AJ$9,Tableau_Data[Annee],Reseaux!$F$3,Tableau_Data[Mois],Reseaux!J$4)</f>
        <v>0</v>
      </c>
      <c r="AM30" s="126"/>
      <c r="AN30" s="137">
        <f t="shared" si="6"/>
        <v>0</v>
      </c>
      <c r="AP30" s="136">
        <f>SUMIFS(Tableau_Data[Masculin],Tableau_Data[Nom Réseau],Reseaux!$C30,Tableau_Data[Thèmes],Reseaux!$AP$9,Tableau_Data[Annee],Reseaux!$F$3,Tableau_Data[Mois],Reseaux!J$4)</f>
        <v>0</v>
      </c>
      <c r="AQ30" s="126"/>
      <c r="AR30" s="136">
        <f>SUMIFS(Tableau_Data[Féminin],Tableau_Data[Nom Réseau],Reseaux!$C30,Tableau_Data[Thèmes],Reseaux!$AP$9,Tableau_Data[Annee],Reseaux!$F$3,Tableau_Data[Mois],Reseaux!J$4)</f>
        <v>0</v>
      </c>
      <c r="AS30" s="126"/>
      <c r="AT30" s="137">
        <f t="shared" si="7"/>
        <v>0</v>
      </c>
      <c r="AV30" s="136">
        <f>SUMIFS(Tableau_Data[Masculin],Tableau_Data[Nom Réseau],Reseaux!$C30,Tableau_Data[Thèmes],Reseaux!$AV$9,Tableau_Data[Annee],Reseaux!$F$3,Tableau_Data[Mois],Reseaux!J$4)</f>
        <v>0</v>
      </c>
      <c r="AW30" s="126"/>
      <c r="AX30" s="136">
        <f>SUMIFS(Tableau_Data[Féminin],Tableau_Data[Nom Réseau],Reseaux!$C30,Tableau_Data[Thèmes],Reseaux!$AV$9,Tableau_Data[Annee],Reseaux!$F$3,Tableau_Data[Mois],Reseaux!J$4)</f>
        <v>0</v>
      </c>
      <c r="AY30" s="126"/>
      <c r="AZ30" s="137">
        <f t="shared" si="8"/>
        <v>0</v>
      </c>
      <c r="BB30" s="136">
        <f>SUMIFS(Tableau_Data[Masculin],Tableau_Data[Nom Réseau],Reseaux!$C30,Tableau_Data[Thèmes],Reseaux!$BB$9,Tableau_Data[Annee],Reseaux!$F$3,Tableau_Data[Mois],Reseaux!J$4)</f>
        <v>0</v>
      </c>
      <c r="BC30" s="126"/>
      <c r="BD30" s="136">
        <f>SUMIFS(Tableau_Data[Féminin],Tableau_Data[Nom Réseau],Reseaux!$C30,Tableau_Data[Thèmes],Reseaux!$BB$9,Tableau_Data[Annee],Reseaux!$F$3,Tableau_Data[Mois],Reseaux!$J$4)</f>
        <v>0</v>
      </c>
      <c r="BE30" s="126"/>
      <c r="BF30" s="137">
        <f t="shared" si="9"/>
        <v>0</v>
      </c>
      <c r="BH30" s="136">
        <f>SUMIFS(Tableau_Data[Masculin],Tableau_Data[Nom Réseau],Reseaux!$C30,Tableau_Data[Thèmes],Reseaux!$BH$9,Tableau_Data[Annee],Reseaux!$F$3,Tableau_Data[Mois],Reseaux!$J$4)</f>
        <v>0</v>
      </c>
      <c r="BI30" s="126"/>
      <c r="BJ30" s="136">
        <f>SUMIFS(Tableau_Data[Féminin],Tableau_Data[Nom Réseau],Reseaux!$C30,Tableau_Data[Thèmes],Reseaux!$BH$9,Tableau_Data[Annee],Reseaux!$F$3,Tableau_Data[Mois],Reseaux!$J$4)</f>
        <v>0</v>
      </c>
      <c r="BK30" s="126"/>
      <c r="BL30" s="137">
        <f t="shared" si="10"/>
        <v>0</v>
      </c>
      <c r="BN30" s="136">
        <f>SUMIFS(Tableau_Data[Masculin],Tableau_Data[Nom Réseau],Reseaux!$C30,Tableau_Data[Thèmes],Reseaux!$BN$9,Tableau_Data[Annee],Reseaux!$F$3,Tableau_Data[Mois],Reseaux!$J$4)</f>
        <v>0</v>
      </c>
      <c r="BO30" s="126"/>
      <c r="BP30" s="136">
        <f>SUMIFS(Tableau_Data[Féminin],Tableau_Data[Nom Réseau],Reseaux!$C30,Tableau_Data[Thèmes],Reseaux!$BN$9,Tableau_Data[Annee],Reseaux!$F$3,Tableau_Data[Mois],Reseaux!$J$4)</f>
        <v>0</v>
      </c>
      <c r="BQ30" s="126"/>
      <c r="BR30" s="137">
        <f t="shared" si="11"/>
        <v>0</v>
      </c>
      <c r="BT30" s="136">
        <f>SUMIFS(Tableau_Data[Masculin],Tableau_Data[Nom Réseau],Reseaux!$C30,Tableau_Data[Thèmes],Reseaux!$BT$9,Tableau_Data[Annee],Reseaux!$F$3,Tableau_Data[Mois],Reseaux!$J$4)</f>
        <v>0</v>
      </c>
      <c r="BU30" s="126"/>
      <c r="BV30" s="136">
        <f>SUMIFS(Tableau_Data[Féminin],Tableau_Data[Nom Réseau],Reseaux!$C30,Tableau_Data[Thèmes],Reseaux!$BT$9,Tableau_Data[Annee],Reseaux!$F$3,Tableau_Data[Mois],Reseaux!$J$4)</f>
        <v>0</v>
      </c>
      <c r="BW30" s="126"/>
      <c r="BX30" s="137">
        <f t="shared" si="12"/>
        <v>0</v>
      </c>
    </row>
    <row r="31" spans="1:76" ht="17.100000000000001" customHeight="1" x14ac:dyDescent="0.3">
      <c r="A31" s="82"/>
      <c r="B31" s="119">
        <f>IF(Reseaux!B30="","",1+B30)</f>
        <v>20</v>
      </c>
      <c r="C31" s="123" t="str">
        <f>Paramètres!N24</f>
        <v>CDS Ndava</v>
      </c>
      <c r="D31" s="126"/>
      <c r="E31" s="136">
        <f>SUMIFS(Tableau_Data[Masculin],Tableau_Data[Nom Réseau],Reseaux!$C31,Tableau_Data[Annee],Reseaux!$F$3,Tableau_Data[Mois],Reseaux!J$4)</f>
        <v>0</v>
      </c>
      <c r="F31" s="126"/>
      <c r="G31" s="136">
        <f>SUMIFS(Tableau_Data[Féminin],Tableau_Data[Nom Réseau],Reseaux!$C31,Tableau_Data[Annee],Reseaux!$F$3,Tableau_Data[Mois],Reseaux!J$4)</f>
        <v>0</v>
      </c>
      <c r="H31" s="126"/>
      <c r="I31" s="137">
        <f t="shared" si="1"/>
        <v>0</v>
      </c>
      <c r="J31" s="126"/>
      <c r="K31" s="126"/>
      <c r="L31" s="138">
        <f>SUMIFS(Tableau_Data[Masculin],Tableau_Data[Nom Réseau],Reseaux!$C31,Tableau_Data[Lieu d''intervention],Reseaux!$L$9,Tableau_Data[Annee],Reseaux!$F$3,Tableau_Data[Mois],Reseaux!J$4)</f>
        <v>0</v>
      </c>
      <c r="M31" s="126"/>
      <c r="N31" s="136">
        <f>SUMIFS(Tableau_Data[Féminin],Tableau_Data[Nom Réseau],Reseaux!$C31,Tableau_Data[Lieu d''intervention],Reseaux!$L$9,Tableau_Data[Annee],Reseaux!$F$3,Tableau_Data[Mois],Reseaux!J$4)</f>
        <v>0</v>
      </c>
      <c r="O31" s="126"/>
      <c r="P31" s="137">
        <f t="shared" si="2"/>
        <v>0</v>
      </c>
      <c r="R31" s="136">
        <f>SUMIFS(Tableau_Data[Masculin],Tableau_Data[Nom Réseau],Reseaux!$C31,Tableau_Data[Lieu d''intervention],Reseaux!$R$9,Tableau_Data[Annee],Reseaux!$F$3,Tableau_Data[Mois],Reseaux!J$4)</f>
        <v>0</v>
      </c>
      <c r="S31" s="126"/>
      <c r="T31" s="136">
        <f>SUMIFS(Tableau_Data[Féminin],Tableau_Data[Nom Réseau],Reseaux!$C31,Tableau_Data[Lieu d''intervention],Reseaux!$R$9,Tableau_Data[Annee],Reseaux!$F$3,Tableau_Data[Mois],Reseaux!J$4)</f>
        <v>0</v>
      </c>
      <c r="U31" s="126"/>
      <c r="V31" s="137">
        <f t="shared" si="3"/>
        <v>0</v>
      </c>
      <c r="W31" s="108"/>
      <c r="X31" s="136">
        <f>SUMIFS(Tableau_Data[Masculin],Tableau_Data[Nom Réseau],Reseaux!$C31,Tableau_Data[Lieu d''intervention],Reseaux!$X$9,Tableau_Data[Annee],Reseaux!$F$3,Tableau_Data[Mois],Reseaux!J$4)</f>
        <v>0</v>
      </c>
      <c r="Y31" s="126"/>
      <c r="Z31" s="136">
        <f>SUMIFS(Tableau_Data[Féminin],Tableau_Data[Nom Réseau],Reseaux!$C31,Tableau_Data[Lieu d''intervention],Reseaux!$X$9,Tableau_Data[Annee],Reseaux!$F$3,Tableau_Data[Mois],Reseaux!J$4)</f>
        <v>0</v>
      </c>
      <c r="AA31" s="126"/>
      <c r="AB31" s="137">
        <f t="shared" si="4"/>
        <v>0</v>
      </c>
      <c r="AD31" s="136">
        <f>SUMIFS(Tableau_Data[Masculin],Tableau_Data[Nom Réseau],Reseaux!$C31,Tableau_Data[Lieu d''intervention],Reseaux!$AD$9,Tableau_Data[Annee],Reseaux!$F$3,Tableau_Data[Mois],Reseaux!J$4)</f>
        <v>0</v>
      </c>
      <c r="AE31" s="126"/>
      <c r="AF31" s="136">
        <f>SUMIFS(Tableau_Data[Féminin],Tableau_Data[Nom Réseau],Reseaux!$C31,Tableau_Data[Lieu d''intervention],Reseaux!$AD$9,Tableau_Data[Annee],Reseaux!$F$3,Tableau_Data[Mois],Reseaux!J$4)</f>
        <v>0</v>
      </c>
      <c r="AG31" s="126"/>
      <c r="AH31" s="137">
        <f t="shared" si="5"/>
        <v>0</v>
      </c>
      <c r="AJ31" s="136">
        <f>SUMIFS(Tableau_Data[Masculin],Tableau_Data[Nom Réseau],Reseaux!$C31,Tableau_Data[Thèmes],Reseaux!$AJ$9,Tableau_Data[Annee],Reseaux!$F$3,Tableau_Data[Mois],Reseaux!J$4)</f>
        <v>0</v>
      </c>
      <c r="AK31" s="126"/>
      <c r="AL31" s="136">
        <f>SUMIFS(Tableau_Data[Féminin],Tableau_Data[Nom Réseau],Reseaux!$C31,Tableau_Data[Thèmes],Reseaux!$AJ$9,Tableau_Data[Annee],Reseaux!$F$3,Tableau_Data[Mois],Reseaux!J$4)</f>
        <v>0</v>
      </c>
      <c r="AM31" s="126"/>
      <c r="AN31" s="137">
        <f t="shared" si="6"/>
        <v>0</v>
      </c>
      <c r="AP31" s="136">
        <f>SUMIFS(Tableau_Data[Masculin],Tableau_Data[Nom Réseau],Reseaux!$C31,Tableau_Data[Thèmes],Reseaux!$AP$9,Tableau_Data[Annee],Reseaux!$F$3,Tableau_Data[Mois],Reseaux!J$4)</f>
        <v>0</v>
      </c>
      <c r="AQ31" s="126"/>
      <c r="AR31" s="136">
        <f>SUMIFS(Tableau_Data[Féminin],Tableau_Data[Nom Réseau],Reseaux!$C31,Tableau_Data[Thèmes],Reseaux!$AP$9,Tableau_Data[Annee],Reseaux!$F$3,Tableau_Data[Mois],Reseaux!J$4)</f>
        <v>0</v>
      </c>
      <c r="AS31" s="126"/>
      <c r="AT31" s="137">
        <f t="shared" si="7"/>
        <v>0</v>
      </c>
      <c r="AV31" s="136">
        <f>SUMIFS(Tableau_Data[Masculin],Tableau_Data[Nom Réseau],Reseaux!$C31,Tableau_Data[Thèmes],Reseaux!$AV$9,Tableau_Data[Annee],Reseaux!$F$3,Tableau_Data[Mois],Reseaux!J$4)</f>
        <v>0</v>
      </c>
      <c r="AW31" s="126"/>
      <c r="AX31" s="136">
        <f>SUMIFS(Tableau_Data[Féminin],Tableau_Data[Nom Réseau],Reseaux!$C31,Tableau_Data[Thèmes],Reseaux!$AV$9,Tableau_Data[Annee],Reseaux!$F$3,Tableau_Data[Mois],Reseaux!J$4)</f>
        <v>0</v>
      </c>
      <c r="AY31" s="126"/>
      <c r="AZ31" s="137">
        <f t="shared" si="8"/>
        <v>0</v>
      </c>
      <c r="BB31" s="136">
        <f>SUMIFS(Tableau_Data[Masculin],Tableau_Data[Nom Réseau],Reseaux!$C31,Tableau_Data[Thèmes],Reseaux!$BB$9,Tableau_Data[Annee],Reseaux!$F$3,Tableau_Data[Mois],Reseaux!J$4)</f>
        <v>0</v>
      </c>
      <c r="BC31" s="126"/>
      <c r="BD31" s="136">
        <f>SUMIFS(Tableau_Data[Féminin],Tableau_Data[Nom Réseau],Reseaux!$C31,Tableau_Data[Thèmes],Reseaux!$BB$9,Tableau_Data[Annee],Reseaux!$F$3,Tableau_Data[Mois],Reseaux!$J$4)</f>
        <v>0</v>
      </c>
      <c r="BE31" s="126"/>
      <c r="BF31" s="137">
        <f t="shared" si="9"/>
        <v>0</v>
      </c>
      <c r="BH31" s="136">
        <f>SUMIFS(Tableau_Data[Masculin],Tableau_Data[Nom Réseau],Reseaux!$C31,Tableau_Data[Thèmes],Reseaux!$BH$9,Tableau_Data[Annee],Reseaux!$F$3,Tableau_Data[Mois],Reseaux!$J$4)</f>
        <v>0</v>
      </c>
      <c r="BI31" s="126"/>
      <c r="BJ31" s="136">
        <f>SUMIFS(Tableau_Data[Féminin],Tableau_Data[Nom Réseau],Reseaux!$C31,Tableau_Data[Thèmes],Reseaux!$BH$9,Tableau_Data[Annee],Reseaux!$F$3,Tableau_Data[Mois],Reseaux!$J$4)</f>
        <v>0</v>
      </c>
      <c r="BK31" s="126"/>
      <c r="BL31" s="137">
        <f t="shared" si="10"/>
        <v>0</v>
      </c>
      <c r="BN31" s="136">
        <f>SUMIFS(Tableau_Data[Masculin],Tableau_Data[Nom Réseau],Reseaux!$C31,Tableau_Data[Thèmes],Reseaux!$BN$9,Tableau_Data[Annee],Reseaux!$F$3,Tableau_Data[Mois],Reseaux!$J$4)</f>
        <v>0</v>
      </c>
      <c r="BO31" s="126"/>
      <c r="BP31" s="136">
        <f>SUMIFS(Tableau_Data[Féminin],Tableau_Data[Nom Réseau],Reseaux!$C31,Tableau_Data[Thèmes],Reseaux!$BN$9,Tableau_Data[Annee],Reseaux!$F$3,Tableau_Data[Mois],Reseaux!$J$4)</f>
        <v>0</v>
      </c>
      <c r="BQ31" s="126"/>
      <c r="BR31" s="137">
        <f t="shared" si="11"/>
        <v>0</v>
      </c>
      <c r="BT31" s="136">
        <f>SUMIFS(Tableau_Data[Masculin],Tableau_Data[Nom Réseau],Reseaux!$C31,Tableau_Data[Thèmes],Reseaux!$BT$9,Tableau_Data[Annee],Reseaux!$F$3,Tableau_Data[Mois],Reseaux!$J$4)</f>
        <v>0</v>
      </c>
      <c r="BU31" s="126"/>
      <c r="BV31" s="136">
        <f>SUMIFS(Tableau_Data[Féminin],Tableau_Data[Nom Réseau],Reseaux!$C31,Tableau_Data[Thèmes],Reseaux!$BT$9,Tableau_Data[Annee],Reseaux!$F$3,Tableau_Data[Mois],Reseaux!$J$4)</f>
        <v>0</v>
      </c>
      <c r="BW31" s="126"/>
      <c r="BX31" s="137">
        <f t="shared" si="12"/>
        <v>0</v>
      </c>
    </row>
    <row r="32" spans="1:76" ht="17.100000000000001" customHeight="1" x14ac:dyDescent="0.3">
      <c r="A32" s="82"/>
      <c r="B32" s="119">
        <f>IF(Reseaux!B31="","",1+B31)</f>
        <v>21</v>
      </c>
      <c r="C32" s="123" t="str">
        <f>Paramètres!N25</f>
        <v>CDS Buziracanda</v>
      </c>
      <c r="D32" s="126"/>
      <c r="E32" s="136">
        <f>SUMIFS(Tableau_Data[Masculin],Tableau_Data[Nom Réseau],Reseaux!$C32,Tableau_Data[Annee],Reseaux!$F$3,Tableau_Data[Mois],Reseaux!J$4)</f>
        <v>0</v>
      </c>
      <c r="F32" s="126"/>
      <c r="G32" s="136">
        <f>SUMIFS(Tableau_Data[Féminin],Tableau_Data[Nom Réseau],Reseaux!$C32,Tableau_Data[Annee],Reseaux!$F$3,Tableau_Data[Mois],Reseaux!J$4)</f>
        <v>0</v>
      </c>
      <c r="H32" s="126"/>
      <c r="I32" s="137">
        <f t="shared" si="1"/>
        <v>0</v>
      </c>
      <c r="J32" s="126"/>
      <c r="K32" s="126"/>
      <c r="L32" s="138">
        <f>SUMIFS(Tableau_Data[Masculin],Tableau_Data[Nom Réseau],Reseaux!$C32,Tableau_Data[Lieu d''intervention],Reseaux!$L$9,Tableau_Data[Annee],Reseaux!$F$3,Tableau_Data[Mois],Reseaux!J$4)</f>
        <v>0</v>
      </c>
      <c r="M32" s="126"/>
      <c r="N32" s="136">
        <f>SUMIFS(Tableau_Data[Féminin],Tableau_Data[Nom Réseau],Reseaux!$C32,Tableau_Data[Lieu d''intervention],Reseaux!$L$9,Tableau_Data[Annee],Reseaux!$F$3,Tableau_Data[Mois],Reseaux!J$4)</f>
        <v>0</v>
      </c>
      <c r="O32" s="126"/>
      <c r="P32" s="137">
        <f t="shared" si="2"/>
        <v>0</v>
      </c>
      <c r="R32" s="136">
        <f>SUMIFS(Tableau_Data[Masculin],Tableau_Data[Nom Réseau],Reseaux!$C32,Tableau_Data[Lieu d''intervention],Reseaux!$R$9,Tableau_Data[Annee],Reseaux!$F$3,Tableau_Data[Mois],Reseaux!J$4)</f>
        <v>0</v>
      </c>
      <c r="S32" s="126"/>
      <c r="T32" s="136">
        <f>SUMIFS(Tableau_Data[Féminin],Tableau_Data[Nom Réseau],Reseaux!$C32,Tableau_Data[Lieu d''intervention],Reseaux!$R$9,Tableau_Data[Annee],Reseaux!$F$3,Tableau_Data[Mois],Reseaux!J$4)</f>
        <v>0</v>
      </c>
      <c r="U32" s="126"/>
      <c r="V32" s="137">
        <f t="shared" si="3"/>
        <v>0</v>
      </c>
      <c r="W32" s="108"/>
      <c r="X32" s="136">
        <f>SUMIFS(Tableau_Data[Masculin],Tableau_Data[Nom Réseau],Reseaux!$C32,Tableau_Data[Lieu d''intervention],Reseaux!$X$9,Tableau_Data[Annee],Reseaux!$F$3,Tableau_Data[Mois],Reseaux!J$4)</f>
        <v>0</v>
      </c>
      <c r="Y32" s="126"/>
      <c r="Z32" s="136">
        <f>SUMIFS(Tableau_Data[Féminin],Tableau_Data[Nom Réseau],Reseaux!$C32,Tableau_Data[Lieu d''intervention],Reseaux!$X$9,Tableau_Data[Annee],Reseaux!$F$3,Tableau_Data[Mois],Reseaux!J$4)</f>
        <v>0</v>
      </c>
      <c r="AA32" s="126"/>
      <c r="AB32" s="137">
        <f t="shared" si="4"/>
        <v>0</v>
      </c>
      <c r="AD32" s="136">
        <f>SUMIFS(Tableau_Data[Masculin],Tableau_Data[Nom Réseau],Reseaux!$C32,Tableau_Data[Lieu d''intervention],Reseaux!$AD$9,Tableau_Data[Annee],Reseaux!$F$3,Tableau_Data[Mois],Reseaux!J$4)</f>
        <v>0</v>
      </c>
      <c r="AE32" s="126"/>
      <c r="AF32" s="136">
        <f>SUMIFS(Tableau_Data[Féminin],Tableau_Data[Nom Réseau],Reseaux!$C32,Tableau_Data[Lieu d''intervention],Reseaux!$AD$9,Tableau_Data[Annee],Reseaux!$F$3,Tableau_Data[Mois],Reseaux!J$4)</f>
        <v>0</v>
      </c>
      <c r="AG32" s="126"/>
      <c r="AH32" s="137">
        <f t="shared" si="5"/>
        <v>0</v>
      </c>
      <c r="AJ32" s="136">
        <f>SUMIFS(Tableau_Data[Masculin],Tableau_Data[Nom Réseau],Reseaux!$C32,Tableau_Data[Thèmes],Reseaux!$AJ$9,Tableau_Data[Annee],Reseaux!$F$3,Tableau_Data[Mois],Reseaux!J$4)</f>
        <v>0</v>
      </c>
      <c r="AK32" s="126"/>
      <c r="AL32" s="136">
        <f>SUMIFS(Tableau_Data[Féminin],Tableau_Data[Nom Réseau],Reseaux!$C32,Tableau_Data[Thèmes],Reseaux!$AJ$9,Tableau_Data[Annee],Reseaux!$F$3,Tableau_Data[Mois],Reseaux!J$4)</f>
        <v>0</v>
      </c>
      <c r="AM32" s="126"/>
      <c r="AN32" s="137">
        <f t="shared" si="6"/>
        <v>0</v>
      </c>
      <c r="AP32" s="136">
        <f>SUMIFS(Tableau_Data[Masculin],Tableau_Data[Nom Réseau],Reseaux!$C32,Tableau_Data[Thèmes],Reseaux!$AP$9,Tableau_Data[Annee],Reseaux!$F$3,Tableau_Data[Mois],Reseaux!J$4)</f>
        <v>0</v>
      </c>
      <c r="AQ32" s="126"/>
      <c r="AR32" s="136">
        <f>SUMIFS(Tableau_Data[Féminin],Tableau_Data[Nom Réseau],Reseaux!$C32,Tableau_Data[Thèmes],Reseaux!$AP$9,Tableau_Data[Annee],Reseaux!$F$3,Tableau_Data[Mois],Reseaux!J$4)</f>
        <v>0</v>
      </c>
      <c r="AS32" s="126"/>
      <c r="AT32" s="137">
        <f t="shared" si="7"/>
        <v>0</v>
      </c>
      <c r="AV32" s="136">
        <f>SUMIFS(Tableau_Data[Masculin],Tableau_Data[Nom Réseau],Reseaux!$C32,Tableau_Data[Thèmes],Reseaux!$AV$9,Tableau_Data[Annee],Reseaux!$F$3,Tableau_Data[Mois],Reseaux!J$4)</f>
        <v>0</v>
      </c>
      <c r="AW32" s="126"/>
      <c r="AX32" s="136">
        <f>SUMIFS(Tableau_Data[Féminin],Tableau_Data[Nom Réseau],Reseaux!$C32,Tableau_Data[Thèmes],Reseaux!$AV$9,Tableau_Data[Annee],Reseaux!$F$3,Tableau_Data[Mois],Reseaux!J$4)</f>
        <v>0</v>
      </c>
      <c r="AY32" s="126"/>
      <c r="AZ32" s="137">
        <f t="shared" si="8"/>
        <v>0</v>
      </c>
      <c r="BB32" s="136">
        <f>SUMIFS(Tableau_Data[Masculin],Tableau_Data[Nom Réseau],Reseaux!$C32,Tableau_Data[Thèmes],Reseaux!$BB$9,Tableau_Data[Annee],Reseaux!$F$3,Tableau_Data[Mois],Reseaux!J$4)</f>
        <v>0</v>
      </c>
      <c r="BC32" s="126"/>
      <c r="BD32" s="136">
        <f>SUMIFS(Tableau_Data[Féminin],Tableau_Data[Nom Réseau],Reseaux!$C32,Tableau_Data[Thèmes],Reseaux!$BB$9,Tableau_Data[Annee],Reseaux!$F$3,Tableau_Data[Mois],Reseaux!$J$4)</f>
        <v>0</v>
      </c>
      <c r="BE32" s="126"/>
      <c r="BF32" s="137">
        <f t="shared" si="9"/>
        <v>0</v>
      </c>
      <c r="BH32" s="136">
        <f>SUMIFS(Tableau_Data[Masculin],Tableau_Data[Nom Réseau],Reseaux!$C32,Tableau_Data[Thèmes],Reseaux!$BH$9,Tableau_Data[Annee],Reseaux!$F$3,Tableau_Data[Mois],Reseaux!$J$4)</f>
        <v>0</v>
      </c>
      <c r="BI32" s="126"/>
      <c r="BJ32" s="136">
        <f>SUMIFS(Tableau_Data[Féminin],Tableau_Data[Nom Réseau],Reseaux!$C32,Tableau_Data[Thèmes],Reseaux!$BH$9,Tableau_Data[Annee],Reseaux!$F$3,Tableau_Data[Mois],Reseaux!$J$4)</f>
        <v>0</v>
      </c>
      <c r="BK32" s="126"/>
      <c r="BL32" s="137">
        <f t="shared" si="10"/>
        <v>0</v>
      </c>
      <c r="BN32" s="136">
        <f>SUMIFS(Tableau_Data[Masculin],Tableau_Data[Nom Réseau],Reseaux!$C32,Tableau_Data[Thèmes],Reseaux!$BN$9,Tableau_Data[Annee],Reseaux!$F$3,Tableau_Data[Mois],Reseaux!$J$4)</f>
        <v>0</v>
      </c>
      <c r="BO32" s="126"/>
      <c r="BP32" s="136">
        <f>SUMIFS(Tableau_Data[Féminin],Tableau_Data[Nom Réseau],Reseaux!$C32,Tableau_Data[Thèmes],Reseaux!$BN$9,Tableau_Data[Annee],Reseaux!$F$3,Tableau_Data[Mois],Reseaux!$J$4)</f>
        <v>0</v>
      </c>
      <c r="BQ32" s="126"/>
      <c r="BR32" s="137">
        <f t="shared" si="11"/>
        <v>0</v>
      </c>
      <c r="BT32" s="136">
        <f>SUMIFS(Tableau_Data[Masculin],Tableau_Data[Nom Réseau],Reseaux!$C32,Tableau_Data[Thèmes],Reseaux!$BT$9,Tableau_Data[Annee],Reseaux!$F$3,Tableau_Data[Mois],Reseaux!$J$4)</f>
        <v>0</v>
      </c>
      <c r="BU32" s="126"/>
      <c r="BV32" s="136">
        <f>SUMIFS(Tableau_Data[Féminin],Tableau_Data[Nom Réseau],Reseaux!$C32,Tableau_Data[Thèmes],Reseaux!$BT$9,Tableau_Data[Annee],Reseaux!$F$3,Tableau_Data[Mois],Reseaux!$J$4)</f>
        <v>0</v>
      </c>
      <c r="BW32" s="126"/>
      <c r="BX32" s="137">
        <f t="shared" si="12"/>
        <v>0</v>
      </c>
    </row>
    <row r="33" spans="1:76" ht="17.100000000000001" customHeight="1" x14ac:dyDescent="0.3">
      <c r="A33" s="82"/>
      <c r="B33" s="119">
        <f>IF(Reseaux!B32="","",1+B32)</f>
        <v>22</v>
      </c>
      <c r="C33" s="123" t="str">
        <f>Paramètres!N26</f>
        <v>CDS Nyabisaka</v>
      </c>
      <c r="D33" s="126"/>
      <c r="E33" s="136">
        <f>SUMIFS(Tableau_Data[Masculin],Tableau_Data[Nom Réseau],Reseaux!$C33,Tableau_Data[Annee],Reseaux!$F$3,Tableau_Data[Mois],Reseaux!J$4)</f>
        <v>0</v>
      </c>
      <c r="F33" s="126"/>
      <c r="G33" s="136">
        <f>SUMIFS(Tableau_Data[Féminin],Tableau_Data[Nom Réseau],Reseaux!$C33,Tableau_Data[Annee],Reseaux!$F$3,Tableau_Data[Mois],Reseaux!J$4)</f>
        <v>0</v>
      </c>
      <c r="H33" s="126"/>
      <c r="I33" s="137">
        <f t="shared" si="1"/>
        <v>0</v>
      </c>
      <c r="J33" s="126"/>
      <c r="K33" s="126"/>
      <c r="L33" s="138">
        <f>SUMIFS(Tableau_Data[Masculin],Tableau_Data[Nom Réseau],Reseaux!$C33,Tableau_Data[Lieu d''intervention],Reseaux!$L$9,Tableau_Data[Annee],Reseaux!$F$3,Tableau_Data[Mois],Reseaux!J$4)</f>
        <v>0</v>
      </c>
      <c r="M33" s="126"/>
      <c r="N33" s="136">
        <f>SUMIFS(Tableau_Data[Féminin],Tableau_Data[Nom Réseau],Reseaux!$C33,Tableau_Data[Lieu d''intervention],Reseaux!$L$9,Tableau_Data[Annee],Reseaux!$F$3,Tableau_Data[Mois],Reseaux!J$4)</f>
        <v>0</v>
      </c>
      <c r="O33" s="126"/>
      <c r="P33" s="137">
        <f t="shared" si="2"/>
        <v>0</v>
      </c>
      <c r="R33" s="136">
        <f>SUMIFS(Tableau_Data[Masculin],Tableau_Data[Nom Réseau],Reseaux!$C33,Tableau_Data[Lieu d''intervention],Reseaux!$R$9,Tableau_Data[Annee],Reseaux!$F$3,Tableau_Data[Mois],Reseaux!J$4)</f>
        <v>0</v>
      </c>
      <c r="S33" s="126"/>
      <c r="T33" s="136">
        <f>SUMIFS(Tableau_Data[Féminin],Tableau_Data[Nom Réseau],Reseaux!$C33,Tableau_Data[Lieu d''intervention],Reseaux!$R$9,Tableau_Data[Annee],Reseaux!$F$3,Tableau_Data[Mois],Reseaux!J$4)</f>
        <v>0</v>
      </c>
      <c r="U33" s="126"/>
      <c r="V33" s="137">
        <f t="shared" si="3"/>
        <v>0</v>
      </c>
      <c r="W33" s="108"/>
      <c r="X33" s="136">
        <f>SUMIFS(Tableau_Data[Masculin],Tableau_Data[Nom Réseau],Reseaux!$C33,Tableau_Data[Lieu d''intervention],Reseaux!$X$9,Tableau_Data[Annee],Reseaux!$F$3,Tableau_Data[Mois],Reseaux!J$4)</f>
        <v>0</v>
      </c>
      <c r="Y33" s="126"/>
      <c r="Z33" s="136">
        <f>SUMIFS(Tableau_Data[Féminin],Tableau_Data[Nom Réseau],Reseaux!$C33,Tableau_Data[Lieu d''intervention],Reseaux!$X$9,Tableau_Data[Annee],Reseaux!$F$3,Tableau_Data[Mois],Reseaux!J$4)</f>
        <v>0</v>
      </c>
      <c r="AA33" s="126"/>
      <c r="AB33" s="137">
        <f t="shared" si="4"/>
        <v>0</v>
      </c>
      <c r="AD33" s="136">
        <f>SUMIFS(Tableau_Data[Masculin],Tableau_Data[Nom Réseau],Reseaux!$C33,Tableau_Data[Lieu d''intervention],Reseaux!$AD$9,Tableau_Data[Annee],Reseaux!$F$3,Tableau_Data[Mois],Reseaux!J$4)</f>
        <v>0</v>
      </c>
      <c r="AE33" s="126"/>
      <c r="AF33" s="136">
        <f>SUMIFS(Tableau_Data[Féminin],Tableau_Data[Nom Réseau],Reseaux!$C33,Tableau_Data[Lieu d''intervention],Reseaux!$AD$9,Tableau_Data[Annee],Reseaux!$F$3,Tableau_Data[Mois],Reseaux!J$4)</f>
        <v>0</v>
      </c>
      <c r="AG33" s="126"/>
      <c r="AH33" s="137">
        <f t="shared" si="5"/>
        <v>0</v>
      </c>
      <c r="AJ33" s="136">
        <f>SUMIFS(Tableau_Data[Masculin],Tableau_Data[Nom Réseau],Reseaux!$C33,Tableau_Data[Thèmes],Reseaux!$AJ$9,Tableau_Data[Annee],Reseaux!$F$3,Tableau_Data[Mois],Reseaux!J$4)</f>
        <v>0</v>
      </c>
      <c r="AK33" s="126"/>
      <c r="AL33" s="136">
        <f>SUMIFS(Tableau_Data[Féminin],Tableau_Data[Nom Réseau],Reseaux!$C33,Tableau_Data[Thèmes],Reseaux!$AJ$9,Tableau_Data[Annee],Reseaux!$F$3,Tableau_Data[Mois],Reseaux!J$4)</f>
        <v>0</v>
      </c>
      <c r="AM33" s="126"/>
      <c r="AN33" s="137">
        <f t="shared" si="6"/>
        <v>0</v>
      </c>
      <c r="AP33" s="136">
        <f>SUMIFS(Tableau_Data[Masculin],Tableau_Data[Nom Réseau],Reseaux!$C33,Tableau_Data[Thèmes],Reseaux!$AP$9,Tableau_Data[Annee],Reseaux!$F$3,Tableau_Data[Mois],Reseaux!J$4)</f>
        <v>0</v>
      </c>
      <c r="AQ33" s="126"/>
      <c r="AR33" s="136">
        <f>SUMIFS(Tableau_Data[Féminin],Tableau_Data[Nom Réseau],Reseaux!$C33,Tableau_Data[Thèmes],Reseaux!$AP$9,Tableau_Data[Annee],Reseaux!$F$3,Tableau_Data[Mois],Reseaux!J$4)</f>
        <v>0</v>
      </c>
      <c r="AS33" s="126"/>
      <c r="AT33" s="137">
        <f t="shared" si="7"/>
        <v>0</v>
      </c>
      <c r="AV33" s="136">
        <f>SUMIFS(Tableau_Data[Masculin],Tableau_Data[Nom Réseau],Reseaux!$C33,Tableau_Data[Thèmes],Reseaux!$AV$9,Tableau_Data[Annee],Reseaux!$F$3,Tableau_Data[Mois],Reseaux!J$4)</f>
        <v>0</v>
      </c>
      <c r="AW33" s="126"/>
      <c r="AX33" s="136">
        <f>SUMIFS(Tableau_Data[Féminin],Tableau_Data[Nom Réseau],Reseaux!$C33,Tableau_Data[Thèmes],Reseaux!$AV$9,Tableau_Data[Annee],Reseaux!$F$3,Tableau_Data[Mois],Reseaux!J$4)</f>
        <v>0</v>
      </c>
      <c r="AY33" s="126"/>
      <c r="AZ33" s="137">
        <f t="shared" si="8"/>
        <v>0</v>
      </c>
      <c r="BB33" s="136">
        <f>SUMIFS(Tableau_Data[Masculin],Tableau_Data[Nom Réseau],Reseaux!$C33,Tableau_Data[Thèmes],Reseaux!$BB$9,Tableau_Data[Annee],Reseaux!$F$3,Tableau_Data[Mois],Reseaux!J$4)</f>
        <v>0</v>
      </c>
      <c r="BC33" s="126"/>
      <c r="BD33" s="136">
        <f>SUMIFS(Tableau_Data[Féminin],Tableau_Data[Nom Réseau],Reseaux!$C33,Tableau_Data[Thèmes],Reseaux!$BB$9,Tableau_Data[Annee],Reseaux!$F$3,Tableau_Data[Mois],Reseaux!$J$4)</f>
        <v>0</v>
      </c>
      <c r="BE33" s="126"/>
      <c r="BF33" s="137">
        <f t="shared" si="9"/>
        <v>0</v>
      </c>
      <c r="BH33" s="136">
        <f>SUMIFS(Tableau_Data[Masculin],Tableau_Data[Nom Réseau],Reseaux!$C33,Tableau_Data[Thèmes],Reseaux!$BH$9,Tableau_Data[Annee],Reseaux!$F$3,Tableau_Data[Mois],Reseaux!$J$4)</f>
        <v>0</v>
      </c>
      <c r="BI33" s="126"/>
      <c r="BJ33" s="136">
        <f>SUMIFS(Tableau_Data[Féminin],Tableau_Data[Nom Réseau],Reseaux!$C33,Tableau_Data[Thèmes],Reseaux!$BH$9,Tableau_Data[Annee],Reseaux!$F$3,Tableau_Data[Mois],Reseaux!$J$4)</f>
        <v>0</v>
      </c>
      <c r="BK33" s="126"/>
      <c r="BL33" s="137">
        <f t="shared" si="10"/>
        <v>0</v>
      </c>
      <c r="BN33" s="136">
        <f>SUMIFS(Tableau_Data[Masculin],Tableau_Data[Nom Réseau],Reseaux!$C33,Tableau_Data[Thèmes],Reseaux!$BN$9,Tableau_Data[Annee],Reseaux!$F$3,Tableau_Data[Mois],Reseaux!$J$4)</f>
        <v>0</v>
      </c>
      <c r="BO33" s="126"/>
      <c r="BP33" s="136">
        <f>SUMIFS(Tableau_Data[Féminin],Tableau_Data[Nom Réseau],Reseaux!$C33,Tableau_Data[Thèmes],Reseaux!$BN$9,Tableau_Data[Annee],Reseaux!$F$3,Tableau_Data[Mois],Reseaux!$J$4)</f>
        <v>0</v>
      </c>
      <c r="BQ33" s="126"/>
      <c r="BR33" s="137">
        <f t="shared" si="11"/>
        <v>0</v>
      </c>
      <c r="BT33" s="136">
        <f>SUMIFS(Tableau_Data[Masculin],Tableau_Data[Nom Réseau],Reseaux!$C33,Tableau_Data[Thèmes],Reseaux!$BT$9,Tableau_Data[Annee],Reseaux!$F$3,Tableau_Data[Mois],Reseaux!$J$4)</f>
        <v>0</v>
      </c>
      <c r="BU33" s="126"/>
      <c r="BV33" s="136">
        <f>SUMIFS(Tableau_Data[Féminin],Tableau_Data[Nom Réseau],Reseaux!$C33,Tableau_Data[Thèmes],Reseaux!$BT$9,Tableau_Data[Annee],Reseaux!$F$3,Tableau_Data[Mois],Reseaux!$J$4)</f>
        <v>0</v>
      </c>
      <c r="BW33" s="126"/>
      <c r="BX33" s="137">
        <f t="shared" si="12"/>
        <v>0</v>
      </c>
    </row>
    <row r="34" spans="1:76" ht="17.100000000000001" customHeight="1" x14ac:dyDescent="0.3">
      <c r="A34" s="82"/>
      <c r="B34" s="119">
        <f>IF(Reseaux!B33="","",1+B33)</f>
        <v>23</v>
      </c>
      <c r="C34" s="123" t="str">
        <f>Paramètres!N27</f>
        <v>CDS Nyabihanga</v>
      </c>
      <c r="D34" s="126"/>
      <c r="E34" s="136">
        <f>SUMIFS(Tableau_Data[Masculin],Tableau_Data[Nom Réseau],Reseaux!$C34,Tableau_Data[Annee],Reseaux!$F$3,Tableau_Data[Mois],Reseaux!J$4)</f>
        <v>0</v>
      </c>
      <c r="F34" s="126"/>
      <c r="G34" s="136">
        <f>SUMIFS(Tableau_Data[Féminin],Tableau_Data[Nom Réseau],Reseaux!$C34,Tableau_Data[Annee],Reseaux!$F$3,Tableau_Data[Mois],Reseaux!J$4)</f>
        <v>0</v>
      </c>
      <c r="H34" s="126"/>
      <c r="I34" s="137">
        <f t="shared" si="1"/>
        <v>0</v>
      </c>
      <c r="J34" s="126"/>
      <c r="K34" s="126"/>
      <c r="L34" s="138">
        <f>SUMIFS(Tableau_Data[Masculin],Tableau_Data[Nom Réseau],Reseaux!$C34,Tableau_Data[Lieu d''intervention],Reseaux!$L$9,Tableau_Data[Annee],Reseaux!$F$3,Tableau_Data[Mois],Reseaux!J$4)</f>
        <v>0</v>
      </c>
      <c r="M34" s="126"/>
      <c r="N34" s="136">
        <f>SUMIFS(Tableau_Data[Féminin],Tableau_Data[Nom Réseau],Reseaux!$C34,Tableau_Data[Lieu d''intervention],Reseaux!$L$9,Tableau_Data[Annee],Reseaux!$F$3,Tableau_Data[Mois],Reseaux!J$4)</f>
        <v>0</v>
      </c>
      <c r="O34" s="126"/>
      <c r="P34" s="137">
        <f t="shared" si="2"/>
        <v>0</v>
      </c>
      <c r="R34" s="136">
        <f>SUMIFS(Tableau_Data[Masculin],Tableau_Data[Nom Réseau],Reseaux!$C34,Tableau_Data[Lieu d''intervention],Reseaux!$R$9,Tableau_Data[Annee],Reseaux!$F$3,Tableau_Data[Mois],Reseaux!J$4)</f>
        <v>0</v>
      </c>
      <c r="S34" s="126"/>
      <c r="T34" s="136">
        <f>SUMIFS(Tableau_Data[Féminin],Tableau_Data[Nom Réseau],Reseaux!$C34,Tableau_Data[Lieu d''intervention],Reseaux!$R$9,Tableau_Data[Annee],Reseaux!$F$3,Tableau_Data[Mois],Reseaux!J$4)</f>
        <v>0</v>
      </c>
      <c r="U34" s="126"/>
      <c r="V34" s="137">
        <f t="shared" si="3"/>
        <v>0</v>
      </c>
      <c r="W34" s="108"/>
      <c r="X34" s="136">
        <f>SUMIFS(Tableau_Data[Masculin],Tableau_Data[Nom Réseau],Reseaux!$C34,Tableau_Data[Lieu d''intervention],Reseaux!$X$9,Tableau_Data[Annee],Reseaux!$F$3,Tableau_Data[Mois],Reseaux!J$4)</f>
        <v>0</v>
      </c>
      <c r="Y34" s="126"/>
      <c r="Z34" s="136">
        <f>SUMIFS(Tableau_Data[Féminin],Tableau_Data[Nom Réseau],Reseaux!$C34,Tableau_Data[Lieu d''intervention],Reseaux!$X$9,Tableau_Data[Annee],Reseaux!$F$3,Tableau_Data[Mois],Reseaux!J$4)</f>
        <v>0</v>
      </c>
      <c r="AA34" s="126"/>
      <c r="AB34" s="137">
        <f t="shared" si="4"/>
        <v>0</v>
      </c>
      <c r="AD34" s="136">
        <f>SUMIFS(Tableau_Data[Masculin],Tableau_Data[Nom Réseau],Reseaux!$C34,Tableau_Data[Lieu d''intervention],Reseaux!$AD$9,Tableau_Data[Annee],Reseaux!$F$3,Tableau_Data[Mois],Reseaux!J$4)</f>
        <v>0</v>
      </c>
      <c r="AE34" s="126"/>
      <c r="AF34" s="136">
        <f>SUMIFS(Tableau_Data[Féminin],Tableau_Data[Nom Réseau],Reseaux!$C34,Tableau_Data[Lieu d''intervention],Reseaux!$AD$9,Tableau_Data[Annee],Reseaux!$F$3,Tableau_Data[Mois],Reseaux!J$4)</f>
        <v>0</v>
      </c>
      <c r="AG34" s="126"/>
      <c r="AH34" s="137">
        <f t="shared" si="5"/>
        <v>0</v>
      </c>
      <c r="AJ34" s="136">
        <f>SUMIFS(Tableau_Data[Masculin],Tableau_Data[Nom Réseau],Reseaux!$C34,Tableau_Data[Thèmes],Reseaux!$AJ$9,Tableau_Data[Annee],Reseaux!$F$3,Tableau_Data[Mois],Reseaux!J$4)</f>
        <v>0</v>
      </c>
      <c r="AK34" s="126"/>
      <c r="AL34" s="136">
        <f>SUMIFS(Tableau_Data[Féminin],Tableau_Data[Nom Réseau],Reseaux!$C34,Tableau_Data[Thèmes],Reseaux!$AJ$9,Tableau_Data[Annee],Reseaux!$F$3,Tableau_Data[Mois],Reseaux!J$4)</f>
        <v>0</v>
      </c>
      <c r="AM34" s="126"/>
      <c r="AN34" s="137">
        <f t="shared" si="6"/>
        <v>0</v>
      </c>
      <c r="AP34" s="136">
        <f>SUMIFS(Tableau_Data[Masculin],Tableau_Data[Nom Réseau],Reseaux!$C34,Tableau_Data[Thèmes],Reseaux!$AP$9,Tableau_Data[Annee],Reseaux!$F$3,Tableau_Data[Mois],Reseaux!J$4)</f>
        <v>0</v>
      </c>
      <c r="AQ34" s="126"/>
      <c r="AR34" s="136">
        <f>SUMIFS(Tableau_Data[Féminin],Tableau_Data[Nom Réseau],Reseaux!$C34,Tableau_Data[Thèmes],Reseaux!$AP$9,Tableau_Data[Annee],Reseaux!$F$3,Tableau_Data[Mois],Reseaux!J$4)</f>
        <v>0</v>
      </c>
      <c r="AS34" s="126"/>
      <c r="AT34" s="137">
        <f t="shared" si="7"/>
        <v>0</v>
      </c>
      <c r="AV34" s="136">
        <f>SUMIFS(Tableau_Data[Masculin],Tableau_Data[Nom Réseau],Reseaux!$C34,Tableau_Data[Thèmes],Reseaux!$AV$9,Tableau_Data[Annee],Reseaux!$F$3,Tableau_Data[Mois],Reseaux!J$4)</f>
        <v>0</v>
      </c>
      <c r="AW34" s="126"/>
      <c r="AX34" s="136">
        <f>SUMIFS(Tableau_Data[Féminin],Tableau_Data[Nom Réseau],Reseaux!$C34,Tableau_Data[Thèmes],Reseaux!$AV$9,Tableau_Data[Annee],Reseaux!$F$3,Tableau_Data[Mois],Reseaux!J$4)</f>
        <v>0</v>
      </c>
      <c r="AY34" s="126"/>
      <c r="AZ34" s="137">
        <f t="shared" si="8"/>
        <v>0</v>
      </c>
      <c r="BB34" s="136">
        <f>SUMIFS(Tableau_Data[Masculin],Tableau_Data[Nom Réseau],Reseaux!$C34,Tableau_Data[Thèmes],Reseaux!$BB$9,Tableau_Data[Annee],Reseaux!$F$3,Tableau_Data[Mois],Reseaux!J$4)</f>
        <v>0</v>
      </c>
      <c r="BC34" s="126"/>
      <c r="BD34" s="136">
        <f>SUMIFS(Tableau_Data[Féminin],Tableau_Data[Nom Réseau],Reseaux!$C34,Tableau_Data[Thèmes],Reseaux!$BB$9,Tableau_Data[Annee],Reseaux!$F$3,Tableau_Data[Mois],Reseaux!$J$4)</f>
        <v>0</v>
      </c>
      <c r="BE34" s="126"/>
      <c r="BF34" s="137">
        <f t="shared" si="9"/>
        <v>0</v>
      </c>
      <c r="BH34" s="136">
        <f>SUMIFS(Tableau_Data[Masculin],Tableau_Data[Nom Réseau],Reseaux!$C34,Tableau_Data[Thèmes],Reseaux!$BH$9,Tableau_Data[Annee],Reseaux!$F$3,Tableau_Data[Mois],Reseaux!$J$4)</f>
        <v>0</v>
      </c>
      <c r="BI34" s="126"/>
      <c r="BJ34" s="136">
        <f>SUMIFS(Tableau_Data[Féminin],Tableau_Data[Nom Réseau],Reseaux!$C34,Tableau_Data[Thèmes],Reseaux!$BH$9,Tableau_Data[Annee],Reseaux!$F$3,Tableau_Data[Mois],Reseaux!$J$4)</f>
        <v>0</v>
      </c>
      <c r="BK34" s="126"/>
      <c r="BL34" s="137">
        <f t="shared" si="10"/>
        <v>0</v>
      </c>
      <c r="BN34" s="136">
        <f>SUMIFS(Tableau_Data[Masculin],Tableau_Data[Nom Réseau],Reseaux!$C34,Tableau_Data[Thèmes],Reseaux!$BN$9,Tableau_Data[Annee],Reseaux!$F$3,Tableau_Data[Mois],Reseaux!$J$4)</f>
        <v>0</v>
      </c>
      <c r="BO34" s="126"/>
      <c r="BP34" s="136">
        <f>SUMIFS(Tableau_Data[Féminin],Tableau_Data[Nom Réseau],Reseaux!$C34,Tableau_Data[Thèmes],Reseaux!$BN$9,Tableau_Data[Annee],Reseaux!$F$3,Tableau_Data[Mois],Reseaux!$J$4)</f>
        <v>0</v>
      </c>
      <c r="BQ34" s="126"/>
      <c r="BR34" s="137">
        <f t="shared" si="11"/>
        <v>0</v>
      </c>
      <c r="BT34" s="136">
        <f>SUMIFS(Tableau_Data[Masculin],Tableau_Data[Nom Réseau],Reseaux!$C34,Tableau_Data[Thèmes],Reseaux!$BT$9,Tableau_Data[Annee],Reseaux!$F$3,Tableau_Data[Mois],Reseaux!$J$4)</f>
        <v>0</v>
      </c>
      <c r="BU34" s="126"/>
      <c r="BV34" s="136">
        <f>SUMIFS(Tableau_Data[Féminin],Tableau_Data[Nom Réseau],Reseaux!$C34,Tableau_Data[Thèmes],Reseaux!$BT$9,Tableau_Data[Annee],Reseaux!$F$3,Tableau_Data[Mois],Reseaux!$J$4)</f>
        <v>0</v>
      </c>
      <c r="BW34" s="126"/>
      <c r="BX34" s="137">
        <f t="shared" si="12"/>
        <v>0</v>
      </c>
    </row>
    <row r="35" spans="1:76" ht="17.100000000000001" customHeight="1" x14ac:dyDescent="0.3">
      <c r="A35" s="82"/>
      <c r="B35" s="119">
        <f>IF(Reseaux!B34="","",1+B34)</f>
        <v>24</v>
      </c>
      <c r="C35" s="123" t="str">
        <f>Paramètres!N28</f>
        <v>CDS Muyebe</v>
      </c>
      <c r="D35" s="126"/>
      <c r="E35" s="136">
        <f>SUMIFS(Tableau_Data[Masculin],Tableau_Data[Nom Réseau],Reseaux!$C35,Tableau_Data[Annee],Reseaux!$F$3,Tableau_Data[Mois],Reseaux!J$4)</f>
        <v>0</v>
      </c>
      <c r="F35" s="126"/>
      <c r="G35" s="136">
        <f>SUMIFS(Tableau_Data[Féminin],Tableau_Data[Nom Réseau],Reseaux!$C35,Tableau_Data[Annee],Reseaux!$F$3,Tableau_Data[Mois],Reseaux!J$4)</f>
        <v>0</v>
      </c>
      <c r="H35" s="126"/>
      <c r="I35" s="137">
        <f t="shared" si="1"/>
        <v>0</v>
      </c>
      <c r="J35" s="126"/>
      <c r="K35" s="126"/>
      <c r="L35" s="138">
        <f>SUMIFS(Tableau_Data[Masculin],Tableau_Data[Nom Réseau],Reseaux!$C35,Tableau_Data[Lieu d''intervention],Reseaux!$L$9,Tableau_Data[Annee],Reseaux!$F$3,Tableau_Data[Mois],Reseaux!J$4)</f>
        <v>0</v>
      </c>
      <c r="M35" s="126"/>
      <c r="N35" s="136">
        <f>SUMIFS(Tableau_Data[Féminin],Tableau_Data[Nom Réseau],Reseaux!$C35,Tableau_Data[Lieu d''intervention],Reseaux!$L$9,Tableau_Data[Annee],Reseaux!$F$3,Tableau_Data[Mois],Reseaux!J$4)</f>
        <v>0</v>
      </c>
      <c r="O35" s="126"/>
      <c r="P35" s="137">
        <f t="shared" si="2"/>
        <v>0</v>
      </c>
      <c r="R35" s="136">
        <f>SUMIFS(Tableau_Data[Masculin],Tableau_Data[Nom Réseau],Reseaux!$C35,Tableau_Data[Lieu d''intervention],Reseaux!$R$9,Tableau_Data[Annee],Reseaux!$F$3,Tableau_Data[Mois],Reseaux!J$4)</f>
        <v>0</v>
      </c>
      <c r="S35" s="126"/>
      <c r="T35" s="136">
        <f>SUMIFS(Tableau_Data[Féminin],Tableau_Data[Nom Réseau],Reseaux!$C35,Tableau_Data[Lieu d''intervention],Reseaux!$R$9,Tableau_Data[Annee],Reseaux!$F$3,Tableau_Data[Mois],Reseaux!J$4)</f>
        <v>0</v>
      </c>
      <c r="U35" s="126"/>
      <c r="V35" s="137">
        <f t="shared" si="3"/>
        <v>0</v>
      </c>
      <c r="W35" s="108"/>
      <c r="X35" s="136">
        <f>SUMIFS(Tableau_Data[Masculin],Tableau_Data[Nom Réseau],Reseaux!$C35,Tableau_Data[Lieu d''intervention],Reseaux!$X$9,Tableau_Data[Annee],Reseaux!$F$3,Tableau_Data[Mois],Reseaux!J$4)</f>
        <v>0</v>
      </c>
      <c r="Y35" s="126"/>
      <c r="Z35" s="136">
        <f>SUMIFS(Tableau_Data[Féminin],Tableau_Data[Nom Réseau],Reseaux!$C35,Tableau_Data[Lieu d''intervention],Reseaux!$X$9,Tableau_Data[Annee],Reseaux!$F$3,Tableau_Data[Mois],Reseaux!J$4)</f>
        <v>0</v>
      </c>
      <c r="AA35" s="126"/>
      <c r="AB35" s="137">
        <f t="shared" si="4"/>
        <v>0</v>
      </c>
      <c r="AD35" s="136">
        <f>SUMIFS(Tableau_Data[Masculin],Tableau_Data[Nom Réseau],Reseaux!$C35,Tableau_Data[Lieu d''intervention],Reseaux!$AD$9,Tableau_Data[Annee],Reseaux!$F$3,Tableau_Data[Mois],Reseaux!J$4)</f>
        <v>0</v>
      </c>
      <c r="AE35" s="126"/>
      <c r="AF35" s="136">
        <f>SUMIFS(Tableau_Data[Féminin],Tableau_Data[Nom Réseau],Reseaux!$C35,Tableau_Data[Lieu d''intervention],Reseaux!$AD$9,Tableau_Data[Annee],Reseaux!$F$3,Tableau_Data[Mois],Reseaux!J$4)</f>
        <v>0</v>
      </c>
      <c r="AG35" s="126"/>
      <c r="AH35" s="137">
        <f t="shared" si="5"/>
        <v>0</v>
      </c>
      <c r="AJ35" s="136">
        <f>SUMIFS(Tableau_Data[Masculin],Tableau_Data[Nom Réseau],Reseaux!$C35,Tableau_Data[Thèmes],Reseaux!$AJ$9,Tableau_Data[Annee],Reseaux!$F$3,Tableau_Data[Mois],Reseaux!J$4)</f>
        <v>0</v>
      </c>
      <c r="AK35" s="126"/>
      <c r="AL35" s="136">
        <f>SUMIFS(Tableau_Data[Féminin],Tableau_Data[Nom Réseau],Reseaux!$C35,Tableau_Data[Thèmes],Reseaux!$AJ$9,Tableau_Data[Annee],Reseaux!$F$3,Tableau_Data[Mois],Reseaux!J$4)</f>
        <v>0</v>
      </c>
      <c r="AM35" s="126"/>
      <c r="AN35" s="137">
        <f t="shared" si="6"/>
        <v>0</v>
      </c>
      <c r="AP35" s="136">
        <f>SUMIFS(Tableau_Data[Masculin],Tableau_Data[Nom Réseau],Reseaux!$C35,Tableau_Data[Thèmes],Reseaux!$AP$9,Tableau_Data[Annee],Reseaux!$F$3,Tableau_Data[Mois],Reseaux!J$4)</f>
        <v>0</v>
      </c>
      <c r="AQ35" s="126"/>
      <c r="AR35" s="136">
        <f>SUMIFS(Tableau_Data[Féminin],Tableau_Data[Nom Réseau],Reseaux!$C35,Tableau_Data[Thèmes],Reseaux!$AP$9,Tableau_Data[Annee],Reseaux!$F$3,Tableau_Data[Mois],Reseaux!J$4)</f>
        <v>0</v>
      </c>
      <c r="AS35" s="126"/>
      <c r="AT35" s="137">
        <f t="shared" si="7"/>
        <v>0</v>
      </c>
      <c r="AV35" s="136">
        <f>SUMIFS(Tableau_Data[Masculin],Tableau_Data[Nom Réseau],Reseaux!$C35,Tableau_Data[Thèmes],Reseaux!$AV$9,Tableau_Data[Annee],Reseaux!$F$3,Tableau_Data[Mois],Reseaux!J$4)</f>
        <v>0</v>
      </c>
      <c r="AW35" s="126"/>
      <c r="AX35" s="136">
        <f>SUMIFS(Tableau_Data[Féminin],Tableau_Data[Nom Réseau],Reseaux!$C35,Tableau_Data[Thèmes],Reseaux!$AV$9,Tableau_Data[Annee],Reseaux!$F$3,Tableau_Data[Mois],Reseaux!J$4)</f>
        <v>0</v>
      </c>
      <c r="AY35" s="126"/>
      <c r="AZ35" s="137">
        <f t="shared" si="8"/>
        <v>0</v>
      </c>
      <c r="BB35" s="136">
        <f>SUMIFS(Tableau_Data[Masculin],Tableau_Data[Nom Réseau],Reseaux!$C35,Tableau_Data[Thèmes],Reseaux!$BB$9,Tableau_Data[Annee],Reseaux!$F$3,Tableau_Data[Mois],Reseaux!J$4)</f>
        <v>0</v>
      </c>
      <c r="BC35" s="126"/>
      <c r="BD35" s="136">
        <f>SUMIFS(Tableau_Data[Féminin],Tableau_Data[Nom Réseau],Reseaux!$C35,Tableau_Data[Thèmes],Reseaux!$BB$9,Tableau_Data[Annee],Reseaux!$F$3,Tableau_Data[Mois],Reseaux!$J$4)</f>
        <v>0</v>
      </c>
      <c r="BE35" s="126"/>
      <c r="BF35" s="137">
        <f t="shared" si="9"/>
        <v>0</v>
      </c>
      <c r="BH35" s="136">
        <f>SUMIFS(Tableau_Data[Masculin],Tableau_Data[Nom Réseau],Reseaux!$C35,Tableau_Data[Thèmes],Reseaux!$BH$9,Tableau_Data[Annee],Reseaux!$F$3,Tableau_Data[Mois],Reseaux!$J$4)</f>
        <v>0</v>
      </c>
      <c r="BI35" s="126"/>
      <c r="BJ35" s="136">
        <f>SUMIFS(Tableau_Data[Féminin],Tableau_Data[Nom Réseau],Reseaux!$C35,Tableau_Data[Thèmes],Reseaux!$BH$9,Tableau_Data[Annee],Reseaux!$F$3,Tableau_Data[Mois],Reseaux!$J$4)</f>
        <v>0</v>
      </c>
      <c r="BK35" s="126"/>
      <c r="BL35" s="137">
        <f t="shared" si="10"/>
        <v>0</v>
      </c>
      <c r="BN35" s="136">
        <f>SUMIFS(Tableau_Data[Masculin],Tableau_Data[Nom Réseau],Reseaux!$C35,Tableau_Data[Thèmes],Reseaux!$BN$9,Tableau_Data[Annee],Reseaux!$F$3,Tableau_Data[Mois],Reseaux!$J$4)</f>
        <v>0</v>
      </c>
      <c r="BO35" s="126"/>
      <c r="BP35" s="136">
        <f>SUMIFS(Tableau_Data[Féminin],Tableau_Data[Nom Réseau],Reseaux!$C35,Tableau_Data[Thèmes],Reseaux!$BN$9,Tableau_Data[Annee],Reseaux!$F$3,Tableau_Data[Mois],Reseaux!$J$4)</f>
        <v>0</v>
      </c>
      <c r="BQ35" s="126"/>
      <c r="BR35" s="137">
        <f t="shared" si="11"/>
        <v>0</v>
      </c>
      <c r="BT35" s="136">
        <f>SUMIFS(Tableau_Data[Masculin],Tableau_Data[Nom Réseau],Reseaux!$C35,Tableau_Data[Thèmes],Reseaux!$BT$9,Tableau_Data[Annee],Reseaux!$F$3,Tableau_Data[Mois],Reseaux!$J$4)</f>
        <v>0</v>
      </c>
      <c r="BU35" s="126"/>
      <c r="BV35" s="136">
        <f>SUMIFS(Tableau_Data[Féminin],Tableau_Data[Nom Réseau],Reseaux!$C35,Tableau_Data[Thèmes],Reseaux!$BT$9,Tableau_Data[Annee],Reseaux!$F$3,Tableau_Data[Mois],Reseaux!$J$4)</f>
        <v>0</v>
      </c>
      <c r="BW35" s="126"/>
      <c r="BX35" s="137">
        <f t="shared" si="12"/>
        <v>0</v>
      </c>
    </row>
    <row r="36" spans="1:76" ht="17.100000000000001" customHeight="1" x14ac:dyDescent="0.3">
      <c r="A36" s="82"/>
      <c r="B36" s="119">
        <f>IF(Reseaux!B35="","",1+B35)</f>
        <v>25</v>
      </c>
      <c r="C36" s="123" t="str">
        <f>Paramètres!N29</f>
        <v>CDS Croix Rouge</v>
      </c>
      <c r="D36" s="126"/>
      <c r="E36" s="136">
        <f>SUMIFS(Tableau_Data[Masculin],Tableau_Data[Nom Réseau],Reseaux!$C36,Tableau_Data[Annee],Reseaux!$F$3,Tableau_Data[Mois],Reseaux!J$4)</f>
        <v>0</v>
      </c>
      <c r="F36" s="126"/>
      <c r="G36" s="136">
        <f>SUMIFS(Tableau_Data[Féminin],Tableau_Data[Nom Réseau],Reseaux!$C36,Tableau_Data[Annee],Reseaux!$F$3,Tableau_Data[Mois],Reseaux!J$4)</f>
        <v>0</v>
      </c>
      <c r="H36" s="126"/>
      <c r="I36" s="137">
        <f t="shared" si="1"/>
        <v>0</v>
      </c>
      <c r="J36" s="126"/>
      <c r="K36" s="126"/>
      <c r="L36" s="138">
        <f>SUMIFS(Tableau_Data[Masculin],Tableau_Data[Nom Réseau],Reseaux!$C36,Tableau_Data[Lieu d''intervention],Reseaux!$L$9,Tableau_Data[Annee],Reseaux!$F$3,Tableau_Data[Mois],Reseaux!J$4)</f>
        <v>0</v>
      </c>
      <c r="M36" s="126"/>
      <c r="N36" s="136">
        <f>SUMIFS(Tableau_Data[Féminin],Tableau_Data[Nom Réseau],Reseaux!$C36,Tableau_Data[Lieu d''intervention],Reseaux!$L$9,Tableau_Data[Annee],Reseaux!$F$3,Tableau_Data[Mois],Reseaux!J$4)</f>
        <v>0</v>
      </c>
      <c r="O36" s="126"/>
      <c r="P36" s="137">
        <f t="shared" si="2"/>
        <v>0</v>
      </c>
      <c r="R36" s="136">
        <f>SUMIFS(Tableau_Data[Masculin],Tableau_Data[Nom Réseau],Reseaux!$C36,Tableau_Data[Lieu d''intervention],Reseaux!$R$9,Tableau_Data[Annee],Reseaux!$F$3,Tableau_Data[Mois],Reseaux!J$4)</f>
        <v>0</v>
      </c>
      <c r="S36" s="126"/>
      <c r="T36" s="136">
        <f>SUMIFS(Tableau_Data[Féminin],Tableau_Data[Nom Réseau],Reseaux!$C36,Tableau_Data[Lieu d''intervention],Reseaux!$R$9,Tableau_Data[Annee],Reseaux!$F$3,Tableau_Data[Mois],Reseaux!J$4)</f>
        <v>0</v>
      </c>
      <c r="U36" s="126"/>
      <c r="V36" s="137">
        <f t="shared" si="3"/>
        <v>0</v>
      </c>
      <c r="W36" s="108"/>
      <c r="X36" s="136">
        <f>SUMIFS(Tableau_Data[Masculin],Tableau_Data[Nom Réseau],Reseaux!$C36,Tableau_Data[Lieu d''intervention],Reseaux!$X$9,Tableau_Data[Annee],Reseaux!$F$3,Tableau_Data[Mois],Reseaux!J$4)</f>
        <v>0</v>
      </c>
      <c r="Y36" s="126"/>
      <c r="Z36" s="136">
        <f>SUMIFS(Tableau_Data[Féminin],Tableau_Data[Nom Réseau],Reseaux!$C36,Tableau_Data[Lieu d''intervention],Reseaux!$X$9,Tableau_Data[Annee],Reseaux!$F$3,Tableau_Data[Mois],Reseaux!J$4)</f>
        <v>0</v>
      </c>
      <c r="AA36" s="126"/>
      <c r="AB36" s="137">
        <f t="shared" si="4"/>
        <v>0</v>
      </c>
      <c r="AD36" s="136">
        <f>SUMIFS(Tableau_Data[Masculin],Tableau_Data[Nom Réseau],Reseaux!$C36,Tableau_Data[Lieu d''intervention],Reseaux!$AD$9,Tableau_Data[Annee],Reseaux!$F$3,Tableau_Data[Mois],Reseaux!J$4)</f>
        <v>0</v>
      </c>
      <c r="AE36" s="126"/>
      <c r="AF36" s="136">
        <f>SUMIFS(Tableau_Data[Féminin],Tableau_Data[Nom Réseau],Reseaux!$C36,Tableau_Data[Lieu d''intervention],Reseaux!$AD$9,Tableau_Data[Annee],Reseaux!$F$3,Tableau_Data[Mois],Reseaux!J$4)</f>
        <v>0</v>
      </c>
      <c r="AG36" s="126"/>
      <c r="AH36" s="137">
        <f t="shared" si="5"/>
        <v>0</v>
      </c>
      <c r="AJ36" s="136">
        <f>SUMIFS(Tableau_Data[Masculin],Tableau_Data[Nom Réseau],Reseaux!$C36,Tableau_Data[Thèmes],Reseaux!$AJ$9,Tableau_Data[Annee],Reseaux!$F$3,Tableau_Data[Mois],Reseaux!J$4)</f>
        <v>0</v>
      </c>
      <c r="AK36" s="126"/>
      <c r="AL36" s="136">
        <f>SUMIFS(Tableau_Data[Féminin],Tableau_Data[Nom Réseau],Reseaux!$C36,Tableau_Data[Thèmes],Reseaux!$AJ$9,Tableau_Data[Annee],Reseaux!$F$3,Tableau_Data[Mois],Reseaux!J$4)</f>
        <v>0</v>
      </c>
      <c r="AM36" s="126"/>
      <c r="AN36" s="137">
        <f t="shared" si="6"/>
        <v>0</v>
      </c>
      <c r="AP36" s="136">
        <f>SUMIFS(Tableau_Data[Masculin],Tableau_Data[Nom Réseau],Reseaux!$C36,Tableau_Data[Thèmes],Reseaux!$AP$9,Tableau_Data[Annee],Reseaux!$F$3,Tableau_Data[Mois],Reseaux!J$4)</f>
        <v>0</v>
      </c>
      <c r="AQ36" s="126"/>
      <c r="AR36" s="136">
        <f>SUMIFS(Tableau_Data[Féminin],Tableau_Data[Nom Réseau],Reseaux!$C36,Tableau_Data[Thèmes],Reseaux!$AP$9,Tableau_Data[Annee],Reseaux!$F$3,Tableau_Data[Mois],Reseaux!J$4)</f>
        <v>0</v>
      </c>
      <c r="AS36" s="126"/>
      <c r="AT36" s="137">
        <f t="shared" si="7"/>
        <v>0</v>
      </c>
      <c r="AV36" s="136">
        <f>SUMIFS(Tableau_Data[Masculin],Tableau_Data[Nom Réseau],Reseaux!$C36,Tableau_Data[Thèmes],Reseaux!$AV$9,Tableau_Data[Annee],Reseaux!$F$3,Tableau_Data[Mois],Reseaux!J$4)</f>
        <v>0</v>
      </c>
      <c r="AW36" s="126"/>
      <c r="AX36" s="136">
        <f>SUMIFS(Tableau_Data[Féminin],Tableau_Data[Nom Réseau],Reseaux!$C36,Tableau_Data[Thèmes],Reseaux!$AV$9,Tableau_Data[Annee],Reseaux!$F$3,Tableau_Data[Mois],Reseaux!J$4)</f>
        <v>0</v>
      </c>
      <c r="AY36" s="126"/>
      <c r="AZ36" s="137">
        <f t="shared" si="8"/>
        <v>0</v>
      </c>
      <c r="BB36" s="136">
        <f>SUMIFS(Tableau_Data[Masculin],Tableau_Data[Nom Réseau],Reseaux!$C36,Tableau_Data[Thèmes],Reseaux!$BB$9,Tableau_Data[Annee],Reseaux!$F$3,Tableau_Data[Mois],Reseaux!J$4)</f>
        <v>0</v>
      </c>
      <c r="BC36" s="126"/>
      <c r="BD36" s="136">
        <f>SUMIFS(Tableau_Data[Féminin],Tableau_Data[Nom Réseau],Reseaux!$C36,Tableau_Data[Thèmes],Reseaux!$BB$9,Tableau_Data[Annee],Reseaux!$F$3,Tableau_Data[Mois],Reseaux!$J$4)</f>
        <v>0</v>
      </c>
      <c r="BE36" s="126"/>
      <c r="BF36" s="137">
        <f t="shared" si="9"/>
        <v>0</v>
      </c>
      <c r="BH36" s="136">
        <f>SUMIFS(Tableau_Data[Masculin],Tableau_Data[Nom Réseau],Reseaux!$C36,Tableau_Data[Thèmes],Reseaux!$BH$9,Tableau_Data[Annee],Reseaux!$F$3,Tableau_Data[Mois],Reseaux!$J$4)</f>
        <v>0</v>
      </c>
      <c r="BI36" s="126"/>
      <c r="BJ36" s="136">
        <f>SUMIFS(Tableau_Data[Féminin],Tableau_Data[Nom Réseau],Reseaux!$C36,Tableau_Data[Thèmes],Reseaux!$BH$9,Tableau_Data[Annee],Reseaux!$F$3,Tableau_Data[Mois],Reseaux!$J$4)</f>
        <v>0</v>
      </c>
      <c r="BK36" s="126"/>
      <c r="BL36" s="137">
        <f t="shared" si="10"/>
        <v>0</v>
      </c>
      <c r="BN36" s="136">
        <f>SUMIFS(Tableau_Data[Masculin],Tableau_Data[Nom Réseau],Reseaux!$C36,Tableau_Data[Thèmes],Reseaux!$BN$9,Tableau_Data[Annee],Reseaux!$F$3,Tableau_Data[Mois],Reseaux!$J$4)</f>
        <v>0</v>
      </c>
      <c r="BO36" s="126"/>
      <c r="BP36" s="136">
        <f>SUMIFS(Tableau_Data[Féminin],Tableau_Data[Nom Réseau],Reseaux!$C36,Tableau_Data[Thèmes],Reseaux!$BN$9,Tableau_Data[Annee],Reseaux!$F$3,Tableau_Data[Mois],Reseaux!$J$4)</f>
        <v>0</v>
      </c>
      <c r="BQ36" s="126"/>
      <c r="BR36" s="137">
        <f t="shared" si="11"/>
        <v>0</v>
      </c>
      <c r="BT36" s="136">
        <f>SUMIFS(Tableau_Data[Masculin],Tableau_Data[Nom Réseau],Reseaux!$C36,Tableau_Data[Thèmes],Reseaux!$BT$9,Tableau_Data[Annee],Reseaux!$F$3,Tableau_Data[Mois],Reseaux!$J$4)</f>
        <v>0</v>
      </c>
      <c r="BU36" s="126"/>
      <c r="BV36" s="136">
        <f>SUMIFS(Tableau_Data[Féminin],Tableau_Data[Nom Réseau],Reseaux!$C36,Tableau_Data[Thèmes],Reseaux!$BT$9,Tableau_Data[Annee],Reseaux!$F$3,Tableau_Data[Mois],Reseaux!$J$4)</f>
        <v>0</v>
      </c>
      <c r="BW36" s="126"/>
      <c r="BX36" s="137">
        <f t="shared" si="12"/>
        <v>0</v>
      </c>
    </row>
    <row r="37" spans="1:76" ht="17.100000000000001" customHeight="1" x14ac:dyDescent="0.3">
      <c r="A37" s="82"/>
      <c r="B37" s="119">
        <f>IF(Reseaux!B36="","",1+B36)</f>
        <v>26</v>
      </c>
      <c r="C37" s="123" t="str">
        <f>Paramètres!N30</f>
        <v>CDS Kibumbu</v>
      </c>
      <c r="D37" s="126"/>
      <c r="E37" s="136">
        <f>SUMIFS(Tableau_Data[Masculin],Tableau_Data[Nom Réseau],Reseaux!$C37,Tableau_Data[Annee],Reseaux!$F$3,Tableau_Data[Mois],Reseaux!J$4)</f>
        <v>0</v>
      </c>
      <c r="F37" s="126"/>
      <c r="G37" s="136">
        <f>SUMIFS(Tableau_Data[Féminin],Tableau_Data[Nom Réseau],Reseaux!$C37,Tableau_Data[Annee],Reseaux!$F$3,Tableau_Data[Mois],Reseaux!J$4)</f>
        <v>0</v>
      </c>
      <c r="H37" s="126"/>
      <c r="I37" s="137">
        <f t="shared" si="1"/>
        <v>0</v>
      </c>
      <c r="J37" s="126"/>
      <c r="K37" s="126"/>
      <c r="L37" s="138">
        <f>SUMIFS(Tableau_Data[Masculin],Tableau_Data[Nom Réseau],Reseaux!$C37,Tableau_Data[Lieu d''intervention],Reseaux!$L$9,Tableau_Data[Annee],Reseaux!$F$3,Tableau_Data[Mois],Reseaux!J$4)</f>
        <v>0</v>
      </c>
      <c r="M37" s="126"/>
      <c r="N37" s="136">
        <f>SUMIFS(Tableau_Data[Féminin],Tableau_Data[Nom Réseau],Reseaux!$C37,Tableau_Data[Lieu d''intervention],Reseaux!$L$9,Tableau_Data[Annee],Reseaux!$F$3,Tableau_Data[Mois],Reseaux!J$4)</f>
        <v>0</v>
      </c>
      <c r="O37" s="126"/>
      <c r="P37" s="137">
        <f t="shared" si="2"/>
        <v>0</v>
      </c>
      <c r="R37" s="136">
        <f>SUMIFS(Tableau_Data[Masculin],Tableau_Data[Nom Réseau],Reseaux!$C37,Tableau_Data[Lieu d''intervention],Reseaux!$R$9,Tableau_Data[Annee],Reseaux!$F$3,Tableau_Data[Mois],Reseaux!J$4)</f>
        <v>0</v>
      </c>
      <c r="S37" s="126"/>
      <c r="T37" s="136">
        <f>SUMIFS(Tableau_Data[Féminin],Tableau_Data[Nom Réseau],Reseaux!$C37,Tableau_Data[Lieu d''intervention],Reseaux!$R$9,Tableau_Data[Annee],Reseaux!$F$3,Tableau_Data[Mois],Reseaux!J$4)</f>
        <v>0</v>
      </c>
      <c r="U37" s="126"/>
      <c r="V37" s="137">
        <f t="shared" si="3"/>
        <v>0</v>
      </c>
      <c r="W37" s="108"/>
      <c r="X37" s="136">
        <f>SUMIFS(Tableau_Data[Masculin],Tableau_Data[Nom Réseau],Reseaux!$C37,Tableau_Data[Lieu d''intervention],Reseaux!$X$9,Tableau_Data[Annee],Reseaux!$F$3,Tableau_Data[Mois],Reseaux!J$4)</f>
        <v>0</v>
      </c>
      <c r="Y37" s="126"/>
      <c r="Z37" s="136">
        <f>SUMIFS(Tableau_Data[Féminin],Tableau_Data[Nom Réseau],Reseaux!$C37,Tableau_Data[Lieu d''intervention],Reseaux!$X$9,Tableau_Data[Annee],Reseaux!$F$3,Tableau_Data[Mois],Reseaux!J$4)</f>
        <v>0</v>
      </c>
      <c r="AA37" s="126"/>
      <c r="AB37" s="137">
        <f t="shared" si="4"/>
        <v>0</v>
      </c>
      <c r="AD37" s="136">
        <f>SUMIFS(Tableau_Data[Masculin],Tableau_Data[Nom Réseau],Reseaux!$C37,Tableau_Data[Lieu d''intervention],Reseaux!$AD$9,Tableau_Data[Annee],Reseaux!$F$3,Tableau_Data[Mois],Reseaux!J$4)</f>
        <v>0</v>
      </c>
      <c r="AE37" s="126"/>
      <c r="AF37" s="136">
        <f>SUMIFS(Tableau_Data[Féminin],Tableau_Data[Nom Réseau],Reseaux!$C37,Tableau_Data[Lieu d''intervention],Reseaux!$AD$9,Tableau_Data[Annee],Reseaux!$F$3,Tableau_Data[Mois],Reseaux!J$4)</f>
        <v>0</v>
      </c>
      <c r="AG37" s="126"/>
      <c r="AH37" s="137">
        <f t="shared" si="5"/>
        <v>0</v>
      </c>
      <c r="AJ37" s="136">
        <f>SUMIFS(Tableau_Data[Masculin],Tableau_Data[Nom Réseau],Reseaux!$C37,Tableau_Data[Thèmes],Reseaux!$AJ$9,Tableau_Data[Annee],Reseaux!$F$3,Tableau_Data[Mois],Reseaux!J$4)</f>
        <v>0</v>
      </c>
      <c r="AK37" s="126"/>
      <c r="AL37" s="136">
        <f>SUMIFS(Tableau_Data[Féminin],Tableau_Data[Nom Réseau],Reseaux!$C37,Tableau_Data[Thèmes],Reseaux!$AJ$9,Tableau_Data[Annee],Reseaux!$F$3,Tableau_Data[Mois],Reseaux!J$4)</f>
        <v>0</v>
      </c>
      <c r="AM37" s="126"/>
      <c r="AN37" s="137">
        <f t="shared" si="6"/>
        <v>0</v>
      </c>
      <c r="AP37" s="136">
        <f>SUMIFS(Tableau_Data[Masculin],Tableau_Data[Nom Réseau],Reseaux!$C37,Tableau_Data[Thèmes],Reseaux!$AP$9,Tableau_Data[Annee],Reseaux!$F$3,Tableau_Data[Mois],Reseaux!J$4)</f>
        <v>0</v>
      </c>
      <c r="AQ37" s="126"/>
      <c r="AR37" s="136">
        <f>SUMIFS(Tableau_Data[Féminin],Tableau_Data[Nom Réseau],Reseaux!$C37,Tableau_Data[Thèmes],Reseaux!$AP$9,Tableau_Data[Annee],Reseaux!$F$3,Tableau_Data[Mois],Reseaux!J$4)</f>
        <v>0</v>
      </c>
      <c r="AS37" s="126"/>
      <c r="AT37" s="137">
        <f t="shared" si="7"/>
        <v>0</v>
      </c>
      <c r="AV37" s="136">
        <f>SUMIFS(Tableau_Data[Masculin],Tableau_Data[Nom Réseau],Reseaux!$C37,Tableau_Data[Thèmes],Reseaux!$AV$9,Tableau_Data[Annee],Reseaux!$F$3,Tableau_Data[Mois],Reseaux!J$4)</f>
        <v>0</v>
      </c>
      <c r="AW37" s="126"/>
      <c r="AX37" s="136">
        <f>SUMIFS(Tableau_Data[Féminin],Tableau_Data[Nom Réseau],Reseaux!$C37,Tableau_Data[Thèmes],Reseaux!$AV$9,Tableau_Data[Annee],Reseaux!$F$3,Tableau_Data[Mois],Reseaux!J$4)</f>
        <v>0</v>
      </c>
      <c r="AY37" s="126"/>
      <c r="AZ37" s="137">
        <f t="shared" si="8"/>
        <v>0</v>
      </c>
      <c r="BB37" s="136">
        <f>SUMIFS(Tableau_Data[Masculin],Tableau_Data[Nom Réseau],Reseaux!$C37,Tableau_Data[Thèmes],Reseaux!$BB$9,Tableau_Data[Annee],Reseaux!$F$3,Tableau_Data[Mois],Reseaux!J$4)</f>
        <v>0</v>
      </c>
      <c r="BC37" s="126"/>
      <c r="BD37" s="136">
        <f>SUMIFS(Tableau_Data[Féminin],Tableau_Data[Nom Réseau],Reseaux!$C37,Tableau_Data[Thèmes],Reseaux!$BB$9,Tableau_Data[Annee],Reseaux!$F$3,Tableau_Data[Mois],Reseaux!$J$4)</f>
        <v>0</v>
      </c>
      <c r="BE37" s="126"/>
      <c r="BF37" s="137">
        <f t="shared" si="9"/>
        <v>0</v>
      </c>
      <c r="BH37" s="136">
        <f>SUMIFS(Tableau_Data[Masculin],Tableau_Data[Nom Réseau],Reseaux!$C37,Tableau_Data[Thèmes],Reseaux!$BH$9,Tableau_Data[Annee],Reseaux!$F$3,Tableau_Data[Mois],Reseaux!$J$4)</f>
        <v>0</v>
      </c>
      <c r="BI37" s="126"/>
      <c r="BJ37" s="136">
        <f>SUMIFS(Tableau_Data[Féminin],Tableau_Data[Nom Réseau],Reseaux!$C37,Tableau_Data[Thèmes],Reseaux!$BH$9,Tableau_Data[Annee],Reseaux!$F$3,Tableau_Data[Mois],Reseaux!$J$4)</f>
        <v>0</v>
      </c>
      <c r="BK37" s="126"/>
      <c r="BL37" s="137">
        <f t="shared" si="10"/>
        <v>0</v>
      </c>
      <c r="BN37" s="136">
        <f>SUMIFS(Tableau_Data[Masculin],Tableau_Data[Nom Réseau],Reseaux!$C37,Tableau_Data[Thèmes],Reseaux!$BN$9,Tableau_Data[Annee],Reseaux!$F$3,Tableau_Data[Mois],Reseaux!$J$4)</f>
        <v>0</v>
      </c>
      <c r="BO37" s="126"/>
      <c r="BP37" s="136">
        <f>SUMIFS(Tableau_Data[Féminin],Tableau_Data[Nom Réseau],Reseaux!$C37,Tableau_Data[Thèmes],Reseaux!$BN$9,Tableau_Data[Annee],Reseaux!$F$3,Tableau_Data[Mois],Reseaux!$J$4)</f>
        <v>0</v>
      </c>
      <c r="BQ37" s="126"/>
      <c r="BR37" s="137">
        <f t="shared" si="11"/>
        <v>0</v>
      </c>
      <c r="BT37" s="136">
        <f>SUMIFS(Tableau_Data[Masculin],Tableau_Data[Nom Réseau],Reseaux!$C37,Tableau_Data[Thèmes],Reseaux!$BT$9,Tableau_Data[Annee],Reseaux!$F$3,Tableau_Data[Mois],Reseaux!$J$4)</f>
        <v>0</v>
      </c>
      <c r="BU37" s="126"/>
      <c r="BV37" s="136">
        <f>SUMIFS(Tableau_Data[Féminin],Tableau_Data[Nom Réseau],Reseaux!$C37,Tableau_Data[Thèmes],Reseaux!$BT$9,Tableau_Data[Annee],Reseaux!$F$3,Tableau_Data[Mois],Reseaux!$J$4)</f>
        <v>0</v>
      </c>
      <c r="BW37" s="126"/>
      <c r="BX37" s="137">
        <f t="shared" si="12"/>
        <v>0</v>
      </c>
    </row>
    <row r="38" spans="1:76" ht="17.100000000000001" customHeight="1" x14ac:dyDescent="0.3">
      <c r="A38" s="82"/>
      <c r="B38" s="119">
        <f>IF(Reseaux!B37="","",1+B37)</f>
        <v>27</v>
      </c>
      <c r="C38" s="123" t="str">
        <f>Paramètres!N31</f>
        <v>CDS Bisoro</v>
      </c>
      <c r="D38" s="126"/>
      <c r="E38" s="136">
        <f>SUMIFS(Tableau_Data[Masculin],Tableau_Data[Nom Réseau],Reseaux!$C38,Tableau_Data[Annee],Reseaux!$F$3,Tableau_Data[Mois],Reseaux!J$4)</f>
        <v>0</v>
      </c>
      <c r="F38" s="126"/>
      <c r="G38" s="136">
        <f>SUMIFS(Tableau_Data[Féminin],Tableau_Data[Nom Réseau],Reseaux!$C38,Tableau_Data[Annee],Reseaux!$F$3,Tableau_Data[Mois],Reseaux!J$4)</f>
        <v>0</v>
      </c>
      <c r="H38" s="126"/>
      <c r="I38" s="137">
        <f t="shared" si="1"/>
        <v>0</v>
      </c>
      <c r="J38" s="126"/>
      <c r="K38" s="126"/>
      <c r="L38" s="138">
        <f>SUMIFS(Tableau_Data[Masculin],Tableau_Data[Nom Réseau],Reseaux!$C38,Tableau_Data[Lieu d''intervention],Reseaux!$L$9,Tableau_Data[Annee],Reseaux!$F$3,Tableau_Data[Mois],Reseaux!J$4)</f>
        <v>0</v>
      </c>
      <c r="M38" s="126"/>
      <c r="N38" s="136">
        <f>SUMIFS(Tableau_Data[Féminin],Tableau_Data[Nom Réseau],Reseaux!$C38,Tableau_Data[Lieu d''intervention],Reseaux!$L$9,Tableau_Data[Annee],Reseaux!$F$3,Tableau_Data[Mois],Reseaux!J$4)</f>
        <v>0</v>
      </c>
      <c r="O38" s="126"/>
      <c r="P38" s="137">
        <f t="shared" si="2"/>
        <v>0</v>
      </c>
      <c r="R38" s="136">
        <f>SUMIFS(Tableau_Data[Masculin],Tableau_Data[Nom Réseau],Reseaux!$C38,Tableau_Data[Lieu d''intervention],Reseaux!$R$9,Tableau_Data[Annee],Reseaux!$F$3,Tableau_Data[Mois],Reseaux!J$4)</f>
        <v>0</v>
      </c>
      <c r="S38" s="126"/>
      <c r="T38" s="136">
        <f>SUMIFS(Tableau_Data[Féminin],Tableau_Data[Nom Réseau],Reseaux!$C38,Tableau_Data[Lieu d''intervention],Reseaux!$R$9,Tableau_Data[Annee],Reseaux!$F$3,Tableau_Data[Mois],Reseaux!J$4)</f>
        <v>0</v>
      </c>
      <c r="U38" s="126"/>
      <c r="V38" s="137">
        <f t="shared" si="3"/>
        <v>0</v>
      </c>
      <c r="W38" s="108"/>
      <c r="X38" s="136">
        <f>SUMIFS(Tableau_Data[Masculin],Tableau_Data[Nom Réseau],Reseaux!$C38,Tableau_Data[Lieu d''intervention],Reseaux!$X$9,Tableau_Data[Annee],Reseaux!$F$3,Tableau_Data[Mois],Reseaux!J$4)</f>
        <v>0</v>
      </c>
      <c r="Y38" s="126"/>
      <c r="Z38" s="136">
        <f>SUMIFS(Tableau_Data[Féminin],Tableau_Data[Nom Réseau],Reseaux!$C38,Tableau_Data[Lieu d''intervention],Reseaux!$X$9,Tableau_Data[Annee],Reseaux!$F$3,Tableau_Data[Mois],Reseaux!J$4)</f>
        <v>0</v>
      </c>
      <c r="AA38" s="126"/>
      <c r="AB38" s="137">
        <f t="shared" si="4"/>
        <v>0</v>
      </c>
      <c r="AD38" s="136">
        <f>SUMIFS(Tableau_Data[Masculin],Tableau_Data[Nom Réseau],Reseaux!$C38,Tableau_Data[Lieu d''intervention],Reseaux!$AD$9,Tableau_Data[Annee],Reseaux!$F$3,Tableau_Data[Mois],Reseaux!J$4)</f>
        <v>0</v>
      </c>
      <c r="AE38" s="126"/>
      <c r="AF38" s="136">
        <f>SUMIFS(Tableau_Data[Féminin],Tableau_Data[Nom Réseau],Reseaux!$C38,Tableau_Data[Lieu d''intervention],Reseaux!$AD$9,Tableau_Data[Annee],Reseaux!$F$3,Tableau_Data[Mois],Reseaux!J$4)</f>
        <v>0</v>
      </c>
      <c r="AG38" s="126"/>
      <c r="AH38" s="137">
        <f t="shared" si="5"/>
        <v>0</v>
      </c>
      <c r="AJ38" s="136">
        <f>SUMIFS(Tableau_Data[Masculin],Tableau_Data[Nom Réseau],Reseaux!$C38,Tableau_Data[Thèmes],Reseaux!$AJ$9,Tableau_Data[Annee],Reseaux!$F$3,Tableau_Data[Mois],Reseaux!J$4)</f>
        <v>0</v>
      </c>
      <c r="AK38" s="126"/>
      <c r="AL38" s="136">
        <f>SUMIFS(Tableau_Data[Féminin],Tableau_Data[Nom Réseau],Reseaux!$C38,Tableau_Data[Thèmes],Reseaux!$AJ$9,Tableau_Data[Annee],Reseaux!$F$3,Tableau_Data[Mois],Reseaux!J$4)</f>
        <v>0</v>
      </c>
      <c r="AM38" s="126"/>
      <c r="AN38" s="137">
        <f t="shared" si="6"/>
        <v>0</v>
      </c>
      <c r="AP38" s="136">
        <f>SUMIFS(Tableau_Data[Masculin],Tableau_Data[Nom Réseau],Reseaux!$C38,Tableau_Data[Thèmes],Reseaux!$AP$9,Tableau_Data[Annee],Reseaux!$F$3,Tableau_Data[Mois],Reseaux!J$4)</f>
        <v>0</v>
      </c>
      <c r="AQ38" s="126"/>
      <c r="AR38" s="136">
        <f>SUMIFS(Tableau_Data[Féminin],Tableau_Data[Nom Réseau],Reseaux!$C38,Tableau_Data[Thèmes],Reseaux!$AP$9,Tableau_Data[Annee],Reseaux!$F$3,Tableau_Data[Mois],Reseaux!J$4)</f>
        <v>0</v>
      </c>
      <c r="AS38" s="126"/>
      <c r="AT38" s="137">
        <f t="shared" si="7"/>
        <v>0</v>
      </c>
      <c r="AV38" s="136">
        <f>SUMIFS(Tableau_Data[Masculin],Tableau_Data[Nom Réseau],Reseaux!$C38,Tableau_Data[Thèmes],Reseaux!$AV$9,Tableau_Data[Annee],Reseaux!$F$3,Tableau_Data[Mois],Reseaux!J$4)</f>
        <v>0</v>
      </c>
      <c r="AW38" s="126"/>
      <c r="AX38" s="136">
        <f>SUMIFS(Tableau_Data[Féminin],Tableau_Data[Nom Réseau],Reseaux!$C38,Tableau_Data[Thèmes],Reseaux!$AV$9,Tableau_Data[Annee],Reseaux!$F$3,Tableau_Data[Mois],Reseaux!J$4)</f>
        <v>0</v>
      </c>
      <c r="AY38" s="126"/>
      <c r="AZ38" s="137">
        <f t="shared" si="8"/>
        <v>0</v>
      </c>
      <c r="BB38" s="136">
        <f>SUMIFS(Tableau_Data[Masculin],Tableau_Data[Nom Réseau],Reseaux!$C38,Tableau_Data[Thèmes],Reseaux!$BB$9,Tableau_Data[Annee],Reseaux!$F$3,Tableau_Data[Mois],Reseaux!J$4)</f>
        <v>0</v>
      </c>
      <c r="BC38" s="126"/>
      <c r="BD38" s="136">
        <f>SUMIFS(Tableau_Data[Féminin],Tableau_Data[Nom Réseau],Reseaux!$C38,Tableau_Data[Thèmes],Reseaux!$BB$9,Tableau_Data[Annee],Reseaux!$F$3,Tableau_Data[Mois],Reseaux!$J$4)</f>
        <v>0</v>
      </c>
      <c r="BE38" s="126"/>
      <c r="BF38" s="137">
        <f t="shared" si="9"/>
        <v>0</v>
      </c>
      <c r="BH38" s="136">
        <f>SUMIFS(Tableau_Data[Masculin],Tableau_Data[Nom Réseau],Reseaux!$C38,Tableau_Data[Thèmes],Reseaux!$BH$9,Tableau_Data[Annee],Reseaux!$F$3,Tableau_Data[Mois],Reseaux!$J$4)</f>
        <v>0</v>
      </c>
      <c r="BI38" s="126"/>
      <c r="BJ38" s="136">
        <f>SUMIFS(Tableau_Data[Féminin],Tableau_Data[Nom Réseau],Reseaux!$C38,Tableau_Data[Thèmes],Reseaux!$BH$9,Tableau_Data[Annee],Reseaux!$F$3,Tableau_Data[Mois],Reseaux!$J$4)</f>
        <v>0</v>
      </c>
      <c r="BK38" s="126"/>
      <c r="BL38" s="137">
        <f t="shared" si="10"/>
        <v>0</v>
      </c>
      <c r="BN38" s="136">
        <f>SUMIFS(Tableau_Data[Masculin],Tableau_Data[Nom Réseau],Reseaux!$C38,Tableau_Data[Thèmes],Reseaux!$BN$9,Tableau_Data[Annee],Reseaux!$F$3,Tableau_Data[Mois],Reseaux!$J$4)</f>
        <v>0</v>
      </c>
      <c r="BO38" s="126"/>
      <c r="BP38" s="136">
        <f>SUMIFS(Tableau_Data[Féminin],Tableau_Data[Nom Réseau],Reseaux!$C38,Tableau_Data[Thèmes],Reseaux!$BN$9,Tableau_Data[Annee],Reseaux!$F$3,Tableau_Data[Mois],Reseaux!$J$4)</f>
        <v>0</v>
      </c>
      <c r="BQ38" s="126"/>
      <c r="BR38" s="137">
        <f t="shared" si="11"/>
        <v>0</v>
      </c>
      <c r="BT38" s="136">
        <f>SUMIFS(Tableau_Data[Masculin],Tableau_Data[Nom Réseau],Reseaux!$C38,Tableau_Data[Thèmes],Reseaux!$BT$9,Tableau_Data[Annee],Reseaux!$F$3,Tableau_Data[Mois],Reseaux!$J$4)</f>
        <v>0</v>
      </c>
      <c r="BU38" s="126"/>
      <c r="BV38" s="136">
        <f>SUMIFS(Tableau_Data[Féminin],Tableau_Data[Nom Réseau],Reseaux!$C38,Tableau_Data[Thèmes],Reseaux!$BT$9,Tableau_Data[Annee],Reseaux!$F$3,Tableau_Data[Mois],Reseaux!$J$4)</f>
        <v>0</v>
      </c>
      <c r="BW38" s="126"/>
      <c r="BX38" s="137">
        <f t="shared" si="12"/>
        <v>0</v>
      </c>
    </row>
    <row r="39" spans="1:76" ht="17.100000000000001" customHeight="1" x14ac:dyDescent="0.3">
      <c r="A39" s="82"/>
      <c r="B39" s="119">
        <f>IF(Reseaux!B38="","",1+B38)</f>
        <v>28</v>
      </c>
      <c r="C39" s="123" t="str">
        <f>Paramètres!N32</f>
        <v>CDS Kanka</v>
      </c>
      <c r="D39" s="126"/>
      <c r="E39" s="136">
        <f>SUMIFS(Tableau_Data[Masculin],Tableau_Data[Nom Réseau],Reseaux!$C39,Tableau_Data[Annee],Reseaux!$F$3,Tableau_Data[Mois],Reseaux!J$4)</f>
        <v>0</v>
      </c>
      <c r="F39" s="126"/>
      <c r="G39" s="136">
        <f>SUMIFS(Tableau_Data[Féminin],Tableau_Data[Nom Réseau],Reseaux!$C39,Tableau_Data[Annee],Reseaux!$F$3,Tableau_Data[Mois],Reseaux!J$4)</f>
        <v>0</v>
      </c>
      <c r="H39" s="126"/>
      <c r="I39" s="137">
        <f t="shared" si="1"/>
        <v>0</v>
      </c>
      <c r="J39" s="126"/>
      <c r="K39" s="126"/>
      <c r="L39" s="138">
        <f>SUMIFS(Tableau_Data[Masculin],Tableau_Data[Nom Réseau],Reseaux!$C39,Tableau_Data[Lieu d''intervention],Reseaux!$L$9,Tableau_Data[Annee],Reseaux!$F$3,Tableau_Data[Mois],Reseaux!J$4)</f>
        <v>0</v>
      </c>
      <c r="M39" s="126"/>
      <c r="N39" s="136">
        <f>SUMIFS(Tableau_Data[Féminin],Tableau_Data[Nom Réseau],Reseaux!$C39,Tableau_Data[Lieu d''intervention],Reseaux!$L$9,Tableau_Data[Annee],Reseaux!$F$3,Tableau_Data[Mois],Reseaux!J$4)</f>
        <v>0</v>
      </c>
      <c r="O39" s="126"/>
      <c r="P39" s="137">
        <f t="shared" si="2"/>
        <v>0</v>
      </c>
      <c r="R39" s="136">
        <f>SUMIFS(Tableau_Data[Masculin],Tableau_Data[Nom Réseau],Reseaux!$C39,Tableau_Data[Lieu d''intervention],Reseaux!$R$9,Tableau_Data[Annee],Reseaux!$F$3,Tableau_Data[Mois],Reseaux!J$4)</f>
        <v>0</v>
      </c>
      <c r="S39" s="126"/>
      <c r="T39" s="136">
        <f>SUMIFS(Tableau_Data[Féminin],Tableau_Data[Nom Réseau],Reseaux!$C39,Tableau_Data[Lieu d''intervention],Reseaux!$R$9,Tableau_Data[Annee],Reseaux!$F$3,Tableau_Data[Mois],Reseaux!J$4)</f>
        <v>0</v>
      </c>
      <c r="U39" s="126"/>
      <c r="V39" s="137">
        <f t="shared" si="3"/>
        <v>0</v>
      </c>
      <c r="W39" s="108"/>
      <c r="X39" s="136">
        <f>SUMIFS(Tableau_Data[Masculin],Tableau_Data[Nom Réseau],Reseaux!$C39,Tableau_Data[Lieu d''intervention],Reseaux!$X$9,Tableau_Data[Annee],Reseaux!$F$3,Tableau_Data[Mois],Reseaux!J$4)</f>
        <v>0</v>
      </c>
      <c r="Y39" s="126"/>
      <c r="Z39" s="136">
        <f>SUMIFS(Tableau_Data[Féminin],Tableau_Data[Nom Réseau],Reseaux!$C39,Tableau_Data[Lieu d''intervention],Reseaux!$X$9,Tableau_Data[Annee],Reseaux!$F$3,Tableau_Data[Mois],Reseaux!J$4)</f>
        <v>0</v>
      </c>
      <c r="AA39" s="126"/>
      <c r="AB39" s="137">
        <f t="shared" si="4"/>
        <v>0</v>
      </c>
      <c r="AD39" s="136">
        <f>SUMIFS(Tableau_Data[Masculin],Tableau_Data[Nom Réseau],Reseaux!$C39,Tableau_Data[Lieu d''intervention],Reseaux!$AD$9,Tableau_Data[Annee],Reseaux!$F$3,Tableau_Data[Mois],Reseaux!J$4)</f>
        <v>0</v>
      </c>
      <c r="AE39" s="126"/>
      <c r="AF39" s="136">
        <f>SUMIFS(Tableau_Data[Féminin],Tableau_Data[Nom Réseau],Reseaux!$C39,Tableau_Data[Lieu d''intervention],Reseaux!$AD$9,Tableau_Data[Annee],Reseaux!$F$3,Tableau_Data[Mois],Reseaux!J$4)</f>
        <v>0</v>
      </c>
      <c r="AG39" s="126"/>
      <c r="AH39" s="137">
        <f t="shared" si="5"/>
        <v>0</v>
      </c>
      <c r="AJ39" s="136">
        <f>SUMIFS(Tableau_Data[Masculin],Tableau_Data[Nom Réseau],Reseaux!$C39,Tableau_Data[Thèmes],Reseaux!$AJ$9,Tableau_Data[Annee],Reseaux!$F$3,Tableau_Data[Mois],Reseaux!J$4)</f>
        <v>0</v>
      </c>
      <c r="AK39" s="126"/>
      <c r="AL39" s="136">
        <f>SUMIFS(Tableau_Data[Féminin],Tableau_Data[Nom Réseau],Reseaux!$C39,Tableau_Data[Thèmes],Reseaux!$AJ$9,Tableau_Data[Annee],Reseaux!$F$3,Tableau_Data[Mois],Reseaux!J$4)</f>
        <v>0</v>
      </c>
      <c r="AM39" s="126"/>
      <c r="AN39" s="137">
        <f t="shared" si="6"/>
        <v>0</v>
      </c>
      <c r="AP39" s="136">
        <f>SUMIFS(Tableau_Data[Masculin],Tableau_Data[Nom Réseau],Reseaux!$C39,Tableau_Data[Thèmes],Reseaux!$AP$9,Tableau_Data[Annee],Reseaux!$F$3,Tableau_Data[Mois],Reseaux!J$4)</f>
        <v>0</v>
      </c>
      <c r="AQ39" s="126"/>
      <c r="AR39" s="136">
        <f>SUMIFS(Tableau_Data[Féminin],Tableau_Data[Nom Réseau],Reseaux!$C39,Tableau_Data[Thèmes],Reseaux!$AP$9,Tableau_Data[Annee],Reseaux!$F$3,Tableau_Data[Mois],Reseaux!J$4)</f>
        <v>0</v>
      </c>
      <c r="AS39" s="126"/>
      <c r="AT39" s="137">
        <f t="shared" si="7"/>
        <v>0</v>
      </c>
      <c r="AV39" s="136">
        <f>SUMIFS(Tableau_Data[Masculin],Tableau_Data[Nom Réseau],Reseaux!$C39,Tableau_Data[Thèmes],Reseaux!$AV$9,Tableau_Data[Annee],Reseaux!$F$3,Tableau_Data[Mois],Reseaux!J$4)</f>
        <v>0</v>
      </c>
      <c r="AW39" s="126"/>
      <c r="AX39" s="136">
        <f>SUMIFS(Tableau_Data[Féminin],Tableau_Data[Nom Réseau],Reseaux!$C39,Tableau_Data[Thèmes],Reseaux!$AV$9,Tableau_Data[Annee],Reseaux!$F$3,Tableau_Data[Mois],Reseaux!J$4)</f>
        <v>0</v>
      </c>
      <c r="AY39" s="126"/>
      <c r="AZ39" s="137">
        <f t="shared" si="8"/>
        <v>0</v>
      </c>
      <c r="BB39" s="136">
        <f>SUMIFS(Tableau_Data[Masculin],Tableau_Data[Nom Réseau],Reseaux!$C39,Tableau_Data[Thèmes],Reseaux!$BB$9,Tableau_Data[Annee],Reseaux!$F$3,Tableau_Data[Mois],Reseaux!J$4)</f>
        <v>0</v>
      </c>
      <c r="BC39" s="126"/>
      <c r="BD39" s="136">
        <f>SUMIFS(Tableau_Data[Féminin],Tableau_Data[Nom Réseau],Reseaux!$C39,Tableau_Data[Thèmes],Reseaux!$BB$9,Tableau_Data[Annee],Reseaux!$F$3,Tableau_Data[Mois],Reseaux!$J$4)</f>
        <v>0</v>
      </c>
      <c r="BE39" s="126"/>
      <c r="BF39" s="137">
        <f t="shared" si="9"/>
        <v>0</v>
      </c>
      <c r="BH39" s="136">
        <f>SUMIFS(Tableau_Data[Masculin],Tableau_Data[Nom Réseau],Reseaux!$C39,Tableau_Data[Thèmes],Reseaux!$BH$9,Tableau_Data[Annee],Reseaux!$F$3,Tableau_Data[Mois],Reseaux!$J$4)</f>
        <v>0</v>
      </c>
      <c r="BI39" s="126"/>
      <c r="BJ39" s="136">
        <f>SUMIFS(Tableau_Data[Féminin],Tableau_Data[Nom Réseau],Reseaux!$C39,Tableau_Data[Thèmes],Reseaux!$BH$9,Tableau_Data[Annee],Reseaux!$F$3,Tableau_Data[Mois],Reseaux!$J$4)</f>
        <v>0</v>
      </c>
      <c r="BK39" s="126"/>
      <c r="BL39" s="137">
        <f t="shared" si="10"/>
        <v>0</v>
      </c>
      <c r="BN39" s="136">
        <f>SUMIFS(Tableau_Data[Masculin],Tableau_Data[Nom Réseau],Reseaux!$C39,Tableau_Data[Thèmes],Reseaux!$BN$9,Tableau_Data[Annee],Reseaux!$F$3,Tableau_Data[Mois],Reseaux!$J$4)</f>
        <v>0</v>
      </c>
      <c r="BO39" s="126"/>
      <c r="BP39" s="136">
        <f>SUMIFS(Tableau_Data[Féminin],Tableau_Data[Nom Réseau],Reseaux!$C39,Tableau_Data[Thèmes],Reseaux!$BN$9,Tableau_Data[Annee],Reseaux!$F$3,Tableau_Data[Mois],Reseaux!$J$4)</f>
        <v>0</v>
      </c>
      <c r="BQ39" s="126"/>
      <c r="BR39" s="137">
        <f t="shared" si="11"/>
        <v>0</v>
      </c>
      <c r="BT39" s="136">
        <f>SUMIFS(Tableau_Data[Masculin],Tableau_Data[Nom Réseau],Reseaux!$C39,Tableau_Data[Thèmes],Reseaux!$BT$9,Tableau_Data[Annee],Reseaux!$F$3,Tableau_Data[Mois],Reseaux!$J$4)</f>
        <v>0</v>
      </c>
      <c r="BU39" s="126"/>
      <c r="BV39" s="136">
        <f>SUMIFS(Tableau_Data[Féminin],Tableau_Data[Nom Réseau],Reseaux!$C39,Tableau_Data[Thèmes],Reseaux!$BT$9,Tableau_Data[Annee],Reseaux!$F$3,Tableau_Data[Mois],Reseaux!$J$4)</f>
        <v>0</v>
      </c>
      <c r="BW39" s="126"/>
      <c r="BX39" s="137">
        <f t="shared" si="12"/>
        <v>0</v>
      </c>
    </row>
    <row r="40" spans="1:76" ht="17.100000000000001" customHeight="1" x14ac:dyDescent="0.3">
      <c r="A40" s="82"/>
      <c r="B40" s="119">
        <f>IF(Reseaux!B39="","",1+B39)</f>
        <v>29</v>
      </c>
      <c r="C40" s="123" t="str">
        <f>Paramètres!N33</f>
        <v>CDS Bukinga</v>
      </c>
      <c r="D40" s="126"/>
      <c r="E40" s="136">
        <f>SUMIFS(Tableau_Data[Masculin],Tableau_Data[Nom Réseau],Reseaux!$C40,Tableau_Data[Annee],Reseaux!$F$3,Tableau_Data[Mois],Reseaux!J$4)</f>
        <v>0</v>
      </c>
      <c r="F40" s="126"/>
      <c r="G40" s="136">
        <f>SUMIFS(Tableau_Data[Féminin],Tableau_Data[Nom Réseau],Reseaux!$C40,Tableau_Data[Annee],Reseaux!$F$3,Tableau_Data[Mois],Reseaux!J$4)</f>
        <v>0</v>
      </c>
      <c r="H40" s="126"/>
      <c r="I40" s="137">
        <f t="shared" si="1"/>
        <v>0</v>
      </c>
      <c r="J40" s="126"/>
      <c r="K40" s="126"/>
      <c r="L40" s="138">
        <f>SUMIFS(Tableau_Data[Masculin],Tableau_Data[Nom Réseau],Reseaux!$C40,Tableau_Data[Lieu d''intervention],Reseaux!$L$9,Tableau_Data[Annee],Reseaux!$F$3,Tableau_Data[Mois],Reseaux!J$4)</f>
        <v>0</v>
      </c>
      <c r="M40" s="126"/>
      <c r="N40" s="136">
        <f>SUMIFS(Tableau_Data[Féminin],Tableau_Data[Nom Réseau],Reseaux!$C40,Tableau_Data[Lieu d''intervention],Reseaux!$L$9,Tableau_Data[Annee],Reseaux!$F$3,Tableau_Data[Mois],Reseaux!J$4)</f>
        <v>0</v>
      </c>
      <c r="O40" s="126"/>
      <c r="P40" s="137">
        <f t="shared" si="2"/>
        <v>0</v>
      </c>
      <c r="R40" s="136">
        <f>SUMIFS(Tableau_Data[Masculin],Tableau_Data[Nom Réseau],Reseaux!$C40,Tableau_Data[Lieu d''intervention],Reseaux!$R$9,Tableau_Data[Annee],Reseaux!$F$3,Tableau_Data[Mois],Reseaux!J$4)</f>
        <v>0</v>
      </c>
      <c r="S40" s="126"/>
      <c r="T40" s="136">
        <f>SUMIFS(Tableau_Data[Féminin],Tableau_Data[Nom Réseau],Reseaux!$C40,Tableau_Data[Lieu d''intervention],Reseaux!$R$9,Tableau_Data[Annee],Reseaux!$F$3,Tableau_Data[Mois],Reseaux!J$4)</f>
        <v>0</v>
      </c>
      <c r="U40" s="126"/>
      <c r="V40" s="137">
        <f t="shared" si="3"/>
        <v>0</v>
      </c>
      <c r="W40" s="108"/>
      <c r="X40" s="136">
        <f>SUMIFS(Tableau_Data[Masculin],Tableau_Data[Nom Réseau],Reseaux!$C40,Tableau_Data[Lieu d''intervention],Reseaux!$X$9,Tableau_Data[Annee],Reseaux!$F$3,Tableau_Data[Mois],Reseaux!J$4)</f>
        <v>0</v>
      </c>
      <c r="Y40" s="126"/>
      <c r="Z40" s="136">
        <f>SUMIFS(Tableau_Data[Féminin],Tableau_Data[Nom Réseau],Reseaux!$C40,Tableau_Data[Lieu d''intervention],Reseaux!$X$9,Tableau_Data[Annee],Reseaux!$F$3,Tableau_Data[Mois],Reseaux!J$4)</f>
        <v>0</v>
      </c>
      <c r="AA40" s="126"/>
      <c r="AB40" s="137">
        <f t="shared" si="4"/>
        <v>0</v>
      </c>
      <c r="AD40" s="136">
        <f>SUMIFS(Tableau_Data[Masculin],Tableau_Data[Nom Réseau],Reseaux!$C40,Tableau_Data[Lieu d''intervention],Reseaux!$AD$9,Tableau_Data[Annee],Reseaux!$F$3,Tableau_Data[Mois],Reseaux!J$4)</f>
        <v>0</v>
      </c>
      <c r="AE40" s="126"/>
      <c r="AF40" s="136">
        <f>SUMIFS(Tableau_Data[Féminin],Tableau_Data[Nom Réseau],Reseaux!$C40,Tableau_Data[Lieu d''intervention],Reseaux!$AD$9,Tableau_Data[Annee],Reseaux!$F$3,Tableau_Data[Mois],Reseaux!J$4)</f>
        <v>0</v>
      </c>
      <c r="AG40" s="126"/>
      <c r="AH40" s="137">
        <f t="shared" si="5"/>
        <v>0</v>
      </c>
      <c r="AJ40" s="136">
        <f>SUMIFS(Tableau_Data[Masculin],Tableau_Data[Nom Réseau],Reseaux!$C40,Tableau_Data[Thèmes],Reseaux!$AJ$9,Tableau_Data[Annee],Reseaux!$F$3,Tableau_Data[Mois],Reseaux!J$4)</f>
        <v>0</v>
      </c>
      <c r="AK40" s="126"/>
      <c r="AL40" s="136">
        <f>SUMIFS(Tableau_Data[Féminin],Tableau_Data[Nom Réseau],Reseaux!$C40,Tableau_Data[Thèmes],Reseaux!$AJ$9,Tableau_Data[Annee],Reseaux!$F$3,Tableau_Data[Mois],Reseaux!J$4)</f>
        <v>0</v>
      </c>
      <c r="AM40" s="126"/>
      <c r="AN40" s="137">
        <f t="shared" si="6"/>
        <v>0</v>
      </c>
      <c r="AP40" s="136">
        <f>SUMIFS(Tableau_Data[Masculin],Tableau_Data[Nom Réseau],Reseaux!$C40,Tableau_Data[Thèmes],Reseaux!$AP$9,Tableau_Data[Annee],Reseaux!$F$3,Tableau_Data[Mois],Reseaux!J$4)</f>
        <v>0</v>
      </c>
      <c r="AQ40" s="126"/>
      <c r="AR40" s="136">
        <f>SUMIFS(Tableau_Data[Féminin],Tableau_Data[Nom Réseau],Reseaux!$C40,Tableau_Data[Thèmes],Reseaux!$AP$9,Tableau_Data[Annee],Reseaux!$F$3,Tableau_Data[Mois],Reseaux!J$4)</f>
        <v>0</v>
      </c>
      <c r="AS40" s="126"/>
      <c r="AT40" s="137">
        <f t="shared" si="7"/>
        <v>0</v>
      </c>
      <c r="AV40" s="136">
        <f>SUMIFS(Tableau_Data[Masculin],Tableau_Data[Nom Réseau],Reseaux!$C40,Tableau_Data[Thèmes],Reseaux!$AV$9,Tableau_Data[Annee],Reseaux!$F$3,Tableau_Data[Mois],Reseaux!J$4)</f>
        <v>0</v>
      </c>
      <c r="AW40" s="126"/>
      <c r="AX40" s="136">
        <f>SUMIFS(Tableau_Data[Féminin],Tableau_Data[Nom Réseau],Reseaux!$C40,Tableau_Data[Thèmes],Reseaux!$AV$9,Tableau_Data[Annee],Reseaux!$F$3,Tableau_Data[Mois],Reseaux!J$4)</f>
        <v>0</v>
      </c>
      <c r="AY40" s="126"/>
      <c r="AZ40" s="137">
        <f t="shared" si="8"/>
        <v>0</v>
      </c>
      <c r="BB40" s="136">
        <f>SUMIFS(Tableau_Data[Masculin],Tableau_Data[Nom Réseau],Reseaux!$C40,Tableau_Data[Thèmes],Reseaux!$BB$9,Tableau_Data[Annee],Reseaux!$F$3,Tableau_Data[Mois],Reseaux!J$4)</f>
        <v>0</v>
      </c>
      <c r="BC40" s="126"/>
      <c r="BD40" s="136">
        <f>SUMIFS(Tableau_Data[Féminin],Tableau_Data[Nom Réseau],Reseaux!$C40,Tableau_Data[Thèmes],Reseaux!$BB$9,Tableau_Data[Annee],Reseaux!$F$3,Tableau_Data[Mois],Reseaux!$J$4)</f>
        <v>0</v>
      </c>
      <c r="BE40" s="126"/>
      <c r="BF40" s="137">
        <f t="shared" si="9"/>
        <v>0</v>
      </c>
      <c r="BH40" s="136">
        <f>SUMIFS(Tableau_Data[Masculin],Tableau_Data[Nom Réseau],Reseaux!$C40,Tableau_Data[Thèmes],Reseaux!$BH$9,Tableau_Data[Annee],Reseaux!$F$3,Tableau_Data[Mois],Reseaux!$J$4)</f>
        <v>0</v>
      </c>
      <c r="BI40" s="126"/>
      <c r="BJ40" s="136">
        <f>SUMIFS(Tableau_Data[Féminin],Tableau_Data[Nom Réseau],Reseaux!$C40,Tableau_Data[Thèmes],Reseaux!$BH$9,Tableau_Data[Annee],Reseaux!$F$3,Tableau_Data[Mois],Reseaux!$J$4)</f>
        <v>0</v>
      </c>
      <c r="BK40" s="126"/>
      <c r="BL40" s="137">
        <f t="shared" si="10"/>
        <v>0</v>
      </c>
      <c r="BN40" s="136">
        <f>SUMIFS(Tableau_Data[Masculin],Tableau_Data[Nom Réseau],Reseaux!$C40,Tableau_Data[Thèmes],Reseaux!$BN$9,Tableau_Data[Annee],Reseaux!$F$3,Tableau_Data[Mois],Reseaux!$J$4)</f>
        <v>0</v>
      </c>
      <c r="BO40" s="126"/>
      <c r="BP40" s="136">
        <f>SUMIFS(Tableau_Data[Féminin],Tableau_Data[Nom Réseau],Reseaux!$C40,Tableau_Data[Thèmes],Reseaux!$BN$9,Tableau_Data[Annee],Reseaux!$F$3,Tableau_Data[Mois],Reseaux!$J$4)</f>
        <v>0</v>
      </c>
      <c r="BQ40" s="126"/>
      <c r="BR40" s="137">
        <f t="shared" si="11"/>
        <v>0</v>
      </c>
      <c r="BT40" s="136">
        <f>SUMIFS(Tableau_Data[Masculin],Tableau_Data[Nom Réseau],Reseaux!$C40,Tableau_Data[Thèmes],Reseaux!$BT$9,Tableau_Data[Annee],Reseaux!$F$3,Tableau_Data[Mois],Reseaux!$J$4)</f>
        <v>0</v>
      </c>
      <c r="BU40" s="126"/>
      <c r="BV40" s="136">
        <f>SUMIFS(Tableau_Data[Féminin],Tableau_Data[Nom Réseau],Reseaux!$C40,Tableau_Data[Thèmes],Reseaux!$BT$9,Tableau_Data[Annee],Reseaux!$F$3,Tableau_Data[Mois],Reseaux!$J$4)</f>
        <v>0</v>
      </c>
      <c r="BW40" s="126"/>
      <c r="BX40" s="137">
        <f t="shared" si="12"/>
        <v>0</v>
      </c>
    </row>
    <row r="41" spans="1:76" ht="17.100000000000001" customHeight="1" x14ac:dyDescent="0.3">
      <c r="A41" s="82"/>
      <c r="B41" s="119">
        <f>IF(Reseaux!B40="","",1+B40)</f>
        <v>30</v>
      </c>
      <c r="C41" s="123" t="str">
        <f>Paramètres!N34</f>
        <v>CDS Giheta</v>
      </c>
      <c r="D41" s="126"/>
      <c r="E41" s="136">
        <f>SUMIFS(Tableau_Data[Masculin],Tableau_Data[Nom Réseau],Reseaux!$C41,Tableau_Data[Annee],Reseaux!$F$3,Tableau_Data[Mois],Reseaux!J$4)</f>
        <v>0</v>
      </c>
      <c r="F41" s="126"/>
      <c r="G41" s="136">
        <f>SUMIFS(Tableau_Data[Féminin],Tableau_Data[Nom Réseau],Reseaux!$C41,Tableau_Data[Annee],Reseaux!$F$3,Tableau_Data[Mois],Reseaux!J$4)</f>
        <v>0</v>
      </c>
      <c r="H41" s="126"/>
      <c r="I41" s="137">
        <f t="shared" si="1"/>
        <v>0</v>
      </c>
      <c r="J41" s="126"/>
      <c r="K41" s="126"/>
      <c r="L41" s="138">
        <f>SUMIFS(Tableau_Data[Masculin],Tableau_Data[Nom Réseau],Reseaux!$C41,Tableau_Data[Lieu d''intervention],Reseaux!$L$9,Tableau_Data[Annee],Reseaux!$F$3,Tableau_Data[Mois],Reseaux!J$4)</f>
        <v>0</v>
      </c>
      <c r="M41" s="126"/>
      <c r="N41" s="136">
        <f>SUMIFS(Tableau_Data[Féminin],Tableau_Data[Nom Réseau],Reseaux!$C41,Tableau_Data[Lieu d''intervention],Reseaux!$L$9,Tableau_Data[Annee],Reseaux!$F$3,Tableau_Data[Mois],Reseaux!J$4)</f>
        <v>0</v>
      </c>
      <c r="O41" s="126"/>
      <c r="P41" s="137">
        <f t="shared" si="2"/>
        <v>0</v>
      </c>
      <c r="R41" s="136">
        <f>SUMIFS(Tableau_Data[Masculin],Tableau_Data[Nom Réseau],Reseaux!$C41,Tableau_Data[Lieu d''intervention],Reseaux!$R$9,Tableau_Data[Annee],Reseaux!$F$3,Tableau_Data[Mois],Reseaux!J$4)</f>
        <v>0</v>
      </c>
      <c r="S41" s="126"/>
      <c r="T41" s="136">
        <f>SUMIFS(Tableau_Data[Féminin],Tableau_Data[Nom Réseau],Reseaux!$C41,Tableau_Data[Lieu d''intervention],Reseaux!$R$9,Tableau_Data[Annee],Reseaux!$F$3,Tableau_Data[Mois],Reseaux!J$4)</f>
        <v>0</v>
      </c>
      <c r="U41" s="126"/>
      <c r="V41" s="137">
        <f t="shared" si="3"/>
        <v>0</v>
      </c>
      <c r="W41" s="108"/>
      <c r="X41" s="136">
        <f>SUMIFS(Tableau_Data[Masculin],Tableau_Data[Nom Réseau],Reseaux!$C41,Tableau_Data[Lieu d''intervention],Reseaux!$X$9,Tableau_Data[Annee],Reseaux!$F$3,Tableau_Data[Mois],Reseaux!J$4)</f>
        <v>0</v>
      </c>
      <c r="Y41" s="126"/>
      <c r="Z41" s="136">
        <f>SUMIFS(Tableau_Data[Féminin],Tableau_Data[Nom Réseau],Reseaux!$C41,Tableau_Data[Lieu d''intervention],Reseaux!$X$9,Tableau_Data[Annee],Reseaux!$F$3,Tableau_Data[Mois],Reseaux!J$4)</f>
        <v>0</v>
      </c>
      <c r="AA41" s="126"/>
      <c r="AB41" s="137">
        <f t="shared" si="4"/>
        <v>0</v>
      </c>
      <c r="AD41" s="136">
        <f>SUMIFS(Tableau_Data[Masculin],Tableau_Data[Nom Réseau],Reseaux!$C41,Tableau_Data[Lieu d''intervention],Reseaux!$AD$9,Tableau_Data[Annee],Reseaux!$F$3,Tableau_Data[Mois],Reseaux!J$4)</f>
        <v>0</v>
      </c>
      <c r="AE41" s="126"/>
      <c r="AF41" s="136">
        <f>SUMIFS(Tableau_Data[Féminin],Tableau_Data[Nom Réseau],Reseaux!$C41,Tableau_Data[Lieu d''intervention],Reseaux!$AD$9,Tableau_Data[Annee],Reseaux!$F$3,Tableau_Data[Mois],Reseaux!J$4)</f>
        <v>0</v>
      </c>
      <c r="AG41" s="126"/>
      <c r="AH41" s="137">
        <f t="shared" si="5"/>
        <v>0</v>
      </c>
      <c r="AJ41" s="136">
        <f>SUMIFS(Tableau_Data[Masculin],Tableau_Data[Nom Réseau],Reseaux!$C41,Tableau_Data[Thèmes],Reseaux!$AJ$9,Tableau_Data[Annee],Reseaux!$F$3,Tableau_Data[Mois],Reseaux!J$4)</f>
        <v>0</v>
      </c>
      <c r="AK41" s="126"/>
      <c r="AL41" s="136">
        <f>SUMIFS(Tableau_Data[Féminin],Tableau_Data[Nom Réseau],Reseaux!$C41,Tableau_Data[Thèmes],Reseaux!$AJ$9,Tableau_Data[Annee],Reseaux!$F$3,Tableau_Data[Mois],Reseaux!J$4)</f>
        <v>0</v>
      </c>
      <c r="AM41" s="126"/>
      <c r="AN41" s="137">
        <f t="shared" si="6"/>
        <v>0</v>
      </c>
      <c r="AP41" s="136">
        <f>SUMIFS(Tableau_Data[Masculin],Tableau_Data[Nom Réseau],Reseaux!$C41,Tableau_Data[Thèmes],Reseaux!$AP$9,Tableau_Data[Annee],Reseaux!$F$3,Tableau_Data[Mois],Reseaux!J$4)</f>
        <v>0</v>
      </c>
      <c r="AQ41" s="126"/>
      <c r="AR41" s="136">
        <f>SUMIFS(Tableau_Data[Féminin],Tableau_Data[Nom Réseau],Reseaux!$C41,Tableau_Data[Thèmes],Reseaux!$AP$9,Tableau_Data[Annee],Reseaux!$F$3,Tableau_Data[Mois],Reseaux!J$4)</f>
        <v>0</v>
      </c>
      <c r="AS41" s="126"/>
      <c r="AT41" s="137">
        <f t="shared" si="7"/>
        <v>0</v>
      </c>
      <c r="AV41" s="136">
        <f>SUMIFS(Tableau_Data[Masculin],Tableau_Data[Nom Réseau],Reseaux!$C41,Tableau_Data[Thèmes],Reseaux!$AV$9,Tableau_Data[Annee],Reseaux!$F$3,Tableau_Data[Mois],Reseaux!J$4)</f>
        <v>0</v>
      </c>
      <c r="AW41" s="126"/>
      <c r="AX41" s="136">
        <f>SUMIFS(Tableau_Data[Féminin],Tableau_Data[Nom Réseau],Reseaux!$C41,Tableau_Data[Thèmes],Reseaux!$AV$9,Tableau_Data[Annee],Reseaux!$F$3,Tableau_Data[Mois],Reseaux!J$4)</f>
        <v>0</v>
      </c>
      <c r="AY41" s="126"/>
      <c r="AZ41" s="137">
        <f t="shared" si="8"/>
        <v>0</v>
      </c>
      <c r="BB41" s="136">
        <f>SUMIFS(Tableau_Data[Masculin],Tableau_Data[Nom Réseau],Reseaux!$C41,Tableau_Data[Thèmes],Reseaux!$BB$9,Tableau_Data[Annee],Reseaux!$F$3,Tableau_Data[Mois],Reseaux!J$4)</f>
        <v>0</v>
      </c>
      <c r="BC41" s="126"/>
      <c r="BD41" s="136">
        <f>SUMIFS(Tableau_Data[Féminin],Tableau_Data[Nom Réseau],Reseaux!$C41,Tableau_Data[Thèmes],Reseaux!$BB$9,Tableau_Data[Annee],Reseaux!$F$3,Tableau_Data[Mois],Reseaux!$J$4)</f>
        <v>0</v>
      </c>
      <c r="BE41" s="126"/>
      <c r="BF41" s="137">
        <f t="shared" si="9"/>
        <v>0</v>
      </c>
      <c r="BH41" s="136">
        <f>SUMIFS(Tableau_Data[Masculin],Tableau_Data[Nom Réseau],Reseaux!$C41,Tableau_Data[Thèmes],Reseaux!$BH$9,Tableau_Data[Annee],Reseaux!$F$3,Tableau_Data[Mois],Reseaux!$J$4)</f>
        <v>0</v>
      </c>
      <c r="BI41" s="126"/>
      <c r="BJ41" s="136">
        <f>SUMIFS(Tableau_Data[Féminin],Tableau_Data[Nom Réseau],Reseaux!$C41,Tableau_Data[Thèmes],Reseaux!$BH$9,Tableau_Data[Annee],Reseaux!$F$3,Tableau_Data[Mois],Reseaux!$J$4)</f>
        <v>0</v>
      </c>
      <c r="BK41" s="126"/>
      <c r="BL41" s="137">
        <f t="shared" si="10"/>
        <v>0</v>
      </c>
      <c r="BN41" s="136">
        <f>SUMIFS(Tableau_Data[Masculin],Tableau_Data[Nom Réseau],Reseaux!$C41,Tableau_Data[Thèmes],Reseaux!$BN$9,Tableau_Data[Annee],Reseaux!$F$3,Tableau_Data[Mois],Reseaux!$J$4)</f>
        <v>0</v>
      </c>
      <c r="BO41" s="126"/>
      <c r="BP41" s="136">
        <f>SUMIFS(Tableau_Data[Féminin],Tableau_Data[Nom Réseau],Reseaux!$C41,Tableau_Data[Thèmes],Reseaux!$BN$9,Tableau_Data[Annee],Reseaux!$F$3,Tableau_Data[Mois],Reseaux!$J$4)</f>
        <v>0</v>
      </c>
      <c r="BQ41" s="126"/>
      <c r="BR41" s="137">
        <f t="shared" si="11"/>
        <v>0</v>
      </c>
      <c r="BT41" s="136">
        <f>SUMIFS(Tableau_Data[Masculin],Tableau_Data[Nom Réseau],Reseaux!$C41,Tableau_Data[Thèmes],Reseaux!$BT$9,Tableau_Data[Annee],Reseaux!$F$3,Tableau_Data[Mois],Reseaux!$J$4)</f>
        <v>0</v>
      </c>
      <c r="BU41" s="126"/>
      <c r="BV41" s="136">
        <f>SUMIFS(Tableau_Data[Féminin],Tableau_Data[Nom Réseau],Reseaux!$C41,Tableau_Data[Thèmes],Reseaux!$BT$9,Tableau_Data[Annee],Reseaux!$F$3,Tableau_Data[Mois],Reseaux!$J$4)</f>
        <v>0</v>
      </c>
      <c r="BW41" s="126"/>
      <c r="BX41" s="137">
        <f t="shared" si="12"/>
        <v>0</v>
      </c>
    </row>
    <row r="42" spans="1:76" ht="17.100000000000001" customHeight="1" x14ac:dyDescent="0.3">
      <c r="A42" s="82"/>
      <c r="B42" s="119">
        <f>IF(Reseaux!B41="","",1+B41)</f>
        <v>31</v>
      </c>
      <c r="C42" s="123" t="str">
        <f>Paramètres!N35</f>
        <v>CDS Gasuna</v>
      </c>
      <c r="D42" s="126"/>
      <c r="E42" s="136">
        <f>SUMIFS(Tableau_Data[Masculin],Tableau_Data[Nom Réseau],Reseaux!$C42,Tableau_Data[Annee],Reseaux!$F$3,Tableau_Data[Mois],Reseaux!J$4)</f>
        <v>0</v>
      </c>
      <c r="F42" s="126"/>
      <c r="G42" s="136">
        <f>SUMIFS(Tableau_Data[Féminin],Tableau_Data[Nom Réseau],Reseaux!$C42,Tableau_Data[Annee],Reseaux!$F$3,Tableau_Data[Mois],Reseaux!J$4)</f>
        <v>0</v>
      </c>
      <c r="H42" s="126"/>
      <c r="I42" s="137">
        <f t="shared" si="1"/>
        <v>0</v>
      </c>
      <c r="J42" s="126"/>
      <c r="K42" s="126"/>
      <c r="L42" s="138">
        <f>SUMIFS(Tableau_Data[Masculin],Tableau_Data[Nom Réseau],Reseaux!$C42,Tableau_Data[Lieu d''intervention],Reseaux!$L$9,Tableau_Data[Annee],Reseaux!$F$3,Tableau_Data[Mois],Reseaux!J$4)</f>
        <v>0</v>
      </c>
      <c r="M42" s="126"/>
      <c r="N42" s="136">
        <f>SUMIFS(Tableau_Data[Féminin],Tableau_Data[Nom Réseau],Reseaux!$C42,Tableau_Data[Lieu d''intervention],Reseaux!$L$9,Tableau_Data[Annee],Reseaux!$F$3,Tableau_Data[Mois],Reseaux!J$4)</f>
        <v>0</v>
      </c>
      <c r="O42" s="126"/>
      <c r="P42" s="137">
        <f t="shared" si="2"/>
        <v>0</v>
      </c>
      <c r="R42" s="136">
        <f>SUMIFS(Tableau_Data[Masculin],Tableau_Data[Nom Réseau],Reseaux!$C42,Tableau_Data[Lieu d''intervention],Reseaux!$R$9,Tableau_Data[Annee],Reseaux!$F$3,Tableau_Data[Mois],Reseaux!J$4)</f>
        <v>0</v>
      </c>
      <c r="S42" s="126"/>
      <c r="T42" s="136">
        <f>SUMIFS(Tableau_Data[Féminin],Tableau_Data[Nom Réseau],Reseaux!$C42,Tableau_Data[Lieu d''intervention],Reseaux!$R$9,Tableau_Data[Annee],Reseaux!$F$3,Tableau_Data[Mois],Reseaux!J$4)</f>
        <v>0</v>
      </c>
      <c r="U42" s="126"/>
      <c r="V42" s="137">
        <f t="shared" si="3"/>
        <v>0</v>
      </c>
      <c r="W42" s="108"/>
      <c r="X42" s="136">
        <f>SUMIFS(Tableau_Data[Masculin],Tableau_Data[Nom Réseau],Reseaux!$C42,Tableau_Data[Lieu d''intervention],Reseaux!$X$9,Tableau_Data[Annee],Reseaux!$F$3,Tableau_Data[Mois],Reseaux!J$4)</f>
        <v>0</v>
      </c>
      <c r="Y42" s="126"/>
      <c r="Z42" s="136">
        <f>SUMIFS(Tableau_Data[Féminin],Tableau_Data[Nom Réseau],Reseaux!$C42,Tableau_Data[Lieu d''intervention],Reseaux!$X$9,Tableau_Data[Annee],Reseaux!$F$3,Tableau_Data[Mois],Reseaux!J$4)</f>
        <v>0</v>
      </c>
      <c r="AA42" s="126"/>
      <c r="AB42" s="137">
        <f t="shared" si="4"/>
        <v>0</v>
      </c>
      <c r="AD42" s="136">
        <f>SUMIFS(Tableau_Data[Masculin],Tableau_Data[Nom Réseau],Reseaux!$C42,Tableau_Data[Lieu d''intervention],Reseaux!$AD$9,Tableau_Data[Annee],Reseaux!$F$3,Tableau_Data[Mois],Reseaux!J$4)</f>
        <v>0</v>
      </c>
      <c r="AE42" s="126"/>
      <c r="AF42" s="136">
        <f>SUMIFS(Tableau_Data[Féminin],Tableau_Data[Nom Réseau],Reseaux!$C42,Tableau_Data[Lieu d''intervention],Reseaux!$AD$9,Tableau_Data[Annee],Reseaux!$F$3,Tableau_Data[Mois],Reseaux!J$4)</f>
        <v>0</v>
      </c>
      <c r="AG42" s="126"/>
      <c r="AH42" s="137">
        <f t="shared" si="5"/>
        <v>0</v>
      </c>
      <c r="AJ42" s="136">
        <f>SUMIFS(Tableau_Data[Masculin],Tableau_Data[Nom Réseau],Reseaux!$C42,Tableau_Data[Thèmes],Reseaux!$AJ$9,Tableau_Data[Annee],Reseaux!$F$3,Tableau_Data[Mois],Reseaux!J$4)</f>
        <v>0</v>
      </c>
      <c r="AK42" s="126"/>
      <c r="AL42" s="136">
        <f>SUMIFS(Tableau_Data[Féminin],Tableau_Data[Nom Réseau],Reseaux!$C42,Tableau_Data[Thèmes],Reseaux!$AJ$9,Tableau_Data[Annee],Reseaux!$F$3,Tableau_Data[Mois],Reseaux!J$4)</f>
        <v>0</v>
      </c>
      <c r="AM42" s="126"/>
      <c r="AN42" s="137">
        <f t="shared" si="6"/>
        <v>0</v>
      </c>
      <c r="AP42" s="136">
        <f>SUMIFS(Tableau_Data[Masculin],Tableau_Data[Nom Réseau],Reseaux!$C42,Tableau_Data[Thèmes],Reseaux!$AP$9,Tableau_Data[Annee],Reseaux!$F$3,Tableau_Data[Mois],Reseaux!J$4)</f>
        <v>0</v>
      </c>
      <c r="AQ42" s="126"/>
      <c r="AR42" s="136">
        <f>SUMIFS(Tableau_Data[Féminin],Tableau_Data[Nom Réseau],Reseaux!$C42,Tableau_Data[Thèmes],Reseaux!$AP$9,Tableau_Data[Annee],Reseaux!$F$3,Tableau_Data[Mois],Reseaux!J$4)</f>
        <v>0</v>
      </c>
      <c r="AS42" s="126"/>
      <c r="AT42" s="137">
        <f t="shared" si="7"/>
        <v>0</v>
      </c>
      <c r="AV42" s="136">
        <f>SUMIFS(Tableau_Data[Masculin],Tableau_Data[Nom Réseau],Reseaux!$C42,Tableau_Data[Thèmes],Reseaux!$AV$9,Tableau_Data[Annee],Reseaux!$F$3,Tableau_Data[Mois],Reseaux!J$4)</f>
        <v>0</v>
      </c>
      <c r="AW42" s="126"/>
      <c r="AX42" s="136">
        <f>SUMIFS(Tableau_Data[Féminin],Tableau_Data[Nom Réseau],Reseaux!$C42,Tableau_Data[Thèmes],Reseaux!$AV$9,Tableau_Data[Annee],Reseaux!$F$3,Tableau_Data[Mois],Reseaux!J$4)</f>
        <v>0</v>
      </c>
      <c r="AY42" s="126"/>
      <c r="AZ42" s="137">
        <f t="shared" si="8"/>
        <v>0</v>
      </c>
      <c r="BB42" s="136">
        <f>SUMIFS(Tableau_Data[Masculin],Tableau_Data[Nom Réseau],Reseaux!$C42,Tableau_Data[Thèmes],Reseaux!$BB$9,Tableau_Data[Annee],Reseaux!$F$3,Tableau_Data[Mois],Reseaux!J$4)</f>
        <v>0</v>
      </c>
      <c r="BC42" s="126"/>
      <c r="BD42" s="136">
        <f>SUMIFS(Tableau_Data[Féminin],Tableau_Data[Nom Réseau],Reseaux!$C42,Tableau_Data[Thèmes],Reseaux!$BB$9,Tableau_Data[Annee],Reseaux!$F$3,Tableau_Data[Mois],Reseaux!$J$4)</f>
        <v>0</v>
      </c>
      <c r="BE42" s="126"/>
      <c r="BF42" s="137">
        <f t="shared" si="9"/>
        <v>0</v>
      </c>
      <c r="BH42" s="136">
        <f>SUMIFS(Tableau_Data[Masculin],Tableau_Data[Nom Réseau],Reseaux!$C42,Tableau_Data[Thèmes],Reseaux!$BH$9,Tableau_Data[Annee],Reseaux!$F$3,Tableau_Data[Mois],Reseaux!$J$4)</f>
        <v>0</v>
      </c>
      <c r="BI42" s="126"/>
      <c r="BJ42" s="136">
        <f>SUMIFS(Tableau_Data[Féminin],Tableau_Data[Nom Réseau],Reseaux!$C42,Tableau_Data[Thèmes],Reseaux!$BH$9,Tableau_Data[Annee],Reseaux!$F$3,Tableau_Data[Mois],Reseaux!$J$4)</f>
        <v>0</v>
      </c>
      <c r="BK42" s="126"/>
      <c r="BL42" s="137">
        <f t="shared" si="10"/>
        <v>0</v>
      </c>
      <c r="BN42" s="136">
        <f>SUMIFS(Tableau_Data[Masculin],Tableau_Data[Nom Réseau],Reseaux!$C42,Tableau_Data[Thèmes],Reseaux!$BN$9,Tableau_Data[Annee],Reseaux!$F$3,Tableau_Data[Mois],Reseaux!$J$4)</f>
        <v>0</v>
      </c>
      <c r="BO42" s="126"/>
      <c r="BP42" s="136">
        <f>SUMIFS(Tableau_Data[Féminin],Tableau_Data[Nom Réseau],Reseaux!$C42,Tableau_Data[Thèmes],Reseaux!$BN$9,Tableau_Data[Annee],Reseaux!$F$3,Tableau_Data[Mois],Reseaux!$J$4)</f>
        <v>0</v>
      </c>
      <c r="BQ42" s="126"/>
      <c r="BR42" s="137">
        <f t="shared" si="11"/>
        <v>0</v>
      </c>
      <c r="BT42" s="136">
        <f>SUMIFS(Tableau_Data[Masculin],Tableau_Data[Nom Réseau],Reseaux!$C42,Tableau_Data[Thèmes],Reseaux!$BT$9,Tableau_Data[Annee],Reseaux!$F$3,Tableau_Data[Mois],Reseaux!$J$4)</f>
        <v>0</v>
      </c>
      <c r="BU42" s="126"/>
      <c r="BV42" s="136">
        <f>SUMIFS(Tableau_Data[Féminin],Tableau_Data[Nom Réseau],Reseaux!$C42,Tableau_Data[Thèmes],Reseaux!$BT$9,Tableau_Data[Annee],Reseaux!$F$3,Tableau_Data[Mois],Reseaux!$J$4)</f>
        <v>0</v>
      </c>
      <c r="BW42" s="126"/>
      <c r="BX42" s="137">
        <f t="shared" si="12"/>
        <v>0</v>
      </c>
    </row>
    <row r="43" spans="1:76" ht="17.100000000000001" customHeight="1" x14ac:dyDescent="0.3">
      <c r="A43" s="82"/>
      <c r="B43" s="119">
        <f>IF(Reseaux!B42="","",1+B42)</f>
        <v>32</v>
      </c>
      <c r="C43" s="123" t="str">
        <f>Paramètres!N36</f>
        <v>CDS Notre Dame d'Afrique</v>
      </c>
      <c r="D43" s="126"/>
      <c r="E43" s="136">
        <f>SUMIFS(Tableau_Data[Masculin],Tableau_Data[Nom Réseau],Reseaux!$C43,Tableau_Data[Annee],Reseaux!$F$3,Tableau_Data[Mois],Reseaux!J$4)</f>
        <v>0</v>
      </c>
      <c r="F43" s="126"/>
      <c r="G43" s="136">
        <f>SUMIFS(Tableau_Data[Féminin],Tableau_Data[Nom Réseau],Reseaux!$C43,Tableau_Data[Annee],Reseaux!$F$3,Tableau_Data[Mois],Reseaux!J$4)</f>
        <v>0</v>
      </c>
      <c r="H43" s="126"/>
      <c r="I43" s="137">
        <f t="shared" si="1"/>
        <v>0</v>
      </c>
      <c r="J43" s="126"/>
      <c r="K43" s="126"/>
      <c r="L43" s="138">
        <f>SUMIFS(Tableau_Data[Masculin],Tableau_Data[Nom Réseau],Reseaux!$C43,Tableau_Data[Lieu d''intervention],Reseaux!$L$9,Tableau_Data[Annee],Reseaux!$F$3,Tableau_Data[Mois],Reseaux!J$4)</f>
        <v>0</v>
      </c>
      <c r="M43" s="126"/>
      <c r="N43" s="136">
        <f>SUMIFS(Tableau_Data[Féminin],Tableau_Data[Nom Réseau],Reseaux!$C43,Tableau_Data[Lieu d''intervention],Reseaux!$L$9,Tableau_Data[Annee],Reseaux!$F$3,Tableau_Data[Mois],Reseaux!J$4)</f>
        <v>0</v>
      </c>
      <c r="O43" s="126"/>
      <c r="P43" s="137">
        <f t="shared" si="2"/>
        <v>0</v>
      </c>
      <c r="R43" s="136">
        <f>SUMIFS(Tableau_Data[Masculin],Tableau_Data[Nom Réseau],Reseaux!$C43,Tableau_Data[Lieu d''intervention],Reseaux!$R$9,Tableau_Data[Annee],Reseaux!$F$3,Tableau_Data[Mois],Reseaux!J$4)</f>
        <v>0</v>
      </c>
      <c r="S43" s="126"/>
      <c r="T43" s="136">
        <f>SUMIFS(Tableau_Data[Féminin],Tableau_Data[Nom Réseau],Reseaux!$C43,Tableau_Data[Lieu d''intervention],Reseaux!$R$9,Tableau_Data[Annee],Reseaux!$F$3,Tableau_Data[Mois],Reseaux!J$4)</f>
        <v>0</v>
      </c>
      <c r="U43" s="126"/>
      <c r="V43" s="137">
        <f t="shared" si="3"/>
        <v>0</v>
      </c>
      <c r="W43" s="108"/>
      <c r="X43" s="136">
        <f>SUMIFS(Tableau_Data[Masculin],Tableau_Data[Nom Réseau],Reseaux!$C43,Tableau_Data[Lieu d''intervention],Reseaux!$X$9,Tableau_Data[Annee],Reseaux!$F$3,Tableau_Data[Mois],Reseaux!J$4)</f>
        <v>0</v>
      </c>
      <c r="Y43" s="126"/>
      <c r="Z43" s="136">
        <f>SUMIFS(Tableau_Data[Féminin],Tableau_Data[Nom Réseau],Reseaux!$C43,Tableau_Data[Lieu d''intervention],Reseaux!$X$9,Tableau_Data[Annee],Reseaux!$F$3,Tableau_Data[Mois],Reseaux!J$4)</f>
        <v>0</v>
      </c>
      <c r="AA43" s="126"/>
      <c r="AB43" s="137">
        <f t="shared" si="4"/>
        <v>0</v>
      </c>
      <c r="AD43" s="136">
        <f>SUMIFS(Tableau_Data[Masculin],Tableau_Data[Nom Réseau],Reseaux!$C43,Tableau_Data[Lieu d''intervention],Reseaux!$AD$9,Tableau_Data[Annee],Reseaux!$F$3,Tableau_Data[Mois],Reseaux!J$4)</f>
        <v>0</v>
      </c>
      <c r="AE43" s="126"/>
      <c r="AF43" s="136">
        <f>SUMIFS(Tableau_Data[Féminin],Tableau_Data[Nom Réseau],Reseaux!$C43,Tableau_Data[Lieu d''intervention],Reseaux!$AD$9,Tableau_Data[Annee],Reseaux!$F$3,Tableau_Data[Mois],Reseaux!J$4)</f>
        <v>0</v>
      </c>
      <c r="AG43" s="126"/>
      <c r="AH43" s="137">
        <f t="shared" si="5"/>
        <v>0</v>
      </c>
      <c r="AJ43" s="136">
        <f>SUMIFS(Tableau_Data[Masculin],Tableau_Data[Nom Réseau],Reseaux!$C43,Tableau_Data[Thèmes],Reseaux!$AJ$9,Tableau_Data[Annee],Reseaux!$F$3,Tableau_Data[Mois],Reseaux!J$4)</f>
        <v>0</v>
      </c>
      <c r="AK43" s="126"/>
      <c r="AL43" s="136">
        <f>SUMIFS(Tableau_Data[Féminin],Tableau_Data[Nom Réseau],Reseaux!$C43,Tableau_Data[Thèmes],Reseaux!$AJ$9,Tableau_Data[Annee],Reseaux!$F$3,Tableau_Data[Mois],Reseaux!J$4)</f>
        <v>0</v>
      </c>
      <c r="AM43" s="126"/>
      <c r="AN43" s="137">
        <f t="shared" si="6"/>
        <v>0</v>
      </c>
      <c r="AP43" s="136">
        <f>SUMIFS(Tableau_Data[Masculin],Tableau_Data[Nom Réseau],Reseaux!$C43,Tableau_Data[Thèmes],Reseaux!$AP$9,Tableau_Data[Annee],Reseaux!$F$3,Tableau_Data[Mois],Reseaux!J$4)</f>
        <v>0</v>
      </c>
      <c r="AQ43" s="126"/>
      <c r="AR43" s="136">
        <f>SUMIFS(Tableau_Data[Féminin],Tableau_Data[Nom Réseau],Reseaux!$C43,Tableau_Data[Thèmes],Reseaux!$AP$9,Tableau_Data[Annee],Reseaux!$F$3,Tableau_Data[Mois],Reseaux!J$4)</f>
        <v>0</v>
      </c>
      <c r="AS43" s="126"/>
      <c r="AT43" s="137">
        <f t="shared" si="7"/>
        <v>0</v>
      </c>
      <c r="AV43" s="136">
        <f>SUMIFS(Tableau_Data[Masculin],Tableau_Data[Nom Réseau],Reseaux!$C43,Tableau_Data[Thèmes],Reseaux!$AV$9,Tableau_Data[Annee],Reseaux!$F$3,Tableau_Data[Mois],Reseaux!J$4)</f>
        <v>0</v>
      </c>
      <c r="AW43" s="126"/>
      <c r="AX43" s="136">
        <f>SUMIFS(Tableau_Data[Féminin],Tableau_Data[Nom Réseau],Reseaux!$C43,Tableau_Data[Thèmes],Reseaux!$AV$9,Tableau_Data[Annee],Reseaux!$F$3,Tableau_Data[Mois],Reseaux!J$4)</f>
        <v>0</v>
      </c>
      <c r="AY43" s="126"/>
      <c r="AZ43" s="137">
        <f t="shared" si="8"/>
        <v>0</v>
      </c>
      <c r="BB43" s="136">
        <f>SUMIFS(Tableau_Data[Masculin],Tableau_Data[Nom Réseau],Reseaux!$C43,Tableau_Data[Thèmes],Reseaux!$BB$9,Tableau_Data[Annee],Reseaux!$F$3,Tableau_Data[Mois],Reseaux!J$4)</f>
        <v>0</v>
      </c>
      <c r="BC43" s="126"/>
      <c r="BD43" s="136">
        <f>SUMIFS(Tableau_Data[Féminin],Tableau_Data[Nom Réseau],Reseaux!$C43,Tableau_Data[Thèmes],Reseaux!$BB$9,Tableau_Data[Annee],Reseaux!$F$3,Tableau_Data[Mois],Reseaux!$J$4)</f>
        <v>0</v>
      </c>
      <c r="BE43" s="126"/>
      <c r="BF43" s="137">
        <f t="shared" si="9"/>
        <v>0</v>
      </c>
      <c r="BH43" s="136">
        <f>SUMIFS(Tableau_Data[Masculin],Tableau_Data[Nom Réseau],Reseaux!$C43,Tableau_Data[Thèmes],Reseaux!$BH$9,Tableau_Data[Annee],Reseaux!$F$3,Tableau_Data[Mois],Reseaux!$J$4)</f>
        <v>0</v>
      </c>
      <c r="BI43" s="126"/>
      <c r="BJ43" s="136">
        <f>SUMIFS(Tableau_Data[Féminin],Tableau_Data[Nom Réseau],Reseaux!$C43,Tableau_Data[Thèmes],Reseaux!$BH$9,Tableau_Data[Annee],Reseaux!$F$3,Tableau_Data[Mois],Reseaux!$J$4)</f>
        <v>0</v>
      </c>
      <c r="BK43" s="126"/>
      <c r="BL43" s="137">
        <f t="shared" si="10"/>
        <v>0</v>
      </c>
      <c r="BN43" s="136">
        <f>SUMIFS(Tableau_Data[Masculin],Tableau_Data[Nom Réseau],Reseaux!$C43,Tableau_Data[Thèmes],Reseaux!$BN$9,Tableau_Data[Annee],Reseaux!$F$3,Tableau_Data[Mois],Reseaux!$J$4)</f>
        <v>0</v>
      </c>
      <c r="BO43" s="126"/>
      <c r="BP43" s="136">
        <f>SUMIFS(Tableau_Data[Féminin],Tableau_Data[Nom Réseau],Reseaux!$C43,Tableau_Data[Thèmes],Reseaux!$BN$9,Tableau_Data[Annee],Reseaux!$F$3,Tableau_Data[Mois],Reseaux!$J$4)</f>
        <v>0</v>
      </c>
      <c r="BQ43" s="126"/>
      <c r="BR43" s="137">
        <f t="shared" si="11"/>
        <v>0</v>
      </c>
      <c r="BT43" s="136">
        <f>SUMIFS(Tableau_Data[Masculin],Tableau_Data[Nom Réseau],Reseaux!$C43,Tableau_Data[Thèmes],Reseaux!$BT$9,Tableau_Data[Annee],Reseaux!$F$3,Tableau_Data[Mois],Reseaux!$J$4)</f>
        <v>0</v>
      </c>
      <c r="BU43" s="126"/>
      <c r="BV43" s="136">
        <f>SUMIFS(Tableau_Data[Féminin],Tableau_Data[Nom Réseau],Reseaux!$C43,Tableau_Data[Thèmes],Reseaux!$BT$9,Tableau_Data[Annee],Reseaux!$F$3,Tableau_Data[Mois],Reseaux!$J$4)</f>
        <v>0</v>
      </c>
      <c r="BW43" s="126"/>
      <c r="BX43" s="137">
        <f t="shared" si="12"/>
        <v>0</v>
      </c>
    </row>
    <row r="44" spans="1:76" ht="17.100000000000001" customHeight="1" x14ac:dyDescent="0.3">
      <c r="A44" s="82"/>
      <c r="B44" s="119">
        <f>IF(Reseaux!B43="","",1+B43)</f>
        <v>33</v>
      </c>
      <c r="C44" s="123" t="str">
        <f>Paramètres!N37</f>
        <v>CDS Mubuga</v>
      </c>
      <c r="D44" s="126"/>
      <c r="E44" s="136">
        <f>SUMIFS(Tableau_Data[Masculin],Tableau_Data[Nom Réseau],Reseaux!$C44,Tableau_Data[Annee],Reseaux!$F$3,Tableau_Data[Mois],Reseaux!J$4)</f>
        <v>70</v>
      </c>
      <c r="F44" s="126"/>
      <c r="G44" s="136">
        <f>SUMIFS(Tableau_Data[Féminin],Tableau_Data[Nom Réseau],Reseaux!$C44,Tableau_Data[Annee],Reseaux!$F$3,Tableau_Data[Mois],Reseaux!J$4)</f>
        <v>45</v>
      </c>
      <c r="H44" s="126"/>
      <c r="I44" s="137">
        <f t="shared" si="1"/>
        <v>115</v>
      </c>
      <c r="J44" s="126"/>
      <c r="K44" s="126"/>
      <c r="L44" s="138">
        <f>SUMIFS(Tableau_Data[Masculin],Tableau_Data[Nom Réseau],Reseaux!$C44,Tableau_Data[Lieu d''intervention],Reseaux!$L$9,Tableau_Data[Annee],Reseaux!$F$3,Tableau_Data[Mois],Reseaux!J$4)</f>
        <v>0</v>
      </c>
      <c r="M44" s="126"/>
      <c r="N44" s="136">
        <f>SUMIFS(Tableau_Data[Féminin],Tableau_Data[Nom Réseau],Reseaux!$C44,Tableau_Data[Lieu d''intervention],Reseaux!$L$9,Tableau_Data[Annee],Reseaux!$F$3,Tableau_Data[Mois],Reseaux!J$4)</f>
        <v>0</v>
      </c>
      <c r="O44" s="126"/>
      <c r="P44" s="137">
        <f t="shared" si="2"/>
        <v>0</v>
      </c>
      <c r="R44" s="136">
        <f>SUMIFS(Tableau_Data[Masculin],Tableau_Data[Nom Réseau],Reseaux!$C44,Tableau_Data[Lieu d''intervention],Reseaux!$R$9,Tableau_Data[Annee],Reseaux!$F$3,Tableau_Data[Mois],Reseaux!J$4)</f>
        <v>70</v>
      </c>
      <c r="S44" s="126"/>
      <c r="T44" s="136">
        <f>SUMIFS(Tableau_Data[Féminin],Tableau_Data[Nom Réseau],Reseaux!$C44,Tableau_Data[Lieu d''intervention],Reseaux!$R$9,Tableau_Data[Annee],Reseaux!$F$3,Tableau_Data[Mois],Reseaux!J$4)</f>
        <v>45</v>
      </c>
      <c r="U44" s="126"/>
      <c r="V44" s="137">
        <f t="shared" si="3"/>
        <v>115</v>
      </c>
      <c r="W44" s="108"/>
      <c r="X44" s="136">
        <f>SUMIFS(Tableau_Data[Masculin],Tableau_Data[Nom Réseau],Reseaux!$C44,Tableau_Data[Lieu d''intervention],Reseaux!$X$9,Tableau_Data[Annee],Reseaux!$F$3,Tableau_Data[Mois],Reseaux!J$4)</f>
        <v>0</v>
      </c>
      <c r="Y44" s="126"/>
      <c r="Z44" s="136">
        <f>SUMIFS(Tableau_Data[Féminin],Tableau_Data[Nom Réseau],Reseaux!$C44,Tableau_Data[Lieu d''intervention],Reseaux!$X$9,Tableau_Data[Annee],Reseaux!$F$3,Tableau_Data[Mois],Reseaux!J$4)</f>
        <v>0</v>
      </c>
      <c r="AA44" s="126"/>
      <c r="AB44" s="137">
        <f t="shared" si="4"/>
        <v>0</v>
      </c>
      <c r="AD44" s="136">
        <f>SUMIFS(Tableau_Data[Masculin],Tableau_Data[Nom Réseau],Reseaux!$C44,Tableau_Data[Lieu d''intervention],Reseaux!$AD$9,Tableau_Data[Annee],Reseaux!$F$3,Tableau_Data[Mois],Reseaux!J$4)</f>
        <v>0</v>
      </c>
      <c r="AE44" s="126"/>
      <c r="AF44" s="136">
        <f>SUMIFS(Tableau_Data[Féminin],Tableau_Data[Nom Réseau],Reseaux!$C44,Tableau_Data[Lieu d''intervention],Reseaux!$AD$9,Tableau_Data[Annee],Reseaux!$F$3,Tableau_Data[Mois],Reseaux!J$4)</f>
        <v>0</v>
      </c>
      <c r="AG44" s="126"/>
      <c r="AH44" s="137">
        <f t="shared" si="5"/>
        <v>0</v>
      </c>
      <c r="AJ44" s="136">
        <f>SUMIFS(Tableau_Data[Masculin],Tableau_Data[Nom Réseau],Reseaux!$C44,Tableau_Data[Thèmes],Reseaux!$AJ$9,Tableau_Data[Annee],Reseaux!$F$3,Tableau_Data[Mois],Reseaux!J$4)</f>
        <v>0</v>
      </c>
      <c r="AK44" s="126"/>
      <c r="AL44" s="136">
        <f>SUMIFS(Tableau_Data[Féminin],Tableau_Data[Nom Réseau],Reseaux!$C44,Tableau_Data[Thèmes],Reseaux!$AJ$9,Tableau_Data[Annee],Reseaux!$F$3,Tableau_Data[Mois],Reseaux!J$4)</f>
        <v>0</v>
      </c>
      <c r="AM44" s="126"/>
      <c r="AN44" s="137">
        <f t="shared" si="6"/>
        <v>0</v>
      </c>
      <c r="AP44" s="136">
        <f>SUMIFS(Tableau_Data[Masculin],Tableau_Data[Nom Réseau],Reseaux!$C44,Tableau_Data[Thèmes],Reseaux!$AP$9,Tableau_Data[Annee],Reseaux!$F$3,Tableau_Data[Mois],Reseaux!J$4)</f>
        <v>0</v>
      </c>
      <c r="AQ44" s="126"/>
      <c r="AR44" s="136">
        <f>SUMIFS(Tableau_Data[Féminin],Tableau_Data[Nom Réseau],Reseaux!$C44,Tableau_Data[Thèmes],Reseaux!$AP$9,Tableau_Data[Annee],Reseaux!$F$3,Tableau_Data[Mois],Reseaux!J$4)</f>
        <v>0</v>
      </c>
      <c r="AS44" s="126"/>
      <c r="AT44" s="137">
        <f t="shared" si="7"/>
        <v>0</v>
      </c>
      <c r="AV44" s="136">
        <f>SUMIFS(Tableau_Data[Masculin],Tableau_Data[Nom Réseau],Reseaux!$C44,Tableau_Data[Thèmes],Reseaux!$AV$9,Tableau_Data[Annee],Reseaux!$F$3,Tableau_Data[Mois],Reseaux!J$4)</f>
        <v>70</v>
      </c>
      <c r="AW44" s="126"/>
      <c r="AX44" s="136">
        <f>SUMIFS(Tableau_Data[Féminin],Tableau_Data[Nom Réseau],Reseaux!$C44,Tableau_Data[Thèmes],Reseaux!$AV$9,Tableau_Data[Annee],Reseaux!$F$3,Tableau_Data[Mois],Reseaux!J$4)</f>
        <v>45</v>
      </c>
      <c r="AY44" s="126"/>
      <c r="AZ44" s="137">
        <f t="shared" si="8"/>
        <v>115</v>
      </c>
      <c r="BB44" s="136">
        <f>SUMIFS(Tableau_Data[Masculin],Tableau_Data[Nom Réseau],Reseaux!$C44,Tableau_Data[Thèmes],Reseaux!$BB$9,Tableau_Data[Annee],Reseaux!$F$3,Tableau_Data[Mois],Reseaux!J$4)</f>
        <v>0</v>
      </c>
      <c r="BC44" s="126"/>
      <c r="BD44" s="136">
        <f>SUMIFS(Tableau_Data[Féminin],Tableau_Data[Nom Réseau],Reseaux!$C44,Tableau_Data[Thèmes],Reseaux!$BB$9,Tableau_Data[Annee],Reseaux!$F$3,Tableau_Data[Mois],Reseaux!$J$4)</f>
        <v>0</v>
      </c>
      <c r="BE44" s="126"/>
      <c r="BF44" s="137">
        <f t="shared" si="9"/>
        <v>0</v>
      </c>
      <c r="BH44" s="136">
        <f>SUMIFS(Tableau_Data[Masculin],Tableau_Data[Nom Réseau],Reseaux!$C44,Tableau_Data[Thèmes],Reseaux!$BH$9,Tableau_Data[Annee],Reseaux!$F$3,Tableau_Data[Mois],Reseaux!$J$4)</f>
        <v>0</v>
      </c>
      <c r="BI44" s="126"/>
      <c r="BJ44" s="136">
        <f>SUMIFS(Tableau_Data[Féminin],Tableau_Data[Nom Réseau],Reseaux!$C44,Tableau_Data[Thèmes],Reseaux!$BH$9,Tableau_Data[Annee],Reseaux!$F$3,Tableau_Data[Mois],Reseaux!$J$4)</f>
        <v>0</v>
      </c>
      <c r="BK44" s="126"/>
      <c r="BL44" s="137">
        <f t="shared" si="10"/>
        <v>0</v>
      </c>
      <c r="BN44" s="136">
        <f>SUMIFS(Tableau_Data[Masculin],Tableau_Data[Nom Réseau],Reseaux!$C44,Tableau_Data[Thèmes],Reseaux!$BN$9,Tableau_Data[Annee],Reseaux!$F$3,Tableau_Data[Mois],Reseaux!$J$4)</f>
        <v>0</v>
      </c>
      <c r="BO44" s="126"/>
      <c r="BP44" s="136">
        <f>SUMIFS(Tableau_Data[Féminin],Tableau_Data[Nom Réseau],Reseaux!$C44,Tableau_Data[Thèmes],Reseaux!$BN$9,Tableau_Data[Annee],Reseaux!$F$3,Tableau_Data[Mois],Reseaux!$J$4)</f>
        <v>0</v>
      </c>
      <c r="BQ44" s="126"/>
      <c r="BR44" s="137">
        <f t="shared" si="11"/>
        <v>0</v>
      </c>
      <c r="BT44" s="136">
        <f>SUMIFS(Tableau_Data[Masculin],Tableau_Data[Nom Réseau],Reseaux!$C44,Tableau_Data[Thèmes],Reseaux!$BT$9,Tableau_Data[Annee],Reseaux!$F$3,Tableau_Data[Mois],Reseaux!$J$4)</f>
        <v>0</v>
      </c>
      <c r="BU44" s="126"/>
      <c r="BV44" s="136">
        <f>SUMIFS(Tableau_Data[Féminin],Tableau_Data[Nom Réseau],Reseaux!$C44,Tableau_Data[Thèmes],Reseaux!$BT$9,Tableau_Data[Annee],Reseaux!$F$3,Tableau_Data[Mois],Reseaux!$J$4)</f>
        <v>0</v>
      </c>
      <c r="BW44" s="126"/>
      <c r="BX44" s="137">
        <f t="shared" si="12"/>
        <v>0</v>
      </c>
    </row>
    <row r="45" spans="1:76" ht="17.100000000000001" customHeight="1" x14ac:dyDescent="0.3">
      <c r="A45" s="82"/>
      <c r="B45" s="119">
        <f>IF(Reseaux!B44="","",1+B44)</f>
        <v>34</v>
      </c>
      <c r="C45" s="123" t="str">
        <f>Paramètres!N38</f>
        <v>CDS Mungwa</v>
      </c>
      <c r="D45" s="126"/>
      <c r="E45" s="136">
        <f>SUMIFS(Tableau_Data[Masculin],Tableau_Data[Nom Réseau],Reseaux!$C45,Tableau_Data[Annee],Reseaux!$F$3,Tableau_Data[Mois],Reseaux!J$4)</f>
        <v>0</v>
      </c>
      <c r="F45" s="126"/>
      <c r="G45" s="136">
        <f>SUMIFS(Tableau_Data[Féminin],Tableau_Data[Nom Réseau],Reseaux!$C45,Tableau_Data[Annee],Reseaux!$F$3,Tableau_Data[Mois],Reseaux!J$4)</f>
        <v>0</v>
      </c>
      <c r="H45" s="126"/>
      <c r="I45" s="137">
        <f t="shared" si="1"/>
        <v>0</v>
      </c>
      <c r="J45" s="126"/>
      <c r="K45" s="126"/>
      <c r="L45" s="138">
        <f>SUMIFS(Tableau_Data[Masculin],Tableau_Data[Nom Réseau],Reseaux!$C45,Tableau_Data[Lieu d''intervention],Reseaux!$L$9,Tableau_Data[Annee],Reseaux!$F$3,Tableau_Data[Mois],Reseaux!J$4)</f>
        <v>0</v>
      </c>
      <c r="M45" s="126"/>
      <c r="N45" s="136">
        <f>SUMIFS(Tableau_Data[Féminin],Tableau_Data[Nom Réseau],Reseaux!$C45,Tableau_Data[Lieu d''intervention],Reseaux!$L$9,Tableau_Data[Annee],Reseaux!$F$3,Tableau_Data[Mois],Reseaux!J$4)</f>
        <v>0</v>
      </c>
      <c r="O45" s="126"/>
      <c r="P45" s="137">
        <f t="shared" si="2"/>
        <v>0</v>
      </c>
      <c r="R45" s="136">
        <f>SUMIFS(Tableau_Data[Masculin],Tableau_Data[Nom Réseau],Reseaux!$C45,Tableau_Data[Lieu d''intervention],Reseaux!$R$9,Tableau_Data[Annee],Reseaux!$F$3,Tableau_Data[Mois],Reseaux!J$4)</f>
        <v>0</v>
      </c>
      <c r="S45" s="126"/>
      <c r="T45" s="136">
        <f>SUMIFS(Tableau_Data[Féminin],Tableau_Data[Nom Réseau],Reseaux!$C45,Tableau_Data[Lieu d''intervention],Reseaux!$R$9,Tableau_Data[Annee],Reseaux!$F$3,Tableau_Data[Mois],Reseaux!J$4)</f>
        <v>0</v>
      </c>
      <c r="U45" s="126"/>
      <c r="V45" s="137">
        <f t="shared" si="3"/>
        <v>0</v>
      </c>
      <c r="W45" s="108"/>
      <c r="X45" s="136">
        <f>SUMIFS(Tableau_Data[Masculin],Tableau_Data[Nom Réseau],Reseaux!$C45,Tableau_Data[Lieu d''intervention],Reseaux!$X$9,Tableau_Data[Annee],Reseaux!$F$3,Tableau_Data[Mois],Reseaux!J$4)</f>
        <v>0</v>
      </c>
      <c r="Y45" s="126"/>
      <c r="Z45" s="136">
        <f>SUMIFS(Tableau_Data[Féminin],Tableau_Data[Nom Réseau],Reseaux!$C45,Tableau_Data[Lieu d''intervention],Reseaux!$X$9,Tableau_Data[Annee],Reseaux!$F$3,Tableau_Data[Mois],Reseaux!J$4)</f>
        <v>0</v>
      </c>
      <c r="AA45" s="126"/>
      <c r="AB45" s="137">
        <f t="shared" si="4"/>
        <v>0</v>
      </c>
      <c r="AD45" s="136">
        <f>SUMIFS(Tableau_Data[Masculin],Tableau_Data[Nom Réseau],Reseaux!$C45,Tableau_Data[Lieu d''intervention],Reseaux!$AD$9,Tableau_Data[Annee],Reseaux!$F$3,Tableau_Data[Mois],Reseaux!J$4)</f>
        <v>0</v>
      </c>
      <c r="AE45" s="126"/>
      <c r="AF45" s="136">
        <f>SUMIFS(Tableau_Data[Féminin],Tableau_Data[Nom Réseau],Reseaux!$C45,Tableau_Data[Lieu d''intervention],Reseaux!$AD$9,Tableau_Data[Annee],Reseaux!$F$3,Tableau_Data[Mois],Reseaux!J$4)</f>
        <v>0</v>
      </c>
      <c r="AG45" s="126"/>
      <c r="AH45" s="137">
        <f t="shared" si="5"/>
        <v>0</v>
      </c>
      <c r="AJ45" s="136">
        <f>SUMIFS(Tableau_Data[Masculin],Tableau_Data[Nom Réseau],Reseaux!$C45,Tableau_Data[Thèmes],Reseaux!$AJ$9,Tableau_Data[Annee],Reseaux!$F$3,Tableau_Data[Mois],Reseaux!J$4)</f>
        <v>0</v>
      </c>
      <c r="AK45" s="126"/>
      <c r="AL45" s="136">
        <f>SUMIFS(Tableau_Data[Féminin],Tableau_Data[Nom Réseau],Reseaux!$C45,Tableau_Data[Thèmes],Reseaux!$AJ$9,Tableau_Data[Annee],Reseaux!$F$3,Tableau_Data[Mois],Reseaux!J$4)</f>
        <v>0</v>
      </c>
      <c r="AM45" s="126"/>
      <c r="AN45" s="137">
        <f t="shared" si="6"/>
        <v>0</v>
      </c>
      <c r="AP45" s="136">
        <f>SUMIFS(Tableau_Data[Masculin],Tableau_Data[Nom Réseau],Reseaux!$C45,Tableau_Data[Thèmes],Reseaux!$AP$9,Tableau_Data[Annee],Reseaux!$F$3,Tableau_Data[Mois],Reseaux!J$4)</f>
        <v>0</v>
      </c>
      <c r="AQ45" s="126"/>
      <c r="AR45" s="136">
        <f>SUMIFS(Tableau_Data[Féminin],Tableau_Data[Nom Réseau],Reseaux!$C45,Tableau_Data[Thèmes],Reseaux!$AP$9,Tableau_Data[Annee],Reseaux!$F$3,Tableau_Data[Mois],Reseaux!J$4)</f>
        <v>0</v>
      </c>
      <c r="AS45" s="126"/>
      <c r="AT45" s="137">
        <f t="shared" si="7"/>
        <v>0</v>
      </c>
      <c r="AV45" s="136">
        <f>SUMIFS(Tableau_Data[Masculin],Tableau_Data[Nom Réseau],Reseaux!$C45,Tableau_Data[Thèmes],Reseaux!$AV$9,Tableau_Data[Annee],Reseaux!$F$3,Tableau_Data[Mois],Reseaux!J$4)</f>
        <v>0</v>
      </c>
      <c r="AW45" s="126"/>
      <c r="AX45" s="136">
        <f>SUMIFS(Tableau_Data[Féminin],Tableau_Data[Nom Réseau],Reseaux!$C45,Tableau_Data[Thèmes],Reseaux!$AV$9,Tableau_Data[Annee],Reseaux!$F$3,Tableau_Data[Mois],Reseaux!J$4)</f>
        <v>0</v>
      </c>
      <c r="AY45" s="126"/>
      <c r="AZ45" s="137">
        <f t="shared" si="8"/>
        <v>0</v>
      </c>
      <c r="BB45" s="136">
        <f>SUMIFS(Tableau_Data[Masculin],Tableau_Data[Nom Réseau],Reseaux!$C45,Tableau_Data[Thèmes],Reseaux!$BB$9,Tableau_Data[Annee],Reseaux!$F$3,Tableau_Data[Mois],Reseaux!J$4)</f>
        <v>0</v>
      </c>
      <c r="BC45" s="126"/>
      <c r="BD45" s="136">
        <f>SUMIFS(Tableau_Data[Féminin],Tableau_Data[Nom Réseau],Reseaux!$C45,Tableau_Data[Thèmes],Reseaux!$BB$9,Tableau_Data[Annee],Reseaux!$F$3,Tableau_Data[Mois],Reseaux!$J$4)</f>
        <v>0</v>
      </c>
      <c r="BE45" s="126"/>
      <c r="BF45" s="137">
        <f t="shared" si="9"/>
        <v>0</v>
      </c>
      <c r="BH45" s="136">
        <f>SUMIFS(Tableau_Data[Masculin],Tableau_Data[Nom Réseau],Reseaux!$C45,Tableau_Data[Thèmes],Reseaux!$BH$9,Tableau_Data[Annee],Reseaux!$F$3,Tableau_Data[Mois],Reseaux!$J$4)</f>
        <v>0</v>
      </c>
      <c r="BI45" s="126"/>
      <c r="BJ45" s="136">
        <f>SUMIFS(Tableau_Data[Féminin],Tableau_Data[Nom Réseau],Reseaux!$C45,Tableau_Data[Thèmes],Reseaux!$BH$9,Tableau_Data[Annee],Reseaux!$F$3,Tableau_Data[Mois],Reseaux!$J$4)</f>
        <v>0</v>
      </c>
      <c r="BK45" s="126"/>
      <c r="BL45" s="137">
        <f t="shared" si="10"/>
        <v>0</v>
      </c>
      <c r="BN45" s="136">
        <f>SUMIFS(Tableau_Data[Masculin],Tableau_Data[Nom Réseau],Reseaux!$C45,Tableau_Data[Thèmes],Reseaux!$BN$9,Tableau_Data[Annee],Reseaux!$F$3,Tableau_Data[Mois],Reseaux!$J$4)</f>
        <v>0</v>
      </c>
      <c r="BO45" s="126"/>
      <c r="BP45" s="136">
        <f>SUMIFS(Tableau_Data[Féminin],Tableau_Data[Nom Réseau],Reseaux!$C45,Tableau_Data[Thèmes],Reseaux!$BN$9,Tableau_Data[Annee],Reseaux!$F$3,Tableau_Data[Mois],Reseaux!$J$4)</f>
        <v>0</v>
      </c>
      <c r="BQ45" s="126"/>
      <c r="BR45" s="137">
        <f t="shared" si="11"/>
        <v>0</v>
      </c>
      <c r="BT45" s="136">
        <f>SUMIFS(Tableau_Data[Masculin],Tableau_Data[Nom Réseau],Reseaux!$C45,Tableau_Data[Thèmes],Reseaux!$BT$9,Tableau_Data[Annee],Reseaux!$F$3,Tableau_Data[Mois],Reseaux!$J$4)</f>
        <v>0</v>
      </c>
      <c r="BU45" s="126"/>
      <c r="BV45" s="136">
        <f>SUMIFS(Tableau_Data[Féminin],Tableau_Data[Nom Réseau],Reseaux!$C45,Tableau_Data[Thèmes],Reseaux!$BT$9,Tableau_Data[Annee],Reseaux!$F$3,Tableau_Data[Mois],Reseaux!$J$4)</f>
        <v>0</v>
      </c>
      <c r="BW45" s="126"/>
      <c r="BX45" s="137">
        <f t="shared" si="12"/>
        <v>0</v>
      </c>
    </row>
    <row r="46" spans="1:76" ht="17.100000000000001" customHeight="1" x14ac:dyDescent="0.3">
      <c r="A46" s="82"/>
      <c r="B46" s="119">
        <f>IF(Reseaux!B45="","",1+B45)</f>
        <v>35</v>
      </c>
      <c r="C46" s="123" t="str">
        <f>Paramètres!N39</f>
        <v>CDS Rutoki</v>
      </c>
      <c r="D46" s="126"/>
      <c r="E46" s="136">
        <f>SUMIFS(Tableau_Data[Masculin],Tableau_Data[Nom Réseau],Reseaux!$C46,Tableau_Data[Annee],Reseaux!$F$3,Tableau_Data[Mois],Reseaux!J$4)</f>
        <v>0</v>
      </c>
      <c r="F46" s="126"/>
      <c r="G46" s="136">
        <f>SUMIFS(Tableau_Data[Féminin],Tableau_Data[Nom Réseau],Reseaux!$C46,Tableau_Data[Annee],Reseaux!$F$3,Tableau_Data[Mois],Reseaux!J$4)</f>
        <v>0</v>
      </c>
      <c r="H46" s="126"/>
      <c r="I46" s="137">
        <f t="shared" si="1"/>
        <v>0</v>
      </c>
      <c r="J46" s="126"/>
      <c r="K46" s="126"/>
      <c r="L46" s="138">
        <f>SUMIFS(Tableau_Data[Masculin],Tableau_Data[Nom Réseau],Reseaux!$C46,Tableau_Data[Lieu d''intervention],Reseaux!$L$9,Tableau_Data[Annee],Reseaux!$F$3,Tableau_Data[Mois],Reseaux!J$4)</f>
        <v>0</v>
      </c>
      <c r="M46" s="126"/>
      <c r="N46" s="136">
        <f>SUMIFS(Tableau_Data[Féminin],Tableau_Data[Nom Réseau],Reseaux!$C46,Tableau_Data[Lieu d''intervention],Reseaux!$L$9,Tableau_Data[Annee],Reseaux!$F$3,Tableau_Data[Mois],Reseaux!J$4)</f>
        <v>0</v>
      </c>
      <c r="O46" s="126"/>
      <c r="P46" s="137">
        <f t="shared" si="2"/>
        <v>0</v>
      </c>
      <c r="R46" s="136">
        <f>SUMIFS(Tableau_Data[Masculin],Tableau_Data[Nom Réseau],Reseaux!$C46,Tableau_Data[Lieu d''intervention],Reseaux!$R$9,Tableau_Data[Annee],Reseaux!$F$3,Tableau_Data[Mois],Reseaux!J$4)</f>
        <v>0</v>
      </c>
      <c r="S46" s="126"/>
      <c r="T46" s="136">
        <f>SUMIFS(Tableau_Data[Féminin],Tableau_Data[Nom Réseau],Reseaux!$C46,Tableau_Data[Lieu d''intervention],Reseaux!$R$9,Tableau_Data[Annee],Reseaux!$F$3,Tableau_Data[Mois],Reseaux!J$4)</f>
        <v>0</v>
      </c>
      <c r="U46" s="126"/>
      <c r="V46" s="137">
        <f t="shared" si="3"/>
        <v>0</v>
      </c>
      <c r="W46" s="108"/>
      <c r="X46" s="136">
        <f>SUMIFS(Tableau_Data[Masculin],Tableau_Data[Nom Réseau],Reseaux!$C46,Tableau_Data[Lieu d''intervention],Reseaux!$X$9,Tableau_Data[Annee],Reseaux!$F$3,Tableau_Data[Mois],Reseaux!J$4)</f>
        <v>0</v>
      </c>
      <c r="Y46" s="126"/>
      <c r="Z46" s="136">
        <f>SUMIFS(Tableau_Data[Féminin],Tableau_Data[Nom Réseau],Reseaux!$C46,Tableau_Data[Lieu d''intervention],Reseaux!$X$9,Tableau_Data[Annee],Reseaux!$F$3,Tableau_Data[Mois],Reseaux!J$4)</f>
        <v>0</v>
      </c>
      <c r="AA46" s="126"/>
      <c r="AB46" s="137">
        <f t="shared" si="4"/>
        <v>0</v>
      </c>
      <c r="AD46" s="136">
        <f>SUMIFS(Tableau_Data[Masculin],Tableau_Data[Nom Réseau],Reseaux!$C46,Tableau_Data[Lieu d''intervention],Reseaux!$AD$9,Tableau_Data[Annee],Reseaux!$F$3,Tableau_Data[Mois],Reseaux!J$4)</f>
        <v>0</v>
      </c>
      <c r="AE46" s="126"/>
      <c r="AF46" s="136">
        <f>SUMIFS(Tableau_Data[Féminin],Tableau_Data[Nom Réseau],Reseaux!$C46,Tableau_Data[Lieu d''intervention],Reseaux!$AD$9,Tableau_Data[Annee],Reseaux!$F$3,Tableau_Data[Mois],Reseaux!J$4)</f>
        <v>0</v>
      </c>
      <c r="AG46" s="126"/>
      <c r="AH46" s="137">
        <f t="shared" si="5"/>
        <v>0</v>
      </c>
      <c r="AJ46" s="136">
        <f>SUMIFS(Tableau_Data[Masculin],Tableau_Data[Nom Réseau],Reseaux!$C46,Tableau_Data[Thèmes],Reseaux!$AJ$9,Tableau_Data[Annee],Reseaux!$F$3,Tableau_Data[Mois],Reseaux!J$4)</f>
        <v>0</v>
      </c>
      <c r="AK46" s="126"/>
      <c r="AL46" s="136">
        <f>SUMIFS(Tableau_Data[Féminin],Tableau_Data[Nom Réseau],Reseaux!$C46,Tableau_Data[Thèmes],Reseaux!$AJ$9,Tableau_Data[Annee],Reseaux!$F$3,Tableau_Data[Mois],Reseaux!J$4)</f>
        <v>0</v>
      </c>
      <c r="AM46" s="126"/>
      <c r="AN46" s="137">
        <f t="shared" si="6"/>
        <v>0</v>
      </c>
      <c r="AP46" s="136">
        <f>SUMIFS(Tableau_Data[Masculin],Tableau_Data[Nom Réseau],Reseaux!$C46,Tableau_Data[Thèmes],Reseaux!$AP$9,Tableau_Data[Annee],Reseaux!$F$3,Tableau_Data[Mois],Reseaux!J$4)</f>
        <v>0</v>
      </c>
      <c r="AQ46" s="126"/>
      <c r="AR46" s="136">
        <f>SUMIFS(Tableau_Data[Féminin],Tableau_Data[Nom Réseau],Reseaux!$C46,Tableau_Data[Thèmes],Reseaux!$AP$9,Tableau_Data[Annee],Reseaux!$F$3,Tableau_Data[Mois],Reseaux!J$4)</f>
        <v>0</v>
      </c>
      <c r="AS46" s="126"/>
      <c r="AT46" s="137">
        <f t="shared" si="7"/>
        <v>0</v>
      </c>
      <c r="AV46" s="136">
        <f>SUMIFS(Tableau_Data[Masculin],Tableau_Data[Nom Réseau],Reseaux!$C46,Tableau_Data[Thèmes],Reseaux!$AV$9,Tableau_Data[Annee],Reseaux!$F$3,Tableau_Data[Mois],Reseaux!J$4)</f>
        <v>0</v>
      </c>
      <c r="AW46" s="126"/>
      <c r="AX46" s="136">
        <f>SUMIFS(Tableau_Data[Féminin],Tableau_Data[Nom Réseau],Reseaux!$C46,Tableau_Data[Thèmes],Reseaux!$AV$9,Tableau_Data[Annee],Reseaux!$F$3,Tableau_Data[Mois],Reseaux!J$4)</f>
        <v>0</v>
      </c>
      <c r="AY46" s="126"/>
      <c r="AZ46" s="137">
        <f t="shared" si="8"/>
        <v>0</v>
      </c>
      <c r="BB46" s="136">
        <f>SUMIFS(Tableau_Data[Masculin],Tableau_Data[Nom Réseau],Reseaux!$C46,Tableau_Data[Thèmes],Reseaux!$BB$9,Tableau_Data[Annee],Reseaux!$F$3,Tableau_Data[Mois],Reseaux!J$4)</f>
        <v>0</v>
      </c>
      <c r="BC46" s="126"/>
      <c r="BD46" s="136">
        <f>SUMIFS(Tableau_Data[Féminin],Tableau_Data[Nom Réseau],Reseaux!$C46,Tableau_Data[Thèmes],Reseaux!$BB$9,Tableau_Data[Annee],Reseaux!$F$3,Tableau_Data[Mois],Reseaux!$J$4)</f>
        <v>0</v>
      </c>
      <c r="BE46" s="126"/>
      <c r="BF46" s="137">
        <f t="shared" si="9"/>
        <v>0</v>
      </c>
      <c r="BH46" s="136">
        <f>SUMIFS(Tableau_Data[Masculin],Tableau_Data[Nom Réseau],Reseaux!$C46,Tableau_Data[Thèmes],Reseaux!$BH$9,Tableau_Data[Annee],Reseaux!$F$3,Tableau_Data[Mois],Reseaux!$J$4)</f>
        <v>0</v>
      </c>
      <c r="BI46" s="126"/>
      <c r="BJ46" s="136">
        <f>SUMIFS(Tableau_Data[Féminin],Tableau_Data[Nom Réseau],Reseaux!$C46,Tableau_Data[Thèmes],Reseaux!$BH$9,Tableau_Data[Annee],Reseaux!$F$3,Tableau_Data[Mois],Reseaux!$J$4)</f>
        <v>0</v>
      </c>
      <c r="BK46" s="126"/>
      <c r="BL46" s="137">
        <f t="shared" si="10"/>
        <v>0</v>
      </c>
      <c r="BN46" s="136">
        <f>SUMIFS(Tableau_Data[Masculin],Tableau_Data[Nom Réseau],Reseaux!$C46,Tableau_Data[Thèmes],Reseaux!$BN$9,Tableau_Data[Annee],Reseaux!$F$3,Tableau_Data[Mois],Reseaux!$J$4)</f>
        <v>0</v>
      </c>
      <c r="BO46" s="126"/>
      <c r="BP46" s="136">
        <f>SUMIFS(Tableau_Data[Féminin],Tableau_Data[Nom Réseau],Reseaux!$C46,Tableau_Data[Thèmes],Reseaux!$BN$9,Tableau_Data[Annee],Reseaux!$F$3,Tableau_Data[Mois],Reseaux!$J$4)</f>
        <v>0</v>
      </c>
      <c r="BQ46" s="126"/>
      <c r="BR46" s="137">
        <f t="shared" si="11"/>
        <v>0</v>
      </c>
      <c r="BT46" s="136">
        <f>SUMIFS(Tableau_Data[Masculin],Tableau_Data[Nom Réseau],Reseaux!$C46,Tableau_Data[Thèmes],Reseaux!$BT$9,Tableau_Data[Annee],Reseaux!$F$3,Tableau_Data[Mois],Reseaux!$J$4)</f>
        <v>0</v>
      </c>
      <c r="BU46" s="126"/>
      <c r="BV46" s="136">
        <f>SUMIFS(Tableau_Data[Féminin],Tableau_Data[Nom Réseau],Reseaux!$C46,Tableau_Data[Thèmes],Reseaux!$BT$9,Tableau_Data[Annee],Reseaux!$F$3,Tableau_Data[Mois],Reseaux!$J$4)</f>
        <v>0</v>
      </c>
      <c r="BW46" s="126"/>
      <c r="BX46" s="137">
        <f t="shared" si="12"/>
        <v>0</v>
      </c>
    </row>
    <row r="47" spans="1:76" ht="17.100000000000001" customHeight="1" x14ac:dyDescent="0.3">
      <c r="A47" s="82"/>
      <c r="B47" s="119">
        <f>IF(Reseaux!B46="","",1+B46)</f>
        <v>36</v>
      </c>
      <c r="C47" s="123" t="str">
        <f>Paramètres!N40</f>
        <v>CDS Gitega</v>
      </c>
      <c r="D47" s="126"/>
      <c r="E47" s="136">
        <f>SUMIFS(Tableau_Data[Masculin],Tableau_Data[Nom Réseau],Reseaux!$C47,Tableau_Data[Annee],Reseaux!$F$3,Tableau_Data[Mois],Reseaux!J$4)</f>
        <v>0</v>
      </c>
      <c r="F47" s="126"/>
      <c r="G47" s="136">
        <f>SUMIFS(Tableau_Data[Féminin],Tableau_Data[Nom Réseau],Reseaux!$C47,Tableau_Data[Annee],Reseaux!$F$3,Tableau_Data[Mois],Reseaux!J$4)</f>
        <v>0</v>
      </c>
      <c r="H47" s="126"/>
      <c r="I47" s="137">
        <f t="shared" si="1"/>
        <v>0</v>
      </c>
      <c r="J47" s="126"/>
      <c r="K47" s="126"/>
      <c r="L47" s="138">
        <f>SUMIFS(Tableau_Data[Masculin],Tableau_Data[Nom Réseau],Reseaux!$C47,Tableau_Data[Lieu d''intervention],Reseaux!$L$9,Tableau_Data[Annee],Reseaux!$F$3,Tableau_Data[Mois],Reseaux!J$4)</f>
        <v>0</v>
      </c>
      <c r="M47" s="126"/>
      <c r="N47" s="136">
        <f>SUMIFS(Tableau_Data[Féminin],Tableau_Data[Nom Réseau],Reseaux!$C47,Tableau_Data[Lieu d''intervention],Reseaux!$L$9,Tableau_Data[Annee],Reseaux!$F$3,Tableau_Data[Mois],Reseaux!J$4)</f>
        <v>0</v>
      </c>
      <c r="O47" s="126"/>
      <c r="P47" s="137">
        <f t="shared" si="2"/>
        <v>0</v>
      </c>
      <c r="R47" s="136">
        <f>SUMIFS(Tableau_Data[Masculin],Tableau_Data[Nom Réseau],Reseaux!$C47,Tableau_Data[Lieu d''intervention],Reseaux!$R$9,Tableau_Data[Annee],Reseaux!$F$3,Tableau_Data[Mois],Reseaux!J$4)</f>
        <v>0</v>
      </c>
      <c r="S47" s="126"/>
      <c r="T47" s="136">
        <f>SUMIFS(Tableau_Data[Féminin],Tableau_Data[Nom Réseau],Reseaux!$C47,Tableau_Data[Lieu d''intervention],Reseaux!$R$9,Tableau_Data[Annee],Reseaux!$F$3,Tableau_Data[Mois],Reseaux!J$4)</f>
        <v>0</v>
      </c>
      <c r="U47" s="126"/>
      <c r="V47" s="137">
        <f t="shared" si="3"/>
        <v>0</v>
      </c>
      <c r="W47" s="108"/>
      <c r="X47" s="136">
        <f>SUMIFS(Tableau_Data[Masculin],Tableau_Data[Nom Réseau],Reseaux!$C47,Tableau_Data[Lieu d''intervention],Reseaux!$X$9,Tableau_Data[Annee],Reseaux!$F$3,Tableau_Data[Mois],Reseaux!J$4)</f>
        <v>0</v>
      </c>
      <c r="Y47" s="126"/>
      <c r="Z47" s="136">
        <f>SUMIFS(Tableau_Data[Féminin],Tableau_Data[Nom Réseau],Reseaux!$C47,Tableau_Data[Lieu d''intervention],Reseaux!$X$9,Tableau_Data[Annee],Reseaux!$F$3,Tableau_Data[Mois],Reseaux!J$4)</f>
        <v>0</v>
      </c>
      <c r="AA47" s="126"/>
      <c r="AB47" s="137">
        <f t="shared" si="4"/>
        <v>0</v>
      </c>
      <c r="AD47" s="136">
        <f>SUMIFS(Tableau_Data[Masculin],Tableau_Data[Nom Réseau],Reseaux!$C47,Tableau_Data[Lieu d''intervention],Reseaux!$AD$9,Tableau_Data[Annee],Reseaux!$F$3,Tableau_Data[Mois],Reseaux!J$4)</f>
        <v>0</v>
      </c>
      <c r="AE47" s="126"/>
      <c r="AF47" s="136">
        <f>SUMIFS(Tableau_Data[Féminin],Tableau_Data[Nom Réseau],Reseaux!$C47,Tableau_Data[Lieu d''intervention],Reseaux!$AD$9,Tableau_Data[Annee],Reseaux!$F$3,Tableau_Data[Mois],Reseaux!J$4)</f>
        <v>0</v>
      </c>
      <c r="AG47" s="126"/>
      <c r="AH47" s="137">
        <f t="shared" si="5"/>
        <v>0</v>
      </c>
      <c r="AJ47" s="136">
        <f>SUMIFS(Tableau_Data[Masculin],Tableau_Data[Nom Réseau],Reseaux!$C47,Tableau_Data[Thèmes],Reseaux!$AJ$9,Tableau_Data[Annee],Reseaux!$F$3,Tableau_Data[Mois],Reseaux!J$4)</f>
        <v>0</v>
      </c>
      <c r="AK47" s="126"/>
      <c r="AL47" s="136">
        <f>SUMIFS(Tableau_Data[Féminin],Tableau_Data[Nom Réseau],Reseaux!$C47,Tableau_Data[Thèmes],Reseaux!$AJ$9,Tableau_Data[Annee],Reseaux!$F$3,Tableau_Data[Mois],Reseaux!J$4)</f>
        <v>0</v>
      </c>
      <c r="AM47" s="126"/>
      <c r="AN47" s="137">
        <f t="shared" si="6"/>
        <v>0</v>
      </c>
      <c r="AP47" s="136">
        <f>SUMIFS(Tableau_Data[Masculin],Tableau_Data[Nom Réseau],Reseaux!$C47,Tableau_Data[Thèmes],Reseaux!$AP$9,Tableau_Data[Annee],Reseaux!$F$3,Tableau_Data[Mois],Reseaux!J$4)</f>
        <v>0</v>
      </c>
      <c r="AQ47" s="126"/>
      <c r="AR47" s="136">
        <f>SUMIFS(Tableau_Data[Féminin],Tableau_Data[Nom Réseau],Reseaux!$C47,Tableau_Data[Thèmes],Reseaux!$AP$9,Tableau_Data[Annee],Reseaux!$F$3,Tableau_Data[Mois],Reseaux!J$4)</f>
        <v>0</v>
      </c>
      <c r="AS47" s="126"/>
      <c r="AT47" s="137">
        <f t="shared" si="7"/>
        <v>0</v>
      </c>
      <c r="AV47" s="136">
        <f>SUMIFS(Tableau_Data[Masculin],Tableau_Data[Nom Réseau],Reseaux!$C47,Tableau_Data[Thèmes],Reseaux!$AV$9,Tableau_Data[Annee],Reseaux!$F$3,Tableau_Data[Mois],Reseaux!J$4)</f>
        <v>0</v>
      </c>
      <c r="AW47" s="126"/>
      <c r="AX47" s="136">
        <f>SUMIFS(Tableau_Data[Féminin],Tableau_Data[Nom Réseau],Reseaux!$C47,Tableau_Data[Thèmes],Reseaux!$AV$9,Tableau_Data[Annee],Reseaux!$F$3,Tableau_Data[Mois],Reseaux!J$4)</f>
        <v>0</v>
      </c>
      <c r="AY47" s="126"/>
      <c r="AZ47" s="137">
        <f t="shared" si="8"/>
        <v>0</v>
      </c>
      <c r="BB47" s="136">
        <f>SUMIFS(Tableau_Data[Masculin],Tableau_Data[Nom Réseau],Reseaux!$C47,Tableau_Data[Thèmes],Reseaux!$BB$9,Tableau_Data[Annee],Reseaux!$F$3,Tableau_Data[Mois],Reseaux!J$4)</f>
        <v>0</v>
      </c>
      <c r="BC47" s="126"/>
      <c r="BD47" s="136">
        <f>SUMIFS(Tableau_Data[Féminin],Tableau_Data[Nom Réseau],Reseaux!$C47,Tableau_Data[Thèmes],Reseaux!$BB$9,Tableau_Data[Annee],Reseaux!$F$3,Tableau_Data[Mois],Reseaux!$J$4)</f>
        <v>0</v>
      </c>
      <c r="BE47" s="126"/>
      <c r="BF47" s="137">
        <f t="shared" si="9"/>
        <v>0</v>
      </c>
      <c r="BH47" s="136">
        <f>SUMIFS(Tableau_Data[Masculin],Tableau_Data[Nom Réseau],Reseaux!$C47,Tableau_Data[Thèmes],Reseaux!$BH$9,Tableau_Data[Annee],Reseaux!$F$3,Tableau_Data[Mois],Reseaux!$J$4)</f>
        <v>0</v>
      </c>
      <c r="BI47" s="126"/>
      <c r="BJ47" s="136">
        <f>SUMIFS(Tableau_Data[Féminin],Tableau_Data[Nom Réseau],Reseaux!$C47,Tableau_Data[Thèmes],Reseaux!$BH$9,Tableau_Data[Annee],Reseaux!$F$3,Tableau_Data[Mois],Reseaux!$J$4)</f>
        <v>0</v>
      </c>
      <c r="BK47" s="126"/>
      <c r="BL47" s="137">
        <f t="shared" si="10"/>
        <v>0</v>
      </c>
      <c r="BN47" s="136">
        <f>SUMIFS(Tableau_Data[Masculin],Tableau_Data[Nom Réseau],Reseaux!$C47,Tableau_Data[Thèmes],Reseaux!$BN$9,Tableau_Data[Annee],Reseaux!$F$3,Tableau_Data[Mois],Reseaux!$J$4)</f>
        <v>0</v>
      </c>
      <c r="BO47" s="126"/>
      <c r="BP47" s="136">
        <f>SUMIFS(Tableau_Data[Féminin],Tableau_Data[Nom Réseau],Reseaux!$C47,Tableau_Data[Thèmes],Reseaux!$BN$9,Tableau_Data[Annee],Reseaux!$F$3,Tableau_Data[Mois],Reseaux!$J$4)</f>
        <v>0</v>
      </c>
      <c r="BQ47" s="126"/>
      <c r="BR47" s="137">
        <f t="shared" si="11"/>
        <v>0</v>
      </c>
      <c r="BT47" s="136">
        <f>SUMIFS(Tableau_Data[Masculin],Tableau_Data[Nom Réseau],Reseaux!$C47,Tableau_Data[Thèmes],Reseaux!$BT$9,Tableau_Data[Annee],Reseaux!$F$3,Tableau_Data[Mois],Reseaux!$J$4)</f>
        <v>0</v>
      </c>
      <c r="BU47" s="126"/>
      <c r="BV47" s="136">
        <f>SUMIFS(Tableau_Data[Féminin],Tableau_Data[Nom Réseau],Reseaux!$C47,Tableau_Data[Thèmes],Reseaux!$BT$9,Tableau_Data[Annee],Reseaux!$F$3,Tableau_Data[Mois],Reseaux!$J$4)</f>
        <v>0</v>
      </c>
      <c r="BW47" s="126"/>
      <c r="BX47" s="137">
        <f t="shared" si="12"/>
        <v>0</v>
      </c>
    </row>
    <row r="48" spans="1:76" ht="17.100000000000001" customHeight="1" x14ac:dyDescent="0.3">
      <c r="A48" s="82"/>
      <c r="B48" s="140">
        <f>IF(Reseaux!B47="","",1+B47)</f>
        <v>37</v>
      </c>
      <c r="C48" s="123" t="str">
        <f>Paramètres!N41</f>
        <v>CDS Mushasha</v>
      </c>
      <c r="D48" s="126"/>
      <c r="E48" s="136">
        <f>SUMIFS(Tableau_Data[Masculin],Tableau_Data[Nom Réseau],Reseaux!$C48,Tableau_Data[Annee],Reseaux!$F$3,Tableau_Data[Mois],Reseaux!J$4)</f>
        <v>0</v>
      </c>
      <c r="F48" s="126"/>
      <c r="G48" s="136">
        <f>SUMIFS(Tableau_Data[Féminin],Tableau_Data[Nom Réseau],Reseaux!$C48,Tableau_Data[Annee],Reseaux!$F$3,Tableau_Data[Mois],Reseaux!J$4)</f>
        <v>0</v>
      </c>
      <c r="H48" s="126"/>
      <c r="I48" s="137">
        <f t="shared" si="1"/>
        <v>0</v>
      </c>
      <c r="J48" s="126"/>
      <c r="K48" s="126"/>
      <c r="L48" s="138">
        <f>SUMIFS(Tableau_Data[Masculin],Tableau_Data[Nom Réseau],Reseaux!$C48,Tableau_Data[Lieu d''intervention],Reseaux!$L$9,Tableau_Data[Annee],Reseaux!$F$3,Tableau_Data[Mois],Reseaux!J$4)</f>
        <v>0</v>
      </c>
      <c r="M48" s="126"/>
      <c r="N48" s="136">
        <f>SUMIFS(Tableau_Data[Féminin],Tableau_Data[Nom Réseau],Reseaux!$C48,Tableau_Data[Lieu d''intervention],Reseaux!$L$9,Tableau_Data[Annee],Reseaux!$F$3,Tableau_Data[Mois],Reseaux!J$4)</f>
        <v>0</v>
      </c>
      <c r="O48" s="126"/>
      <c r="P48" s="137">
        <f t="shared" si="2"/>
        <v>0</v>
      </c>
      <c r="R48" s="136">
        <f>SUMIFS(Tableau_Data[Masculin],Tableau_Data[Nom Réseau],Reseaux!$C48,Tableau_Data[Lieu d''intervention],Reseaux!$R$9,Tableau_Data[Annee],Reseaux!$F$3,Tableau_Data[Mois],Reseaux!J$4)</f>
        <v>0</v>
      </c>
      <c r="S48" s="126"/>
      <c r="T48" s="136">
        <f>SUMIFS(Tableau_Data[Féminin],Tableau_Data[Nom Réseau],Reseaux!$C48,Tableau_Data[Lieu d''intervention],Reseaux!$R$9,Tableau_Data[Annee],Reseaux!$F$3,Tableau_Data[Mois],Reseaux!J$4)</f>
        <v>0</v>
      </c>
      <c r="U48" s="126"/>
      <c r="V48" s="137">
        <f t="shared" si="3"/>
        <v>0</v>
      </c>
      <c r="W48" s="108"/>
      <c r="X48" s="136">
        <f>SUMIFS(Tableau_Data[Masculin],Tableau_Data[Nom Réseau],Reseaux!$C48,Tableau_Data[Lieu d''intervention],Reseaux!$X$9,Tableau_Data[Annee],Reseaux!$F$3,Tableau_Data[Mois],Reseaux!J$4)</f>
        <v>0</v>
      </c>
      <c r="Y48" s="126"/>
      <c r="Z48" s="136">
        <f>SUMIFS(Tableau_Data[Féminin],Tableau_Data[Nom Réseau],Reseaux!$C48,Tableau_Data[Lieu d''intervention],Reseaux!$X$9,Tableau_Data[Annee],Reseaux!$F$3,Tableau_Data[Mois],Reseaux!J$4)</f>
        <v>0</v>
      </c>
      <c r="AA48" s="126"/>
      <c r="AB48" s="137">
        <f t="shared" si="4"/>
        <v>0</v>
      </c>
      <c r="AD48" s="136">
        <f>SUMIFS(Tableau_Data[Masculin],Tableau_Data[Nom Réseau],Reseaux!$C48,Tableau_Data[Lieu d''intervention],Reseaux!$AD$9,Tableau_Data[Annee],Reseaux!$F$3,Tableau_Data[Mois],Reseaux!J$4)</f>
        <v>0</v>
      </c>
      <c r="AE48" s="126"/>
      <c r="AF48" s="136">
        <f>SUMIFS(Tableau_Data[Féminin],Tableau_Data[Nom Réseau],Reseaux!$C48,Tableau_Data[Lieu d''intervention],Reseaux!$AD$9,Tableau_Data[Annee],Reseaux!$F$3,Tableau_Data[Mois],Reseaux!J$4)</f>
        <v>0</v>
      </c>
      <c r="AG48" s="126"/>
      <c r="AH48" s="137">
        <f t="shared" si="5"/>
        <v>0</v>
      </c>
      <c r="AJ48" s="136">
        <f>SUMIFS(Tableau_Data[Masculin],Tableau_Data[Nom Réseau],Reseaux!$C48,Tableau_Data[Thèmes],Reseaux!$AJ$9,Tableau_Data[Annee],Reseaux!$F$3,Tableau_Data[Mois],Reseaux!J$4)</f>
        <v>0</v>
      </c>
      <c r="AK48" s="126"/>
      <c r="AL48" s="136">
        <f>SUMIFS(Tableau_Data[Féminin],Tableau_Data[Nom Réseau],Reseaux!$C48,Tableau_Data[Thèmes],Reseaux!$AJ$9,Tableau_Data[Annee],Reseaux!$F$3,Tableau_Data[Mois],Reseaux!J$4)</f>
        <v>0</v>
      </c>
      <c r="AM48" s="126"/>
      <c r="AN48" s="137">
        <f t="shared" si="6"/>
        <v>0</v>
      </c>
      <c r="AP48" s="136">
        <f>SUMIFS(Tableau_Data[Masculin],Tableau_Data[Nom Réseau],Reseaux!$C48,Tableau_Data[Thèmes],Reseaux!$AP$9,Tableau_Data[Annee],Reseaux!$F$3,Tableau_Data[Mois],Reseaux!J$4)</f>
        <v>0</v>
      </c>
      <c r="AQ48" s="126"/>
      <c r="AR48" s="136">
        <f>SUMIFS(Tableau_Data[Féminin],Tableau_Data[Nom Réseau],Reseaux!$C48,Tableau_Data[Thèmes],Reseaux!$AP$9,Tableau_Data[Annee],Reseaux!$F$3,Tableau_Data[Mois],Reseaux!J$4)</f>
        <v>0</v>
      </c>
      <c r="AS48" s="126"/>
      <c r="AT48" s="137">
        <f t="shared" si="7"/>
        <v>0</v>
      </c>
      <c r="AV48" s="136">
        <f>SUMIFS(Tableau_Data[Masculin],Tableau_Data[Nom Réseau],Reseaux!$C48,Tableau_Data[Thèmes],Reseaux!$AV$9,Tableau_Data[Annee],Reseaux!$F$3,Tableau_Data[Mois],Reseaux!J$4)</f>
        <v>0</v>
      </c>
      <c r="AW48" s="126"/>
      <c r="AX48" s="136">
        <f>SUMIFS(Tableau_Data[Féminin],Tableau_Data[Nom Réseau],Reseaux!$C48,Tableau_Data[Thèmes],Reseaux!$AV$9,Tableau_Data[Annee],Reseaux!$F$3,Tableau_Data[Mois],Reseaux!J$4)</f>
        <v>0</v>
      </c>
      <c r="AY48" s="126"/>
      <c r="AZ48" s="137">
        <f t="shared" si="8"/>
        <v>0</v>
      </c>
      <c r="BB48" s="136">
        <f>SUMIFS(Tableau_Data[Masculin],Tableau_Data[Nom Réseau],Reseaux!$C48,Tableau_Data[Thèmes],Reseaux!$BB$9,Tableau_Data[Annee],Reseaux!$F$3,Tableau_Data[Mois],Reseaux!J$4)</f>
        <v>0</v>
      </c>
      <c r="BC48" s="126"/>
      <c r="BD48" s="136">
        <f>SUMIFS(Tableau_Data[Féminin],Tableau_Data[Nom Réseau],Reseaux!$C48,Tableau_Data[Thèmes],Reseaux!$BB$9,Tableau_Data[Annee],Reseaux!$F$3,Tableau_Data[Mois],Reseaux!$J$4)</f>
        <v>0</v>
      </c>
      <c r="BE48" s="126"/>
      <c r="BF48" s="137">
        <f t="shared" si="9"/>
        <v>0</v>
      </c>
      <c r="BH48" s="136">
        <f>SUMIFS(Tableau_Data[Masculin],Tableau_Data[Nom Réseau],Reseaux!$C48,Tableau_Data[Thèmes],Reseaux!$BH$9,Tableau_Data[Annee],Reseaux!$F$3,Tableau_Data[Mois],Reseaux!$J$4)</f>
        <v>0</v>
      </c>
      <c r="BI48" s="126"/>
      <c r="BJ48" s="136">
        <f>SUMIFS(Tableau_Data[Féminin],Tableau_Data[Nom Réseau],Reseaux!$C48,Tableau_Data[Thèmes],Reseaux!$BH$9,Tableau_Data[Annee],Reseaux!$F$3,Tableau_Data[Mois],Reseaux!$J$4)</f>
        <v>0</v>
      </c>
      <c r="BK48" s="126"/>
      <c r="BL48" s="137">
        <f t="shared" si="10"/>
        <v>0</v>
      </c>
      <c r="BN48" s="136">
        <f>SUMIFS(Tableau_Data[Masculin],Tableau_Data[Nom Réseau],Reseaux!$C48,Tableau_Data[Thèmes],Reseaux!$BN$9,Tableau_Data[Annee],Reseaux!$F$3,Tableau_Data[Mois],Reseaux!$J$4)</f>
        <v>0</v>
      </c>
      <c r="BO48" s="126"/>
      <c r="BP48" s="136">
        <f>SUMIFS(Tableau_Data[Féminin],Tableau_Data[Nom Réseau],Reseaux!$C48,Tableau_Data[Thèmes],Reseaux!$BN$9,Tableau_Data[Annee],Reseaux!$F$3,Tableau_Data[Mois],Reseaux!$J$4)</f>
        <v>0</v>
      </c>
      <c r="BQ48" s="126"/>
      <c r="BR48" s="137">
        <f t="shared" si="11"/>
        <v>0</v>
      </c>
      <c r="BT48" s="136">
        <f>SUMIFS(Tableau_Data[Masculin],Tableau_Data[Nom Réseau],Reseaux!$C48,Tableau_Data[Thèmes],Reseaux!$BT$9,Tableau_Data[Annee],Reseaux!$F$3,Tableau_Data[Mois],Reseaux!$J$4)</f>
        <v>0</v>
      </c>
      <c r="BU48" s="126"/>
      <c r="BV48" s="136">
        <f>SUMIFS(Tableau_Data[Féminin],Tableau_Data[Nom Réseau],Reseaux!$C48,Tableau_Data[Thèmes],Reseaux!$BT$9,Tableau_Data[Annee],Reseaux!$F$3,Tableau_Data[Mois],Reseaux!$J$4)</f>
        <v>0</v>
      </c>
      <c r="BW48" s="126"/>
      <c r="BX48" s="137">
        <f t="shared" si="12"/>
        <v>0</v>
      </c>
    </row>
    <row r="49" spans="1:87" ht="17.100000000000001" customHeight="1" x14ac:dyDescent="0.3">
      <c r="A49" s="82"/>
      <c r="B49" s="120">
        <f>IF(Reseaux!B48="","",1+B48)</f>
        <v>38</v>
      </c>
      <c r="C49" s="123" t="str">
        <f>Paramètres!N42</f>
        <v>CDS Ceru</v>
      </c>
      <c r="D49" s="126"/>
      <c r="E49" s="136">
        <f>SUMIFS(Tableau_Data[Masculin],Tableau_Data[Nom Réseau],Reseaux!$C49,Tableau_Data[Annee],Reseaux!$F$3,Tableau_Data[Mois],Reseaux!J$4)</f>
        <v>0</v>
      </c>
      <c r="F49" s="126"/>
      <c r="G49" s="136">
        <f>SUMIFS(Tableau_Data[Féminin],Tableau_Data[Nom Réseau],Reseaux!$C49,Tableau_Data[Annee],Reseaux!$F$3,Tableau_Data[Mois],Reseaux!J$4)</f>
        <v>0</v>
      </c>
      <c r="H49" s="126"/>
      <c r="I49" s="137">
        <f t="shared" si="1"/>
        <v>0</v>
      </c>
      <c r="J49" s="126"/>
      <c r="K49" s="126"/>
      <c r="L49" s="138">
        <f>SUMIFS(Tableau_Data[Masculin],Tableau_Data[Nom Réseau],Reseaux!$C49,Tableau_Data[Lieu d''intervention],Reseaux!$L$9,Tableau_Data[Annee],Reseaux!$F$3,Tableau_Data[Mois],Reseaux!J$4)</f>
        <v>0</v>
      </c>
      <c r="M49" s="126"/>
      <c r="N49" s="136">
        <f>SUMIFS(Tableau_Data[Féminin],Tableau_Data[Nom Réseau],Reseaux!$C49,Tableau_Data[Lieu d''intervention],Reseaux!$L$9,Tableau_Data[Annee],Reseaux!$F$3,Tableau_Data[Mois],Reseaux!J$4)</f>
        <v>0</v>
      </c>
      <c r="O49" s="126"/>
      <c r="P49" s="137">
        <f t="shared" si="2"/>
        <v>0</v>
      </c>
      <c r="R49" s="136">
        <f>SUMIFS(Tableau_Data[Masculin],Tableau_Data[Nom Réseau],Reseaux!$C49,Tableau_Data[Lieu d''intervention],Reseaux!$R$9,Tableau_Data[Annee],Reseaux!$F$3,Tableau_Data[Mois],Reseaux!J$4)</f>
        <v>0</v>
      </c>
      <c r="S49" s="126"/>
      <c r="T49" s="136">
        <f>SUMIFS(Tableau_Data[Féminin],Tableau_Data[Nom Réseau],Reseaux!$C49,Tableau_Data[Lieu d''intervention],Reseaux!$R$9,Tableau_Data[Annee],Reseaux!$F$3,Tableau_Data[Mois],Reseaux!J$4)</f>
        <v>0</v>
      </c>
      <c r="U49" s="126"/>
      <c r="V49" s="137">
        <f t="shared" si="3"/>
        <v>0</v>
      </c>
      <c r="W49" s="108"/>
      <c r="X49" s="136">
        <f>SUMIFS(Tableau_Data[Masculin],Tableau_Data[Nom Réseau],Reseaux!$C49,Tableau_Data[Lieu d''intervention],Reseaux!$X$9,Tableau_Data[Annee],Reseaux!$F$3,Tableau_Data[Mois],Reseaux!J$4)</f>
        <v>0</v>
      </c>
      <c r="Y49" s="126"/>
      <c r="Z49" s="136">
        <f>SUMIFS(Tableau_Data[Féminin],Tableau_Data[Nom Réseau],Reseaux!$C49,Tableau_Data[Lieu d''intervention],Reseaux!$X$9,Tableau_Data[Annee],Reseaux!$F$3,Tableau_Data[Mois],Reseaux!J$4)</f>
        <v>0</v>
      </c>
      <c r="AA49" s="126"/>
      <c r="AB49" s="137">
        <f t="shared" si="4"/>
        <v>0</v>
      </c>
      <c r="AD49" s="136">
        <f>SUMIFS(Tableau_Data[Masculin],Tableau_Data[Nom Réseau],Reseaux!$C49,Tableau_Data[Lieu d''intervention],Reseaux!$AD$9,Tableau_Data[Annee],Reseaux!$F$3,Tableau_Data[Mois],Reseaux!J$4)</f>
        <v>0</v>
      </c>
      <c r="AE49" s="126"/>
      <c r="AF49" s="136">
        <f>SUMIFS(Tableau_Data[Féminin],Tableau_Data[Nom Réseau],Reseaux!$C49,Tableau_Data[Lieu d''intervention],Reseaux!$AD$9,Tableau_Data[Annee],Reseaux!$F$3,Tableau_Data[Mois],Reseaux!J$4)</f>
        <v>0</v>
      </c>
      <c r="AG49" s="126"/>
      <c r="AH49" s="137">
        <f t="shared" si="5"/>
        <v>0</v>
      </c>
      <c r="AJ49" s="136">
        <f>SUMIFS(Tableau_Data[Masculin],Tableau_Data[Nom Réseau],Reseaux!$C49,Tableau_Data[Thèmes],Reseaux!$AJ$9,Tableau_Data[Annee],Reseaux!$F$3,Tableau_Data[Mois],Reseaux!J$4)</f>
        <v>0</v>
      </c>
      <c r="AK49" s="126"/>
      <c r="AL49" s="136">
        <f>SUMIFS(Tableau_Data[Féminin],Tableau_Data[Nom Réseau],Reseaux!$C49,Tableau_Data[Thèmes],Reseaux!$AJ$9,Tableau_Data[Annee],Reseaux!$F$3,Tableau_Data[Mois],Reseaux!J$4)</f>
        <v>0</v>
      </c>
      <c r="AM49" s="126"/>
      <c r="AN49" s="137">
        <f t="shared" si="6"/>
        <v>0</v>
      </c>
      <c r="AP49" s="136">
        <f>SUMIFS(Tableau_Data[Masculin],Tableau_Data[Nom Réseau],Reseaux!$C49,Tableau_Data[Thèmes],Reseaux!$AP$9,Tableau_Data[Annee],Reseaux!$F$3,Tableau_Data[Mois],Reseaux!J$4)</f>
        <v>0</v>
      </c>
      <c r="AQ49" s="126"/>
      <c r="AR49" s="136">
        <f>SUMIFS(Tableau_Data[Féminin],Tableau_Data[Nom Réseau],Reseaux!$C49,Tableau_Data[Thèmes],Reseaux!$AP$9,Tableau_Data[Annee],Reseaux!$F$3,Tableau_Data[Mois],Reseaux!J$4)</f>
        <v>0</v>
      </c>
      <c r="AS49" s="126"/>
      <c r="AT49" s="137">
        <f t="shared" si="7"/>
        <v>0</v>
      </c>
      <c r="AV49" s="136">
        <f>SUMIFS(Tableau_Data[Masculin],Tableau_Data[Nom Réseau],Reseaux!$C49,Tableau_Data[Thèmes],Reseaux!$AV$9,Tableau_Data[Annee],Reseaux!$F$3,Tableau_Data[Mois],Reseaux!J$4)</f>
        <v>0</v>
      </c>
      <c r="AW49" s="126"/>
      <c r="AX49" s="136">
        <f>SUMIFS(Tableau_Data[Féminin],Tableau_Data[Nom Réseau],Reseaux!$C49,Tableau_Data[Thèmes],Reseaux!$AV$9,Tableau_Data[Annee],Reseaux!$F$3,Tableau_Data[Mois],Reseaux!J$4)</f>
        <v>0</v>
      </c>
      <c r="AY49" s="126"/>
      <c r="AZ49" s="137">
        <f t="shared" si="8"/>
        <v>0</v>
      </c>
      <c r="BB49" s="136">
        <f>SUMIFS(Tableau_Data[Masculin],Tableau_Data[Nom Réseau],Reseaux!$C49,Tableau_Data[Thèmes],Reseaux!$BB$9,Tableau_Data[Annee],Reseaux!$F$3,Tableau_Data[Mois],Reseaux!J$4)</f>
        <v>0</v>
      </c>
      <c r="BC49" s="126"/>
      <c r="BD49" s="136">
        <f>SUMIFS(Tableau_Data[Féminin],Tableau_Data[Nom Réseau],Reseaux!$C49,Tableau_Data[Thèmes],Reseaux!$BB$9,Tableau_Data[Annee],Reseaux!$F$3,Tableau_Data[Mois],Reseaux!$J$4)</f>
        <v>0</v>
      </c>
      <c r="BE49" s="126"/>
      <c r="BF49" s="137">
        <f t="shared" si="9"/>
        <v>0</v>
      </c>
      <c r="BH49" s="136">
        <f>SUMIFS(Tableau_Data[Masculin],Tableau_Data[Nom Réseau],Reseaux!$C49,Tableau_Data[Thèmes],Reseaux!$BH$9,Tableau_Data[Annee],Reseaux!$F$3,Tableau_Data[Mois],Reseaux!$J$4)</f>
        <v>0</v>
      </c>
      <c r="BI49" s="126"/>
      <c r="BJ49" s="136">
        <f>SUMIFS(Tableau_Data[Féminin],Tableau_Data[Nom Réseau],Reseaux!$C49,Tableau_Data[Thèmes],Reseaux!$BH$9,Tableau_Data[Annee],Reseaux!$F$3,Tableau_Data[Mois],Reseaux!$J$4)</f>
        <v>0</v>
      </c>
      <c r="BK49" s="126"/>
      <c r="BL49" s="137">
        <f t="shared" si="10"/>
        <v>0</v>
      </c>
      <c r="BN49" s="136">
        <f>SUMIFS(Tableau_Data[Masculin],Tableau_Data[Nom Réseau],Reseaux!$C49,Tableau_Data[Thèmes],Reseaux!$BN$9,Tableau_Data[Annee],Reseaux!$F$3,Tableau_Data[Mois],Reseaux!$J$4)</f>
        <v>0</v>
      </c>
      <c r="BO49" s="126"/>
      <c r="BP49" s="136">
        <f>SUMIFS(Tableau_Data[Féminin],Tableau_Data[Nom Réseau],Reseaux!$C49,Tableau_Data[Thèmes],Reseaux!$BN$9,Tableau_Data[Annee],Reseaux!$F$3,Tableau_Data[Mois],Reseaux!$J$4)</f>
        <v>0</v>
      </c>
      <c r="BQ49" s="126"/>
      <c r="BR49" s="137">
        <f t="shared" si="11"/>
        <v>0</v>
      </c>
      <c r="BT49" s="136">
        <f>SUMIFS(Tableau_Data[Masculin],Tableau_Data[Nom Réseau],Reseaux!$C49,Tableau_Data[Thèmes],Reseaux!$BT$9,Tableau_Data[Annee],Reseaux!$F$3,Tableau_Data[Mois],Reseaux!$J$4)</f>
        <v>0</v>
      </c>
      <c r="BU49" s="126"/>
      <c r="BV49" s="136">
        <f>SUMIFS(Tableau_Data[Féminin],Tableau_Data[Nom Réseau],Reseaux!$C49,Tableau_Data[Thèmes],Reseaux!$BT$9,Tableau_Data[Annee],Reseaux!$F$3,Tableau_Data[Mois],Reseaux!$J$4)</f>
        <v>0</v>
      </c>
      <c r="BW49" s="126"/>
      <c r="BX49" s="137">
        <f t="shared" si="12"/>
        <v>0</v>
      </c>
    </row>
    <row r="50" spans="1:87" x14ac:dyDescent="0.3">
      <c r="B50" s="84"/>
      <c r="C50" s="84"/>
      <c r="D50" s="85"/>
      <c r="E50" s="85"/>
      <c r="F50" s="85"/>
      <c r="G50" s="85"/>
      <c r="H50" s="85"/>
      <c r="I50" s="129"/>
      <c r="J50" s="85"/>
      <c r="K50" s="85"/>
      <c r="L50" s="85"/>
      <c r="M50" s="85"/>
      <c r="N50" s="85"/>
      <c r="O50" s="85"/>
      <c r="P50" s="129"/>
      <c r="R50" s="85"/>
      <c r="S50" s="85"/>
      <c r="T50" s="85"/>
      <c r="U50" s="85"/>
      <c r="V50" s="129"/>
      <c r="W50" s="133"/>
      <c r="X50" s="85"/>
      <c r="Y50" s="85"/>
      <c r="Z50" s="85"/>
      <c r="AA50" s="85"/>
      <c r="AB50" s="129"/>
      <c r="AD50" s="85"/>
      <c r="AE50" s="85"/>
      <c r="AF50" s="85"/>
      <c r="AG50" s="85"/>
      <c r="AH50" s="129"/>
      <c r="AJ50" s="85"/>
      <c r="AK50" s="85"/>
      <c r="AL50" s="85"/>
      <c r="AM50" s="85"/>
      <c r="AN50" s="129"/>
      <c r="AP50" s="85"/>
      <c r="AQ50" s="85"/>
      <c r="AR50" s="85"/>
      <c r="AS50" s="85"/>
      <c r="AT50" s="129"/>
      <c r="AV50" s="85"/>
      <c r="AW50" s="85"/>
      <c r="AX50" s="85"/>
      <c r="AY50" s="85"/>
      <c r="AZ50" s="129"/>
      <c r="BB50" s="85"/>
      <c r="BC50" s="85"/>
      <c r="BD50" s="85"/>
      <c r="BE50" s="85"/>
      <c r="BF50" s="129"/>
      <c r="BH50" s="85"/>
      <c r="BI50" s="85"/>
      <c r="BJ50" s="85"/>
      <c r="BK50" s="85"/>
      <c r="BL50" s="129"/>
      <c r="BN50" s="85"/>
      <c r="BO50" s="85"/>
      <c r="BP50" s="85"/>
      <c r="BQ50" s="85"/>
      <c r="BR50" s="129"/>
      <c r="BT50" s="85"/>
      <c r="BU50" s="85"/>
      <c r="BV50" s="85"/>
      <c r="BW50" s="85"/>
      <c r="BX50" s="129"/>
      <c r="CB50" s="283" t="s">
        <v>240</v>
      </c>
      <c r="CC50" s="284"/>
      <c r="CD50" s="284"/>
      <c r="CE50" s="284"/>
      <c r="CF50" s="284"/>
      <c r="CG50" s="284"/>
      <c r="CH50" s="284"/>
      <c r="CI50" s="285"/>
    </row>
    <row r="51" spans="1:87" ht="24.75" customHeight="1" x14ac:dyDescent="0.3">
      <c r="B51" s="141"/>
      <c r="C51" s="86" t="s">
        <v>2</v>
      </c>
      <c r="D51" s="87"/>
      <c r="E51" s="87">
        <f>SUM(E12:E49)</f>
        <v>309</v>
      </c>
      <c r="F51" s="87"/>
      <c r="G51" s="87">
        <f>SUM(G12:G49)</f>
        <v>230</v>
      </c>
      <c r="H51" s="87"/>
      <c r="I51" s="87">
        <f>SUM(I12:I49)</f>
        <v>539</v>
      </c>
      <c r="J51" s="87"/>
      <c r="K51" s="87"/>
      <c r="L51" s="87">
        <f>SUM(L12:L49)</f>
        <v>0</v>
      </c>
      <c r="M51" s="87"/>
      <c r="N51" s="87">
        <f>SUM(N12:N49)</f>
        <v>0</v>
      </c>
      <c r="O51" s="87"/>
      <c r="P51" s="87">
        <f>SUM(P12:P49)</f>
        <v>0</v>
      </c>
      <c r="R51" s="87">
        <f>SUM(R12:R49)</f>
        <v>70</v>
      </c>
      <c r="S51" s="87"/>
      <c r="T51" s="87">
        <f>SUM(T12:T49)</f>
        <v>45</v>
      </c>
      <c r="U51" s="87"/>
      <c r="V51" s="87">
        <f>SUM(V12:V49)</f>
        <v>115</v>
      </c>
      <c r="W51" s="134"/>
      <c r="X51" s="87">
        <f>SUM(X12:X49)</f>
        <v>75</v>
      </c>
      <c r="Y51" s="87"/>
      <c r="Z51" s="87">
        <f>SUM(Z12:Z49)</f>
        <v>35</v>
      </c>
      <c r="AA51" s="87"/>
      <c r="AB51" s="87">
        <f>SUM(AB12:AB49)</f>
        <v>110</v>
      </c>
      <c r="AD51" s="87">
        <f>SUM(AD12:AD49)</f>
        <v>164</v>
      </c>
      <c r="AE51" s="87"/>
      <c r="AF51" s="87">
        <f>SUM(AF12:AF49)</f>
        <v>150</v>
      </c>
      <c r="AG51" s="87"/>
      <c r="AH51" s="87">
        <f>SUM(AH12:AH49)</f>
        <v>314</v>
      </c>
      <c r="AJ51" s="87">
        <f>SUM(AJ12:AJ49)</f>
        <v>34</v>
      </c>
      <c r="AK51" s="87"/>
      <c r="AL51" s="87">
        <f>SUM(AL12:AL49)</f>
        <v>70</v>
      </c>
      <c r="AM51" s="87"/>
      <c r="AN51" s="87">
        <f>SUM(AN12:AN49)</f>
        <v>104</v>
      </c>
      <c r="AP51" s="87">
        <f>SUM(AP12:AP49)</f>
        <v>0</v>
      </c>
      <c r="AQ51" s="87"/>
      <c r="AR51" s="87">
        <f>SUM(AR12:AR49)</f>
        <v>0</v>
      </c>
      <c r="AS51" s="87"/>
      <c r="AT51" s="87">
        <f>SUM(AT12:AT49)</f>
        <v>0</v>
      </c>
      <c r="AV51" s="87">
        <f>SUM(AV12:AV49)</f>
        <v>70</v>
      </c>
      <c r="AW51" s="87"/>
      <c r="AX51" s="87">
        <f>SUM(AX12:AX49)</f>
        <v>45</v>
      </c>
      <c r="AY51" s="87"/>
      <c r="AZ51" s="87">
        <f>SUM(AZ12:AZ49)</f>
        <v>115</v>
      </c>
      <c r="BB51" s="87">
        <f>SUM(BB12:BB49)</f>
        <v>0</v>
      </c>
      <c r="BC51" s="87"/>
      <c r="BD51" s="87">
        <f>SUM(BD12:BD49)</f>
        <v>0</v>
      </c>
      <c r="BE51" s="87"/>
      <c r="BF51" s="87">
        <f>SUM(BF12:BF49)</f>
        <v>0</v>
      </c>
      <c r="BH51" s="87">
        <f>SUM(BH12:BH49)</f>
        <v>75</v>
      </c>
      <c r="BI51" s="87"/>
      <c r="BJ51" s="87">
        <f>SUM(BJ12:BJ49)</f>
        <v>35</v>
      </c>
      <c r="BK51" s="87"/>
      <c r="BL51" s="87">
        <f>SUM(BL12:BL49)</f>
        <v>110</v>
      </c>
      <c r="BN51" s="87">
        <f>SUM(BN12:BN49)</f>
        <v>0</v>
      </c>
      <c r="BO51" s="87"/>
      <c r="BP51" s="87">
        <f>SUM(BP12:BP49)</f>
        <v>0</v>
      </c>
      <c r="BQ51" s="87"/>
      <c r="BR51" s="87">
        <f>SUM(BR12:BR49)</f>
        <v>0</v>
      </c>
      <c r="BT51" s="87">
        <f>SUM(BT12:BT49)</f>
        <v>130</v>
      </c>
      <c r="BU51" s="87"/>
      <c r="BV51" s="87">
        <f>SUM(BV12:BV49)</f>
        <v>80</v>
      </c>
      <c r="BW51" s="87"/>
      <c r="BX51" s="87">
        <f>SUM(BX12:BX49)</f>
        <v>210</v>
      </c>
    </row>
    <row r="52" spans="1:87" x14ac:dyDescent="0.3">
      <c r="B52" s="25"/>
      <c r="C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S52" s="132"/>
      <c r="T52" s="134"/>
      <c r="U52" s="134"/>
      <c r="V52" s="134"/>
      <c r="W52" s="134"/>
      <c r="X52" s="134"/>
      <c r="Y52" s="134"/>
      <c r="Z52" s="134"/>
      <c r="AA52" s="132"/>
      <c r="AB52" s="132"/>
      <c r="CB52" s="277" t="s">
        <v>214</v>
      </c>
      <c r="CC52" s="278"/>
      <c r="CE52" s="279" t="s">
        <v>215</v>
      </c>
      <c r="CF52" s="280"/>
      <c r="CH52" s="281" t="s">
        <v>82</v>
      </c>
      <c r="CI52" s="282"/>
    </row>
    <row r="53" spans="1:87" x14ac:dyDescent="0.3">
      <c r="CB53" s="232" t="s">
        <v>3</v>
      </c>
      <c r="CC53" s="232">
        <v>1</v>
      </c>
      <c r="CE53" s="232" t="s">
        <v>3</v>
      </c>
      <c r="CF53" s="232" t="s">
        <v>216</v>
      </c>
      <c r="CH53" s="232" t="s">
        <v>3</v>
      </c>
      <c r="CI53" s="232" t="s">
        <v>217</v>
      </c>
    </row>
    <row r="54" spans="1:87" x14ac:dyDescent="0.3">
      <c r="CB54" s="139" t="s">
        <v>4</v>
      </c>
      <c r="CC54" s="139">
        <v>2</v>
      </c>
      <c r="CE54" s="139" t="s">
        <v>4</v>
      </c>
      <c r="CF54" s="139" t="s">
        <v>218</v>
      </c>
      <c r="CH54" s="139" t="s">
        <v>4</v>
      </c>
      <c r="CI54" s="139" t="s">
        <v>219</v>
      </c>
    </row>
    <row r="55" spans="1:87" x14ac:dyDescent="0.3">
      <c r="CB55" s="139" t="s">
        <v>5</v>
      </c>
      <c r="CC55" s="139">
        <v>3</v>
      </c>
      <c r="CE55" s="139" t="s">
        <v>5</v>
      </c>
      <c r="CF55" s="139" t="s">
        <v>220</v>
      </c>
      <c r="CH55" s="139" t="s">
        <v>5</v>
      </c>
      <c r="CI55" s="139" t="s">
        <v>221</v>
      </c>
    </row>
    <row r="56" spans="1:87" ht="17.100000000000001" customHeight="1" x14ac:dyDescent="0.3">
      <c r="CB56" s="139" t="s">
        <v>6</v>
      </c>
      <c r="CC56" s="139">
        <v>4</v>
      </c>
      <c r="CE56" s="139" t="s">
        <v>6</v>
      </c>
      <c r="CF56" s="139" t="s">
        <v>222</v>
      </c>
      <c r="CH56" s="139" t="s">
        <v>6</v>
      </c>
      <c r="CI56" s="139" t="s">
        <v>223</v>
      </c>
    </row>
    <row r="57" spans="1:87" ht="17.100000000000001" customHeight="1" x14ac:dyDescent="0.3">
      <c r="CB57" s="139" t="s">
        <v>7</v>
      </c>
      <c r="CC57" s="139">
        <v>5</v>
      </c>
      <c r="CE57" s="139" t="s">
        <v>7</v>
      </c>
      <c r="CF57" s="139" t="s">
        <v>224</v>
      </c>
      <c r="CH57" s="139" t="s">
        <v>7</v>
      </c>
      <c r="CI57" s="139" t="s">
        <v>225</v>
      </c>
    </row>
    <row r="58" spans="1:87" ht="17.100000000000001" customHeight="1" x14ac:dyDescent="0.3">
      <c r="CB58" s="139" t="s">
        <v>8</v>
      </c>
      <c r="CC58" s="139">
        <v>6</v>
      </c>
      <c r="CE58" s="139" t="s">
        <v>8</v>
      </c>
      <c r="CF58" s="139" t="s">
        <v>226</v>
      </c>
      <c r="CH58" s="139" t="s">
        <v>8</v>
      </c>
      <c r="CI58" s="139" t="s">
        <v>227</v>
      </c>
    </row>
    <row r="59" spans="1:87" ht="17.100000000000001" customHeight="1" x14ac:dyDescent="0.3">
      <c r="CB59" s="139" t="s">
        <v>9</v>
      </c>
      <c r="CC59" s="139">
        <v>7</v>
      </c>
      <c r="CE59" s="139" t="s">
        <v>9</v>
      </c>
      <c r="CF59" s="139" t="s">
        <v>228</v>
      </c>
      <c r="CH59" s="139" t="s">
        <v>9</v>
      </c>
      <c r="CI59" s="139" t="s">
        <v>229</v>
      </c>
    </row>
    <row r="60" spans="1:87" ht="17.100000000000001" customHeight="1" x14ac:dyDescent="0.3">
      <c r="CB60" s="139" t="s">
        <v>163</v>
      </c>
      <c r="CC60" s="139">
        <v>8</v>
      </c>
      <c r="CE60" s="139" t="s">
        <v>163</v>
      </c>
      <c r="CF60" s="139" t="s">
        <v>230</v>
      </c>
      <c r="CH60" s="139" t="s">
        <v>163</v>
      </c>
      <c r="CI60" s="139" t="s">
        <v>231</v>
      </c>
    </row>
    <row r="61" spans="1:87" ht="17.100000000000001" customHeight="1" x14ac:dyDescent="0.3">
      <c r="CB61" s="139" t="s">
        <v>10</v>
      </c>
      <c r="CC61" s="139">
        <v>9</v>
      </c>
      <c r="CE61" s="139" t="s">
        <v>10</v>
      </c>
      <c r="CF61" s="139" t="s">
        <v>232</v>
      </c>
      <c r="CH61" s="139" t="s">
        <v>10</v>
      </c>
      <c r="CI61" s="139" t="s">
        <v>233</v>
      </c>
    </row>
    <row r="62" spans="1:87" ht="17.100000000000001" customHeight="1" x14ac:dyDescent="0.3">
      <c r="CB62" s="139" t="s">
        <v>11</v>
      </c>
      <c r="CC62" s="139">
        <v>10</v>
      </c>
      <c r="CE62" s="139" t="s">
        <v>11</v>
      </c>
      <c r="CF62" s="139" t="s">
        <v>234</v>
      </c>
      <c r="CH62" s="139" t="s">
        <v>11</v>
      </c>
      <c r="CI62" s="139" t="s">
        <v>235</v>
      </c>
    </row>
    <row r="63" spans="1:87" x14ac:dyDescent="0.3">
      <c r="CB63" s="139" t="s">
        <v>12</v>
      </c>
      <c r="CC63" s="139">
        <v>11</v>
      </c>
      <c r="CE63" s="139" t="s">
        <v>12</v>
      </c>
      <c r="CF63" s="139" t="s">
        <v>236</v>
      </c>
      <c r="CH63" s="139" t="s">
        <v>12</v>
      </c>
      <c r="CI63" s="139" t="s">
        <v>237</v>
      </c>
    </row>
    <row r="64" spans="1:87" ht="24.75" customHeight="1" x14ac:dyDescent="0.3">
      <c r="CB64" s="139" t="s">
        <v>13</v>
      </c>
      <c r="CC64" s="139">
        <v>12</v>
      </c>
      <c r="CE64" s="139" t="s">
        <v>13</v>
      </c>
      <c r="CF64" s="139" t="s">
        <v>238</v>
      </c>
      <c r="CH64" s="139" t="s">
        <v>13</v>
      </c>
      <c r="CI64" s="139" t="s">
        <v>239</v>
      </c>
    </row>
    <row r="69" ht="17.100000000000001" customHeight="1" x14ac:dyDescent="0.3"/>
    <row r="70" ht="17.100000000000001" customHeight="1" x14ac:dyDescent="0.3"/>
    <row r="71" ht="17.100000000000001" customHeight="1" x14ac:dyDescent="0.3"/>
    <row r="72" ht="17.100000000000001" customHeight="1" x14ac:dyDescent="0.3"/>
    <row r="74" ht="24.75" customHeight="1" x14ac:dyDescent="0.3"/>
    <row r="78" ht="17.100000000000001" customHeight="1" x14ac:dyDescent="0.3"/>
    <row r="79" ht="17.100000000000001" customHeight="1" x14ac:dyDescent="0.3"/>
    <row r="80" ht="17.100000000000001" customHeight="1" x14ac:dyDescent="0.3"/>
    <row r="81" ht="17.100000000000001" customHeight="1" x14ac:dyDescent="0.3"/>
    <row r="83" ht="24.75" customHeight="1" x14ac:dyDescent="0.3"/>
    <row r="89" ht="17.100000000000001" customHeight="1" x14ac:dyDescent="0.3"/>
    <row r="90" ht="17.100000000000001" customHeight="1" x14ac:dyDescent="0.3"/>
    <row r="91" ht="17.100000000000001" customHeight="1" x14ac:dyDescent="0.3"/>
    <row r="92" ht="17.100000000000001" customHeight="1" x14ac:dyDescent="0.3"/>
    <row r="93" ht="17.100000000000001" customHeight="1" x14ac:dyDescent="0.3"/>
    <row r="94" ht="17.100000000000001" customHeight="1" x14ac:dyDescent="0.3"/>
    <row r="95" ht="17.100000000000001" customHeight="1" x14ac:dyDescent="0.3"/>
    <row r="97" ht="24.75" customHeight="1" x14ac:dyDescent="0.3"/>
    <row r="102" ht="17.100000000000001" customHeight="1" x14ac:dyDescent="0.3"/>
    <row r="103" ht="17.100000000000001" customHeight="1" x14ac:dyDescent="0.3"/>
    <row r="104" ht="17.100000000000001" customHeight="1" x14ac:dyDescent="0.3"/>
    <row r="105" ht="17.100000000000001" customHeight="1" x14ac:dyDescent="0.3"/>
    <row r="106" ht="17.100000000000001" customHeight="1" x14ac:dyDescent="0.3"/>
    <row r="107" ht="17.100000000000001" customHeight="1" x14ac:dyDescent="0.3"/>
    <row r="108" ht="17.100000000000001" customHeight="1" x14ac:dyDescent="0.3"/>
    <row r="110" ht="24.75" customHeight="1" x14ac:dyDescent="0.3"/>
  </sheetData>
  <mergeCells count="36">
    <mergeCell ref="CB52:CC52"/>
    <mergeCell ref="CE52:CF52"/>
    <mergeCell ref="CH52:CI52"/>
    <mergeCell ref="CB50:CI50"/>
    <mergeCell ref="B6:C6"/>
    <mergeCell ref="BB9:BF9"/>
    <mergeCell ref="BH9:BL9"/>
    <mergeCell ref="BN9:BR9"/>
    <mergeCell ref="BT9:BX9"/>
    <mergeCell ref="AJ6:BX6"/>
    <mergeCell ref="AJ9:AN9"/>
    <mergeCell ref="AP9:AT9"/>
    <mergeCell ref="AV9:AZ9"/>
    <mergeCell ref="BN7:BR7"/>
    <mergeCell ref="BT7:BX7"/>
    <mergeCell ref="AJ7:AN7"/>
    <mergeCell ref="L9:P9"/>
    <mergeCell ref="R9:V9"/>
    <mergeCell ref="E1:F1"/>
    <mergeCell ref="H1:I1"/>
    <mergeCell ref="E2:F2"/>
    <mergeCell ref="H2:I2"/>
    <mergeCell ref="E6:I6"/>
    <mergeCell ref="L6:AH6"/>
    <mergeCell ref="L7:P7"/>
    <mergeCell ref="R7:V7"/>
    <mergeCell ref="X7:AB7"/>
    <mergeCell ref="X9:AB9"/>
    <mergeCell ref="AD9:AH9"/>
    <mergeCell ref="K1:O1"/>
    <mergeCell ref="AD7:AH7"/>
    <mergeCell ref="AP7:AT7"/>
    <mergeCell ref="AV7:AZ7"/>
    <mergeCell ref="BB7:BF7"/>
    <mergeCell ref="BH7:BL7"/>
    <mergeCell ref="H4:I4"/>
  </mergeCells>
  <dataValidations count="1">
    <dataValidation type="list" allowBlank="1" showInputMessage="1" showErrorMessage="1" sqref="H4:I4">
      <formula1>$CB$53:$CB$64</formula1>
    </dataValidation>
  </dataValidations>
  <pageMargins left="0.46" right="0.32" top="0.28999999999999998" bottom="0.35" header="0.19" footer="0.3"/>
  <pageSetup paperSize="9" scale="2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27068CA-04B7-4959-A9B5-BBF8AEDE60B1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Paramètres!$J$21:$J$35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nthèse7">
    <tabColor theme="9" tint="-0.249977111117893"/>
    <pageSetUpPr fitToPage="1"/>
  </sheetPr>
  <dimension ref="A1:CC77"/>
  <sheetViews>
    <sheetView showGridLines="0" zoomScale="90" zoomScaleNormal="90" workbookViewId="0">
      <pane xSplit="3" ySplit="8" topLeftCell="D9" activePane="bottomRight" state="frozen"/>
      <selection activeCell="B1" sqref="B1"/>
      <selection pane="topRight" activeCell="D1" sqref="D1"/>
      <selection pane="bottomLeft" activeCell="B9" sqref="B9"/>
      <selection pane="bottomRight" activeCell="K6" sqref="K6"/>
    </sheetView>
  </sheetViews>
  <sheetFormatPr baseColWidth="10" defaultRowHeight="16.5" x14ac:dyDescent="0.3"/>
  <cols>
    <col min="1" max="2" width="9.5703125" style="17" customWidth="1"/>
    <col min="3" max="3" width="25.28515625" style="17" customWidth="1"/>
    <col min="4" max="4" width="11.42578125" style="25"/>
    <col min="5" max="5" width="17.28515625" style="17" customWidth="1"/>
    <col min="6" max="6" width="3" style="17" customWidth="1"/>
    <col min="7" max="7" width="18.85546875" style="17" customWidth="1"/>
    <col min="8" max="8" width="2.28515625" style="17" customWidth="1"/>
    <col min="9" max="9" width="17.5703125" style="17" customWidth="1"/>
    <col min="10" max="10" width="6.85546875" style="17" customWidth="1"/>
    <col min="11" max="11" width="5.85546875" style="17" customWidth="1"/>
    <col min="12" max="12" width="7.28515625" style="17" customWidth="1"/>
    <col min="13" max="13" width="2.85546875" style="17" customWidth="1"/>
    <col min="14" max="14" width="7.140625" style="17" customWidth="1"/>
    <col min="15" max="15" width="3.5703125" style="17" customWidth="1"/>
    <col min="16" max="16" width="7.42578125" style="17" customWidth="1"/>
    <col min="17" max="17" width="3" style="17" customWidth="1"/>
    <col min="18" max="18" width="8.140625" style="17" customWidth="1"/>
    <col min="19" max="19" width="2.28515625" style="17" customWidth="1"/>
    <col min="20" max="20" width="8" style="17" customWidth="1"/>
    <col min="21" max="21" width="2.28515625" style="17" customWidth="1"/>
    <col min="22" max="22" width="7.140625" style="17" customWidth="1"/>
    <col min="23" max="23" width="3" style="17" customWidth="1"/>
    <col min="24" max="24" width="7.7109375" style="17" customWidth="1"/>
    <col min="25" max="25" width="1.85546875" style="17" customWidth="1"/>
    <col min="26" max="26" width="7.28515625" style="17" customWidth="1"/>
    <col min="27" max="27" width="1.85546875" style="17" customWidth="1"/>
    <col min="28" max="28" width="8.140625" style="17" customWidth="1"/>
    <col min="29" max="29" width="2.28515625" style="17" customWidth="1"/>
    <col min="30" max="30" width="7.140625" style="17" customWidth="1"/>
    <col min="31" max="31" width="2" style="17" customWidth="1"/>
    <col min="32" max="32" width="8" style="17" customWidth="1"/>
    <col min="33" max="33" width="1.7109375" style="17" customWidth="1"/>
    <col min="34" max="34" width="7.5703125" style="17" customWidth="1"/>
    <col min="35" max="35" width="11.42578125" style="17"/>
    <col min="36" max="36" width="7.28515625" style="17" customWidth="1"/>
    <col min="37" max="37" width="1.7109375" style="17" customWidth="1"/>
    <col min="38" max="38" width="7.28515625" style="17" customWidth="1"/>
    <col min="39" max="39" width="2" style="17" customWidth="1"/>
    <col min="40" max="40" width="7.7109375" style="17" customWidth="1"/>
    <col min="41" max="41" width="3.7109375" style="17" customWidth="1"/>
    <col min="42" max="42" width="8.42578125" style="17" customWidth="1"/>
    <col min="43" max="43" width="2.28515625" style="17" customWidth="1"/>
    <col min="44" max="44" width="8.140625" style="17" customWidth="1"/>
    <col min="45" max="45" width="1.85546875" style="17" customWidth="1"/>
    <col min="46" max="46" width="8.7109375" style="17" customWidth="1"/>
    <col min="47" max="47" width="3.28515625" style="17" customWidth="1"/>
    <col min="48" max="48" width="7.28515625" style="17" customWidth="1"/>
    <col min="49" max="49" width="2" style="17" customWidth="1"/>
    <col min="50" max="50" width="8" style="17" customWidth="1"/>
    <col min="51" max="51" width="2" style="17" customWidth="1"/>
    <col min="52" max="52" width="7.28515625" style="17" customWidth="1"/>
    <col min="53" max="53" width="3.28515625" style="17" customWidth="1"/>
    <col min="54" max="54" width="8.42578125" style="17" customWidth="1"/>
    <col min="55" max="55" width="1.5703125" style="17" customWidth="1"/>
    <col min="56" max="56" width="8.140625" style="17" customWidth="1"/>
    <col min="57" max="57" width="1.7109375" style="17" customWidth="1"/>
    <col min="58" max="58" width="8.140625" style="17" customWidth="1"/>
    <col min="59" max="59" width="2.7109375" style="17" customWidth="1"/>
    <col min="60" max="60" width="8.140625" style="17" customWidth="1"/>
    <col min="61" max="61" width="1.85546875" style="17" customWidth="1"/>
    <col min="62" max="62" width="8.42578125" style="17" customWidth="1"/>
    <col min="63" max="63" width="1.5703125" style="17" customWidth="1"/>
    <col min="64" max="64" width="8.140625" style="17" customWidth="1"/>
    <col min="65" max="65" width="2.7109375" style="17" customWidth="1"/>
    <col min="66" max="66" width="8.42578125" style="17" customWidth="1"/>
    <col min="67" max="67" width="2.28515625" style="17" customWidth="1"/>
    <col min="68" max="68" width="7.5703125" style="17" customWidth="1"/>
    <col min="69" max="69" width="1.85546875" style="17" customWidth="1"/>
    <col min="70" max="70" width="8.28515625" style="17" customWidth="1"/>
    <col min="71" max="71" width="2.140625" style="17" customWidth="1"/>
    <col min="72" max="72" width="8.5703125" style="17" customWidth="1"/>
    <col min="73" max="73" width="1.7109375" style="17" customWidth="1"/>
    <col min="74" max="74" width="8.42578125" style="17" customWidth="1"/>
    <col min="75" max="75" width="1.7109375" style="17" customWidth="1"/>
    <col min="76" max="76" width="8.85546875" style="17" customWidth="1"/>
    <col min="77" max="16384" width="11.42578125" style="17"/>
  </cols>
  <sheetData>
    <row r="1" spans="1:76" ht="17.25" thickBot="1" x14ac:dyDescent="0.35">
      <c r="E1" s="261" t="s">
        <v>201</v>
      </c>
      <c r="F1" s="261"/>
      <c r="H1" s="261" t="s">
        <v>202</v>
      </c>
      <c r="I1" s="261"/>
      <c r="K1" s="274">
        <f ca="1">TODAY()</f>
        <v>42701</v>
      </c>
      <c r="L1" s="275"/>
      <c r="M1" s="275"/>
      <c r="N1" s="275"/>
      <c r="O1" s="276"/>
    </row>
    <row r="2" spans="1:76" ht="27.75" thickBot="1" x14ac:dyDescent="0.4">
      <c r="C2" s="80" t="s">
        <v>75</v>
      </c>
      <c r="D2" s="124"/>
      <c r="E2" s="262">
        <f>SUMIFS(Tableau_Data[Masculin],Tableau_Data[Annee],DS!C$3)</f>
        <v>492</v>
      </c>
      <c r="F2" s="263"/>
      <c r="G2" s="22"/>
      <c r="H2" s="264">
        <f>SUMIFS(Tableau_Data[Féminin],Tableau_Data[Annee],DS!C$3)</f>
        <v>355</v>
      </c>
      <c r="I2" s="265"/>
      <c r="J2" s="22"/>
      <c r="K2" s="154"/>
      <c r="L2" s="185">
        <f>SUMIFS(Tableau_Data[Masculin],Tableau_Data[Lieu d''intervention],$L$9,Tableau_Data[Annee],$F$3)</f>
        <v>0</v>
      </c>
      <c r="N2" s="186">
        <f>SUMIFS(Tableau_Data[Féminin],Tableau_Data[Lieu d''intervention],$L$9,Tableau_Data[Annee],$F$3)</f>
        <v>0</v>
      </c>
      <c r="O2" s="24"/>
      <c r="P2" s="187">
        <f>SUM(L2:N2)</f>
        <v>0</v>
      </c>
      <c r="R2" s="185">
        <f>SUMIFS(Tableau_Data[Masculin],Tableau_Data[Lieu d''intervention],$R$9,Tableau_Data[Annee],$F$3)</f>
        <v>70</v>
      </c>
      <c r="T2" s="186">
        <f>SUMIFS(Tableau_Data[Féminin],Tableau_Data[Lieu d''intervention],$R$9,Tableau_Data[Annee],$F$3)</f>
        <v>45</v>
      </c>
      <c r="U2" s="24"/>
      <c r="V2" s="187">
        <f>SUM(R2:T2)</f>
        <v>115</v>
      </c>
      <c r="X2" s="185">
        <f>SUMIFS(Tableau_Data[Masculin],Tableau_Data[Lieu d''intervention],$X$9,Tableau_Data[Annee],$F$3)</f>
        <v>150</v>
      </c>
      <c r="Z2" s="186">
        <f>SUMIFS(Tableau_Data[Féminin],Tableau_Data[Lieu d''intervention],$X$9,Tableau_Data[Annee],$F$3)</f>
        <v>50</v>
      </c>
      <c r="AA2" s="24"/>
      <c r="AB2" s="187">
        <f>SUM(X2:Z2)</f>
        <v>200</v>
      </c>
      <c r="AD2" s="185">
        <f>SUMIFS(Tableau_Data[Masculin],Tableau_Data[Lieu d''intervention],$AD$9,Tableau_Data[Annee],$F$3)</f>
        <v>272</v>
      </c>
      <c r="AF2" s="186">
        <f>SUMIFS(Tableau_Data[Féminin],Tableau_Data[Lieu d''intervention],$AD$9,Tableau_Data[Annee],$F$3)</f>
        <v>260</v>
      </c>
      <c r="AG2" s="24"/>
      <c r="AH2" s="187">
        <f>SUM(AD2:AF2)</f>
        <v>532</v>
      </c>
      <c r="AJ2" s="185">
        <f>SUMIFS(Tableau_Data[Masculin],Tableau_Data[Thèmes],$AJ$9,Tableau_Data[Annee],$F$3)</f>
        <v>34</v>
      </c>
      <c r="AL2" s="186">
        <f>SUMIFS(Tableau_Data[Féminin],Tableau_Data[Thèmes],$AJ$9,Tableau_Data[Annee],$F$3)</f>
        <v>70</v>
      </c>
      <c r="AM2" s="24"/>
      <c r="AN2" s="187">
        <f>SUM(AJ2:AL2)</f>
        <v>104</v>
      </c>
      <c r="AP2" s="185">
        <f>SUMIFS(Tableau_Data[Masculin],Tableau_Data[Thèmes],$AP$9,Tableau_Data[Annee],$F$3)</f>
        <v>0</v>
      </c>
      <c r="AR2" s="186">
        <f>SUMIFS(Tableau_Data[Féminin],Tableau_Data[Thèmes],$AP$9,Tableau_Data[Annee],$F$3)</f>
        <v>0</v>
      </c>
      <c r="AS2" s="24"/>
      <c r="AT2" s="187">
        <f>SUM(AP2:AR2)</f>
        <v>0</v>
      </c>
      <c r="AV2" s="185">
        <f>SUMIFS(Tableau_Data[Masculin],Tableau_Data[Thèmes],$AV$9,Tableau_Data[Annee],$F$3)</f>
        <v>70</v>
      </c>
      <c r="AX2" s="186">
        <f>SUMIFS(Tableau_Data[Féminin],Tableau_Data[Thèmes],$AV$9,Tableau_Data[Annee],$F$3)</f>
        <v>45</v>
      </c>
      <c r="AY2" s="24"/>
      <c r="AZ2" s="187">
        <f>SUM(AV2:AX2)</f>
        <v>115</v>
      </c>
      <c r="BB2" s="185">
        <f>SUMIFS(Tableau_Data[Masculin],Tableau_Data[Thèmes],$BB$9,Tableau_Data[Annee],$F$3)</f>
        <v>80</v>
      </c>
      <c r="BD2" s="186">
        <f>SUMIFS(Tableau_Data[Féminin],Tableau_Data[Thèmes],$BB$9,Tableau_Data[Annee],$F$3)</f>
        <v>50</v>
      </c>
      <c r="BE2" s="24"/>
      <c r="BF2" s="187">
        <f>SUM(BB2:BD2)</f>
        <v>130</v>
      </c>
      <c r="BH2" s="185">
        <f>SUMIFS(Tableau_Data[Masculin],Tableau_Data[Thèmes],$BH$9,Tableau_Data[Annee],$F$3)</f>
        <v>75</v>
      </c>
      <c r="BJ2" s="186">
        <f>SUMIFS(Tableau_Data[Féminin],Tableau_Data[Thèmes],$BH$9,Tableau_Data[Annee],$F$3)</f>
        <v>35</v>
      </c>
      <c r="BK2" s="24"/>
      <c r="BL2" s="187">
        <f>SUM(BH2:BJ2)</f>
        <v>110</v>
      </c>
      <c r="BN2" s="185">
        <f>SUMIFS(Tableau_Data[Masculin],Tableau_Data[Thèmes],$BN$9,Tableau_Data[Annee],$F$3)</f>
        <v>0</v>
      </c>
      <c r="BP2" s="186">
        <f>SUMIFS(Tableau_Data[Féminin],Tableau_Data[Thèmes],$BN$9,Tableau_Data[Annee],$F$3)</f>
        <v>0</v>
      </c>
      <c r="BQ2" s="24"/>
      <c r="BR2" s="187">
        <f>SUM(BN2:BP2)</f>
        <v>0</v>
      </c>
      <c r="BT2" s="185">
        <f>SUMIFS(Tableau_Data[Masculin],Tableau_Data[Thèmes],$BT$9,Tableau_Data[Annee],$F$3)</f>
        <v>233</v>
      </c>
      <c r="BV2" s="186">
        <f>SUMIFS(Tableau_Data[Féminin],Tableau_Data[Thèmes],$BT$9,Tableau_Data[Annee],$F$3)</f>
        <v>155</v>
      </c>
      <c r="BW2" s="24"/>
      <c r="BX2" s="187">
        <f>SUM(BT2:BV2)</f>
        <v>388</v>
      </c>
    </row>
    <row r="3" spans="1:76" ht="21.75" thickBot="1" x14ac:dyDescent="0.4">
      <c r="C3" s="121">
        <v>2016</v>
      </c>
      <c r="D3" s="125"/>
      <c r="F3" s="19">
        <f>C3</f>
        <v>2016</v>
      </c>
      <c r="G3" s="18"/>
      <c r="H3" s="18"/>
      <c r="I3" s="18"/>
      <c r="J3" s="18"/>
      <c r="K3" s="18"/>
      <c r="M3" s="23"/>
      <c r="O3" s="81"/>
    </row>
    <row r="4" spans="1:76" ht="25.5" customHeight="1" x14ac:dyDescent="0.3">
      <c r="D4" s="79"/>
      <c r="E4" s="78"/>
      <c r="F4" s="79"/>
      <c r="H4" s="256" t="s">
        <v>3</v>
      </c>
      <c r="I4" s="257"/>
      <c r="J4" s="152">
        <f>VLOOKUP(H4,DS!$CB$19:$CC$30,2,0)</f>
        <v>1</v>
      </c>
    </row>
    <row r="5" spans="1:76" ht="30" customHeight="1" thickBot="1" x14ac:dyDescent="0.35"/>
    <row r="6" spans="1:76" ht="31.5" customHeight="1" thickBot="1" x14ac:dyDescent="0.35">
      <c r="B6" s="286" t="s">
        <v>76</v>
      </c>
      <c r="C6" s="287"/>
      <c r="D6" s="142"/>
      <c r="E6" s="266" t="s">
        <v>164</v>
      </c>
      <c r="F6" s="267"/>
      <c r="G6" s="267"/>
      <c r="H6" s="267"/>
      <c r="I6" s="268"/>
      <c r="J6" s="142"/>
      <c r="K6" s="142"/>
      <c r="L6" s="269" t="s">
        <v>166</v>
      </c>
      <c r="M6" s="270"/>
      <c r="N6" s="270"/>
      <c r="O6" s="270"/>
      <c r="P6" s="270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8"/>
      <c r="AJ6" s="288" t="s">
        <v>167</v>
      </c>
      <c r="AK6" s="289"/>
      <c r="AL6" s="289"/>
      <c r="AM6" s="289"/>
      <c r="AN6" s="289"/>
      <c r="AO6" s="290"/>
      <c r="AP6" s="290"/>
      <c r="AQ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0"/>
      <c r="BE6" s="290"/>
      <c r="BF6" s="290"/>
      <c r="BG6" s="290"/>
      <c r="BH6" s="290"/>
      <c r="BI6" s="290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  <c r="BV6" s="290"/>
      <c r="BW6" s="290"/>
      <c r="BX6" s="291"/>
    </row>
    <row r="7" spans="1:76" ht="17.25" customHeight="1" x14ac:dyDescent="0.3">
      <c r="B7" s="21"/>
      <c r="C7" s="21"/>
      <c r="D7" s="143"/>
      <c r="E7" s="144" t="str">
        <f>E10</f>
        <v>MASCULIN</v>
      </c>
      <c r="F7" s="143"/>
      <c r="G7" s="144" t="str">
        <f>G10</f>
        <v>FEMININ</v>
      </c>
      <c r="H7" s="143"/>
      <c r="I7" s="143"/>
      <c r="J7" s="143"/>
      <c r="K7" s="143"/>
      <c r="L7" s="271" t="str">
        <f>L9</f>
        <v>ECOLE</v>
      </c>
      <c r="M7" s="272"/>
      <c r="N7" s="272"/>
      <c r="O7" s="272"/>
      <c r="P7" s="273"/>
      <c r="R7" s="271" t="str">
        <f>R9</f>
        <v>CENTRE DE SANTE</v>
      </c>
      <c r="S7" s="272"/>
      <c r="T7" s="272"/>
      <c r="U7" s="272"/>
      <c r="V7" s="273"/>
      <c r="W7" s="150"/>
      <c r="X7" s="271" t="str">
        <f>X9</f>
        <v>COMMUNAUTE</v>
      </c>
      <c r="Y7" s="272"/>
      <c r="Z7" s="272"/>
      <c r="AA7" s="272"/>
      <c r="AB7" s="273"/>
      <c r="AC7" s="150"/>
      <c r="AD7" s="271" t="str">
        <f>AD9</f>
        <v>AUTRES</v>
      </c>
      <c r="AE7" s="272"/>
      <c r="AF7" s="272"/>
      <c r="AG7" s="272"/>
      <c r="AH7" s="273"/>
      <c r="AJ7" s="253" t="str">
        <f>AJ9</f>
        <v>IST/VIH SIDA</v>
      </c>
      <c r="AK7" s="254"/>
      <c r="AL7" s="254"/>
      <c r="AM7" s="254"/>
      <c r="AN7" s="255"/>
      <c r="AP7" s="253" t="str">
        <f>AP9</f>
        <v>Violences sexuelles/VBG</v>
      </c>
      <c r="AQ7" s="254"/>
      <c r="AR7" s="254"/>
      <c r="AS7" s="254"/>
      <c r="AT7" s="255"/>
      <c r="AV7" s="253" t="str">
        <f>AV9</f>
        <v>Amour et Sexualité</v>
      </c>
      <c r="AW7" s="254"/>
      <c r="AX7" s="254"/>
      <c r="AY7" s="254"/>
      <c r="AZ7" s="255"/>
      <c r="BB7" s="253" t="str">
        <f>BB9</f>
        <v>Grossesses non désirées</v>
      </c>
      <c r="BC7" s="254"/>
      <c r="BD7" s="254"/>
      <c r="BE7" s="254"/>
      <c r="BF7" s="255"/>
      <c r="BH7" s="253" t="str">
        <f>BH9</f>
        <v>PF</v>
      </c>
      <c r="BI7" s="254"/>
      <c r="BJ7" s="254"/>
      <c r="BK7" s="254"/>
      <c r="BL7" s="255"/>
      <c r="BN7" s="253" t="str">
        <f>BN9</f>
        <v>CPN</v>
      </c>
      <c r="BO7" s="254"/>
      <c r="BP7" s="254"/>
      <c r="BQ7" s="254"/>
      <c r="BR7" s="255"/>
      <c r="BT7" s="253" t="str">
        <f>BT9</f>
        <v>Autres</v>
      </c>
      <c r="BU7" s="254"/>
      <c r="BV7" s="254"/>
      <c r="BW7" s="254"/>
      <c r="BX7" s="255"/>
    </row>
    <row r="8" spans="1:76" ht="19.5" customHeight="1" x14ac:dyDescent="0.3">
      <c r="B8" s="21"/>
      <c r="C8" s="21"/>
      <c r="D8" s="84"/>
      <c r="E8" s="149">
        <f>E18</f>
        <v>309</v>
      </c>
      <c r="F8" s="145"/>
      <c r="G8" s="147">
        <f>G18</f>
        <v>230</v>
      </c>
      <c r="H8" s="145"/>
      <c r="I8" s="149">
        <f>I18</f>
        <v>539</v>
      </c>
      <c r="J8" s="21"/>
      <c r="K8" s="21"/>
      <c r="L8" s="149">
        <f>L18</f>
        <v>0</v>
      </c>
      <c r="M8" s="151"/>
      <c r="N8" s="147">
        <f>N18</f>
        <v>0</v>
      </c>
      <c r="O8" s="151"/>
      <c r="P8" s="148">
        <f>P18</f>
        <v>0</v>
      </c>
      <c r="Q8" s="146"/>
      <c r="R8" s="148">
        <f t="shared" ref="R8:AF8" si="0">R18</f>
        <v>70</v>
      </c>
      <c r="S8" s="146"/>
      <c r="T8" s="147">
        <f t="shared" si="0"/>
        <v>45</v>
      </c>
      <c r="U8" s="146"/>
      <c r="V8" s="148">
        <f t="shared" si="0"/>
        <v>115</v>
      </c>
      <c r="W8" s="146"/>
      <c r="X8" s="148">
        <f t="shared" si="0"/>
        <v>75</v>
      </c>
      <c r="Y8" s="146">
        <f t="shared" si="0"/>
        <v>0</v>
      </c>
      <c r="Z8" s="147">
        <f t="shared" si="0"/>
        <v>35</v>
      </c>
      <c r="AA8" s="146">
        <f t="shared" si="0"/>
        <v>0</v>
      </c>
      <c r="AB8" s="148">
        <f t="shared" si="0"/>
        <v>110</v>
      </c>
      <c r="AC8" s="146"/>
      <c r="AD8" s="148">
        <f t="shared" si="0"/>
        <v>164</v>
      </c>
      <c r="AE8" s="146"/>
      <c r="AF8" s="147">
        <f t="shared" si="0"/>
        <v>150</v>
      </c>
      <c r="AG8" s="146"/>
      <c r="AH8" s="148">
        <f>AH18</f>
        <v>314</v>
      </c>
      <c r="AJ8" s="148">
        <f>AJ18</f>
        <v>34</v>
      </c>
      <c r="AL8" s="147">
        <f>AL18</f>
        <v>70</v>
      </c>
      <c r="AN8" s="148">
        <f>AN18</f>
        <v>104</v>
      </c>
      <c r="AP8" s="148">
        <f>AP18</f>
        <v>0</v>
      </c>
      <c r="AR8" s="147">
        <f>AR18</f>
        <v>0</v>
      </c>
      <c r="AT8" s="148">
        <f>AT18</f>
        <v>0</v>
      </c>
      <c r="AV8" s="148">
        <f>AV18</f>
        <v>70</v>
      </c>
      <c r="AX8" s="147">
        <f>AX18</f>
        <v>45</v>
      </c>
      <c r="AZ8" s="148">
        <f>AZ18</f>
        <v>115</v>
      </c>
      <c r="BB8" s="148">
        <f>BB18</f>
        <v>0</v>
      </c>
      <c r="BD8" s="147">
        <f>BD18</f>
        <v>0</v>
      </c>
      <c r="BF8" s="148">
        <f>BF18</f>
        <v>0</v>
      </c>
      <c r="BH8" s="148">
        <f>BH18</f>
        <v>75</v>
      </c>
      <c r="BJ8" s="147">
        <f>BJ18</f>
        <v>35</v>
      </c>
      <c r="BL8" s="148">
        <f>BL18</f>
        <v>110</v>
      </c>
      <c r="BN8" s="148">
        <f>BN18</f>
        <v>0</v>
      </c>
      <c r="BP8" s="147">
        <f>BP18</f>
        <v>0</v>
      </c>
      <c r="BR8" s="148">
        <f>BR18</f>
        <v>0</v>
      </c>
      <c r="BT8" s="148">
        <f>BT18</f>
        <v>130</v>
      </c>
      <c r="BV8" s="147">
        <f>BV18</f>
        <v>80</v>
      </c>
      <c r="BX8" s="148">
        <f>BX18</f>
        <v>210</v>
      </c>
    </row>
    <row r="9" spans="1:76" ht="21" customHeight="1" thickBot="1" x14ac:dyDescent="0.35">
      <c r="F9" s="25"/>
      <c r="L9" s="258" t="str">
        <f>Paramètres!B7</f>
        <v>ECOLE</v>
      </c>
      <c r="M9" s="259"/>
      <c r="N9" s="259"/>
      <c r="O9" s="259"/>
      <c r="P9" s="260"/>
      <c r="R9" s="258" t="str">
        <f>Paramètres!B8</f>
        <v>CENTRE DE SANTE</v>
      </c>
      <c r="S9" s="259"/>
      <c r="T9" s="259"/>
      <c r="U9" s="259"/>
      <c r="V9" s="260"/>
      <c r="X9" s="258" t="str">
        <f>Paramètres!B9</f>
        <v>COMMUNAUTE</v>
      </c>
      <c r="Y9" s="259"/>
      <c r="Z9" s="259"/>
      <c r="AA9" s="259"/>
      <c r="AB9" s="260"/>
      <c r="AD9" s="258" t="str">
        <f>Paramètres!B10</f>
        <v>AUTRES</v>
      </c>
      <c r="AE9" s="259"/>
      <c r="AF9" s="259"/>
      <c r="AG9" s="259"/>
      <c r="AH9" s="260"/>
      <c r="AJ9" s="258" t="str">
        <f>Paramètres!F7</f>
        <v>IST/VIH SIDA</v>
      </c>
      <c r="AK9" s="259"/>
      <c r="AL9" s="259"/>
      <c r="AM9" s="259"/>
      <c r="AN9" s="260"/>
      <c r="AP9" s="258" t="str">
        <f>Paramètres!F8</f>
        <v>Violences sexuelles/VBG</v>
      </c>
      <c r="AQ9" s="259"/>
      <c r="AR9" s="259"/>
      <c r="AS9" s="259"/>
      <c r="AT9" s="260"/>
      <c r="AV9" s="258" t="str">
        <f>Paramètres!F9</f>
        <v>Amour et Sexualité</v>
      </c>
      <c r="AW9" s="259"/>
      <c r="AX9" s="259"/>
      <c r="AY9" s="259"/>
      <c r="AZ9" s="260"/>
      <c r="BB9" s="258" t="str">
        <f>Paramètres!F10</f>
        <v>Grossesses non désirées</v>
      </c>
      <c r="BC9" s="259"/>
      <c r="BD9" s="259"/>
      <c r="BE9" s="259"/>
      <c r="BF9" s="260"/>
      <c r="BH9" s="258" t="str">
        <f>Paramètres!F11</f>
        <v>PF</v>
      </c>
      <c r="BI9" s="259"/>
      <c r="BJ9" s="259"/>
      <c r="BK9" s="259"/>
      <c r="BL9" s="260"/>
      <c r="BN9" s="258" t="str">
        <f>Paramètres!F12</f>
        <v>CPN</v>
      </c>
      <c r="BO9" s="259"/>
      <c r="BP9" s="259"/>
      <c r="BQ9" s="259"/>
      <c r="BR9" s="260"/>
      <c r="BT9" s="258" t="str">
        <f>Paramètres!F13</f>
        <v>Autres</v>
      </c>
      <c r="BU9" s="259"/>
      <c r="BV9" s="259"/>
      <c r="BW9" s="259"/>
      <c r="BX9" s="260"/>
    </row>
    <row r="10" spans="1:76" ht="17.25" thickBot="1" x14ac:dyDescent="0.35">
      <c r="E10" s="127" t="s">
        <v>203</v>
      </c>
      <c r="F10" s="25"/>
      <c r="G10" s="128" t="s">
        <v>204</v>
      </c>
      <c r="L10" s="130" t="s">
        <v>197</v>
      </c>
      <c r="M10" s="25"/>
      <c r="N10" s="131" t="s">
        <v>87</v>
      </c>
      <c r="R10" s="130" t="s">
        <v>197</v>
      </c>
      <c r="S10" s="25"/>
      <c r="T10" s="131" t="s">
        <v>87</v>
      </c>
      <c r="X10" s="130" t="s">
        <v>197</v>
      </c>
      <c r="Y10" s="25"/>
      <c r="Z10" s="131" t="s">
        <v>87</v>
      </c>
      <c r="AD10" s="130" t="s">
        <v>197</v>
      </c>
      <c r="AE10" s="25"/>
      <c r="AF10" s="131" t="s">
        <v>87</v>
      </c>
      <c r="AJ10" s="130" t="s">
        <v>197</v>
      </c>
      <c r="AK10" s="25"/>
      <c r="AL10" s="131" t="s">
        <v>87</v>
      </c>
      <c r="AP10" s="130" t="s">
        <v>197</v>
      </c>
      <c r="AQ10" s="25"/>
      <c r="AR10" s="131" t="s">
        <v>87</v>
      </c>
      <c r="AV10" s="130" t="s">
        <v>197</v>
      </c>
      <c r="AW10" s="25"/>
      <c r="AX10" s="131" t="s">
        <v>87</v>
      </c>
      <c r="BB10" s="130" t="s">
        <v>197</v>
      </c>
      <c r="BC10" s="25"/>
      <c r="BD10" s="131" t="s">
        <v>87</v>
      </c>
      <c r="BH10" s="130" t="s">
        <v>197</v>
      </c>
      <c r="BI10" s="25"/>
      <c r="BJ10" s="131" t="s">
        <v>87</v>
      </c>
      <c r="BN10" s="130" t="s">
        <v>197</v>
      </c>
      <c r="BO10" s="25"/>
      <c r="BP10" s="131" t="s">
        <v>87</v>
      </c>
      <c r="BT10" s="130" t="s">
        <v>197</v>
      </c>
      <c r="BU10" s="25"/>
      <c r="BV10" s="131" t="s">
        <v>87</v>
      </c>
    </row>
    <row r="11" spans="1:76" ht="17.25" thickBot="1" x14ac:dyDescent="0.35">
      <c r="F11" s="25"/>
      <c r="M11" s="25"/>
      <c r="S11" s="25"/>
      <c r="Y11" s="25"/>
      <c r="AE11" s="25"/>
      <c r="AK11" s="25"/>
      <c r="AQ11" s="25"/>
      <c r="AW11" s="25"/>
      <c r="BC11" s="25"/>
      <c r="BI11" s="25"/>
      <c r="BO11" s="25"/>
      <c r="BU11" s="25"/>
    </row>
    <row r="12" spans="1:76" ht="17.100000000000001" customHeight="1" x14ac:dyDescent="0.3">
      <c r="A12" s="82"/>
      <c r="B12" s="153">
        <v>1</v>
      </c>
      <c r="C12" s="120" t="str">
        <f>Paramètres!F21</f>
        <v>Muramya</v>
      </c>
      <c r="D12" s="126"/>
      <c r="E12" s="136">
        <f>SUMIFS(Tableau_Data[Masculin],Tableau_Data[District sanitaire],DS!$C12,Tableau_Data[Annee],DS!$F$3,Tableau_Data[Mois],DS!J$4)</f>
        <v>239</v>
      </c>
      <c r="F12" s="126"/>
      <c r="G12" s="136">
        <f>SUMIFS(Tableau_Data[Féminin],Tableau_Data[District sanitaire],DS!$C12,Tableau_Data[Annee],DS!$F$3,Tableau_Data[Mois],DS!J$4)</f>
        <v>185</v>
      </c>
      <c r="H12" s="126"/>
      <c r="I12" s="137">
        <f>SUM(E12:G12)</f>
        <v>424</v>
      </c>
      <c r="J12" s="126"/>
      <c r="K12" s="126"/>
      <c r="L12" s="138">
        <f>SUMIFS(Tableau_Data[Masculin],Tableau_Data[District sanitaire],DS!$C12,Tableau_Data[Lieu d''intervention],DS!$L$9,Tableau_Data[Annee],DS!$F$3,Tableau_Data[Mois],DS!J$4)</f>
        <v>0</v>
      </c>
      <c r="M12" s="126"/>
      <c r="N12" s="136">
        <f>SUMIFS(Tableau_Data[Féminin],Tableau_Data[District sanitaire],DS!$C12,Tableau_Data[Lieu d''intervention],DS!$L$9,Tableau_Data[Annee],DS!$F$3,Tableau_Data[Mois],DS!J$4)</f>
        <v>0</v>
      </c>
      <c r="O12" s="126"/>
      <c r="P12" s="137">
        <f>SUM(L12:N12)</f>
        <v>0</v>
      </c>
      <c r="R12" s="136">
        <f>SUMIFS(Tableau_Data[Masculin],Tableau_Data[District sanitaire],DS!$C12,Tableau_Data[Lieu d''intervention],DS!$R$9,Tableau_Data[Annee],DS!$F$3,Tableau_Data[Mois],DS!J$4)</f>
        <v>0</v>
      </c>
      <c r="S12" s="126"/>
      <c r="T12" s="136">
        <f>SUMIFS(Tableau_Data[Féminin],Tableau_Data[District sanitaire],DS!$C12,Tableau_Data[Lieu d''intervention],DS!$R$9,Tableau_Data[Annee],DS!$F$3,Tableau_Data[Mois],DS!J$4)</f>
        <v>0</v>
      </c>
      <c r="U12" s="126"/>
      <c r="V12" s="137">
        <f>SUM(R12:T12)</f>
        <v>0</v>
      </c>
      <c r="X12" s="136">
        <f>SUMIFS(Tableau_Data[Masculin],Tableau_Data[District sanitaire],DS!$C12,Tableau_Data[Lieu d''intervention],DS!$X$9,Tableau_Data[Annee],DS!$F$3,Tableau_Data[Mois],DS!J$4)</f>
        <v>75</v>
      </c>
      <c r="Y12" s="126"/>
      <c r="Z12" s="136">
        <f>SUMIFS(Tableau_Data[Féminin],Tableau_Data[District sanitaire],DS!$C12,Tableau_Data[Lieu d''intervention],DS!$X$9,Tableau_Data[Annee],DS!$F$3,Tableau_Data[Mois],DS!J$4)</f>
        <v>35</v>
      </c>
      <c r="AA12" s="126"/>
      <c r="AB12" s="137">
        <f>SUM(X12:Z12)</f>
        <v>110</v>
      </c>
      <c r="AD12" s="136">
        <f>SUMIFS(Tableau_Data[Masculin],Tableau_Data[District sanitaire],DS!$C12,Tableau_Data[Lieu d''intervention],DS!$AD$9,Tableau_Data[Annee],DS!$F$3,Tableau_Data[Mois],DS!J$4)</f>
        <v>164</v>
      </c>
      <c r="AE12" s="126"/>
      <c r="AF12" s="136">
        <f>SUMIFS(Tableau_Data[Féminin],Tableau_Data[District sanitaire],DS!$C12,Tableau_Data[Lieu d''intervention],DS!$AD$9,Tableau_Data[Annee],DS!$F$3,Tableau_Data[Mois],DS!J$4)</f>
        <v>150</v>
      </c>
      <c r="AG12" s="126"/>
      <c r="AH12" s="137">
        <f>SUM(AD12:AF12)</f>
        <v>314</v>
      </c>
      <c r="AJ12" s="136">
        <f>SUMIFS(Tableau_Data[Masculin],Tableau_Data[District sanitaire],DS!$C12,Tableau_Data[Thèmes],DS!$AJ$9,Tableau_Data[Annee],DS!$F$3,Tableau_Data[Mois],DS!J$4)</f>
        <v>34</v>
      </c>
      <c r="AK12" s="126"/>
      <c r="AL12" s="136">
        <f>SUMIFS(Tableau_Data[Féminin],Tableau_Data[District sanitaire],DS!$C12,Tableau_Data[Thèmes],DS!$AJ$9,Tableau_Data[Annee],DS!$F$3,Tableau_Data[Mois],DS!J$4)</f>
        <v>70</v>
      </c>
      <c r="AM12" s="126"/>
      <c r="AN12" s="137">
        <f>SUM(AJ12:AL12)</f>
        <v>104</v>
      </c>
      <c r="AP12" s="136">
        <f>SUMIFS(Tableau_Data[Masculin],Tableau_Data[District sanitaire],DS!$C12,Tableau_Data[Thèmes],DS!$AP$9,Tableau_Data[Annee],DS!$F$3,Tableau_Data[Mois],DS!J$4)</f>
        <v>0</v>
      </c>
      <c r="AQ12" s="126"/>
      <c r="AR12" s="136">
        <f>SUMIFS(Tableau_Data[Féminin],Tableau_Data[District sanitaire],DS!$C12,Tableau_Data[Thèmes],DS!$AP$9,Tableau_Data[Annee],DS!$F$3,Tableau_Data[Mois],DS!J$4)</f>
        <v>0</v>
      </c>
      <c r="AS12" s="126"/>
      <c r="AT12" s="137">
        <f>SUM(AP12:AR12)</f>
        <v>0</v>
      </c>
      <c r="AV12" s="136">
        <f>SUMIFS(Tableau_Data[Masculin],Tableau_Data[District sanitaire],DS!$C12,Tableau_Data[Thèmes],DS!$AV$9,Tableau_Data[Annee],DS!$F$3,Tableau_Data[Mois],DS!J$4)</f>
        <v>0</v>
      </c>
      <c r="AW12" s="126"/>
      <c r="AX12" s="136">
        <f>SUMIFS(Tableau_Data[Féminin],Tableau_Data[District sanitaire],DS!$C12,Tableau_Data[Thèmes],DS!$AV$9,Tableau_Data[Annee],DS!$F$3,Tableau_Data[Mois],DS!J$4)</f>
        <v>0</v>
      </c>
      <c r="AY12" s="126"/>
      <c r="AZ12" s="137">
        <f>SUM(AV12:AX12)</f>
        <v>0</v>
      </c>
      <c r="BB12" s="136">
        <f>SUMIFS(Tableau_Data[Masculin],Tableau_Data[District sanitaire],DS!$C12,Tableau_Data[Thèmes],DS!$BB$9,Tableau_Data[Annee],DS!$F$3,Tableau_Data[Mois],DS!J$4)</f>
        <v>0</v>
      </c>
      <c r="BC12" s="126"/>
      <c r="BD12" s="136">
        <f>SUMIFS(Tableau_Data[Féminin],Tableau_Data[District sanitaire],DS!$C12,Tableau_Data[Thèmes],DS!$BB$9,Tableau_Data[Annee],DS!$F$3,Tableau_Data[Mois],DS!$J$4)</f>
        <v>0</v>
      </c>
      <c r="BE12" s="126"/>
      <c r="BF12" s="137">
        <f>SUM(BB12:BD12)</f>
        <v>0</v>
      </c>
      <c r="BH12" s="136">
        <f>SUMIFS(Tableau_Data[Masculin],Tableau_Data[District sanitaire],DS!$C12,Tableau_Data[Thèmes],DS!$BH$9,Tableau_Data[Annee],DS!$F$3,Tableau_Data[Mois],DS!$J$4)</f>
        <v>75</v>
      </c>
      <c r="BI12" s="126"/>
      <c r="BJ12" s="136">
        <f>SUMIFS(Tableau_Data[Féminin],Tableau_Data[District sanitaire],DS!$C12,Tableau_Data[Thèmes],DS!$BH$9,Tableau_Data[Annee],DS!$F$3,Tableau_Data[Mois],DS!$J$4)</f>
        <v>35</v>
      </c>
      <c r="BK12" s="126"/>
      <c r="BL12" s="137">
        <f>SUM(BH12:BJ12)</f>
        <v>110</v>
      </c>
      <c r="BN12" s="136">
        <f>SUMIFS(Tableau_Data[Masculin],Tableau_Data[District sanitaire],DS!$C12,Tableau_Data[Thèmes],DS!$BN$9,Tableau_Data[Annee],DS!$F$3,Tableau_Data[Mois],DS!$J$4)</f>
        <v>0</v>
      </c>
      <c r="BO12" s="126"/>
      <c r="BP12" s="136">
        <f>SUMIFS(Tableau_Data[Féminin],Tableau_Data[District sanitaire],DS!$C12,Tableau_Data[Thèmes],DS!$BN$9,Tableau_Data[Annee],DS!$F$3,Tableau_Data[Mois],DS!$J$4)</f>
        <v>0</v>
      </c>
      <c r="BQ12" s="126"/>
      <c r="BR12" s="137">
        <f>SUM(BN12:BP12)</f>
        <v>0</v>
      </c>
      <c r="BT12" s="136">
        <f>SUMIFS(Tableau_Data[Masculin],Tableau_Data[District sanitaire],DS!$C12,Tableau_Data[Thèmes],DS!$BT$9,Tableau_Data[Annee],DS!$F$3,Tableau_Data[Mois],DS!$J$4)</f>
        <v>130</v>
      </c>
      <c r="BU12" s="126"/>
      <c r="BV12" s="136">
        <f>SUMIFS(Tableau_Data[Féminin],Tableau_Data[District sanitaire],DS!$C12,Tableau_Data[Thèmes],DS!$BT$9,Tableau_Data[Annee],DS!$F$3,Tableau_Data[Mois],DS!$J$4)</f>
        <v>80</v>
      </c>
      <c r="BW12" s="126"/>
      <c r="BX12" s="137">
        <f>SUM(BT12:BV12)</f>
        <v>210</v>
      </c>
    </row>
    <row r="13" spans="1:76" ht="17.100000000000001" customHeight="1" x14ac:dyDescent="0.3">
      <c r="A13" s="82"/>
      <c r="B13" s="119">
        <f>IF(DS!B12="","",1+B12)</f>
        <v>2</v>
      </c>
      <c r="C13" s="120" t="str">
        <f>Paramètres!F22</f>
        <v>Kiganda</v>
      </c>
      <c r="D13" s="126"/>
      <c r="E13" s="136">
        <f>SUMIFS(Tableau_Data[Masculin],Tableau_Data[District sanitaire],DS!$C13,Tableau_Data[Annee],DS!$F$3,Tableau_Data[Mois],DS!J$4)</f>
        <v>0</v>
      </c>
      <c r="F13" s="126"/>
      <c r="G13" s="136">
        <f>SUMIFS(Tableau_Data[Féminin],Tableau_Data[District sanitaire],DS!$C13,Tableau_Data[Annee],DS!$F$3,Tableau_Data[Mois],DS!J$4)</f>
        <v>0</v>
      </c>
      <c r="H13" s="126"/>
      <c r="I13" s="137">
        <f t="shared" ref="I13:I16" si="1">SUM(E13:G13)</f>
        <v>0</v>
      </c>
      <c r="J13" s="126"/>
      <c r="K13" s="126"/>
      <c r="L13" s="138">
        <f>SUMIFS(Tableau_Data[Masculin],Tableau_Data[District sanitaire],DS!$C13,Tableau_Data[Lieu d''intervention],DS!$L$9,Tableau_Data[Annee],DS!$F$3,Tableau_Data[Mois],DS!J$4)</f>
        <v>0</v>
      </c>
      <c r="M13" s="126"/>
      <c r="N13" s="136">
        <f>SUMIFS(Tableau_Data[Féminin],Tableau_Data[District sanitaire],DS!$C13,Tableau_Data[Lieu d''intervention],DS!$L$9,Tableau_Data[Annee],DS!$F$3,Tableau_Data[Mois],DS!J$4)</f>
        <v>0</v>
      </c>
      <c r="O13" s="126"/>
      <c r="P13" s="137">
        <f t="shared" ref="P13:P16" si="2">SUM(L13:N13)</f>
        <v>0</v>
      </c>
      <c r="R13" s="136">
        <f>SUMIFS(Tableau_Data[Masculin],Tableau_Data[District sanitaire],DS!$C13,Tableau_Data[Lieu d''intervention],DS!$R$9,Tableau_Data[Annee],DS!$F$3,Tableau_Data[Mois],DS!J$4)</f>
        <v>0</v>
      </c>
      <c r="S13" s="126"/>
      <c r="T13" s="136">
        <f>SUMIFS(Tableau_Data[Féminin],Tableau_Data[District sanitaire],DS!$C13,Tableau_Data[Lieu d''intervention],DS!$R$9,Tableau_Data[Annee],DS!$F$3,Tableau_Data[Mois],DS!J$4)</f>
        <v>0</v>
      </c>
      <c r="U13" s="126"/>
      <c r="V13" s="137">
        <f t="shared" ref="V13:V16" si="3">SUM(R13:T13)</f>
        <v>0</v>
      </c>
      <c r="X13" s="136">
        <f>SUMIFS(Tableau_Data[Masculin],Tableau_Data[District sanitaire],DS!$C13,Tableau_Data[Lieu d''intervention],DS!$X$9,Tableau_Data[Annee],DS!$F$3,Tableau_Data[Mois],DS!J$4)</f>
        <v>0</v>
      </c>
      <c r="Y13" s="126"/>
      <c r="Z13" s="136">
        <f>SUMIFS(Tableau_Data[Féminin],Tableau_Data[District sanitaire],DS!$C13,Tableau_Data[Lieu d''intervention],DS!$X$9,Tableau_Data[Annee],DS!$F$3,Tableau_Data[Mois],DS!J$4)</f>
        <v>0</v>
      </c>
      <c r="AA13" s="126"/>
      <c r="AB13" s="137">
        <f t="shared" ref="AB13:AB16" si="4">SUM(X13:Z13)</f>
        <v>0</v>
      </c>
      <c r="AD13" s="136">
        <f>SUMIFS(Tableau_Data[Masculin],Tableau_Data[District sanitaire],DS!$C13,Tableau_Data[Lieu d''intervention],DS!$AD$9,Tableau_Data[Annee],DS!$F$3,Tableau_Data[Mois],DS!J$4)</f>
        <v>0</v>
      </c>
      <c r="AE13" s="126"/>
      <c r="AF13" s="136">
        <f>SUMIFS(Tableau_Data[Féminin],Tableau_Data[District sanitaire],DS!$C13,Tableau_Data[Lieu d''intervention],DS!$AD$9,Tableau_Data[Annee],DS!$F$3,Tableau_Data[Mois],DS!J$4)</f>
        <v>0</v>
      </c>
      <c r="AG13" s="126"/>
      <c r="AH13" s="137">
        <f t="shared" ref="AH13:AH16" si="5">SUM(AD13:AF13)</f>
        <v>0</v>
      </c>
      <c r="AJ13" s="136">
        <f>SUMIFS(Tableau_Data[Masculin],Tableau_Data[District sanitaire],DS!$C13,Tableau_Data[Thèmes],DS!$AJ$9,Tableau_Data[Annee],DS!$F$3,Tableau_Data[Mois],DS!J$4)</f>
        <v>0</v>
      </c>
      <c r="AK13" s="126"/>
      <c r="AL13" s="136">
        <f>SUMIFS(Tableau_Data[Féminin],Tableau_Data[District sanitaire],DS!$C13,Tableau_Data[Thèmes],DS!$AJ$9,Tableau_Data[Annee],DS!$F$3,Tableau_Data[Mois],DS!J$4)</f>
        <v>0</v>
      </c>
      <c r="AM13" s="126"/>
      <c r="AN13" s="137">
        <f t="shared" ref="AN13:AN16" si="6">SUM(AJ13:AL13)</f>
        <v>0</v>
      </c>
      <c r="AP13" s="136">
        <f>SUMIFS(Tableau_Data[Masculin],Tableau_Data[District sanitaire],DS!$C13,Tableau_Data[Thèmes],DS!$AP$9,Tableau_Data[Annee],DS!$F$3,Tableau_Data[Mois],DS!J$4)</f>
        <v>0</v>
      </c>
      <c r="AQ13" s="126"/>
      <c r="AR13" s="136">
        <f>SUMIFS(Tableau_Data[Féminin],Tableau_Data[District sanitaire],DS!$C13,Tableau_Data[Thèmes],DS!$AP$9,Tableau_Data[Annee],DS!$F$3,Tableau_Data[Mois],DS!J$4)</f>
        <v>0</v>
      </c>
      <c r="AS13" s="126"/>
      <c r="AT13" s="137">
        <f t="shared" ref="AT13:AT16" si="7">SUM(AP13:AR13)</f>
        <v>0</v>
      </c>
      <c r="AV13" s="136">
        <f>SUMIFS(Tableau_Data[Masculin],Tableau_Data[District sanitaire],DS!$C13,Tableau_Data[Thèmes],DS!$AV$9,Tableau_Data[Annee],DS!$F$3,Tableau_Data[Mois],DS!J$4)</f>
        <v>0</v>
      </c>
      <c r="AW13" s="126"/>
      <c r="AX13" s="136">
        <f>SUMIFS(Tableau_Data[Féminin],Tableau_Data[District sanitaire],DS!$C13,Tableau_Data[Thèmes],DS!$AV$9,Tableau_Data[Annee],DS!$F$3,Tableau_Data[Mois],DS!J$4)</f>
        <v>0</v>
      </c>
      <c r="AY13" s="126"/>
      <c r="AZ13" s="137">
        <f t="shared" ref="AZ13:AZ16" si="8">SUM(AV13:AX13)</f>
        <v>0</v>
      </c>
      <c r="BB13" s="136">
        <f>SUMIFS(Tableau_Data[Masculin],Tableau_Data[District sanitaire],DS!$C13,Tableau_Data[Thèmes],DS!$BB$9,Tableau_Data[Annee],DS!$F$3,Tableau_Data[Mois],DS!J$4)</f>
        <v>0</v>
      </c>
      <c r="BC13" s="126"/>
      <c r="BD13" s="136">
        <f>SUMIFS(Tableau_Data[Féminin],Tableau_Data[District sanitaire],DS!$C13,Tableau_Data[Thèmes],DS!$BB$9,Tableau_Data[Annee],DS!$F$3,Tableau_Data[Mois],DS!$J$4)</f>
        <v>0</v>
      </c>
      <c r="BE13" s="126"/>
      <c r="BF13" s="137">
        <f t="shared" ref="BF13:BF16" si="9">SUM(BB13:BD13)</f>
        <v>0</v>
      </c>
      <c r="BH13" s="136">
        <f>SUMIFS(Tableau_Data[Masculin],Tableau_Data[District sanitaire],DS!$C13,Tableau_Data[Thèmes],DS!$BH$9,Tableau_Data[Annee],DS!$F$3,Tableau_Data[Mois],DS!$J$4)</f>
        <v>0</v>
      </c>
      <c r="BI13" s="126"/>
      <c r="BJ13" s="136">
        <f>SUMIFS(Tableau_Data[Féminin],Tableau_Data[District sanitaire],DS!$C13,Tableau_Data[Thèmes],DS!$BH$9,Tableau_Data[Annee],DS!$F$3,Tableau_Data[Mois],DS!$J$4)</f>
        <v>0</v>
      </c>
      <c r="BK13" s="126"/>
      <c r="BL13" s="137">
        <f t="shared" ref="BL13:BL16" si="10">SUM(BH13:BJ13)</f>
        <v>0</v>
      </c>
      <c r="BN13" s="136">
        <f>SUMIFS(Tableau_Data[Masculin],Tableau_Data[District sanitaire],DS!$C13,Tableau_Data[Thèmes],DS!$BN$9,Tableau_Data[Annee],DS!$F$3,Tableau_Data[Mois],DS!$J$4)</f>
        <v>0</v>
      </c>
      <c r="BO13" s="126"/>
      <c r="BP13" s="136">
        <f>SUMIFS(Tableau_Data[Féminin],Tableau_Data[District sanitaire],DS!$C13,Tableau_Data[Thèmes],DS!$BN$9,Tableau_Data[Annee],DS!$F$3,Tableau_Data[Mois],DS!$J$4)</f>
        <v>0</v>
      </c>
      <c r="BQ13" s="126"/>
      <c r="BR13" s="137">
        <f t="shared" ref="BR13:BR16" si="11">SUM(BN13:BP13)</f>
        <v>0</v>
      </c>
      <c r="BT13" s="136">
        <f>SUMIFS(Tableau_Data[Masculin],Tableau_Data[District sanitaire],DS!$C13,Tableau_Data[Thèmes],DS!$BT$9,Tableau_Data[Annee],DS!$F$3,Tableau_Data[Mois],DS!$J$4)</f>
        <v>0</v>
      </c>
      <c r="BU13" s="126"/>
      <c r="BV13" s="136">
        <f>SUMIFS(Tableau_Data[Féminin],Tableau_Data[District sanitaire],DS!$C13,Tableau_Data[Thèmes],DS!$BT$9,Tableau_Data[Annee],DS!$F$3,Tableau_Data[Mois],DS!$J$4)</f>
        <v>0</v>
      </c>
      <c r="BW13" s="126"/>
      <c r="BX13" s="137">
        <f t="shared" ref="BX13:BX16" si="12">SUM(BT13:BV13)</f>
        <v>0</v>
      </c>
    </row>
    <row r="14" spans="1:76" ht="17.100000000000001" customHeight="1" x14ac:dyDescent="0.3">
      <c r="A14" s="82"/>
      <c r="B14" s="119">
        <f>IF(DS!B13="","",1+B13)</f>
        <v>3</v>
      </c>
      <c r="C14" s="120" t="str">
        <f>Paramètres!F23</f>
        <v>Fota</v>
      </c>
      <c r="D14" s="126"/>
      <c r="E14" s="136">
        <f>SUMIFS(Tableau_Data[Masculin],Tableau_Data[District sanitaire],DS!$C14,Tableau_Data[Annee],DS!$F$3,Tableau_Data[Mois],DS!J$4)</f>
        <v>0</v>
      </c>
      <c r="F14" s="126"/>
      <c r="G14" s="136">
        <f>SUMIFS(Tableau_Data[Féminin],Tableau_Data[District sanitaire],DS!$C14,Tableau_Data[Annee],DS!$F$3,Tableau_Data[Mois],DS!J$4)</f>
        <v>0</v>
      </c>
      <c r="H14" s="126"/>
      <c r="I14" s="137">
        <f t="shared" si="1"/>
        <v>0</v>
      </c>
      <c r="J14" s="126"/>
      <c r="K14" s="126"/>
      <c r="L14" s="138">
        <f>SUMIFS(Tableau_Data[Masculin],Tableau_Data[District sanitaire],DS!$C14,Tableau_Data[Lieu d''intervention],DS!$L$9,Tableau_Data[Annee],DS!$F$3,Tableau_Data[Mois],DS!J$4)</f>
        <v>0</v>
      </c>
      <c r="M14" s="126"/>
      <c r="N14" s="136">
        <f>SUMIFS(Tableau_Data[Féminin],Tableau_Data[District sanitaire],DS!$C14,Tableau_Data[Lieu d''intervention],DS!$L$9,Tableau_Data[Annee],DS!$F$3,Tableau_Data[Mois],DS!J$4)</f>
        <v>0</v>
      </c>
      <c r="O14" s="126"/>
      <c r="P14" s="137">
        <f t="shared" si="2"/>
        <v>0</v>
      </c>
      <c r="R14" s="136">
        <f>SUMIFS(Tableau_Data[Masculin],Tableau_Data[District sanitaire],DS!$C14,Tableau_Data[Lieu d''intervention],DS!$R$9,Tableau_Data[Annee],DS!$F$3,Tableau_Data[Mois],DS!J$4)</f>
        <v>0</v>
      </c>
      <c r="S14" s="126"/>
      <c r="T14" s="136">
        <f>SUMIFS(Tableau_Data[Féminin],Tableau_Data[District sanitaire],DS!$C14,Tableau_Data[Lieu d''intervention],DS!$R$9,Tableau_Data[Annee],DS!$F$3,Tableau_Data[Mois],DS!J$4)</f>
        <v>0</v>
      </c>
      <c r="U14" s="126"/>
      <c r="V14" s="137">
        <f t="shared" si="3"/>
        <v>0</v>
      </c>
      <c r="X14" s="136">
        <f>SUMIFS(Tableau_Data[Masculin],Tableau_Data[District sanitaire],DS!$C14,Tableau_Data[Lieu d''intervention],DS!$X$9,Tableau_Data[Annee],DS!$F$3,Tableau_Data[Mois],DS!J$4)</f>
        <v>0</v>
      </c>
      <c r="Y14" s="126"/>
      <c r="Z14" s="136">
        <f>SUMIFS(Tableau_Data[Féminin],Tableau_Data[District sanitaire],DS!$C14,Tableau_Data[Lieu d''intervention],DS!$X$9,Tableau_Data[Annee],DS!$F$3,Tableau_Data[Mois],DS!J$4)</f>
        <v>0</v>
      </c>
      <c r="AA14" s="126"/>
      <c r="AB14" s="137">
        <f t="shared" si="4"/>
        <v>0</v>
      </c>
      <c r="AD14" s="136">
        <f>SUMIFS(Tableau_Data[Masculin],Tableau_Data[District sanitaire],DS!$C14,Tableau_Data[Lieu d''intervention],DS!$AD$9,Tableau_Data[Annee],DS!$F$3,Tableau_Data[Mois],DS!J$4)</f>
        <v>0</v>
      </c>
      <c r="AE14" s="126"/>
      <c r="AF14" s="136">
        <f>SUMIFS(Tableau_Data[Féminin],Tableau_Data[District sanitaire],DS!$C14,Tableau_Data[Lieu d''intervention],DS!$AD$9,Tableau_Data[Annee],DS!$F$3,Tableau_Data[Mois],DS!J$4)</f>
        <v>0</v>
      </c>
      <c r="AG14" s="126"/>
      <c r="AH14" s="137">
        <f t="shared" si="5"/>
        <v>0</v>
      </c>
      <c r="AJ14" s="136">
        <f>SUMIFS(Tableau_Data[Masculin],Tableau_Data[District sanitaire],DS!$C14,Tableau_Data[Thèmes],DS!$AJ$9,Tableau_Data[Annee],DS!$F$3,Tableau_Data[Mois],DS!J$4)</f>
        <v>0</v>
      </c>
      <c r="AK14" s="126"/>
      <c r="AL14" s="136">
        <f>SUMIFS(Tableau_Data[Féminin],Tableau_Data[District sanitaire],DS!$C14,Tableau_Data[Thèmes],DS!$AJ$9,Tableau_Data[Annee],DS!$F$3,Tableau_Data[Mois],DS!J$4)</f>
        <v>0</v>
      </c>
      <c r="AM14" s="126"/>
      <c r="AN14" s="137">
        <f t="shared" si="6"/>
        <v>0</v>
      </c>
      <c r="AP14" s="136">
        <f>SUMIFS(Tableau_Data[Masculin],Tableau_Data[District sanitaire],DS!$C14,Tableau_Data[Thèmes],DS!$AP$9,Tableau_Data[Annee],DS!$F$3,Tableau_Data[Mois],DS!J$4)</f>
        <v>0</v>
      </c>
      <c r="AQ14" s="126"/>
      <c r="AR14" s="136">
        <f>SUMIFS(Tableau_Data[Féminin],Tableau_Data[District sanitaire],DS!$C14,Tableau_Data[Thèmes],DS!$AP$9,Tableau_Data[Annee],DS!$F$3,Tableau_Data[Mois],DS!J$4)</f>
        <v>0</v>
      </c>
      <c r="AS14" s="126"/>
      <c r="AT14" s="137">
        <f t="shared" si="7"/>
        <v>0</v>
      </c>
      <c r="AV14" s="136">
        <f>SUMIFS(Tableau_Data[Masculin],Tableau_Data[District sanitaire],DS!$C14,Tableau_Data[Thèmes],DS!$AV$9,Tableau_Data[Annee],DS!$F$3,Tableau_Data[Mois],DS!J$4)</f>
        <v>0</v>
      </c>
      <c r="AW14" s="126"/>
      <c r="AX14" s="136">
        <f>SUMIFS(Tableau_Data[Féminin],Tableau_Data[District sanitaire],DS!$C14,Tableau_Data[Thèmes],DS!$AV$9,Tableau_Data[Annee],DS!$F$3,Tableau_Data[Mois],DS!J$4)</f>
        <v>0</v>
      </c>
      <c r="AY14" s="126"/>
      <c r="AZ14" s="137">
        <f t="shared" si="8"/>
        <v>0</v>
      </c>
      <c r="BB14" s="136">
        <f>SUMIFS(Tableau_Data[Masculin],Tableau_Data[District sanitaire],DS!$C14,Tableau_Data[Thèmes],DS!$BB$9,Tableau_Data[Annee],DS!$F$3,Tableau_Data[Mois],DS!J$4)</f>
        <v>0</v>
      </c>
      <c r="BC14" s="126"/>
      <c r="BD14" s="136">
        <f>SUMIFS(Tableau_Data[Féminin],Tableau_Data[District sanitaire],DS!$C14,Tableau_Data[Thèmes],DS!$BB$9,Tableau_Data[Annee],DS!$F$3,Tableau_Data[Mois],DS!$J$4)</f>
        <v>0</v>
      </c>
      <c r="BE14" s="126"/>
      <c r="BF14" s="137">
        <f t="shared" si="9"/>
        <v>0</v>
      </c>
      <c r="BH14" s="136">
        <f>SUMIFS(Tableau_Data[Masculin],Tableau_Data[District sanitaire],DS!$C14,Tableau_Data[Thèmes],DS!$BH$9,Tableau_Data[Annee],DS!$F$3,Tableau_Data[Mois],DS!$J$4)</f>
        <v>0</v>
      </c>
      <c r="BI14" s="126"/>
      <c r="BJ14" s="136">
        <f>SUMIFS(Tableau_Data[Féminin],Tableau_Data[District sanitaire],DS!$C14,Tableau_Data[Thèmes],DS!$BH$9,Tableau_Data[Annee],DS!$F$3,Tableau_Data[Mois],DS!$J$4)</f>
        <v>0</v>
      </c>
      <c r="BK14" s="126"/>
      <c r="BL14" s="137">
        <f t="shared" si="10"/>
        <v>0</v>
      </c>
      <c r="BN14" s="136">
        <f>SUMIFS(Tableau_Data[Masculin],Tableau_Data[District sanitaire],DS!$C14,Tableau_Data[Thèmes],DS!$BN$9,Tableau_Data[Annee],DS!$F$3,Tableau_Data[Mois],DS!$J$4)</f>
        <v>0</v>
      </c>
      <c r="BO14" s="126"/>
      <c r="BP14" s="136">
        <f>SUMIFS(Tableau_Data[Féminin],Tableau_Data[District sanitaire],DS!$C14,Tableau_Data[Thèmes],DS!$BN$9,Tableau_Data[Annee],DS!$F$3,Tableau_Data[Mois],DS!$J$4)</f>
        <v>0</v>
      </c>
      <c r="BQ14" s="126"/>
      <c r="BR14" s="137">
        <f t="shared" si="11"/>
        <v>0</v>
      </c>
      <c r="BT14" s="136">
        <f>SUMIFS(Tableau_Data[Masculin],Tableau_Data[District sanitaire],DS!$C14,Tableau_Data[Thèmes],DS!$BT$9,Tableau_Data[Annee],DS!$F$3,Tableau_Data[Mois],DS!$J$4)</f>
        <v>0</v>
      </c>
      <c r="BU14" s="126"/>
      <c r="BV14" s="136">
        <f>SUMIFS(Tableau_Data[Féminin],Tableau_Data[District sanitaire],DS!$C14,Tableau_Data[Thèmes],DS!$BT$9,Tableau_Data[Annee],DS!$F$3,Tableau_Data[Mois],DS!$J$4)</f>
        <v>0</v>
      </c>
      <c r="BW14" s="126"/>
      <c r="BX14" s="137">
        <f t="shared" si="12"/>
        <v>0</v>
      </c>
    </row>
    <row r="15" spans="1:76" ht="17.100000000000001" customHeight="1" x14ac:dyDescent="0.3">
      <c r="A15" s="82"/>
      <c r="B15" s="119">
        <f>IF(DS!B14="","",1+B14)</f>
        <v>4</v>
      </c>
      <c r="C15" s="120" t="str">
        <f>Paramètres!F24</f>
        <v>Kibumbu</v>
      </c>
      <c r="D15" s="126"/>
      <c r="E15" s="136">
        <f>SUMIFS(Tableau_Data[Masculin],Tableau_Data[District sanitaire],DS!$C15,Tableau_Data[Annee],DS!$F$3,Tableau_Data[Mois],DS!J$4)</f>
        <v>0</v>
      </c>
      <c r="F15" s="126"/>
      <c r="G15" s="136">
        <f>SUMIFS(Tableau_Data[Féminin],Tableau_Data[District sanitaire],DS!$C15,Tableau_Data[Annee],DS!$F$3,Tableau_Data[Mois],DS!J$4)</f>
        <v>0</v>
      </c>
      <c r="H15" s="126"/>
      <c r="I15" s="137">
        <f t="shared" si="1"/>
        <v>0</v>
      </c>
      <c r="J15" s="126"/>
      <c r="K15" s="126"/>
      <c r="L15" s="138">
        <f>SUMIFS(Tableau_Data[Masculin],Tableau_Data[District sanitaire],DS!$C15,Tableau_Data[Lieu d''intervention],DS!$L$9,Tableau_Data[Annee],DS!$F$3,Tableau_Data[Mois],DS!J$4)</f>
        <v>0</v>
      </c>
      <c r="M15" s="126"/>
      <c r="N15" s="136">
        <f>SUMIFS(Tableau_Data[Féminin],Tableau_Data[District sanitaire],DS!$C15,Tableau_Data[Lieu d''intervention],DS!$L$9,Tableau_Data[Annee],DS!$F$3,Tableau_Data[Mois],DS!J$4)</f>
        <v>0</v>
      </c>
      <c r="O15" s="126"/>
      <c r="P15" s="137">
        <f t="shared" si="2"/>
        <v>0</v>
      </c>
      <c r="R15" s="136">
        <f>SUMIFS(Tableau_Data[Masculin],Tableau_Data[District sanitaire],DS!$C15,Tableau_Data[Lieu d''intervention],DS!$R$9,Tableau_Data[Annee],DS!$F$3,Tableau_Data[Mois],DS!J$4)</f>
        <v>0</v>
      </c>
      <c r="S15" s="126"/>
      <c r="T15" s="136">
        <f>SUMIFS(Tableau_Data[Féminin],Tableau_Data[District sanitaire],DS!$C15,Tableau_Data[Lieu d''intervention],DS!$R$9,Tableau_Data[Annee],DS!$F$3,Tableau_Data[Mois],DS!J$4)</f>
        <v>0</v>
      </c>
      <c r="U15" s="126"/>
      <c r="V15" s="137">
        <f t="shared" si="3"/>
        <v>0</v>
      </c>
      <c r="X15" s="136">
        <f>SUMIFS(Tableau_Data[Masculin],Tableau_Data[District sanitaire],DS!$C15,Tableau_Data[Lieu d''intervention],DS!$X$9,Tableau_Data[Annee],DS!$F$3,Tableau_Data[Mois],DS!J$4)</f>
        <v>0</v>
      </c>
      <c r="Y15" s="126"/>
      <c r="Z15" s="136">
        <f>SUMIFS(Tableau_Data[Féminin],Tableau_Data[District sanitaire],DS!$C15,Tableau_Data[Lieu d''intervention],DS!$X$9,Tableau_Data[Annee],DS!$F$3,Tableau_Data[Mois],DS!J$4)</f>
        <v>0</v>
      </c>
      <c r="AA15" s="126"/>
      <c r="AB15" s="137">
        <f t="shared" si="4"/>
        <v>0</v>
      </c>
      <c r="AD15" s="136">
        <f>SUMIFS(Tableau_Data[Masculin],Tableau_Data[District sanitaire],DS!$C15,Tableau_Data[Lieu d''intervention],DS!$AD$9,Tableau_Data[Annee],DS!$F$3,Tableau_Data[Mois],DS!J$4)</f>
        <v>0</v>
      </c>
      <c r="AE15" s="126"/>
      <c r="AF15" s="136">
        <f>SUMIFS(Tableau_Data[Féminin],Tableau_Data[District sanitaire],DS!$C15,Tableau_Data[Lieu d''intervention],DS!$AD$9,Tableau_Data[Annee],DS!$F$3,Tableau_Data[Mois],DS!J$4)</f>
        <v>0</v>
      </c>
      <c r="AG15" s="126"/>
      <c r="AH15" s="137">
        <f t="shared" si="5"/>
        <v>0</v>
      </c>
      <c r="AJ15" s="136">
        <f>SUMIFS(Tableau_Data[Masculin],Tableau_Data[District sanitaire],DS!$C15,Tableau_Data[Thèmes],DS!$AJ$9,Tableau_Data[Annee],DS!$F$3,Tableau_Data[Mois],DS!J$4)</f>
        <v>0</v>
      </c>
      <c r="AK15" s="126"/>
      <c r="AL15" s="136">
        <f>SUMIFS(Tableau_Data[Féminin],Tableau_Data[District sanitaire],DS!$C15,Tableau_Data[Thèmes],DS!$AJ$9,Tableau_Data[Annee],DS!$F$3,Tableau_Data[Mois],DS!J$4)</f>
        <v>0</v>
      </c>
      <c r="AM15" s="126"/>
      <c r="AN15" s="137">
        <f t="shared" si="6"/>
        <v>0</v>
      </c>
      <c r="AP15" s="136">
        <f>SUMIFS(Tableau_Data[Masculin],Tableau_Data[District sanitaire],DS!$C15,Tableau_Data[Thèmes],DS!$AP$9,Tableau_Data[Annee],DS!$F$3,Tableau_Data[Mois],DS!J$4)</f>
        <v>0</v>
      </c>
      <c r="AQ15" s="126"/>
      <c r="AR15" s="136">
        <f>SUMIFS(Tableau_Data[Féminin],Tableau_Data[District sanitaire],DS!$C15,Tableau_Data[Thèmes],DS!$AP$9,Tableau_Data[Annee],DS!$F$3,Tableau_Data[Mois],DS!J$4)</f>
        <v>0</v>
      </c>
      <c r="AS15" s="126"/>
      <c r="AT15" s="137">
        <f t="shared" si="7"/>
        <v>0</v>
      </c>
      <c r="AV15" s="136">
        <f>SUMIFS(Tableau_Data[Masculin],Tableau_Data[District sanitaire],DS!$C15,Tableau_Data[Thèmes],DS!$AV$9,Tableau_Data[Annee],DS!$F$3,Tableau_Data[Mois],DS!J$4)</f>
        <v>0</v>
      </c>
      <c r="AW15" s="126"/>
      <c r="AX15" s="136">
        <f>SUMIFS(Tableau_Data[Féminin],Tableau_Data[District sanitaire],DS!$C15,Tableau_Data[Thèmes],DS!$AV$9,Tableau_Data[Annee],DS!$F$3,Tableau_Data[Mois],DS!J$4)</f>
        <v>0</v>
      </c>
      <c r="AY15" s="126"/>
      <c r="AZ15" s="137">
        <f t="shared" si="8"/>
        <v>0</v>
      </c>
      <c r="BB15" s="136">
        <f>SUMIFS(Tableau_Data[Masculin],Tableau_Data[District sanitaire],DS!$C15,Tableau_Data[Thèmes],DS!$BB$9,Tableau_Data[Annee],DS!$F$3,Tableau_Data[Mois],DS!J$4)</f>
        <v>0</v>
      </c>
      <c r="BC15" s="126"/>
      <c r="BD15" s="136">
        <f>SUMIFS(Tableau_Data[Féminin],Tableau_Data[District sanitaire],DS!$C15,Tableau_Data[Thèmes],DS!$BB$9,Tableau_Data[Annee],DS!$F$3,Tableau_Data[Mois],DS!$J$4)</f>
        <v>0</v>
      </c>
      <c r="BE15" s="126"/>
      <c r="BF15" s="137">
        <f t="shared" si="9"/>
        <v>0</v>
      </c>
      <c r="BH15" s="136">
        <f>SUMIFS(Tableau_Data[Masculin],Tableau_Data[District sanitaire],DS!$C15,Tableau_Data[Thèmes],DS!$BH$9,Tableau_Data[Annee],DS!$F$3,Tableau_Data[Mois],DS!$J$4)</f>
        <v>0</v>
      </c>
      <c r="BI15" s="126"/>
      <c r="BJ15" s="136">
        <f>SUMIFS(Tableau_Data[Féminin],Tableau_Data[District sanitaire],DS!$C15,Tableau_Data[Thèmes],DS!$BH$9,Tableau_Data[Annee],DS!$F$3,Tableau_Data[Mois],DS!$J$4)</f>
        <v>0</v>
      </c>
      <c r="BK15" s="126"/>
      <c r="BL15" s="137">
        <f t="shared" si="10"/>
        <v>0</v>
      </c>
      <c r="BN15" s="136">
        <f>SUMIFS(Tableau_Data[Masculin],Tableau_Data[District sanitaire],DS!$C15,Tableau_Data[Thèmes],DS!$BN$9,Tableau_Data[Annee],DS!$F$3,Tableau_Data[Mois],DS!$J$4)</f>
        <v>0</v>
      </c>
      <c r="BO15" s="126"/>
      <c r="BP15" s="136">
        <f>SUMIFS(Tableau_Data[Féminin],Tableau_Data[District sanitaire],DS!$C15,Tableau_Data[Thèmes],DS!$BN$9,Tableau_Data[Annee],DS!$F$3,Tableau_Data[Mois],DS!$J$4)</f>
        <v>0</v>
      </c>
      <c r="BQ15" s="126"/>
      <c r="BR15" s="137">
        <f t="shared" si="11"/>
        <v>0</v>
      </c>
      <c r="BT15" s="136">
        <f>SUMIFS(Tableau_Data[Masculin],Tableau_Data[District sanitaire],DS!$C15,Tableau_Data[Thèmes],DS!$BT$9,Tableau_Data[Annee],DS!$F$3,Tableau_Data[Mois],DS!$J$4)</f>
        <v>0</v>
      </c>
      <c r="BU15" s="126"/>
      <c r="BV15" s="136">
        <f>SUMIFS(Tableau_Data[Féminin],Tableau_Data[District sanitaire],DS!$C15,Tableau_Data[Thèmes],DS!$BT$9,Tableau_Data[Annee],DS!$F$3,Tableau_Data[Mois],DS!$J$4)</f>
        <v>0</v>
      </c>
      <c r="BW15" s="126"/>
      <c r="BX15" s="137">
        <f t="shared" si="12"/>
        <v>0</v>
      </c>
    </row>
    <row r="16" spans="1:76" ht="17.100000000000001" customHeight="1" x14ac:dyDescent="0.3">
      <c r="A16" s="82"/>
      <c r="B16" s="119">
        <f>IF(DS!B15="","",1+B15)</f>
        <v>5</v>
      </c>
      <c r="C16" s="120" t="str">
        <f>Paramètres!F25</f>
        <v>Gitega</v>
      </c>
      <c r="D16" s="126"/>
      <c r="E16" s="136">
        <f>SUMIFS(Tableau_Data[Masculin],Tableau_Data[District sanitaire],DS!$C16,Tableau_Data[Annee],DS!$F$3,Tableau_Data[Mois],DS!J$4)</f>
        <v>70</v>
      </c>
      <c r="F16" s="126"/>
      <c r="G16" s="136">
        <f>SUMIFS(Tableau_Data[Féminin],Tableau_Data[District sanitaire],DS!$C16,Tableau_Data[Annee],DS!$F$3,Tableau_Data[Mois],DS!J$4)</f>
        <v>45</v>
      </c>
      <c r="H16" s="126"/>
      <c r="I16" s="137">
        <f t="shared" si="1"/>
        <v>115</v>
      </c>
      <c r="J16" s="126"/>
      <c r="K16" s="126"/>
      <c r="L16" s="138">
        <f>SUMIFS(Tableau_Data[Masculin],Tableau_Data[District sanitaire],DS!$C16,Tableau_Data[Lieu d''intervention],DS!$L$9,Tableau_Data[Annee],DS!$F$3,Tableau_Data[Mois],DS!J$4)</f>
        <v>0</v>
      </c>
      <c r="M16" s="126"/>
      <c r="N16" s="136">
        <f>SUMIFS(Tableau_Data[Féminin],Tableau_Data[District sanitaire],DS!$C16,Tableau_Data[Lieu d''intervention],DS!$L$9,Tableau_Data[Annee],DS!$F$3,Tableau_Data[Mois],DS!J$4)</f>
        <v>0</v>
      </c>
      <c r="O16" s="126"/>
      <c r="P16" s="137">
        <f t="shared" si="2"/>
        <v>0</v>
      </c>
      <c r="R16" s="136">
        <f>SUMIFS(Tableau_Data[Masculin],Tableau_Data[District sanitaire],DS!$C16,Tableau_Data[Lieu d''intervention],DS!$R$9,Tableau_Data[Annee],DS!$F$3,Tableau_Data[Mois],DS!J$4)</f>
        <v>70</v>
      </c>
      <c r="S16" s="126"/>
      <c r="T16" s="136">
        <f>SUMIFS(Tableau_Data[Féminin],Tableau_Data[District sanitaire],DS!$C16,Tableau_Data[Lieu d''intervention],DS!$R$9,Tableau_Data[Annee],DS!$F$3,Tableau_Data[Mois],DS!J$4)</f>
        <v>45</v>
      </c>
      <c r="U16" s="126"/>
      <c r="V16" s="137">
        <f t="shared" si="3"/>
        <v>115</v>
      </c>
      <c r="X16" s="136">
        <f>SUMIFS(Tableau_Data[Masculin],Tableau_Data[District sanitaire],DS!$C16,Tableau_Data[Lieu d''intervention],DS!$X$9,Tableau_Data[Annee],DS!$F$3,Tableau_Data[Mois],DS!J$4)</f>
        <v>0</v>
      </c>
      <c r="Y16" s="126"/>
      <c r="Z16" s="136">
        <f>SUMIFS(Tableau_Data[Féminin],Tableau_Data[District sanitaire],DS!$C16,Tableau_Data[Lieu d''intervention],DS!$X$9,Tableau_Data[Annee],DS!$F$3,Tableau_Data[Mois],DS!J$4)</f>
        <v>0</v>
      </c>
      <c r="AA16" s="126"/>
      <c r="AB16" s="137">
        <f t="shared" si="4"/>
        <v>0</v>
      </c>
      <c r="AD16" s="136">
        <f>SUMIFS(Tableau_Data[Masculin],Tableau_Data[District sanitaire],DS!$C16,Tableau_Data[Lieu d''intervention],DS!$AD$9,Tableau_Data[Annee],DS!$F$3,Tableau_Data[Mois],DS!J$4)</f>
        <v>0</v>
      </c>
      <c r="AE16" s="126"/>
      <c r="AF16" s="136">
        <f>SUMIFS(Tableau_Data[Féminin],Tableau_Data[District sanitaire],DS!$C16,Tableau_Data[Lieu d''intervention],DS!$AD$9,Tableau_Data[Annee],DS!$F$3,Tableau_Data[Mois],DS!J$4)</f>
        <v>0</v>
      </c>
      <c r="AG16" s="126"/>
      <c r="AH16" s="137">
        <f t="shared" si="5"/>
        <v>0</v>
      </c>
      <c r="AJ16" s="136">
        <f>SUMIFS(Tableau_Data[Masculin],Tableau_Data[District sanitaire],DS!$C16,Tableau_Data[Thèmes],DS!$AJ$9,Tableau_Data[Annee],DS!$F$3,Tableau_Data[Mois],DS!J$4)</f>
        <v>0</v>
      </c>
      <c r="AK16" s="126"/>
      <c r="AL16" s="136">
        <f>SUMIFS(Tableau_Data[Féminin],Tableau_Data[District sanitaire],DS!$C16,Tableau_Data[Thèmes],DS!$AJ$9,Tableau_Data[Annee],DS!$F$3,Tableau_Data[Mois],DS!J$4)</f>
        <v>0</v>
      </c>
      <c r="AM16" s="126"/>
      <c r="AN16" s="137">
        <f t="shared" si="6"/>
        <v>0</v>
      </c>
      <c r="AP16" s="136">
        <f>SUMIFS(Tableau_Data[Masculin],Tableau_Data[District sanitaire],DS!$C16,Tableau_Data[Thèmes],DS!$AP$9,Tableau_Data[Annee],DS!$F$3,Tableau_Data[Mois],DS!J$4)</f>
        <v>0</v>
      </c>
      <c r="AQ16" s="126"/>
      <c r="AR16" s="136">
        <f>SUMIFS(Tableau_Data[Féminin],Tableau_Data[District sanitaire],DS!$C16,Tableau_Data[Thèmes],DS!$AP$9,Tableau_Data[Annee],DS!$F$3,Tableau_Data[Mois],DS!J$4)</f>
        <v>0</v>
      </c>
      <c r="AS16" s="126"/>
      <c r="AT16" s="137">
        <f t="shared" si="7"/>
        <v>0</v>
      </c>
      <c r="AV16" s="136">
        <f>SUMIFS(Tableau_Data[Masculin],Tableau_Data[District sanitaire],DS!$C16,Tableau_Data[Thèmes],DS!$AV$9,Tableau_Data[Annee],DS!$F$3,Tableau_Data[Mois],DS!J$4)</f>
        <v>70</v>
      </c>
      <c r="AW16" s="126"/>
      <c r="AX16" s="136">
        <f>SUMIFS(Tableau_Data[Féminin],Tableau_Data[District sanitaire],DS!$C16,Tableau_Data[Thèmes],DS!$AV$9,Tableau_Data[Annee],DS!$F$3,Tableau_Data[Mois],DS!J$4)</f>
        <v>45</v>
      </c>
      <c r="AY16" s="126"/>
      <c r="AZ16" s="137">
        <f t="shared" si="8"/>
        <v>115</v>
      </c>
      <c r="BB16" s="136">
        <f>SUMIFS(Tableau_Data[Masculin],Tableau_Data[District sanitaire],DS!$C16,Tableau_Data[Thèmes],DS!$BB$9,Tableau_Data[Annee],DS!$F$3,Tableau_Data[Mois],DS!J$4)</f>
        <v>0</v>
      </c>
      <c r="BC16" s="126"/>
      <c r="BD16" s="136">
        <f>SUMIFS(Tableau_Data[Féminin],Tableau_Data[District sanitaire],DS!$C16,Tableau_Data[Thèmes],DS!$BB$9,Tableau_Data[Annee],DS!$F$3,Tableau_Data[Mois],DS!$J$4)</f>
        <v>0</v>
      </c>
      <c r="BE16" s="126"/>
      <c r="BF16" s="137">
        <f t="shared" si="9"/>
        <v>0</v>
      </c>
      <c r="BH16" s="136">
        <f>SUMIFS(Tableau_Data[Masculin],Tableau_Data[District sanitaire],DS!$C16,Tableau_Data[Thèmes],DS!$BH$9,Tableau_Data[Annee],DS!$F$3,Tableau_Data[Mois],DS!$J$4)</f>
        <v>0</v>
      </c>
      <c r="BI16" s="126"/>
      <c r="BJ16" s="136">
        <f>SUMIFS(Tableau_Data[Féminin],Tableau_Data[District sanitaire],DS!$C16,Tableau_Data[Thèmes],DS!$BH$9,Tableau_Data[Annee],DS!$F$3,Tableau_Data[Mois],DS!$J$4)</f>
        <v>0</v>
      </c>
      <c r="BK16" s="126"/>
      <c r="BL16" s="137">
        <f t="shared" si="10"/>
        <v>0</v>
      </c>
      <c r="BN16" s="136">
        <f>SUMIFS(Tableau_Data[Masculin],Tableau_Data[District sanitaire],DS!$C16,Tableau_Data[Thèmes],DS!$BN$9,Tableau_Data[Annee],DS!$F$3,Tableau_Data[Mois],DS!$J$4)</f>
        <v>0</v>
      </c>
      <c r="BO16" s="126"/>
      <c r="BP16" s="136">
        <f>SUMIFS(Tableau_Data[Féminin],Tableau_Data[District sanitaire],DS!$C16,Tableau_Data[Thèmes],DS!$BN$9,Tableau_Data[Annee],DS!$F$3,Tableau_Data[Mois],DS!$J$4)</f>
        <v>0</v>
      </c>
      <c r="BQ16" s="126"/>
      <c r="BR16" s="137">
        <f t="shared" si="11"/>
        <v>0</v>
      </c>
      <c r="BT16" s="136">
        <f>SUMIFS(Tableau_Data[Masculin],Tableau_Data[District sanitaire],DS!$C16,Tableau_Data[Thèmes],DS!$BT$9,Tableau_Data[Annee],DS!$F$3,Tableau_Data[Mois],DS!$J$4)</f>
        <v>0</v>
      </c>
      <c r="BU16" s="126"/>
      <c r="BV16" s="136">
        <f>SUMIFS(Tableau_Data[Féminin],Tableau_Data[District sanitaire],DS!$C16,Tableau_Data[Thèmes],DS!$BT$9,Tableau_Data[Annee],DS!$F$3,Tableau_Data[Mois],DS!$J$4)</f>
        <v>0</v>
      </c>
      <c r="BW16" s="126"/>
      <c r="BX16" s="137">
        <f t="shared" si="12"/>
        <v>0</v>
      </c>
    </row>
    <row r="17" spans="2:81" x14ac:dyDescent="0.3">
      <c r="B17" s="84"/>
      <c r="C17" s="84"/>
      <c r="D17" s="85"/>
      <c r="E17" s="85"/>
      <c r="F17" s="85"/>
      <c r="G17" s="85"/>
      <c r="H17" s="85"/>
      <c r="I17" s="129"/>
      <c r="J17" s="85"/>
      <c r="K17" s="85"/>
      <c r="L17" s="85"/>
      <c r="M17" s="85"/>
      <c r="N17" s="85"/>
      <c r="O17" s="85"/>
      <c r="P17" s="129"/>
      <c r="R17" s="85"/>
      <c r="S17" s="85"/>
      <c r="T17" s="85"/>
      <c r="U17" s="85"/>
      <c r="V17" s="129"/>
      <c r="W17" s="133"/>
      <c r="X17" s="85"/>
      <c r="Y17" s="85"/>
      <c r="Z17" s="85"/>
      <c r="AA17" s="85"/>
      <c r="AB17" s="129"/>
      <c r="AD17" s="85"/>
      <c r="AE17" s="85"/>
      <c r="AF17" s="85"/>
      <c r="AG17" s="85"/>
      <c r="AH17" s="129"/>
      <c r="AJ17" s="85"/>
      <c r="AK17" s="85"/>
      <c r="AL17" s="85"/>
      <c r="AM17" s="85"/>
      <c r="AN17" s="129"/>
      <c r="AP17" s="85"/>
      <c r="AQ17" s="85"/>
      <c r="AR17" s="85"/>
      <c r="AS17" s="85"/>
      <c r="AT17" s="129"/>
      <c r="AV17" s="85"/>
      <c r="AW17" s="85"/>
      <c r="AX17" s="85"/>
      <c r="AY17" s="85"/>
      <c r="AZ17" s="129"/>
      <c r="BB17" s="85"/>
      <c r="BC17" s="85"/>
      <c r="BD17" s="85"/>
      <c r="BE17" s="85"/>
      <c r="BF17" s="129"/>
      <c r="BH17" s="85"/>
      <c r="BI17" s="85"/>
      <c r="BJ17" s="85"/>
      <c r="BK17" s="85"/>
      <c r="BL17" s="129"/>
      <c r="BN17" s="85"/>
      <c r="BO17" s="85"/>
      <c r="BP17" s="85"/>
      <c r="BQ17" s="85"/>
      <c r="BR17" s="129"/>
      <c r="BT17" s="85"/>
      <c r="BU17" s="85"/>
      <c r="BV17" s="85"/>
      <c r="BW17" s="85"/>
      <c r="BX17" s="129"/>
    </row>
    <row r="18" spans="2:81" ht="24.75" customHeight="1" x14ac:dyDescent="0.3">
      <c r="B18" s="141"/>
      <c r="C18" s="86" t="s">
        <v>2</v>
      </c>
      <c r="D18" s="87"/>
      <c r="E18" s="87">
        <f>SUM(E12:E16)</f>
        <v>309</v>
      </c>
      <c r="F18" s="87"/>
      <c r="G18" s="87">
        <f>SUM(G12:G16)</f>
        <v>230</v>
      </c>
      <c r="H18" s="87"/>
      <c r="I18" s="87">
        <f>SUM(I12:I16)</f>
        <v>539</v>
      </c>
      <c r="J18" s="87"/>
      <c r="K18" s="87"/>
      <c r="L18" s="87">
        <f>SUM(L12:L16)</f>
        <v>0</v>
      </c>
      <c r="M18" s="87"/>
      <c r="N18" s="87">
        <f>SUM(N12:N16)</f>
        <v>0</v>
      </c>
      <c r="O18" s="87"/>
      <c r="P18" s="87">
        <f>SUM(P12:P16)</f>
        <v>0</v>
      </c>
      <c r="R18" s="87">
        <f>SUM(R12:R16)</f>
        <v>70</v>
      </c>
      <c r="S18" s="87"/>
      <c r="T18" s="87">
        <f>SUM(T12:T16)</f>
        <v>45</v>
      </c>
      <c r="U18" s="87"/>
      <c r="V18" s="87">
        <f>SUM(V12:V16)</f>
        <v>115</v>
      </c>
      <c r="W18" s="134"/>
      <c r="X18" s="87">
        <f>SUM(X12:X16)</f>
        <v>75</v>
      </c>
      <c r="Y18" s="87"/>
      <c r="Z18" s="87">
        <f>SUM(Z12:Z16)</f>
        <v>35</v>
      </c>
      <c r="AA18" s="87"/>
      <c r="AB18" s="87">
        <f>SUM(AB12:AB16)</f>
        <v>110</v>
      </c>
      <c r="AD18" s="87">
        <f>SUM(AD12:AD16)</f>
        <v>164</v>
      </c>
      <c r="AE18" s="87"/>
      <c r="AF18" s="87">
        <f>SUM(AF12:AF16)</f>
        <v>150</v>
      </c>
      <c r="AG18" s="87"/>
      <c r="AH18" s="87">
        <f>SUM(AH12:AH16)</f>
        <v>314</v>
      </c>
      <c r="AJ18" s="87">
        <f>SUM(AJ12:AJ16)</f>
        <v>34</v>
      </c>
      <c r="AK18" s="87"/>
      <c r="AL18" s="87">
        <f>SUM(AL12:AL16)</f>
        <v>70</v>
      </c>
      <c r="AM18" s="87"/>
      <c r="AN18" s="87">
        <f>SUM(AN12:AN16)</f>
        <v>104</v>
      </c>
      <c r="AP18" s="87">
        <f>SUM(AP12:AP16)</f>
        <v>0</v>
      </c>
      <c r="AQ18" s="87"/>
      <c r="AR18" s="87">
        <f>SUM(AR12:AR16)</f>
        <v>0</v>
      </c>
      <c r="AS18" s="87"/>
      <c r="AT18" s="87">
        <f>SUM(AT12:AT16)</f>
        <v>0</v>
      </c>
      <c r="AV18" s="87">
        <f>SUM(AV12:AV16)</f>
        <v>70</v>
      </c>
      <c r="AW18" s="87"/>
      <c r="AX18" s="87">
        <f>SUM(AX12:AX16)</f>
        <v>45</v>
      </c>
      <c r="AY18" s="87"/>
      <c r="AZ18" s="87">
        <f>SUM(AZ12:AZ16)</f>
        <v>115</v>
      </c>
      <c r="BB18" s="87">
        <f>SUM(BB12:BB16)</f>
        <v>0</v>
      </c>
      <c r="BC18" s="87"/>
      <c r="BD18" s="87">
        <f>SUM(BD12:BD16)</f>
        <v>0</v>
      </c>
      <c r="BE18" s="87"/>
      <c r="BF18" s="87">
        <f>SUM(BF12:BF16)</f>
        <v>0</v>
      </c>
      <c r="BH18" s="87">
        <f>SUM(BH12:BH16)</f>
        <v>75</v>
      </c>
      <c r="BI18" s="87"/>
      <c r="BJ18" s="87">
        <f>SUM(BJ12:BJ16)</f>
        <v>35</v>
      </c>
      <c r="BK18" s="87"/>
      <c r="BL18" s="87">
        <f>SUM(BL12:BL16)</f>
        <v>110</v>
      </c>
      <c r="BN18" s="87">
        <f>SUM(BN12:BN16)</f>
        <v>0</v>
      </c>
      <c r="BO18" s="87"/>
      <c r="BP18" s="87">
        <f>SUM(BP12:BP16)</f>
        <v>0</v>
      </c>
      <c r="BQ18" s="87"/>
      <c r="BR18" s="87">
        <f>SUM(BR12:BR16)</f>
        <v>0</v>
      </c>
      <c r="BT18" s="87">
        <f>SUM(BT12:BT16)</f>
        <v>130</v>
      </c>
      <c r="BU18" s="87"/>
      <c r="BV18" s="87">
        <f>SUM(BV12:BV16)</f>
        <v>80</v>
      </c>
      <c r="BW18" s="87"/>
      <c r="BX18" s="87">
        <f>SUM(BX12:BX16)</f>
        <v>210</v>
      </c>
    </row>
    <row r="19" spans="2:81" x14ac:dyDescent="0.3">
      <c r="B19" s="25"/>
      <c r="C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S19" s="132"/>
      <c r="T19" s="134"/>
      <c r="U19" s="134"/>
      <c r="V19" s="134"/>
      <c r="W19" s="134"/>
      <c r="X19" s="134"/>
      <c r="Y19" s="134"/>
      <c r="Z19" s="134"/>
      <c r="AA19" s="132"/>
      <c r="AB19" s="132"/>
      <c r="CB19" s="139" t="s">
        <v>3</v>
      </c>
      <c r="CC19" s="139">
        <v>1</v>
      </c>
    </row>
    <row r="20" spans="2:81" x14ac:dyDescent="0.3">
      <c r="CB20" s="139" t="s">
        <v>4</v>
      </c>
      <c r="CC20" s="139">
        <v>2</v>
      </c>
    </row>
    <row r="21" spans="2:81" x14ac:dyDescent="0.3">
      <c r="CB21" s="139" t="s">
        <v>5</v>
      </c>
      <c r="CC21" s="139">
        <v>3</v>
      </c>
    </row>
    <row r="22" spans="2:81" x14ac:dyDescent="0.3">
      <c r="CB22" s="139" t="s">
        <v>6</v>
      </c>
      <c r="CC22" s="139">
        <v>4</v>
      </c>
    </row>
    <row r="23" spans="2:81" ht="17.100000000000001" customHeight="1" x14ac:dyDescent="0.3">
      <c r="CB23" s="139" t="s">
        <v>7</v>
      </c>
      <c r="CC23" s="139">
        <v>5</v>
      </c>
    </row>
    <row r="24" spans="2:81" ht="17.100000000000001" customHeight="1" x14ac:dyDescent="0.3">
      <c r="CB24" s="139" t="s">
        <v>8</v>
      </c>
      <c r="CC24" s="139">
        <v>6</v>
      </c>
    </row>
    <row r="25" spans="2:81" ht="17.100000000000001" customHeight="1" x14ac:dyDescent="0.3">
      <c r="CB25" s="139" t="s">
        <v>9</v>
      </c>
      <c r="CC25" s="139">
        <v>7</v>
      </c>
    </row>
    <row r="26" spans="2:81" ht="17.100000000000001" customHeight="1" x14ac:dyDescent="0.3">
      <c r="CB26" s="139" t="s">
        <v>163</v>
      </c>
      <c r="CC26" s="139">
        <v>8</v>
      </c>
    </row>
    <row r="27" spans="2:81" ht="17.100000000000001" customHeight="1" x14ac:dyDescent="0.3">
      <c r="CB27" s="139" t="s">
        <v>10</v>
      </c>
      <c r="CC27" s="139">
        <v>9</v>
      </c>
    </row>
    <row r="28" spans="2:81" ht="17.100000000000001" customHeight="1" x14ac:dyDescent="0.3">
      <c r="CB28" s="139" t="s">
        <v>11</v>
      </c>
      <c r="CC28" s="139">
        <v>10</v>
      </c>
    </row>
    <row r="29" spans="2:81" ht="17.100000000000001" customHeight="1" x14ac:dyDescent="0.3">
      <c r="CB29" s="139" t="s">
        <v>12</v>
      </c>
      <c r="CC29" s="139">
        <v>11</v>
      </c>
    </row>
    <row r="30" spans="2:81" x14ac:dyDescent="0.3">
      <c r="CB30" s="139" t="s">
        <v>13</v>
      </c>
      <c r="CC30" s="139">
        <v>12</v>
      </c>
    </row>
    <row r="31" spans="2:81" ht="24.75" customHeight="1" x14ac:dyDescent="0.3"/>
    <row r="36" ht="17.100000000000001" customHeight="1" x14ac:dyDescent="0.3"/>
    <row r="37" ht="17.100000000000001" customHeight="1" x14ac:dyDescent="0.3"/>
    <row r="38" ht="17.100000000000001" customHeight="1" x14ac:dyDescent="0.3"/>
    <row r="39" ht="17.100000000000001" customHeight="1" x14ac:dyDescent="0.3"/>
    <row r="41" ht="24.75" customHeight="1" x14ac:dyDescent="0.3"/>
    <row r="45" ht="17.100000000000001" customHeight="1" x14ac:dyDescent="0.3"/>
    <row r="46" ht="17.100000000000001" customHeight="1" x14ac:dyDescent="0.3"/>
    <row r="47" ht="17.100000000000001" customHeight="1" x14ac:dyDescent="0.3"/>
    <row r="48" ht="17.100000000000001" customHeight="1" x14ac:dyDescent="0.3"/>
    <row r="50" ht="24.75" customHeight="1" x14ac:dyDescent="0.3"/>
    <row r="56" ht="17.100000000000001" customHeight="1" x14ac:dyDescent="0.3"/>
    <row r="57" ht="17.100000000000001" customHeight="1" x14ac:dyDescent="0.3"/>
    <row r="58" ht="17.100000000000001" customHeight="1" x14ac:dyDescent="0.3"/>
    <row r="59" ht="17.100000000000001" customHeight="1" x14ac:dyDescent="0.3"/>
    <row r="60" ht="17.100000000000001" customHeight="1" x14ac:dyDescent="0.3"/>
    <row r="61" ht="17.100000000000001" customHeight="1" x14ac:dyDescent="0.3"/>
    <row r="62" ht="17.100000000000001" customHeight="1" x14ac:dyDescent="0.3"/>
    <row r="64" ht="24.75" customHeight="1" x14ac:dyDescent="0.3"/>
    <row r="69" ht="17.100000000000001" customHeight="1" x14ac:dyDescent="0.3"/>
    <row r="70" ht="17.100000000000001" customHeight="1" x14ac:dyDescent="0.3"/>
    <row r="71" ht="17.100000000000001" customHeight="1" x14ac:dyDescent="0.3"/>
    <row r="72" ht="17.100000000000001" customHeight="1" x14ac:dyDescent="0.3"/>
    <row r="73" ht="17.100000000000001" customHeight="1" x14ac:dyDescent="0.3"/>
    <row r="74" ht="17.100000000000001" customHeight="1" x14ac:dyDescent="0.3"/>
    <row r="75" ht="17.100000000000001" customHeight="1" x14ac:dyDescent="0.3"/>
    <row r="77" ht="24.75" customHeight="1" x14ac:dyDescent="0.3"/>
  </sheetData>
  <mergeCells count="32">
    <mergeCell ref="E1:F1"/>
    <mergeCell ref="H1:I1"/>
    <mergeCell ref="K1:O1"/>
    <mergeCell ref="E2:F2"/>
    <mergeCell ref="H2:I2"/>
    <mergeCell ref="BN7:BR7"/>
    <mergeCell ref="BT7:BX7"/>
    <mergeCell ref="H4:I4"/>
    <mergeCell ref="B6:C6"/>
    <mergeCell ref="E6:I6"/>
    <mergeCell ref="L6:AH6"/>
    <mergeCell ref="AJ6:BX6"/>
    <mergeCell ref="L7:P7"/>
    <mergeCell ref="R7:V7"/>
    <mergeCell ref="X7:AB7"/>
    <mergeCell ref="AD7:AH7"/>
    <mergeCell ref="AJ7:AN7"/>
    <mergeCell ref="AP7:AT7"/>
    <mergeCell ref="AV7:AZ7"/>
    <mergeCell ref="BB7:BF7"/>
    <mergeCell ref="BH7:BL7"/>
    <mergeCell ref="AV9:AZ9"/>
    <mergeCell ref="BB9:BF9"/>
    <mergeCell ref="BH9:BL9"/>
    <mergeCell ref="BN9:BR9"/>
    <mergeCell ref="BT9:BX9"/>
    <mergeCell ref="AP9:AT9"/>
    <mergeCell ref="L9:P9"/>
    <mergeCell ref="R9:V9"/>
    <mergeCell ref="X9:AB9"/>
    <mergeCell ref="AD9:AH9"/>
    <mergeCell ref="AJ9:AN9"/>
  </mergeCells>
  <dataValidations count="1">
    <dataValidation type="list" allowBlank="1" showInputMessage="1" showErrorMessage="1" sqref="H4:I4">
      <formula1>$CB$19:$CB$30</formula1>
    </dataValidation>
  </dataValidations>
  <pageMargins left="0.46" right="0.32" top="0.28999999999999998" bottom="0.35" header="0.19" footer="0.3"/>
  <pageSetup paperSize="9" scale="2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8BCF3B-EF3C-4CCD-AE77-5A13163A9708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Paramètres!$J$21:$J$35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nthèse8">
    <tabColor theme="9" tint="-0.249977111117893"/>
    <pageSetUpPr fitToPage="1"/>
  </sheetPr>
  <dimension ref="A1:CC75"/>
  <sheetViews>
    <sheetView showGridLines="0" zoomScale="90" zoomScaleNormal="90" workbookViewId="0">
      <pane xSplit="3" ySplit="8" topLeftCell="D9" activePane="bottomRight" state="frozen"/>
      <selection activeCell="B1" sqref="B1"/>
      <selection pane="topRight" activeCell="D1" sqref="D1"/>
      <selection pane="bottomLeft" activeCell="B9" sqref="B9"/>
      <selection pane="bottomRight" activeCell="K1" sqref="K1:O1"/>
    </sheetView>
  </sheetViews>
  <sheetFormatPr baseColWidth="10" defaultRowHeight="16.5" x14ac:dyDescent="0.3"/>
  <cols>
    <col min="1" max="2" width="9.5703125" style="17" customWidth="1"/>
    <col min="3" max="3" width="25.28515625" style="17" customWidth="1"/>
    <col min="4" max="4" width="11.42578125" style="25"/>
    <col min="5" max="5" width="17.28515625" style="17" customWidth="1"/>
    <col min="6" max="6" width="3" style="17" customWidth="1"/>
    <col min="7" max="7" width="18.85546875" style="17" customWidth="1"/>
    <col min="8" max="8" width="2.28515625" style="17" customWidth="1"/>
    <col min="9" max="9" width="17.5703125" style="17" customWidth="1"/>
    <col min="10" max="10" width="6.85546875" style="17" customWidth="1"/>
    <col min="11" max="11" width="5.85546875" style="17" customWidth="1"/>
    <col min="12" max="12" width="7.28515625" style="17" customWidth="1"/>
    <col min="13" max="13" width="2.28515625" style="17" customWidth="1"/>
    <col min="14" max="14" width="7.140625" style="17" customWidth="1"/>
    <col min="15" max="15" width="3.140625" style="17" customWidth="1"/>
    <col min="16" max="16" width="7.42578125" style="17" customWidth="1"/>
    <col min="17" max="17" width="3" style="17" customWidth="1"/>
    <col min="18" max="18" width="8.140625" style="17" customWidth="1"/>
    <col min="19" max="19" width="2.28515625" style="17" customWidth="1"/>
    <col min="20" max="20" width="8" style="17" customWidth="1"/>
    <col min="21" max="21" width="2.28515625" style="17" customWidth="1"/>
    <col min="22" max="22" width="7.140625" style="17" customWidth="1"/>
    <col min="23" max="23" width="3" style="17" customWidth="1"/>
    <col min="24" max="24" width="7.7109375" style="17" customWidth="1"/>
    <col min="25" max="25" width="1.85546875" style="17" customWidth="1"/>
    <col min="26" max="26" width="7.28515625" style="17" customWidth="1"/>
    <col min="27" max="27" width="1.85546875" style="17" customWidth="1"/>
    <col min="28" max="28" width="8.140625" style="17" customWidth="1"/>
    <col min="29" max="29" width="2.28515625" style="17" customWidth="1"/>
    <col min="30" max="30" width="7.140625" style="17" customWidth="1"/>
    <col min="31" max="31" width="2" style="17" customWidth="1"/>
    <col min="32" max="32" width="8" style="17" customWidth="1"/>
    <col min="33" max="33" width="1.7109375" style="17" customWidth="1"/>
    <col min="34" max="34" width="7.5703125" style="17" customWidth="1"/>
    <col min="35" max="35" width="11.42578125" style="17"/>
    <col min="36" max="36" width="7.28515625" style="17" customWidth="1"/>
    <col min="37" max="37" width="1.7109375" style="17" customWidth="1"/>
    <col min="38" max="38" width="7.28515625" style="17" customWidth="1"/>
    <col min="39" max="39" width="2" style="17" customWidth="1"/>
    <col min="40" max="40" width="7.7109375" style="17" customWidth="1"/>
    <col min="41" max="41" width="3.7109375" style="17" customWidth="1"/>
    <col min="42" max="42" width="8.42578125" style="17" customWidth="1"/>
    <col min="43" max="43" width="2.28515625" style="17" customWidth="1"/>
    <col min="44" max="44" width="8.140625" style="17" customWidth="1"/>
    <col min="45" max="45" width="1.85546875" style="17" customWidth="1"/>
    <col min="46" max="46" width="8.7109375" style="17" customWidth="1"/>
    <col min="47" max="47" width="3.28515625" style="17" customWidth="1"/>
    <col min="48" max="48" width="7.28515625" style="17" customWidth="1"/>
    <col min="49" max="49" width="2" style="17" customWidth="1"/>
    <col min="50" max="50" width="8" style="17" customWidth="1"/>
    <col min="51" max="51" width="2" style="17" customWidth="1"/>
    <col min="52" max="52" width="7.28515625" style="17" customWidth="1"/>
    <col min="53" max="53" width="3.28515625" style="17" customWidth="1"/>
    <col min="54" max="54" width="8.42578125" style="17" customWidth="1"/>
    <col min="55" max="55" width="1.5703125" style="17" customWidth="1"/>
    <col min="56" max="56" width="8.140625" style="17" customWidth="1"/>
    <col min="57" max="57" width="1.7109375" style="17" customWidth="1"/>
    <col min="58" max="58" width="8.140625" style="17" customWidth="1"/>
    <col min="59" max="59" width="2.7109375" style="17" customWidth="1"/>
    <col min="60" max="60" width="8.140625" style="17" customWidth="1"/>
    <col min="61" max="61" width="1.85546875" style="17" customWidth="1"/>
    <col min="62" max="62" width="8.42578125" style="17" customWidth="1"/>
    <col min="63" max="63" width="1.5703125" style="17" customWidth="1"/>
    <col min="64" max="64" width="8.140625" style="17" customWidth="1"/>
    <col min="65" max="65" width="2.7109375" style="17" customWidth="1"/>
    <col min="66" max="66" width="8.42578125" style="17" customWidth="1"/>
    <col min="67" max="67" width="2.28515625" style="17" customWidth="1"/>
    <col min="68" max="68" width="7.5703125" style="17" customWidth="1"/>
    <col min="69" max="69" width="1.85546875" style="17" customWidth="1"/>
    <col min="70" max="70" width="8.28515625" style="17" customWidth="1"/>
    <col min="71" max="71" width="2.140625" style="17" customWidth="1"/>
    <col min="72" max="72" width="8.5703125" style="17" customWidth="1"/>
    <col min="73" max="73" width="1.7109375" style="17" customWidth="1"/>
    <col min="74" max="74" width="8.42578125" style="17" customWidth="1"/>
    <col min="75" max="75" width="1.7109375" style="17" customWidth="1"/>
    <col min="76" max="76" width="8.85546875" style="17" customWidth="1"/>
    <col min="77" max="16384" width="11.42578125" style="17"/>
  </cols>
  <sheetData>
    <row r="1" spans="1:76" ht="17.25" thickBot="1" x14ac:dyDescent="0.35">
      <c r="E1" s="261" t="s">
        <v>201</v>
      </c>
      <c r="F1" s="261"/>
      <c r="H1" s="261" t="s">
        <v>202</v>
      </c>
      <c r="I1" s="261"/>
      <c r="K1" s="274">
        <f ca="1">TODAY()</f>
        <v>42701</v>
      </c>
      <c r="L1" s="275"/>
      <c r="M1" s="275"/>
      <c r="N1" s="275"/>
      <c r="O1" s="276"/>
    </row>
    <row r="2" spans="1:76" ht="27.75" thickBot="1" x14ac:dyDescent="0.4">
      <c r="C2" s="80" t="s">
        <v>75</v>
      </c>
      <c r="D2" s="124"/>
      <c r="E2" s="262">
        <f>SUMIFS(Tableau_Data[Masculin],Tableau_Data[Annee],PS!C$3)</f>
        <v>492</v>
      </c>
      <c r="F2" s="263"/>
      <c r="G2" s="22"/>
      <c r="H2" s="264">
        <f>SUMIFS(Tableau_Data[Féminin],Tableau_Data[Annee],PS!C$3)</f>
        <v>355</v>
      </c>
      <c r="I2" s="265"/>
      <c r="J2" s="22"/>
      <c r="K2" s="154"/>
      <c r="L2" s="185">
        <f>SUMIFS(Tableau_Data[Masculin],Tableau_Data[Lieu d''intervention],$L$9,Tableau_Data[Annee],$F$3)</f>
        <v>0</v>
      </c>
      <c r="N2" s="186">
        <f>SUMIFS(Tableau_Data[Féminin],Tableau_Data[Lieu d''intervention],$L$9,Tableau_Data[Annee],$F$3)</f>
        <v>0</v>
      </c>
      <c r="O2" s="24"/>
      <c r="P2" s="187">
        <f>SUM(L2:N2)</f>
        <v>0</v>
      </c>
      <c r="R2" s="185">
        <f>SUMIFS(Tableau_Data[Masculin],Tableau_Data[Lieu d''intervention],$R$9,Tableau_Data[Annee],$F$3)</f>
        <v>70</v>
      </c>
      <c r="T2" s="186">
        <f>SUMIFS(Tableau_Data[Féminin],Tableau_Data[Lieu d''intervention],$R$9,Tableau_Data[Annee],$F$3)</f>
        <v>45</v>
      </c>
      <c r="U2" s="24"/>
      <c r="V2" s="187">
        <f>SUM(R2:T2)</f>
        <v>115</v>
      </c>
      <c r="X2" s="185">
        <f>SUMIFS(Tableau_Data[Masculin],Tableau_Data[Lieu d''intervention],$X$9,Tableau_Data[Annee],$F$3)</f>
        <v>150</v>
      </c>
      <c r="Z2" s="186">
        <f>SUMIFS(Tableau_Data[Féminin],Tableau_Data[Lieu d''intervention],$X$9,Tableau_Data[Annee],$F$3)</f>
        <v>50</v>
      </c>
      <c r="AA2" s="24"/>
      <c r="AB2" s="187">
        <f>SUM(X2:Z2)</f>
        <v>200</v>
      </c>
      <c r="AD2" s="185">
        <f>SUMIFS(Tableau_Data[Masculin],Tableau_Data[Lieu d''intervention],$AD$9,Tableau_Data[Annee],$F$3)</f>
        <v>272</v>
      </c>
      <c r="AF2" s="186">
        <f>SUMIFS(Tableau_Data[Féminin],Tableau_Data[Lieu d''intervention],$AD$9,Tableau_Data[Annee],$F$3)</f>
        <v>260</v>
      </c>
      <c r="AG2" s="24"/>
      <c r="AH2" s="187">
        <f>SUM(AD2:AF2)</f>
        <v>532</v>
      </c>
      <c r="AJ2" s="185">
        <f>SUMIFS(Tableau_Data[Masculin],Tableau_Data[Thèmes],$AJ$9,Tableau_Data[Annee],$F$3)</f>
        <v>34</v>
      </c>
      <c r="AL2" s="186">
        <f>SUMIFS(Tableau_Data[Féminin],Tableau_Data[Thèmes],$AJ$9,Tableau_Data[Annee],$F$3)</f>
        <v>70</v>
      </c>
      <c r="AM2" s="24"/>
      <c r="AN2" s="187">
        <f>SUM(AJ2:AL2)</f>
        <v>104</v>
      </c>
      <c r="AP2" s="185">
        <f>SUMIFS(Tableau_Data[Masculin],Tableau_Data[Thèmes],$AP$9,Tableau_Data[Annee],$F$3)</f>
        <v>0</v>
      </c>
      <c r="AR2" s="186">
        <f>SUMIFS(Tableau_Data[Féminin],Tableau_Data[Thèmes],$AP$9,Tableau_Data[Annee],$F$3)</f>
        <v>0</v>
      </c>
      <c r="AS2" s="24"/>
      <c r="AT2" s="187">
        <f>SUM(AP2:AR2)</f>
        <v>0</v>
      </c>
      <c r="AV2" s="185">
        <f>SUMIFS(Tableau_Data[Masculin],Tableau_Data[Thèmes],$AV$9,Tableau_Data[Annee],$F$3)</f>
        <v>70</v>
      </c>
      <c r="AX2" s="186">
        <f>SUMIFS(Tableau_Data[Féminin],Tableau_Data[Thèmes],$AV$9,Tableau_Data[Annee],$F$3)</f>
        <v>45</v>
      </c>
      <c r="AY2" s="24"/>
      <c r="AZ2" s="187">
        <f>SUM(AV2:AX2)</f>
        <v>115</v>
      </c>
      <c r="BB2" s="185">
        <f>SUMIFS(Tableau_Data[Masculin],Tableau_Data[Thèmes],$BB$9,Tableau_Data[Annee],$F$3)</f>
        <v>80</v>
      </c>
      <c r="BD2" s="186">
        <f>SUMIFS(Tableau_Data[Féminin],Tableau_Data[Thèmes],$BB$9,Tableau_Data[Annee],$F$3)</f>
        <v>50</v>
      </c>
      <c r="BE2" s="24"/>
      <c r="BF2" s="187">
        <f>SUM(BB2:BD2)</f>
        <v>130</v>
      </c>
      <c r="BH2" s="185">
        <f>SUMIFS(Tableau_Data[Masculin],Tableau_Data[Thèmes],$BH$9,Tableau_Data[Annee],$F$3)</f>
        <v>75</v>
      </c>
      <c r="BJ2" s="186">
        <f>SUMIFS(Tableau_Data[Féminin],Tableau_Data[Thèmes],$BH$9,Tableau_Data[Annee],$F$3)</f>
        <v>35</v>
      </c>
      <c r="BK2" s="24"/>
      <c r="BL2" s="187">
        <f>SUM(BH2:BJ2)</f>
        <v>110</v>
      </c>
      <c r="BN2" s="185">
        <f>SUMIFS(Tableau_Data[Masculin],Tableau_Data[Thèmes],$BN$9,Tableau_Data[Annee],$F$3)</f>
        <v>0</v>
      </c>
      <c r="BP2" s="186">
        <f>SUMIFS(Tableau_Data[Féminin],Tableau_Data[Thèmes],$BN$9,Tableau_Data[Annee],$F$3)</f>
        <v>0</v>
      </c>
      <c r="BQ2" s="24"/>
      <c r="BR2" s="187">
        <f>SUM(BN2:BP2)</f>
        <v>0</v>
      </c>
      <c r="BT2" s="185">
        <f>SUMIFS(Tableau_Data[Masculin],Tableau_Data[Thèmes],$BT$9,Tableau_Data[Annee],$F$3)</f>
        <v>233</v>
      </c>
      <c r="BV2" s="186">
        <f>SUMIFS(Tableau_Data[Féminin],Tableau_Data[Thèmes],$BT$9,Tableau_Data[Annee],$F$3)</f>
        <v>155</v>
      </c>
      <c r="BW2" s="24"/>
      <c r="BX2" s="187">
        <f>SUM(BT2:BV2)</f>
        <v>388</v>
      </c>
    </row>
    <row r="3" spans="1:76" ht="21.75" thickBot="1" x14ac:dyDescent="0.4">
      <c r="C3" s="121">
        <v>2016</v>
      </c>
      <c r="D3" s="125"/>
      <c r="F3" s="19">
        <f>C3</f>
        <v>2016</v>
      </c>
      <c r="G3" s="18"/>
      <c r="H3" s="18"/>
      <c r="I3" s="18"/>
      <c r="J3" s="18"/>
      <c r="K3" s="18"/>
      <c r="M3" s="23"/>
      <c r="O3" s="81"/>
    </row>
    <row r="4" spans="1:76" ht="25.5" customHeight="1" x14ac:dyDescent="0.3">
      <c r="D4" s="79"/>
      <c r="E4" s="78"/>
      <c r="F4" s="79"/>
      <c r="H4" s="256" t="s">
        <v>3</v>
      </c>
      <c r="I4" s="257"/>
      <c r="J4" s="152">
        <f>VLOOKUP(H4,PS!$CB$17:$CC$28,2,0)</f>
        <v>1</v>
      </c>
    </row>
    <row r="5" spans="1:76" ht="30" customHeight="1" thickBot="1" x14ac:dyDescent="0.35"/>
    <row r="6" spans="1:76" ht="31.5" customHeight="1" thickBot="1" x14ac:dyDescent="0.35">
      <c r="B6" s="286" t="s">
        <v>76</v>
      </c>
      <c r="C6" s="287"/>
      <c r="D6" s="142"/>
      <c r="E6" s="266" t="s">
        <v>164</v>
      </c>
      <c r="F6" s="267"/>
      <c r="G6" s="267"/>
      <c r="H6" s="267"/>
      <c r="I6" s="268"/>
      <c r="J6" s="142"/>
      <c r="K6" s="142"/>
      <c r="L6" s="269" t="s">
        <v>166</v>
      </c>
      <c r="M6" s="270"/>
      <c r="N6" s="270"/>
      <c r="O6" s="270"/>
      <c r="P6" s="270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8"/>
      <c r="AJ6" s="288" t="s">
        <v>167</v>
      </c>
      <c r="AK6" s="289"/>
      <c r="AL6" s="289"/>
      <c r="AM6" s="289"/>
      <c r="AN6" s="289"/>
      <c r="AO6" s="290"/>
      <c r="AP6" s="290"/>
      <c r="AQ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0"/>
      <c r="BE6" s="290"/>
      <c r="BF6" s="290"/>
      <c r="BG6" s="290"/>
      <c r="BH6" s="290"/>
      <c r="BI6" s="290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  <c r="BV6" s="290"/>
      <c r="BW6" s="290"/>
      <c r="BX6" s="291"/>
    </row>
    <row r="7" spans="1:76" ht="17.25" customHeight="1" x14ac:dyDescent="0.3">
      <c r="B7" s="21"/>
      <c r="C7" s="21"/>
      <c r="D7" s="143"/>
      <c r="E7" s="144" t="str">
        <f>E10</f>
        <v>MASCULIN</v>
      </c>
      <c r="F7" s="143"/>
      <c r="G7" s="144" t="str">
        <f>G10</f>
        <v>FEMININ</v>
      </c>
      <c r="H7" s="143"/>
      <c r="I7" s="143"/>
      <c r="J7" s="143"/>
      <c r="K7" s="143"/>
      <c r="L7" s="271" t="str">
        <f>L9</f>
        <v>ECOLE</v>
      </c>
      <c r="M7" s="272"/>
      <c r="N7" s="272"/>
      <c r="O7" s="272"/>
      <c r="P7" s="273"/>
      <c r="R7" s="271" t="str">
        <f>R9</f>
        <v>CENTRE DE SANTE</v>
      </c>
      <c r="S7" s="272"/>
      <c r="T7" s="272"/>
      <c r="U7" s="272"/>
      <c r="V7" s="273"/>
      <c r="W7" s="150"/>
      <c r="X7" s="271" t="str">
        <f>X9</f>
        <v>COMMUNAUTE</v>
      </c>
      <c r="Y7" s="272"/>
      <c r="Z7" s="272"/>
      <c r="AA7" s="272"/>
      <c r="AB7" s="273"/>
      <c r="AC7" s="150"/>
      <c r="AD7" s="271" t="str">
        <f>AD9</f>
        <v>AUTRES</v>
      </c>
      <c r="AE7" s="272"/>
      <c r="AF7" s="272"/>
      <c r="AG7" s="272"/>
      <c r="AH7" s="273"/>
      <c r="AJ7" s="253" t="str">
        <f>AJ9</f>
        <v>IST/VIH SIDA</v>
      </c>
      <c r="AK7" s="254"/>
      <c r="AL7" s="254"/>
      <c r="AM7" s="254"/>
      <c r="AN7" s="255"/>
      <c r="AP7" s="253" t="str">
        <f>AP9</f>
        <v>Violences sexuelles/VBG</v>
      </c>
      <c r="AQ7" s="254"/>
      <c r="AR7" s="254"/>
      <c r="AS7" s="254"/>
      <c r="AT7" s="255"/>
      <c r="AV7" s="253" t="str">
        <f>AV9</f>
        <v>Amour et Sexualité</v>
      </c>
      <c r="AW7" s="254"/>
      <c r="AX7" s="254"/>
      <c r="AY7" s="254"/>
      <c r="AZ7" s="255"/>
      <c r="BB7" s="253" t="str">
        <f>BB9</f>
        <v>Grossesses non désirées</v>
      </c>
      <c r="BC7" s="254"/>
      <c r="BD7" s="254"/>
      <c r="BE7" s="254"/>
      <c r="BF7" s="255"/>
      <c r="BH7" s="253" t="str">
        <f>BH9</f>
        <v>PF</v>
      </c>
      <c r="BI7" s="254"/>
      <c r="BJ7" s="254"/>
      <c r="BK7" s="254"/>
      <c r="BL7" s="255"/>
      <c r="BN7" s="253" t="str">
        <f>BN9</f>
        <v>CPN</v>
      </c>
      <c r="BO7" s="254"/>
      <c r="BP7" s="254"/>
      <c r="BQ7" s="254"/>
      <c r="BR7" s="255"/>
      <c r="BT7" s="253" t="str">
        <f>BT9</f>
        <v>Autres</v>
      </c>
      <c r="BU7" s="254"/>
      <c r="BV7" s="254"/>
      <c r="BW7" s="254"/>
      <c r="BX7" s="255"/>
    </row>
    <row r="8" spans="1:76" ht="19.5" customHeight="1" x14ac:dyDescent="0.3">
      <c r="B8" s="21"/>
      <c r="C8" s="21"/>
      <c r="D8" s="84"/>
      <c r="E8" s="149">
        <f>E16</f>
        <v>309</v>
      </c>
      <c r="F8" s="145"/>
      <c r="G8" s="147">
        <f>G16</f>
        <v>230</v>
      </c>
      <c r="H8" s="145"/>
      <c r="I8" s="149">
        <f>I16</f>
        <v>539</v>
      </c>
      <c r="J8" s="21"/>
      <c r="K8" s="21"/>
      <c r="L8" s="149">
        <f>L16</f>
        <v>0</v>
      </c>
      <c r="M8" s="151"/>
      <c r="N8" s="147">
        <f>N16</f>
        <v>0</v>
      </c>
      <c r="O8" s="151"/>
      <c r="P8" s="148">
        <f>P16</f>
        <v>0</v>
      </c>
      <c r="Q8" s="146"/>
      <c r="R8" s="148">
        <f t="shared" ref="R8:AF8" si="0">R16</f>
        <v>70</v>
      </c>
      <c r="S8" s="146"/>
      <c r="T8" s="147">
        <f t="shared" si="0"/>
        <v>45</v>
      </c>
      <c r="U8" s="146"/>
      <c r="V8" s="148">
        <f t="shared" si="0"/>
        <v>115</v>
      </c>
      <c r="W8" s="146"/>
      <c r="X8" s="148">
        <f t="shared" si="0"/>
        <v>75</v>
      </c>
      <c r="Y8" s="146">
        <f t="shared" si="0"/>
        <v>0</v>
      </c>
      <c r="Z8" s="147">
        <f t="shared" si="0"/>
        <v>35</v>
      </c>
      <c r="AA8" s="146">
        <f t="shared" si="0"/>
        <v>0</v>
      </c>
      <c r="AB8" s="148">
        <f t="shared" si="0"/>
        <v>110</v>
      </c>
      <c r="AC8" s="146"/>
      <c r="AD8" s="148">
        <f t="shared" si="0"/>
        <v>164</v>
      </c>
      <c r="AE8" s="146"/>
      <c r="AF8" s="147">
        <f t="shared" si="0"/>
        <v>150</v>
      </c>
      <c r="AG8" s="146"/>
      <c r="AH8" s="148">
        <f>AH16</f>
        <v>314</v>
      </c>
      <c r="AJ8" s="148">
        <f>AJ16</f>
        <v>34</v>
      </c>
      <c r="AL8" s="147">
        <f>AL16</f>
        <v>70</v>
      </c>
      <c r="AN8" s="148">
        <f>AN16</f>
        <v>104</v>
      </c>
      <c r="AP8" s="148">
        <f>AP16</f>
        <v>0</v>
      </c>
      <c r="AR8" s="147">
        <f>AR16</f>
        <v>0</v>
      </c>
      <c r="AT8" s="148">
        <f>AT16</f>
        <v>0</v>
      </c>
      <c r="AV8" s="148">
        <f>AV16</f>
        <v>70</v>
      </c>
      <c r="AX8" s="147">
        <f>AX16</f>
        <v>45</v>
      </c>
      <c r="AZ8" s="148">
        <f>AZ16</f>
        <v>115</v>
      </c>
      <c r="BB8" s="148">
        <f>BB16</f>
        <v>0</v>
      </c>
      <c r="BD8" s="147">
        <f>BD16</f>
        <v>0</v>
      </c>
      <c r="BF8" s="148">
        <f>BF16</f>
        <v>0</v>
      </c>
      <c r="BH8" s="148">
        <f>BH16</f>
        <v>75</v>
      </c>
      <c r="BJ8" s="147">
        <f>BJ16</f>
        <v>35</v>
      </c>
      <c r="BL8" s="148">
        <f>BL16</f>
        <v>110</v>
      </c>
      <c r="BN8" s="148">
        <f>BN16</f>
        <v>0</v>
      </c>
      <c r="BP8" s="147">
        <f>BP16</f>
        <v>0</v>
      </c>
      <c r="BR8" s="148">
        <f>BR16</f>
        <v>0</v>
      </c>
      <c r="BT8" s="148">
        <f>BT16</f>
        <v>130</v>
      </c>
      <c r="BV8" s="147">
        <f>BV16</f>
        <v>80</v>
      </c>
      <c r="BX8" s="148">
        <f>BX16</f>
        <v>210</v>
      </c>
    </row>
    <row r="9" spans="1:76" ht="21" customHeight="1" thickBot="1" x14ac:dyDescent="0.35">
      <c r="F9" s="25"/>
      <c r="L9" s="258" t="str">
        <f>Paramètres!B7</f>
        <v>ECOLE</v>
      </c>
      <c r="M9" s="259"/>
      <c r="N9" s="259"/>
      <c r="O9" s="259"/>
      <c r="P9" s="260"/>
      <c r="R9" s="258" t="str">
        <f>Paramètres!B8</f>
        <v>CENTRE DE SANTE</v>
      </c>
      <c r="S9" s="259"/>
      <c r="T9" s="259"/>
      <c r="U9" s="259"/>
      <c r="V9" s="260"/>
      <c r="X9" s="258" t="str">
        <f>Paramètres!B9</f>
        <v>COMMUNAUTE</v>
      </c>
      <c r="Y9" s="259"/>
      <c r="Z9" s="259"/>
      <c r="AA9" s="259"/>
      <c r="AB9" s="260"/>
      <c r="AD9" s="258" t="str">
        <f>Paramètres!B10</f>
        <v>AUTRES</v>
      </c>
      <c r="AE9" s="259"/>
      <c r="AF9" s="259"/>
      <c r="AG9" s="259"/>
      <c r="AH9" s="260"/>
      <c r="AJ9" s="258" t="str">
        <f>Paramètres!F7</f>
        <v>IST/VIH SIDA</v>
      </c>
      <c r="AK9" s="259"/>
      <c r="AL9" s="259"/>
      <c r="AM9" s="259"/>
      <c r="AN9" s="260"/>
      <c r="AP9" s="258" t="str">
        <f>Paramètres!F8</f>
        <v>Violences sexuelles/VBG</v>
      </c>
      <c r="AQ9" s="259"/>
      <c r="AR9" s="259"/>
      <c r="AS9" s="259"/>
      <c r="AT9" s="260"/>
      <c r="AV9" s="258" t="str">
        <f>Paramètres!F9</f>
        <v>Amour et Sexualité</v>
      </c>
      <c r="AW9" s="259"/>
      <c r="AX9" s="259"/>
      <c r="AY9" s="259"/>
      <c r="AZ9" s="260"/>
      <c r="BB9" s="258" t="str">
        <f>Paramètres!F10</f>
        <v>Grossesses non désirées</v>
      </c>
      <c r="BC9" s="259"/>
      <c r="BD9" s="259"/>
      <c r="BE9" s="259"/>
      <c r="BF9" s="260"/>
      <c r="BH9" s="258" t="str">
        <f>Paramètres!F11</f>
        <v>PF</v>
      </c>
      <c r="BI9" s="259"/>
      <c r="BJ9" s="259"/>
      <c r="BK9" s="259"/>
      <c r="BL9" s="260"/>
      <c r="BN9" s="258" t="str">
        <f>Paramètres!F12</f>
        <v>CPN</v>
      </c>
      <c r="BO9" s="259"/>
      <c r="BP9" s="259"/>
      <c r="BQ9" s="259"/>
      <c r="BR9" s="260"/>
      <c r="BT9" s="258" t="str">
        <f>Paramètres!F13</f>
        <v>Autres</v>
      </c>
      <c r="BU9" s="259"/>
      <c r="BV9" s="259"/>
      <c r="BW9" s="259"/>
      <c r="BX9" s="260"/>
    </row>
    <row r="10" spans="1:76" ht="17.25" thickBot="1" x14ac:dyDescent="0.35">
      <c r="E10" s="127" t="s">
        <v>203</v>
      </c>
      <c r="F10" s="25"/>
      <c r="G10" s="128" t="s">
        <v>204</v>
      </c>
      <c r="L10" s="130" t="s">
        <v>197</v>
      </c>
      <c r="M10" s="25"/>
      <c r="N10" s="131" t="s">
        <v>87</v>
      </c>
      <c r="R10" s="130" t="s">
        <v>197</v>
      </c>
      <c r="S10" s="25"/>
      <c r="T10" s="131" t="s">
        <v>87</v>
      </c>
      <c r="X10" s="130" t="s">
        <v>197</v>
      </c>
      <c r="Y10" s="25"/>
      <c r="Z10" s="131" t="s">
        <v>87</v>
      </c>
      <c r="AD10" s="130" t="s">
        <v>197</v>
      </c>
      <c r="AE10" s="25"/>
      <c r="AF10" s="131" t="s">
        <v>87</v>
      </c>
      <c r="AJ10" s="130" t="s">
        <v>197</v>
      </c>
      <c r="AK10" s="25"/>
      <c r="AL10" s="131" t="s">
        <v>87</v>
      </c>
      <c r="AP10" s="130" t="s">
        <v>197</v>
      </c>
      <c r="AQ10" s="25"/>
      <c r="AR10" s="131" t="s">
        <v>87</v>
      </c>
      <c r="AV10" s="130" t="s">
        <v>197</v>
      </c>
      <c r="AW10" s="25"/>
      <c r="AX10" s="131" t="s">
        <v>87</v>
      </c>
      <c r="BB10" s="130" t="s">
        <v>197</v>
      </c>
      <c r="BC10" s="25"/>
      <c r="BD10" s="131" t="s">
        <v>87</v>
      </c>
      <c r="BH10" s="130" t="s">
        <v>197</v>
      </c>
      <c r="BI10" s="25"/>
      <c r="BJ10" s="131" t="s">
        <v>87</v>
      </c>
      <c r="BN10" s="130" t="s">
        <v>197</v>
      </c>
      <c r="BO10" s="25"/>
      <c r="BP10" s="131" t="s">
        <v>87</v>
      </c>
      <c r="BT10" s="130" t="s">
        <v>197</v>
      </c>
      <c r="BU10" s="25"/>
      <c r="BV10" s="131" t="s">
        <v>87</v>
      </c>
    </row>
    <row r="11" spans="1:76" ht="17.25" thickBot="1" x14ac:dyDescent="0.35">
      <c r="F11" s="25"/>
      <c r="M11" s="25"/>
      <c r="S11" s="25"/>
      <c r="Y11" s="25"/>
      <c r="AE11" s="25"/>
      <c r="AK11" s="25"/>
      <c r="AQ11" s="25"/>
      <c r="AW11" s="25"/>
      <c r="BC11" s="25"/>
      <c r="BI11" s="25"/>
      <c r="BO11" s="25"/>
      <c r="BU11" s="25"/>
    </row>
    <row r="12" spans="1:76" ht="17.100000000000001" customHeight="1" x14ac:dyDescent="0.3">
      <c r="A12" s="82"/>
      <c r="B12" s="153">
        <v>1</v>
      </c>
      <c r="C12" s="120" t="str">
        <f>Paramètres!B21</f>
        <v>Muramya</v>
      </c>
      <c r="D12" s="126"/>
      <c r="E12" s="136">
        <f>SUMIFS(Tableau_Data[Masculin],Tableau_Data[Province sanitaire],PS!$C12,Tableau_Data[Annee],PS!$F$3,Tableau_Data[Mois],PS!J$4)</f>
        <v>239</v>
      </c>
      <c r="F12" s="126"/>
      <c r="G12" s="136">
        <f>SUMIFS(Tableau_Data[Féminin],Tableau_Data[Province sanitaire],PS!$C12,Tableau_Data[Annee],PS!$F$3,Tableau_Data[Mois],PS!J$4)</f>
        <v>185</v>
      </c>
      <c r="H12" s="126"/>
      <c r="I12" s="137">
        <f>SUM(E12:G12)</f>
        <v>424</v>
      </c>
      <c r="J12" s="126"/>
      <c r="K12" s="126"/>
      <c r="L12" s="138">
        <f>SUMIFS(Tableau_Data[Masculin],Tableau_Data[Province sanitaire],PS!$C12,Tableau_Data[Lieu d''intervention],PS!$L$9,Tableau_Data[Annee],PS!$F$3,Tableau_Data[Mois],PS!J$4)</f>
        <v>0</v>
      </c>
      <c r="M12" s="126"/>
      <c r="N12" s="136">
        <f>SUMIFS(Tableau_Data[Féminin],Tableau_Data[Province sanitaire],PS!$C12,Tableau_Data[Lieu d''intervention],PS!$L$9,Tableau_Data[Annee],PS!$F$3,Tableau_Data[Mois],PS!J$4)</f>
        <v>0</v>
      </c>
      <c r="O12" s="126"/>
      <c r="P12" s="137">
        <f>SUM(L12:N12)</f>
        <v>0</v>
      </c>
      <c r="R12" s="136">
        <f>SUMIFS(Tableau_Data[Masculin],Tableau_Data[Province sanitaire],PS!$C12,Tableau_Data[Lieu d''intervention],PS!$R$9,Tableau_Data[Annee],PS!$F$3,Tableau_Data[Mois],PS!J$4)</f>
        <v>0</v>
      </c>
      <c r="S12" s="126"/>
      <c r="T12" s="136">
        <f>SUMIFS(Tableau_Data[Féminin],Tableau_Data[Province sanitaire],PS!$C12,Tableau_Data[Lieu d''intervention],PS!$R$9,Tableau_Data[Annee],PS!$F$3,Tableau_Data[Mois],PS!J$4)</f>
        <v>0</v>
      </c>
      <c r="U12" s="126"/>
      <c r="V12" s="137">
        <f>SUM(R12:T12)</f>
        <v>0</v>
      </c>
      <c r="X12" s="136">
        <f>SUMIFS(Tableau_Data[Masculin],Tableau_Data[Province sanitaire],PS!$C12,Tableau_Data[Lieu d''intervention],PS!$X$9,Tableau_Data[Annee],PS!$F$3,Tableau_Data[Mois],PS!J$4)</f>
        <v>75</v>
      </c>
      <c r="Y12" s="126"/>
      <c r="Z12" s="136">
        <f>SUMIFS(Tableau_Data[Féminin],Tableau_Data[Province sanitaire],PS!$C12,Tableau_Data[Lieu d''intervention],PS!$X$9,Tableau_Data[Annee],PS!$F$3,Tableau_Data[Mois],PS!J$4)</f>
        <v>35</v>
      </c>
      <c r="AA12" s="126"/>
      <c r="AB12" s="137">
        <f>SUM(X12:Z12)</f>
        <v>110</v>
      </c>
      <c r="AD12" s="136">
        <f>SUMIFS(Tableau_Data[Masculin],Tableau_Data[Province sanitaire],PS!$C12,Tableau_Data[Lieu d''intervention],PS!$AD$9,Tableau_Data[Annee],PS!$F$3,Tableau_Data[Mois],PS!J$4)</f>
        <v>164</v>
      </c>
      <c r="AE12" s="126"/>
      <c r="AF12" s="136">
        <f>SUMIFS(Tableau_Data[Féminin],Tableau_Data[Province sanitaire],PS!$C12,Tableau_Data[Lieu d''intervention],PS!$AD$9,Tableau_Data[Annee],PS!$F$3,Tableau_Data[Mois],PS!J$4)</f>
        <v>150</v>
      </c>
      <c r="AG12" s="126"/>
      <c r="AH12" s="137">
        <f>SUM(AD12:AF12)</f>
        <v>314</v>
      </c>
      <c r="AJ12" s="136">
        <f>SUMIFS(Tableau_Data[Masculin],Tableau_Data[Province sanitaire],PS!$C12,Tableau_Data[Thèmes],PS!$AJ$9,Tableau_Data[Annee],PS!$F$3,Tableau_Data[Mois],PS!J$4)</f>
        <v>34</v>
      </c>
      <c r="AK12" s="126"/>
      <c r="AL12" s="136">
        <f>SUMIFS(Tableau_Data[Féminin],Tableau_Data[Province sanitaire],PS!$C12,Tableau_Data[Thèmes],PS!$AJ$9,Tableau_Data[Annee],PS!$F$3,Tableau_Data[Mois],PS!J$4)</f>
        <v>70</v>
      </c>
      <c r="AM12" s="126"/>
      <c r="AN12" s="137">
        <f>SUM(AJ12:AL12)</f>
        <v>104</v>
      </c>
      <c r="AP12" s="136">
        <f>SUMIFS(Tableau_Data[Masculin],Tableau_Data[Province sanitaire],PS!$C12,Tableau_Data[Thèmes],PS!$AP$9,Tableau_Data[Annee],PS!$F$3,Tableau_Data[Mois],PS!J$4)</f>
        <v>0</v>
      </c>
      <c r="AQ12" s="126"/>
      <c r="AR12" s="136">
        <f>SUMIFS(Tableau_Data[Féminin],Tableau_Data[Province sanitaire],PS!$C12,Tableau_Data[Thèmes],PS!$AP$9,Tableau_Data[Annee],PS!$F$3,Tableau_Data[Mois],PS!J$4)</f>
        <v>0</v>
      </c>
      <c r="AS12" s="126"/>
      <c r="AT12" s="137">
        <f>SUM(AP12:AR12)</f>
        <v>0</v>
      </c>
      <c r="AV12" s="136">
        <f>SUMIFS(Tableau_Data[Masculin],Tableau_Data[Province sanitaire],PS!$C12,Tableau_Data[Thèmes],PS!$AV$9,Tableau_Data[Annee],PS!$F$3,Tableau_Data[Mois],PS!J$4)</f>
        <v>0</v>
      </c>
      <c r="AW12" s="126"/>
      <c r="AX12" s="136">
        <f>SUMIFS(Tableau_Data[Féminin],Tableau_Data[Province sanitaire],PS!$C12,Tableau_Data[Thèmes],PS!$AV$9,Tableau_Data[Annee],PS!$F$3,Tableau_Data[Mois],PS!J$4)</f>
        <v>0</v>
      </c>
      <c r="AY12" s="126"/>
      <c r="AZ12" s="137">
        <f>SUM(AV12:AX12)</f>
        <v>0</v>
      </c>
      <c r="BB12" s="136">
        <f>SUMIFS(Tableau_Data[Masculin],Tableau_Data[Province sanitaire],PS!$C12,Tableau_Data[Thèmes],PS!$BB$9,Tableau_Data[Annee],PS!$F$3,Tableau_Data[Mois],PS!J$4)</f>
        <v>0</v>
      </c>
      <c r="BC12" s="126"/>
      <c r="BD12" s="136">
        <f>SUMIFS(Tableau_Data[Féminin],Tableau_Data[Province sanitaire],PS!$C12,Tableau_Data[Thèmes],PS!$BB$9,Tableau_Data[Annee],PS!$F$3,Tableau_Data[Mois],PS!$J$4)</f>
        <v>0</v>
      </c>
      <c r="BE12" s="126"/>
      <c r="BF12" s="137">
        <f>SUM(BB12:BD12)</f>
        <v>0</v>
      </c>
      <c r="BH12" s="136">
        <f>SUMIFS(Tableau_Data[Masculin],Tableau_Data[Province sanitaire],PS!$C12,Tableau_Data[Thèmes],PS!$BH$9,Tableau_Data[Annee],PS!$F$3,Tableau_Data[Mois],PS!$J$4)</f>
        <v>75</v>
      </c>
      <c r="BI12" s="126"/>
      <c r="BJ12" s="136">
        <f>SUMIFS(Tableau_Data[Féminin],Tableau_Data[Province sanitaire],PS!$C12,Tableau_Data[Thèmes],PS!$BH$9,Tableau_Data[Annee],PS!$F$3,Tableau_Data[Mois],PS!$J$4)</f>
        <v>35</v>
      </c>
      <c r="BK12" s="126"/>
      <c r="BL12" s="137">
        <f>SUM(BH12:BJ12)</f>
        <v>110</v>
      </c>
      <c r="BN12" s="136">
        <f>SUMIFS(Tableau_Data[Masculin],Tableau_Data[Province sanitaire],PS!$C12,Tableau_Data[Thèmes],PS!$BN$9,Tableau_Data[Annee],PS!$F$3,Tableau_Data[Mois],PS!$J$4)</f>
        <v>0</v>
      </c>
      <c r="BO12" s="126"/>
      <c r="BP12" s="136">
        <f>SUMIFS(Tableau_Data[Féminin],Tableau_Data[Province sanitaire],PS!$C12,Tableau_Data[Thèmes],PS!$BN$9,Tableau_Data[Annee],PS!$F$3,Tableau_Data[Mois],PS!$J$4)</f>
        <v>0</v>
      </c>
      <c r="BQ12" s="126"/>
      <c r="BR12" s="137">
        <f>SUM(BN12:BP12)</f>
        <v>0</v>
      </c>
      <c r="BT12" s="136">
        <f>SUMIFS(Tableau_Data[Masculin],Tableau_Data[Province sanitaire],PS!$C12,Tableau_Data[Thèmes],PS!$BT$9,Tableau_Data[Annee],PS!$F$3,Tableau_Data[Mois],PS!$J$4)</f>
        <v>130</v>
      </c>
      <c r="BU12" s="126"/>
      <c r="BV12" s="136">
        <f>SUMIFS(Tableau_Data[Féminin],Tableau_Data[Province sanitaire],PS!$C12,Tableau_Data[Thèmes],PS!$BT$9,Tableau_Data[Annee],PS!$F$3,Tableau_Data[Mois],PS!$J$4)</f>
        <v>80</v>
      </c>
      <c r="BW12" s="126"/>
      <c r="BX12" s="137">
        <f>SUM(BT12:BV12)</f>
        <v>210</v>
      </c>
    </row>
    <row r="13" spans="1:76" ht="17.100000000000001" customHeight="1" x14ac:dyDescent="0.3">
      <c r="A13" s="82"/>
      <c r="B13" s="119">
        <f>IF(PS!B12="","",1+B12)</f>
        <v>2</v>
      </c>
      <c r="C13" s="120" t="str">
        <f>Paramètres!B22</f>
        <v>Mwaro</v>
      </c>
      <c r="D13" s="126"/>
      <c r="E13" s="136">
        <f>SUMIFS(Tableau_Data[Masculin],Tableau_Data[Province sanitaire],PS!$C13,Tableau_Data[Annee],PS!$F$3,Tableau_Data[Mois],PS!J$4)</f>
        <v>0</v>
      </c>
      <c r="F13" s="126"/>
      <c r="G13" s="136">
        <f>SUMIFS(Tableau_Data[Féminin],Tableau_Data[Province sanitaire],PS!$C13,Tableau_Data[Annee],PS!$F$3,Tableau_Data[Mois],PS!J$4)</f>
        <v>0</v>
      </c>
      <c r="H13" s="126"/>
      <c r="I13" s="137">
        <f t="shared" ref="I13:I14" si="1">SUM(E13:G13)</f>
        <v>0</v>
      </c>
      <c r="J13" s="126"/>
      <c r="K13" s="126"/>
      <c r="L13" s="138">
        <f>SUMIFS(Tableau_Data[Masculin],Tableau_Data[Province sanitaire],PS!$C13,Tableau_Data[Lieu d''intervention],PS!$L$9,Tableau_Data[Annee],PS!$F$3,Tableau_Data[Mois],PS!J$4)</f>
        <v>0</v>
      </c>
      <c r="M13" s="126"/>
      <c r="N13" s="136">
        <f>SUMIFS(Tableau_Data[Féminin],Tableau_Data[Province sanitaire],PS!$C13,Tableau_Data[Lieu d''intervention],PS!$L$9,Tableau_Data[Annee],PS!$F$3,Tableau_Data[Mois],PS!J$4)</f>
        <v>0</v>
      </c>
      <c r="O13" s="126"/>
      <c r="P13" s="137">
        <f t="shared" ref="P13:P14" si="2">SUM(L13:N13)</f>
        <v>0</v>
      </c>
      <c r="R13" s="136">
        <f>SUMIFS(Tableau_Data[Masculin],Tableau_Data[Province sanitaire],PS!$C13,Tableau_Data[Lieu d''intervention],PS!$R$9,Tableau_Data[Annee],PS!$F$3,Tableau_Data[Mois],PS!J$4)</f>
        <v>0</v>
      </c>
      <c r="S13" s="126"/>
      <c r="T13" s="136">
        <f>SUMIFS(Tableau_Data[Féminin],Tableau_Data[Province sanitaire],PS!$C13,Tableau_Data[Lieu d''intervention],PS!$R$9,Tableau_Data[Annee],PS!$F$3,Tableau_Data[Mois],PS!J$4)</f>
        <v>0</v>
      </c>
      <c r="U13" s="126"/>
      <c r="V13" s="137">
        <f t="shared" ref="V13:V14" si="3">SUM(R13:T13)</f>
        <v>0</v>
      </c>
      <c r="X13" s="136">
        <f>SUMIFS(Tableau_Data[Masculin],Tableau_Data[Province sanitaire],PS!$C13,Tableau_Data[Lieu d''intervention],PS!$X$9,Tableau_Data[Annee],PS!$F$3,Tableau_Data[Mois],PS!J$4)</f>
        <v>0</v>
      </c>
      <c r="Y13" s="126"/>
      <c r="Z13" s="136">
        <f>SUMIFS(Tableau_Data[Féminin],Tableau_Data[Province sanitaire],PS!$C13,Tableau_Data[Lieu d''intervention],PS!$X$9,Tableau_Data[Annee],PS!$F$3,Tableau_Data[Mois],PS!J$4)</f>
        <v>0</v>
      </c>
      <c r="AA13" s="126"/>
      <c r="AB13" s="137">
        <f t="shared" ref="AB13:AB14" si="4">SUM(X13:Z13)</f>
        <v>0</v>
      </c>
      <c r="AD13" s="136">
        <f>SUMIFS(Tableau_Data[Masculin],Tableau_Data[Province sanitaire],PS!$C13,Tableau_Data[Lieu d''intervention],PS!$AD$9,Tableau_Data[Annee],PS!$F$3,Tableau_Data[Mois],PS!J$4)</f>
        <v>0</v>
      </c>
      <c r="AE13" s="126"/>
      <c r="AF13" s="136">
        <f>SUMIFS(Tableau_Data[Féminin],Tableau_Data[Province sanitaire],PS!$C13,Tableau_Data[Lieu d''intervention],PS!$AD$9,Tableau_Data[Annee],PS!$F$3,Tableau_Data[Mois],PS!J$4)</f>
        <v>0</v>
      </c>
      <c r="AG13" s="126"/>
      <c r="AH13" s="137">
        <f t="shared" ref="AH13:AH14" si="5">SUM(AD13:AF13)</f>
        <v>0</v>
      </c>
      <c r="AJ13" s="136">
        <f>SUMIFS(Tableau_Data[Masculin],Tableau_Data[Province sanitaire],PS!$C13,Tableau_Data[Thèmes],PS!$AJ$9,Tableau_Data[Annee],PS!$F$3,Tableau_Data[Mois],PS!J$4)</f>
        <v>0</v>
      </c>
      <c r="AK13" s="126"/>
      <c r="AL13" s="136">
        <f>SUMIFS(Tableau_Data[Féminin],Tableau_Data[Province sanitaire],PS!$C13,Tableau_Data[Thèmes],PS!$AJ$9,Tableau_Data[Annee],PS!$F$3,Tableau_Data[Mois],PS!J$4)</f>
        <v>0</v>
      </c>
      <c r="AM13" s="126"/>
      <c r="AN13" s="137">
        <f t="shared" ref="AN13:AN14" si="6">SUM(AJ13:AL13)</f>
        <v>0</v>
      </c>
      <c r="AP13" s="136">
        <f>SUMIFS(Tableau_Data[Masculin],Tableau_Data[Province sanitaire],PS!$C13,Tableau_Data[Thèmes],PS!$AP$9,Tableau_Data[Annee],PS!$F$3,Tableau_Data[Mois],PS!J$4)</f>
        <v>0</v>
      </c>
      <c r="AQ13" s="126"/>
      <c r="AR13" s="136">
        <f>SUMIFS(Tableau_Data[Féminin],Tableau_Data[Province sanitaire],PS!$C13,Tableau_Data[Thèmes],PS!$AP$9,Tableau_Data[Annee],PS!$F$3,Tableau_Data[Mois],PS!J$4)</f>
        <v>0</v>
      </c>
      <c r="AS13" s="126"/>
      <c r="AT13" s="137">
        <f t="shared" ref="AT13:AT14" si="7">SUM(AP13:AR13)</f>
        <v>0</v>
      </c>
      <c r="AV13" s="136">
        <f>SUMIFS(Tableau_Data[Masculin],Tableau_Data[Province sanitaire],PS!$C13,Tableau_Data[Thèmes],PS!$AV$9,Tableau_Data[Annee],PS!$F$3,Tableau_Data[Mois],PS!J$4)</f>
        <v>0</v>
      </c>
      <c r="AW13" s="126"/>
      <c r="AX13" s="136">
        <f>SUMIFS(Tableau_Data[Féminin],Tableau_Data[Province sanitaire],PS!$C13,Tableau_Data[Thèmes],PS!$AV$9,Tableau_Data[Annee],PS!$F$3,Tableau_Data[Mois],PS!J$4)</f>
        <v>0</v>
      </c>
      <c r="AY13" s="126"/>
      <c r="AZ13" s="137">
        <f t="shared" ref="AZ13:AZ14" si="8">SUM(AV13:AX13)</f>
        <v>0</v>
      </c>
      <c r="BB13" s="136">
        <f>SUMIFS(Tableau_Data[Masculin],Tableau_Data[Province sanitaire],PS!$C13,Tableau_Data[Thèmes],PS!$BB$9,Tableau_Data[Annee],PS!$F$3,Tableau_Data[Mois],PS!J$4)</f>
        <v>0</v>
      </c>
      <c r="BC13" s="126"/>
      <c r="BD13" s="136">
        <f>SUMIFS(Tableau_Data[Féminin],Tableau_Data[Province sanitaire],PS!$C13,Tableau_Data[Thèmes],PS!$BB$9,Tableau_Data[Annee],PS!$F$3,Tableau_Data[Mois],PS!$J$4)</f>
        <v>0</v>
      </c>
      <c r="BE13" s="126"/>
      <c r="BF13" s="137">
        <f t="shared" ref="BF13:BF14" si="9">SUM(BB13:BD13)</f>
        <v>0</v>
      </c>
      <c r="BH13" s="136">
        <f>SUMIFS(Tableau_Data[Masculin],Tableau_Data[Province sanitaire],PS!$C13,Tableau_Data[Thèmes],PS!$BH$9,Tableau_Data[Annee],PS!$F$3,Tableau_Data[Mois],PS!$J$4)</f>
        <v>0</v>
      </c>
      <c r="BI13" s="126"/>
      <c r="BJ13" s="136">
        <f>SUMIFS(Tableau_Data[Féminin],Tableau_Data[Province sanitaire],PS!$C13,Tableau_Data[Thèmes],PS!$BH$9,Tableau_Data[Annee],PS!$F$3,Tableau_Data[Mois],PS!$J$4)</f>
        <v>0</v>
      </c>
      <c r="BK13" s="126"/>
      <c r="BL13" s="137">
        <f t="shared" ref="BL13:BL14" si="10">SUM(BH13:BJ13)</f>
        <v>0</v>
      </c>
      <c r="BN13" s="136">
        <f>SUMIFS(Tableau_Data[Masculin],Tableau_Data[Province sanitaire],PS!$C13,Tableau_Data[Thèmes],PS!$BN$9,Tableau_Data[Annee],PS!$F$3,Tableau_Data[Mois],PS!$J$4)</f>
        <v>0</v>
      </c>
      <c r="BO13" s="126"/>
      <c r="BP13" s="136">
        <f>SUMIFS(Tableau_Data[Féminin],Tableau_Data[Province sanitaire],PS!$C13,Tableau_Data[Thèmes],PS!$BN$9,Tableau_Data[Annee],PS!$F$3,Tableau_Data[Mois],PS!$J$4)</f>
        <v>0</v>
      </c>
      <c r="BQ13" s="126"/>
      <c r="BR13" s="137">
        <f t="shared" ref="BR13:BR14" si="11">SUM(BN13:BP13)</f>
        <v>0</v>
      </c>
      <c r="BT13" s="136">
        <f>SUMIFS(Tableau_Data[Masculin],Tableau_Data[Province sanitaire],PS!$C13,Tableau_Data[Thèmes],PS!$BT$9,Tableau_Data[Annee],PS!$F$3,Tableau_Data[Mois],PS!$J$4)</f>
        <v>0</v>
      </c>
      <c r="BU13" s="126"/>
      <c r="BV13" s="136">
        <f>SUMIFS(Tableau_Data[Féminin],Tableau_Data[Province sanitaire],PS!$C13,Tableau_Data[Thèmes],PS!$BT$9,Tableau_Data[Annee],PS!$F$3,Tableau_Data[Mois],PS!$J$4)</f>
        <v>0</v>
      </c>
      <c r="BW13" s="126"/>
      <c r="BX13" s="137">
        <f t="shared" ref="BX13:BX14" si="12">SUM(BT13:BV13)</f>
        <v>0</v>
      </c>
    </row>
    <row r="14" spans="1:76" ht="17.100000000000001" customHeight="1" x14ac:dyDescent="0.3">
      <c r="A14" s="82"/>
      <c r="B14" s="119">
        <f>IF(PS!B13="","",1+B13)</f>
        <v>3</v>
      </c>
      <c r="C14" s="120" t="str">
        <f>Paramètres!B23</f>
        <v>Gitega</v>
      </c>
      <c r="D14" s="126"/>
      <c r="E14" s="136">
        <f>SUMIFS(Tableau_Data[Masculin],Tableau_Data[Province sanitaire],PS!$C14,Tableau_Data[Annee],PS!$F$3,Tableau_Data[Mois],PS!J$4)</f>
        <v>70</v>
      </c>
      <c r="F14" s="126"/>
      <c r="G14" s="136">
        <f>SUMIFS(Tableau_Data[Féminin],Tableau_Data[Province sanitaire],PS!$C14,Tableau_Data[Annee],PS!$F$3,Tableau_Data[Mois],PS!J$4)</f>
        <v>45</v>
      </c>
      <c r="H14" s="126"/>
      <c r="I14" s="137">
        <f t="shared" si="1"/>
        <v>115</v>
      </c>
      <c r="J14" s="126"/>
      <c r="K14" s="126"/>
      <c r="L14" s="138">
        <f>SUMIFS(Tableau_Data[Masculin],Tableau_Data[Province sanitaire],PS!$C14,Tableau_Data[Lieu d''intervention],PS!$L$9,Tableau_Data[Annee],PS!$F$3,Tableau_Data[Mois],PS!J$4)</f>
        <v>0</v>
      </c>
      <c r="M14" s="126"/>
      <c r="N14" s="136">
        <f>SUMIFS(Tableau_Data[Féminin],Tableau_Data[Province sanitaire],PS!$C14,Tableau_Data[Lieu d''intervention],PS!$L$9,Tableau_Data[Annee],PS!$F$3,Tableau_Data[Mois],PS!J$4)</f>
        <v>0</v>
      </c>
      <c r="O14" s="126"/>
      <c r="P14" s="137">
        <f t="shared" si="2"/>
        <v>0</v>
      </c>
      <c r="R14" s="136">
        <f>SUMIFS(Tableau_Data[Masculin],Tableau_Data[Province sanitaire],PS!$C14,Tableau_Data[Lieu d''intervention],PS!$R$9,Tableau_Data[Annee],PS!$F$3,Tableau_Data[Mois],PS!J$4)</f>
        <v>70</v>
      </c>
      <c r="S14" s="126"/>
      <c r="T14" s="136">
        <f>SUMIFS(Tableau_Data[Féminin],Tableau_Data[Province sanitaire],PS!$C14,Tableau_Data[Lieu d''intervention],PS!$R$9,Tableau_Data[Annee],PS!$F$3,Tableau_Data[Mois],PS!J$4)</f>
        <v>45</v>
      </c>
      <c r="U14" s="126"/>
      <c r="V14" s="137">
        <f t="shared" si="3"/>
        <v>115</v>
      </c>
      <c r="X14" s="136">
        <f>SUMIFS(Tableau_Data[Masculin],Tableau_Data[Province sanitaire],PS!$C14,Tableau_Data[Lieu d''intervention],PS!$X$9,Tableau_Data[Annee],PS!$F$3,Tableau_Data[Mois],PS!J$4)</f>
        <v>0</v>
      </c>
      <c r="Y14" s="126"/>
      <c r="Z14" s="136">
        <f>SUMIFS(Tableau_Data[Féminin],Tableau_Data[Province sanitaire],PS!$C14,Tableau_Data[Lieu d''intervention],PS!$X$9,Tableau_Data[Annee],PS!$F$3,Tableau_Data[Mois],PS!J$4)</f>
        <v>0</v>
      </c>
      <c r="AA14" s="126"/>
      <c r="AB14" s="137">
        <f t="shared" si="4"/>
        <v>0</v>
      </c>
      <c r="AD14" s="136">
        <f>SUMIFS(Tableau_Data[Masculin],Tableau_Data[Province sanitaire],PS!$C14,Tableau_Data[Lieu d''intervention],PS!$AD$9,Tableau_Data[Annee],PS!$F$3,Tableau_Data[Mois],PS!J$4)</f>
        <v>0</v>
      </c>
      <c r="AE14" s="126"/>
      <c r="AF14" s="136">
        <f>SUMIFS(Tableau_Data[Féminin],Tableau_Data[Province sanitaire],PS!$C14,Tableau_Data[Lieu d''intervention],PS!$AD$9,Tableau_Data[Annee],PS!$F$3,Tableau_Data[Mois],PS!J$4)</f>
        <v>0</v>
      </c>
      <c r="AG14" s="126"/>
      <c r="AH14" s="137">
        <f t="shared" si="5"/>
        <v>0</v>
      </c>
      <c r="AJ14" s="136">
        <f>SUMIFS(Tableau_Data[Masculin],Tableau_Data[Province sanitaire],PS!$C14,Tableau_Data[Thèmes],PS!$AJ$9,Tableau_Data[Annee],PS!$F$3,Tableau_Data[Mois],PS!J$4)</f>
        <v>0</v>
      </c>
      <c r="AK14" s="126"/>
      <c r="AL14" s="136">
        <f>SUMIFS(Tableau_Data[Féminin],Tableau_Data[Province sanitaire],PS!$C14,Tableau_Data[Thèmes],PS!$AJ$9,Tableau_Data[Annee],PS!$F$3,Tableau_Data[Mois],PS!J$4)</f>
        <v>0</v>
      </c>
      <c r="AM14" s="126"/>
      <c r="AN14" s="137">
        <f t="shared" si="6"/>
        <v>0</v>
      </c>
      <c r="AP14" s="136">
        <f>SUMIFS(Tableau_Data[Masculin],Tableau_Data[Province sanitaire],PS!$C14,Tableau_Data[Thèmes],PS!$AP$9,Tableau_Data[Annee],PS!$F$3,Tableau_Data[Mois],PS!J$4)</f>
        <v>0</v>
      </c>
      <c r="AQ14" s="126"/>
      <c r="AR14" s="136">
        <f>SUMIFS(Tableau_Data[Féminin],Tableau_Data[Province sanitaire],PS!$C14,Tableau_Data[Thèmes],PS!$AP$9,Tableau_Data[Annee],PS!$F$3,Tableau_Data[Mois],PS!J$4)</f>
        <v>0</v>
      </c>
      <c r="AS14" s="126"/>
      <c r="AT14" s="137">
        <f t="shared" si="7"/>
        <v>0</v>
      </c>
      <c r="AV14" s="136">
        <f>SUMIFS(Tableau_Data[Masculin],Tableau_Data[Province sanitaire],PS!$C14,Tableau_Data[Thèmes],PS!$AV$9,Tableau_Data[Annee],PS!$F$3,Tableau_Data[Mois],PS!J$4)</f>
        <v>70</v>
      </c>
      <c r="AW14" s="126"/>
      <c r="AX14" s="136">
        <f>SUMIFS(Tableau_Data[Féminin],Tableau_Data[Province sanitaire],PS!$C14,Tableau_Data[Thèmes],PS!$AV$9,Tableau_Data[Annee],PS!$F$3,Tableau_Data[Mois],PS!J$4)</f>
        <v>45</v>
      </c>
      <c r="AY14" s="126"/>
      <c r="AZ14" s="137">
        <f t="shared" si="8"/>
        <v>115</v>
      </c>
      <c r="BB14" s="136">
        <f>SUMIFS(Tableau_Data[Masculin],Tableau_Data[Province sanitaire],PS!$C14,Tableau_Data[Thèmes],PS!$BB$9,Tableau_Data[Annee],PS!$F$3,Tableau_Data[Mois],PS!J$4)</f>
        <v>0</v>
      </c>
      <c r="BC14" s="126"/>
      <c r="BD14" s="136">
        <f>SUMIFS(Tableau_Data[Féminin],Tableau_Data[Province sanitaire],PS!$C14,Tableau_Data[Thèmes],PS!$BB$9,Tableau_Data[Annee],PS!$F$3,Tableau_Data[Mois],PS!$J$4)</f>
        <v>0</v>
      </c>
      <c r="BE14" s="126"/>
      <c r="BF14" s="137">
        <f t="shared" si="9"/>
        <v>0</v>
      </c>
      <c r="BH14" s="136">
        <f>SUMIFS(Tableau_Data[Masculin],Tableau_Data[Province sanitaire],PS!$C14,Tableau_Data[Thèmes],PS!$BH$9,Tableau_Data[Annee],PS!$F$3,Tableau_Data[Mois],PS!$J$4)</f>
        <v>0</v>
      </c>
      <c r="BI14" s="126"/>
      <c r="BJ14" s="136">
        <f>SUMIFS(Tableau_Data[Féminin],Tableau_Data[Province sanitaire],PS!$C14,Tableau_Data[Thèmes],PS!$BH$9,Tableau_Data[Annee],PS!$F$3,Tableau_Data[Mois],PS!$J$4)</f>
        <v>0</v>
      </c>
      <c r="BK14" s="126"/>
      <c r="BL14" s="137">
        <f t="shared" si="10"/>
        <v>0</v>
      </c>
      <c r="BN14" s="136">
        <f>SUMIFS(Tableau_Data[Masculin],Tableau_Data[Province sanitaire],PS!$C14,Tableau_Data[Thèmes],PS!$BN$9,Tableau_Data[Annee],PS!$F$3,Tableau_Data[Mois],PS!$J$4)</f>
        <v>0</v>
      </c>
      <c r="BO14" s="126"/>
      <c r="BP14" s="136">
        <f>SUMIFS(Tableau_Data[Féminin],Tableau_Data[Province sanitaire],PS!$C14,Tableau_Data[Thèmes],PS!$BN$9,Tableau_Data[Annee],PS!$F$3,Tableau_Data[Mois],PS!$J$4)</f>
        <v>0</v>
      </c>
      <c r="BQ14" s="126"/>
      <c r="BR14" s="137">
        <f t="shared" si="11"/>
        <v>0</v>
      </c>
      <c r="BT14" s="136">
        <f>SUMIFS(Tableau_Data[Masculin],Tableau_Data[Province sanitaire],PS!$C14,Tableau_Data[Thèmes],PS!$BT$9,Tableau_Data[Annee],PS!$F$3,Tableau_Data[Mois],PS!$J$4)</f>
        <v>0</v>
      </c>
      <c r="BU14" s="126"/>
      <c r="BV14" s="136">
        <f>SUMIFS(Tableau_Data[Féminin],Tableau_Data[Province sanitaire],PS!$C14,Tableau_Data[Thèmes],PS!$BT$9,Tableau_Data[Annee],PS!$F$3,Tableau_Data[Mois],PS!$J$4)</f>
        <v>0</v>
      </c>
      <c r="BW14" s="126"/>
      <c r="BX14" s="137">
        <f t="shared" si="12"/>
        <v>0</v>
      </c>
    </row>
    <row r="15" spans="1:76" x14ac:dyDescent="0.3">
      <c r="B15" s="84"/>
      <c r="C15" s="84"/>
      <c r="D15" s="85"/>
      <c r="E15" s="85"/>
      <c r="F15" s="85"/>
      <c r="G15" s="85"/>
      <c r="H15" s="85"/>
      <c r="I15" s="129"/>
      <c r="J15" s="85"/>
      <c r="K15" s="85"/>
      <c r="L15" s="85"/>
      <c r="M15" s="85"/>
      <c r="N15" s="85"/>
      <c r="O15" s="85"/>
      <c r="P15" s="129"/>
      <c r="R15" s="85"/>
      <c r="S15" s="85"/>
      <c r="T15" s="85"/>
      <c r="U15" s="85"/>
      <c r="V15" s="129"/>
      <c r="W15" s="133"/>
      <c r="X15" s="85"/>
      <c r="Y15" s="85"/>
      <c r="Z15" s="85"/>
      <c r="AA15" s="85"/>
      <c r="AB15" s="129"/>
      <c r="AD15" s="85"/>
      <c r="AE15" s="85"/>
      <c r="AF15" s="85"/>
      <c r="AG15" s="85"/>
      <c r="AH15" s="129"/>
      <c r="AJ15" s="85"/>
      <c r="AK15" s="85"/>
      <c r="AL15" s="85"/>
      <c r="AM15" s="85"/>
      <c r="AN15" s="129"/>
      <c r="AP15" s="85"/>
      <c r="AQ15" s="85"/>
      <c r="AR15" s="85"/>
      <c r="AS15" s="85"/>
      <c r="AT15" s="129"/>
      <c r="AV15" s="85"/>
      <c r="AW15" s="85"/>
      <c r="AX15" s="85"/>
      <c r="AY15" s="85"/>
      <c r="AZ15" s="129"/>
      <c r="BB15" s="85"/>
      <c r="BC15" s="85"/>
      <c r="BD15" s="85"/>
      <c r="BE15" s="85"/>
      <c r="BF15" s="129"/>
      <c r="BH15" s="85"/>
      <c r="BI15" s="85"/>
      <c r="BJ15" s="85"/>
      <c r="BK15" s="85"/>
      <c r="BL15" s="129"/>
      <c r="BN15" s="85"/>
      <c r="BO15" s="85"/>
      <c r="BP15" s="85"/>
      <c r="BQ15" s="85"/>
      <c r="BR15" s="129"/>
      <c r="BT15" s="85"/>
      <c r="BU15" s="85"/>
      <c r="BV15" s="85"/>
      <c r="BW15" s="85"/>
      <c r="BX15" s="129"/>
    </row>
    <row r="16" spans="1:76" ht="24.75" customHeight="1" x14ac:dyDescent="0.3">
      <c r="B16" s="141"/>
      <c r="C16" s="86" t="s">
        <v>2</v>
      </c>
      <c r="D16" s="87"/>
      <c r="E16" s="87">
        <f>SUM(E12:E14)</f>
        <v>309</v>
      </c>
      <c r="F16" s="87"/>
      <c r="G16" s="87">
        <f>SUM(G12:G14)</f>
        <v>230</v>
      </c>
      <c r="H16" s="87"/>
      <c r="I16" s="87">
        <f>SUM(I12:I14)</f>
        <v>539</v>
      </c>
      <c r="J16" s="87"/>
      <c r="K16" s="87"/>
      <c r="L16" s="87">
        <f>SUM(L12:L14)</f>
        <v>0</v>
      </c>
      <c r="M16" s="87"/>
      <c r="N16" s="87">
        <f>SUM(N12:N14)</f>
        <v>0</v>
      </c>
      <c r="O16" s="87"/>
      <c r="P16" s="87">
        <f>SUM(P12:P14)</f>
        <v>0</v>
      </c>
      <c r="R16" s="87">
        <f>SUM(R12:R14)</f>
        <v>70</v>
      </c>
      <c r="S16" s="87"/>
      <c r="T16" s="87">
        <f>SUM(T12:T14)</f>
        <v>45</v>
      </c>
      <c r="U16" s="87"/>
      <c r="V16" s="87">
        <f>SUM(V12:V14)</f>
        <v>115</v>
      </c>
      <c r="W16" s="134"/>
      <c r="X16" s="87">
        <f>SUM(X12:X14)</f>
        <v>75</v>
      </c>
      <c r="Y16" s="87"/>
      <c r="Z16" s="87">
        <f>SUM(Z12:Z14)</f>
        <v>35</v>
      </c>
      <c r="AA16" s="87"/>
      <c r="AB16" s="87">
        <f>SUM(AB12:AB14)</f>
        <v>110</v>
      </c>
      <c r="AD16" s="87">
        <f>SUM(AD12:AD14)</f>
        <v>164</v>
      </c>
      <c r="AE16" s="87"/>
      <c r="AF16" s="87">
        <f>SUM(AF12:AF14)</f>
        <v>150</v>
      </c>
      <c r="AG16" s="87"/>
      <c r="AH16" s="87">
        <f>SUM(AH12:AH14)</f>
        <v>314</v>
      </c>
      <c r="AJ16" s="87">
        <f>SUM(AJ12:AJ14)</f>
        <v>34</v>
      </c>
      <c r="AK16" s="87"/>
      <c r="AL16" s="87">
        <f>SUM(AL12:AL14)</f>
        <v>70</v>
      </c>
      <c r="AM16" s="87"/>
      <c r="AN16" s="87">
        <f>SUM(AN12:AN14)</f>
        <v>104</v>
      </c>
      <c r="AP16" s="87">
        <f>SUM(AP12:AP14)</f>
        <v>0</v>
      </c>
      <c r="AQ16" s="87"/>
      <c r="AR16" s="87">
        <f>SUM(AR12:AR14)</f>
        <v>0</v>
      </c>
      <c r="AS16" s="87"/>
      <c r="AT16" s="87">
        <f>SUM(AT12:AT14)</f>
        <v>0</v>
      </c>
      <c r="AV16" s="87">
        <f>SUM(AV12:AV14)</f>
        <v>70</v>
      </c>
      <c r="AW16" s="87"/>
      <c r="AX16" s="87">
        <f>SUM(AX12:AX14)</f>
        <v>45</v>
      </c>
      <c r="AY16" s="87"/>
      <c r="AZ16" s="87">
        <f>SUM(AZ12:AZ14)</f>
        <v>115</v>
      </c>
      <c r="BB16" s="87">
        <f>SUM(BB12:BB14)</f>
        <v>0</v>
      </c>
      <c r="BC16" s="87"/>
      <c r="BD16" s="87">
        <f>SUM(BD12:BD14)</f>
        <v>0</v>
      </c>
      <c r="BE16" s="87"/>
      <c r="BF16" s="87">
        <f>SUM(BF12:BF14)</f>
        <v>0</v>
      </c>
      <c r="BH16" s="87">
        <f>SUM(BH12:BH14)</f>
        <v>75</v>
      </c>
      <c r="BI16" s="87"/>
      <c r="BJ16" s="87">
        <f>SUM(BJ12:BJ14)</f>
        <v>35</v>
      </c>
      <c r="BK16" s="87"/>
      <c r="BL16" s="87">
        <f>SUM(BL12:BL14)</f>
        <v>110</v>
      </c>
      <c r="BN16" s="87">
        <f>SUM(BN12:BN14)</f>
        <v>0</v>
      </c>
      <c r="BO16" s="87"/>
      <c r="BP16" s="87">
        <f>SUM(BP12:BP14)</f>
        <v>0</v>
      </c>
      <c r="BQ16" s="87"/>
      <c r="BR16" s="87">
        <f>SUM(BR12:BR14)</f>
        <v>0</v>
      </c>
      <c r="BT16" s="87">
        <f>SUM(BT12:BT14)</f>
        <v>130</v>
      </c>
      <c r="BU16" s="87"/>
      <c r="BV16" s="87">
        <f>SUM(BV12:BV14)</f>
        <v>80</v>
      </c>
      <c r="BW16" s="87"/>
      <c r="BX16" s="87">
        <f>SUM(BX12:BX14)</f>
        <v>210</v>
      </c>
    </row>
    <row r="17" spans="2:81" x14ac:dyDescent="0.3">
      <c r="B17" s="25"/>
      <c r="C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S17" s="132"/>
      <c r="T17" s="134"/>
      <c r="U17" s="134"/>
      <c r="V17" s="134"/>
      <c r="W17" s="134"/>
      <c r="X17" s="134"/>
      <c r="Y17" s="134"/>
      <c r="Z17" s="134"/>
      <c r="AA17" s="132"/>
      <c r="AB17" s="132"/>
      <c r="CB17" s="139" t="s">
        <v>3</v>
      </c>
      <c r="CC17" s="139">
        <v>1</v>
      </c>
    </row>
    <row r="18" spans="2:81" x14ac:dyDescent="0.3">
      <c r="CB18" s="139" t="s">
        <v>4</v>
      </c>
      <c r="CC18" s="139">
        <v>2</v>
      </c>
    </row>
    <row r="19" spans="2:81" x14ac:dyDescent="0.3">
      <c r="CB19" s="139" t="s">
        <v>5</v>
      </c>
      <c r="CC19" s="139">
        <v>3</v>
      </c>
    </row>
    <row r="20" spans="2:81" x14ac:dyDescent="0.3">
      <c r="CB20" s="139" t="s">
        <v>6</v>
      </c>
      <c r="CC20" s="139">
        <v>4</v>
      </c>
    </row>
    <row r="21" spans="2:81" ht="17.100000000000001" customHeight="1" x14ac:dyDescent="0.3">
      <c r="CB21" s="139" t="s">
        <v>7</v>
      </c>
      <c r="CC21" s="139">
        <v>5</v>
      </c>
    </row>
    <row r="22" spans="2:81" ht="17.100000000000001" customHeight="1" x14ac:dyDescent="0.3">
      <c r="CB22" s="139" t="s">
        <v>8</v>
      </c>
      <c r="CC22" s="139">
        <v>6</v>
      </c>
    </row>
    <row r="23" spans="2:81" ht="17.100000000000001" customHeight="1" x14ac:dyDescent="0.3">
      <c r="CB23" s="139" t="s">
        <v>9</v>
      </c>
      <c r="CC23" s="139">
        <v>7</v>
      </c>
    </row>
    <row r="24" spans="2:81" ht="17.100000000000001" customHeight="1" x14ac:dyDescent="0.3">
      <c r="CB24" s="139" t="s">
        <v>163</v>
      </c>
      <c r="CC24" s="139">
        <v>8</v>
      </c>
    </row>
    <row r="25" spans="2:81" ht="17.100000000000001" customHeight="1" x14ac:dyDescent="0.3">
      <c r="CB25" s="139" t="s">
        <v>10</v>
      </c>
      <c r="CC25" s="139">
        <v>9</v>
      </c>
    </row>
    <row r="26" spans="2:81" ht="17.100000000000001" customHeight="1" x14ac:dyDescent="0.3">
      <c r="CB26" s="139" t="s">
        <v>11</v>
      </c>
      <c r="CC26" s="139">
        <v>10</v>
      </c>
    </row>
    <row r="27" spans="2:81" ht="17.100000000000001" customHeight="1" x14ac:dyDescent="0.3">
      <c r="CB27" s="139" t="s">
        <v>12</v>
      </c>
      <c r="CC27" s="139">
        <v>11</v>
      </c>
    </row>
    <row r="28" spans="2:81" x14ac:dyDescent="0.3">
      <c r="CB28" s="139" t="s">
        <v>13</v>
      </c>
      <c r="CC28" s="139">
        <v>12</v>
      </c>
    </row>
    <row r="29" spans="2:81" ht="24.75" customHeight="1" x14ac:dyDescent="0.3"/>
    <row r="34" ht="17.100000000000001" customHeight="1" x14ac:dyDescent="0.3"/>
    <row r="35" ht="17.100000000000001" customHeight="1" x14ac:dyDescent="0.3"/>
    <row r="36" ht="17.100000000000001" customHeight="1" x14ac:dyDescent="0.3"/>
    <row r="37" ht="17.100000000000001" customHeight="1" x14ac:dyDescent="0.3"/>
    <row r="39" ht="24.75" customHeight="1" x14ac:dyDescent="0.3"/>
    <row r="43" ht="17.100000000000001" customHeight="1" x14ac:dyDescent="0.3"/>
    <row r="44" ht="17.100000000000001" customHeight="1" x14ac:dyDescent="0.3"/>
    <row r="45" ht="17.100000000000001" customHeight="1" x14ac:dyDescent="0.3"/>
    <row r="46" ht="17.100000000000001" customHeight="1" x14ac:dyDescent="0.3"/>
    <row r="48" ht="24.75" customHeight="1" x14ac:dyDescent="0.3"/>
    <row r="54" ht="17.100000000000001" customHeight="1" x14ac:dyDescent="0.3"/>
    <row r="55" ht="17.100000000000001" customHeight="1" x14ac:dyDescent="0.3"/>
    <row r="56" ht="17.100000000000001" customHeight="1" x14ac:dyDescent="0.3"/>
    <row r="57" ht="17.100000000000001" customHeight="1" x14ac:dyDescent="0.3"/>
    <row r="58" ht="17.100000000000001" customHeight="1" x14ac:dyDescent="0.3"/>
    <row r="59" ht="17.100000000000001" customHeight="1" x14ac:dyDescent="0.3"/>
    <row r="60" ht="17.100000000000001" customHeight="1" x14ac:dyDescent="0.3"/>
    <row r="62" ht="24.75" customHeight="1" x14ac:dyDescent="0.3"/>
    <row r="67" ht="17.100000000000001" customHeight="1" x14ac:dyDescent="0.3"/>
    <row r="68" ht="17.100000000000001" customHeight="1" x14ac:dyDescent="0.3"/>
    <row r="69" ht="17.100000000000001" customHeight="1" x14ac:dyDescent="0.3"/>
    <row r="70" ht="17.100000000000001" customHeight="1" x14ac:dyDescent="0.3"/>
    <row r="71" ht="17.100000000000001" customHeight="1" x14ac:dyDescent="0.3"/>
    <row r="72" ht="17.100000000000001" customHeight="1" x14ac:dyDescent="0.3"/>
    <row r="73" ht="17.100000000000001" customHeight="1" x14ac:dyDescent="0.3"/>
    <row r="75" ht="24.75" customHeight="1" x14ac:dyDescent="0.3"/>
  </sheetData>
  <mergeCells count="32">
    <mergeCell ref="E1:F1"/>
    <mergeCell ref="H1:I1"/>
    <mergeCell ref="K1:O1"/>
    <mergeCell ref="E2:F2"/>
    <mergeCell ref="H2:I2"/>
    <mergeCell ref="BN7:BR7"/>
    <mergeCell ref="BT7:BX7"/>
    <mergeCell ref="H4:I4"/>
    <mergeCell ref="B6:C6"/>
    <mergeCell ref="E6:I6"/>
    <mergeCell ref="L6:AH6"/>
    <mergeCell ref="AJ6:BX6"/>
    <mergeCell ref="L7:P7"/>
    <mergeCell ref="R7:V7"/>
    <mergeCell ref="X7:AB7"/>
    <mergeCell ref="AD7:AH7"/>
    <mergeCell ref="AJ7:AN7"/>
    <mergeCell ref="AP7:AT7"/>
    <mergeCell ref="AV7:AZ7"/>
    <mergeCell ref="BB7:BF7"/>
    <mergeCell ref="BH7:BL7"/>
    <mergeCell ref="AV9:AZ9"/>
    <mergeCell ref="BB9:BF9"/>
    <mergeCell ref="BH9:BL9"/>
    <mergeCell ref="BN9:BR9"/>
    <mergeCell ref="BT9:BX9"/>
    <mergeCell ref="AP9:AT9"/>
    <mergeCell ref="L9:P9"/>
    <mergeCell ref="R9:V9"/>
    <mergeCell ref="X9:AB9"/>
    <mergeCell ref="AD9:AH9"/>
    <mergeCell ref="AJ9:AN9"/>
  </mergeCells>
  <dataValidations count="1">
    <dataValidation type="list" allowBlank="1" showInputMessage="1" showErrorMessage="1" sqref="H4:I4">
      <formula1>$CB$17:$CB$28</formula1>
    </dataValidation>
  </dataValidations>
  <pageMargins left="0.46" right="0.32" top="0.28999999999999998" bottom="0.35" header="0.19" footer="0.3"/>
  <pageSetup paperSize="9" scale="2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5187625C-4B23-417C-A57B-2F25872411F4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Paramètres!$J$21:$J$35</xm:f>
          </x14:formula1>
          <xm:sqref>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nthèse9">
    <tabColor theme="9" tint="-0.249977111117893"/>
    <pageSetUpPr fitToPage="1"/>
  </sheetPr>
  <dimension ref="A1:CC76"/>
  <sheetViews>
    <sheetView showGridLines="0" zoomScale="90" zoomScaleNormal="90" workbookViewId="0">
      <pane xSplit="3" ySplit="8" topLeftCell="D9" activePane="bottomRight" state="frozen"/>
      <selection activeCell="B1" sqref="B1"/>
      <selection pane="topRight" activeCell="D1" sqref="D1"/>
      <selection pane="bottomLeft" activeCell="B9" sqref="B9"/>
      <selection pane="bottomRight" activeCell="N4" sqref="N4"/>
    </sheetView>
  </sheetViews>
  <sheetFormatPr baseColWidth="10" defaultRowHeight="16.5" x14ac:dyDescent="0.3"/>
  <cols>
    <col min="1" max="2" width="9.5703125" style="17" customWidth="1"/>
    <col min="3" max="3" width="25.28515625" style="17" customWidth="1"/>
    <col min="4" max="4" width="11.42578125" style="25"/>
    <col min="5" max="5" width="17.28515625" style="17" customWidth="1"/>
    <col min="6" max="6" width="3" style="17" customWidth="1"/>
    <col min="7" max="7" width="18.85546875" style="17" customWidth="1"/>
    <col min="8" max="8" width="2.28515625" style="17" customWidth="1"/>
    <col min="9" max="9" width="17.5703125" style="17" customWidth="1"/>
    <col min="10" max="10" width="6.85546875" style="17" customWidth="1"/>
    <col min="11" max="11" width="5.85546875" style="17" customWidth="1"/>
    <col min="12" max="12" width="7.28515625" style="17" customWidth="1"/>
    <col min="13" max="13" width="2.28515625" style="17" customWidth="1"/>
    <col min="14" max="14" width="7.140625" style="17" customWidth="1"/>
    <col min="15" max="15" width="3.140625" style="17" customWidth="1"/>
    <col min="16" max="16" width="7.42578125" style="17" customWidth="1"/>
    <col min="17" max="17" width="3" style="17" customWidth="1"/>
    <col min="18" max="18" width="8.140625" style="17" customWidth="1"/>
    <col min="19" max="19" width="2.28515625" style="17" customWidth="1"/>
    <col min="20" max="20" width="8" style="17" customWidth="1"/>
    <col min="21" max="21" width="2.28515625" style="17" customWidth="1"/>
    <col min="22" max="22" width="7.140625" style="17" customWidth="1"/>
    <col min="23" max="23" width="3" style="17" customWidth="1"/>
    <col min="24" max="24" width="7.7109375" style="17" customWidth="1"/>
    <col min="25" max="25" width="1.85546875" style="17" customWidth="1"/>
    <col min="26" max="26" width="7.28515625" style="17" customWidth="1"/>
    <col min="27" max="27" width="1.85546875" style="17" customWidth="1"/>
    <col min="28" max="28" width="8.140625" style="17" customWidth="1"/>
    <col min="29" max="29" width="2.28515625" style="17" customWidth="1"/>
    <col min="30" max="30" width="7.140625" style="17" customWidth="1"/>
    <col min="31" max="31" width="2" style="17" customWidth="1"/>
    <col min="32" max="32" width="8" style="17" customWidth="1"/>
    <col min="33" max="33" width="1.7109375" style="17" customWidth="1"/>
    <col min="34" max="34" width="7.5703125" style="17" customWidth="1"/>
    <col min="35" max="35" width="11.42578125" style="17"/>
    <col min="36" max="36" width="7.28515625" style="17" customWidth="1"/>
    <col min="37" max="37" width="1.7109375" style="17" customWidth="1"/>
    <col min="38" max="38" width="7.28515625" style="17" customWidth="1"/>
    <col min="39" max="39" width="2" style="17" customWidth="1"/>
    <col min="40" max="40" width="7.7109375" style="17" customWidth="1"/>
    <col min="41" max="41" width="3.7109375" style="17" customWidth="1"/>
    <col min="42" max="42" width="8.42578125" style="17" customWidth="1"/>
    <col min="43" max="43" width="2.28515625" style="17" customWidth="1"/>
    <col min="44" max="44" width="8.140625" style="17" customWidth="1"/>
    <col min="45" max="45" width="1.85546875" style="17" customWidth="1"/>
    <col min="46" max="46" width="8.7109375" style="17" customWidth="1"/>
    <col min="47" max="47" width="3.28515625" style="17" customWidth="1"/>
    <col min="48" max="48" width="7.28515625" style="17" customWidth="1"/>
    <col min="49" max="49" width="2" style="17" customWidth="1"/>
    <col min="50" max="50" width="8" style="17" customWidth="1"/>
    <col min="51" max="51" width="2" style="17" customWidth="1"/>
    <col min="52" max="52" width="7.28515625" style="17" customWidth="1"/>
    <col min="53" max="53" width="3.28515625" style="17" customWidth="1"/>
    <col min="54" max="54" width="8.42578125" style="17" customWidth="1"/>
    <col min="55" max="55" width="1.5703125" style="17" customWidth="1"/>
    <col min="56" max="56" width="8.140625" style="17" customWidth="1"/>
    <col min="57" max="57" width="1.7109375" style="17" customWidth="1"/>
    <col min="58" max="58" width="8.140625" style="17" customWidth="1"/>
    <col min="59" max="59" width="2.7109375" style="17" customWidth="1"/>
    <col min="60" max="60" width="8.140625" style="17" customWidth="1"/>
    <col min="61" max="61" width="1.85546875" style="17" customWidth="1"/>
    <col min="62" max="62" width="8.42578125" style="17" customWidth="1"/>
    <col min="63" max="63" width="1.5703125" style="17" customWidth="1"/>
    <col min="64" max="64" width="8.140625" style="17" customWidth="1"/>
    <col min="65" max="65" width="2.7109375" style="17" customWidth="1"/>
    <col min="66" max="66" width="8.42578125" style="17" customWidth="1"/>
    <col min="67" max="67" width="2.28515625" style="17" customWidth="1"/>
    <col min="68" max="68" width="7.5703125" style="17" customWidth="1"/>
    <col min="69" max="69" width="1.85546875" style="17" customWidth="1"/>
    <col min="70" max="70" width="8.28515625" style="17" customWidth="1"/>
    <col min="71" max="71" width="2.140625" style="17" customWidth="1"/>
    <col min="72" max="72" width="8.5703125" style="17" customWidth="1"/>
    <col min="73" max="73" width="1.7109375" style="17" customWidth="1"/>
    <col min="74" max="74" width="8.42578125" style="17" customWidth="1"/>
    <col min="75" max="75" width="1.7109375" style="17" customWidth="1"/>
    <col min="76" max="76" width="8.85546875" style="17" customWidth="1"/>
    <col min="77" max="16384" width="11.42578125" style="17"/>
  </cols>
  <sheetData>
    <row r="1" spans="1:76" ht="17.25" thickBot="1" x14ac:dyDescent="0.35">
      <c r="E1" s="261" t="s">
        <v>201</v>
      </c>
      <c r="F1" s="261"/>
      <c r="H1" s="261" t="s">
        <v>202</v>
      </c>
      <c r="I1" s="261"/>
      <c r="K1" s="274">
        <f ca="1">TODAY()</f>
        <v>42701</v>
      </c>
      <c r="L1" s="275"/>
      <c r="M1" s="275"/>
      <c r="N1" s="275"/>
      <c r="O1" s="276"/>
    </row>
    <row r="2" spans="1:76" ht="27.75" thickBot="1" x14ac:dyDescent="0.4">
      <c r="C2" s="80" t="s">
        <v>75</v>
      </c>
      <c r="D2" s="124"/>
      <c r="E2" s="262">
        <f>SUMIFS(Tableau_Data[Masculin],Tableau_Data[Annee],ASBL!C$3)</f>
        <v>492</v>
      </c>
      <c r="F2" s="263"/>
      <c r="G2" s="22"/>
      <c r="H2" s="264">
        <f>SUMIFS(Tableau_Data[Féminin],Tableau_Data[Annee],ASBL!C$3)</f>
        <v>355</v>
      </c>
      <c r="I2" s="265"/>
      <c r="J2" s="22"/>
      <c r="K2" s="154"/>
      <c r="L2" s="185">
        <f>SUMIFS(Tableau_Data[Masculin],Tableau_Data[Lieu d''intervention],$L$9,Tableau_Data[Annee],$F$3)</f>
        <v>0</v>
      </c>
      <c r="N2" s="186">
        <f>SUMIFS(Tableau_Data[Féminin],Tableau_Data[Lieu d''intervention],$L$9,Tableau_Data[Annee],$F$3)</f>
        <v>0</v>
      </c>
      <c r="O2" s="24"/>
      <c r="P2" s="187">
        <f>SUM(L2:N2)</f>
        <v>0</v>
      </c>
      <c r="R2" s="185">
        <f>SUMIFS(Tableau_Data[Masculin],Tableau_Data[Lieu d''intervention],$R$9,Tableau_Data[Annee],$F$3)</f>
        <v>70</v>
      </c>
      <c r="T2" s="186">
        <f>SUMIFS(Tableau_Data[Féminin],Tableau_Data[Lieu d''intervention],$R$9,Tableau_Data[Annee],$F$3)</f>
        <v>45</v>
      </c>
      <c r="U2" s="24"/>
      <c r="V2" s="187">
        <f>SUM(R2:T2)</f>
        <v>115</v>
      </c>
      <c r="X2" s="185">
        <f>SUMIFS(Tableau_Data[Masculin],Tableau_Data[Lieu d''intervention],$X$9,Tableau_Data[Annee],$F$3)</f>
        <v>150</v>
      </c>
      <c r="Z2" s="186">
        <f>SUMIFS(Tableau_Data[Féminin],Tableau_Data[Lieu d''intervention],$X$9,Tableau_Data[Annee],$F$3)</f>
        <v>50</v>
      </c>
      <c r="AA2" s="24"/>
      <c r="AB2" s="187">
        <f>SUM(X2:Z2)</f>
        <v>200</v>
      </c>
      <c r="AD2" s="185">
        <f>SUMIFS(Tableau_Data[Masculin],Tableau_Data[Lieu d''intervention],$AD$9,Tableau_Data[Annee],$F$3)</f>
        <v>272</v>
      </c>
      <c r="AF2" s="186">
        <f>SUMIFS(Tableau_Data[Féminin],Tableau_Data[Lieu d''intervention],$AD$9,Tableau_Data[Annee],$F$3)</f>
        <v>260</v>
      </c>
      <c r="AG2" s="24"/>
      <c r="AH2" s="187">
        <f>SUM(AD2:AF2)</f>
        <v>532</v>
      </c>
      <c r="AJ2" s="185">
        <f>SUMIFS(Tableau_Data[Masculin],Tableau_Data[Thèmes],$AJ$9,Tableau_Data[Annee],$F$3)</f>
        <v>34</v>
      </c>
      <c r="AL2" s="186">
        <f>SUMIFS(Tableau_Data[Féminin],Tableau_Data[Thèmes],$AJ$9,Tableau_Data[Annee],$F$3)</f>
        <v>70</v>
      </c>
      <c r="AM2" s="24"/>
      <c r="AN2" s="187">
        <f>SUM(AJ2:AL2)</f>
        <v>104</v>
      </c>
      <c r="AP2" s="185">
        <f>SUMIFS(Tableau_Data[Masculin],Tableau_Data[Thèmes],$AP$9,Tableau_Data[Annee],$F$3)</f>
        <v>0</v>
      </c>
      <c r="AR2" s="186">
        <f>SUMIFS(Tableau_Data[Féminin],Tableau_Data[Thèmes],$AP$9,Tableau_Data[Annee],$F$3)</f>
        <v>0</v>
      </c>
      <c r="AS2" s="24"/>
      <c r="AT2" s="187">
        <f>SUM(AP2:AR2)</f>
        <v>0</v>
      </c>
      <c r="AV2" s="185">
        <f>SUMIFS(Tableau_Data[Masculin],Tableau_Data[Thèmes],$AV$9,Tableau_Data[Annee],$F$3)</f>
        <v>70</v>
      </c>
      <c r="AX2" s="186">
        <f>SUMIFS(Tableau_Data[Féminin],Tableau_Data[Thèmes],$AV$9,Tableau_Data[Annee],$F$3)</f>
        <v>45</v>
      </c>
      <c r="AY2" s="24"/>
      <c r="AZ2" s="187">
        <f>SUM(AV2:AX2)</f>
        <v>115</v>
      </c>
      <c r="BB2" s="185">
        <f>SUMIFS(Tableau_Data[Masculin],Tableau_Data[Thèmes],$BB$9,Tableau_Data[Annee],$F$3)</f>
        <v>80</v>
      </c>
      <c r="BD2" s="186">
        <f>SUMIFS(Tableau_Data[Féminin],Tableau_Data[Thèmes],$BB$9,Tableau_Data[Annee],$F$3)</f>
        <v>50</v>
      </c>
      <c r="BE2" s="24"/>
      <c r="BF2" s="187">
        <f>SUM(BB2:BD2)</f>
        <v>130</v>
      </c>
      <c r="BH2" s="185">
        <f>SUMIFS(Tableau_Data[Masculin],Tableau_Data[Thèmes],$BH$9,Tableau_Data[Annee],$F$3)</f>
        <v>75</v>
      </c>
      <c r="BJ2" s="186">
        <f>SUMIFS(Tableau_Data[Féminin],Tableau_Data[Thèmes],$BH$9,Tableau_Data[Annee],$F$3)</f>
        <v>35</v>
      </c>
      <c r="BK2" s="24"/>
      <c r="BL2" s="187">
        <f>SUM(BH2:BJ2)</f>
        <v>110</v>
      </c>
      <c r="BN2" s="185">
        <f>SUMIFS(Tableau_Data[Masculin],Tableau_Data[Thèmes],$BN$9,Tableau_Data[Annee],$F$3)</f>
        <v>0</v>
      </c>
      <c r="BP2" s="186">
        <f>SUMIFS(Tableau_Data[Féminin],Tableau_Data[Thèmes],$BN$9,Tableau_Data[Annee],$F$3)</f>
        <v>0</v>
      </c>
      <c r="BQ2" s="24"/>
      <c r="BR2" s="187">
        <f>SUM(BN2:BP2)</f>
        <v>0</v>
      </c>
      <c r="BT2" s="185">
        <f>SUMIFS(Tableau_Data[Masculin],Tableau_Data[Thèmes],$BT$9,Tableau_Data[Annee],$F$3)</f>
        <v>233</v>
      </c>
      <c r="BV2" s="186">
        <f>SUMIFS(Tableau_Data[Féminin],Tableau_Data[Thèmes],$BT$9,Tableau_Data[Annee],$F$3)</f>
        <v>155</v>
      </c>
      <c r="BW2" s="24"/>
      <c r="BX2" s="187">
        <f>SUM(BT2:BV2)</f>
        <v>388</v>
      </c>
    </row>
    <row r="3" spans="1:76" ht="21.75" thickBot="1" x14ac:dyDescent="0.4">
      <c r="C3" s="121">
        <v>2016</v>
      </c>
      <c r="D3" s="125"/>
      <c r="F3" s="19">
        <f>C3</f>
        <v>2016</v>
      </c>
      <c r="G3" s="18"/>
      <c r="H3" s="18"/>
      <c r="I3" s="18"/>
      <c r="J3" s="18"/>
      <c r="K3" s="18"/>
      <c r="M3" s="23"/>
      <c r="O3" s="81"/>
    </row>
    <row r="4" spans="1:76" ht="25.5" customHeight="1" x14ac:dyDescent="0.3">
      <c r="D4" s="79"/>
      <c r="E4" s="78"/>
      <c r="F4" s="79"/>
      <c r="H4" s="256" t="s">
        <v>3</v>
      </c>
      <c r="I4" s="257"/>
      <c r="J4" s="152">
        <f>VLOOKUP(H4,ASBL!$CB$18:$CC$29,2,0)</f>
        <v>1</v>
      </c>
    </row>
    <row r="5" spans="1:76" ht="30.75" customHeight="1" thickBot="1" x14ac:dyDescent="0.35"/>
    <row r="6" spans="1:76" ht="31.5" customHeight="1" thickBot="1" x14ac:dyDescent="0.35">
      <c r="B6" s="286" t="s">
        <v>76</v>
      </c>
      <c r="C6" s="287"/>
      <c r="D6" s="142"/>
      <c r="E6" s="266" t="s">
        <v>164</v>
      </c>
      <c r="F6" s="267"/>
      <c r="G6" s="267"/>
      <c r="H6" s="267"/>
      <c r="I6" s="268"/>
      <c r="J6" s="142"/>
      <c r="K6" s="142"/>
      <c r="L6" s="269" t="s">
        <v>166</v>
      </c>
      <c r="M6" s="270"/>
      <c r="N6" s="270"/>
      <c r="O6" s="270"/>
      <c r="P6" s="270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8"/>
      <c r="AJ6" s="288" t="s">
        <v>167</v>
      </c>
      <c r="AK6" s="289"/>
      <c r="AL6" s="289"/>
      <c r="AM6" s="289"/>
      <c r="AN6" s="289"/>
      <c r="AO6" s="290"/>
      <c r="AP6" s="290"/>
      <c r="AQ6" s="290"/>
      <c r="AR6" s="290"/>
      <c r="AS6" s="290"/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0"/>
      <c r="BE6" s="290"/>
      <c r="BF6" s="290"/>
      <c r="BG6" s="290"/>
      <c r="BH6" s="290"/>
      <c r="BI6" s="290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  <c r="BV6" s="290"/>
      <c r="BW6" s="290"/>
      <c r="BX6" s="291"/>
    </row>
    <row r="7" spans="1:76" ht="17.25" customHeight="1" x14ac:dyDescent="0.3">
      <c r="B7" s="21"/>
      <c r="C7" s="21"/>
      <c r="D7" s="143"/>
      <c r="E7" s="144" t="str">
        <f>E10</f>
        <v>MASCULIN</v>
      </c>
      <c r="F7" s="143"/>
      <c r="G7" s="144" t="str">
        <f>G10</f>
        <v>FEMININ</v>
      </c>
      <c r="H7" s="143"/>
      <c r="I7" s="143"/>
      <c r="J7" s="143"/>
      <c r="K7" s="143"/>
      <c r="L7" s="271" t="str">
        <f>L9</f>
        <v>ECOLE</v>
      </c>
      <c r="M7" s="272"/>
      <c r="N7" s="272"/>
      <c r="O7" s="272"/>
      <c r="P7" s="273"/>
      <c r="R7" s="271" t="str">
        <f>R9</f>
        <v>CENTRE DE SANTE</v>
      </c>
      <c r="S7" s="272"/>
      <c r="T7" s="272"/>
      <c r="U7" s="272"/>
      <c r="V7" s="273"/>
      <c r="W7" s="150"/>
      <c r="X7" s="271" t="str">
        <f>X9</f>
        <v>COMMUNAUTE</v>
      </c>
      <c r="Y7" s="272"/>
      <c r="Z7" s="272"/>
      <c r="AA7" s="272"/>
      <c r="AB7" s="273"/>
      <c r="AC7" s="150"/>
      <c r="AD7" s="271" t="str">
        <f>AD9</f>
        <v>AUTRES</v>
      </c>
      <c r="AE7" s="272"/>
      <c r="AF7" s="272"/>
      <c r="AG7" s="272"/>
      <c r="AH7" s="273"/>
      <c r="AJ7" s="253" t="str">
        <f>AJ9</f>
        <v>IST/VIH SIDA</v>
      </c>
      <c r="AK7" s="254"/>
      <c r="AL7" s="254"/>
      <c r="AM7" s="254"/>
      <c r="AN7" s="255"/>
      <c r="AP7" s="253" t="str">
        <f>AP9</f>
        <v>Violences sexuelles/VBG</v>
      </c>
      <c r="AQ7" s="254"/>
      <c r="AR7" s="254"/>
      <c r="AS7" s="254"/>
      <c r="AT7" s="255"/>
      <c r="AV7" s="253" t="str">
        <f>AV9</f>
        <v>Amour et Sexualité</v>
      </c>
      <c r="AW7" s="254"/>
      <c r="AX7" s="254"/>
      <c r="AY7" s="254"/>
      <c r="AZ7" s="255"/>
      <c r="BB7" s="253" t="str">
        <f>BB9</f>
        <v>Grossesses non désirées</v>
      </c>
      <c r="BC7" s="254"/>
      <c r="BD7" s="254"/>
      <c r="BE7" s="254"/>
      <c r="BF7" s="255"/>
      <c r="BH7" s="253" t="str">
        <f>BH9</f>
        <v>PF</v>
      </c>
      <c r="BI7" s="254"/>
      <c r="BJ7" s="254"/>
      <c r="BK7" s="254"/>
      <c r="BL7" s="255"/>
      <c r="BN7" s="253" t="str">
        <f>BN9</f>
        <v>CPN</v>
      </c>
      <c r="BO7" s="254"/>
      <c r="BP7" s="254"/>
      <c r="BQ7" s="254"/>
      <c r="BR7" s="255"/>
      <c r="BT7" s="253" t="str">
        <f>BT9</f>
        <v>Autres</v>
      </c>
      <c r="BU7" s="254"/>
      <c r="BV7" s="254"/>
      <c r="BW7" s="254"/>
      <c r="BX7" s="255"/>
    </row>
    <row r="8" spans="1:76" ht="19.5" customHeight="1" x14ac:dyDescent="0.3">
      <c r="B8" s="21"/>
      <c r="C8" s="21"/>
      <c r="D8" s="84"/>
      <c r="E8" s="149">
        <f>E17</f>
        <v>309</v>
      </c>
      <c r="F8" s="145"/>
      <c r="G8" s="147">
        <f>G17</f>
        <v>230</v>
      </c>
      <c r="H8" s="145"/>
      <c r="I8" s="149">
        <f>I17</f>
        <v>539</v>
      </c>
      <c r="J8" s="21"/>
      <c r="K8" s="21"/>
      <c r="L8" s="149">
        <f>L17</f>
        <v>0</v>
      </c>
      <c r="M8" s="151"/>
      <c r="N8" s="147">
        <f>N17</f>
        <v>0</v>
      </c>
      <c r="O8" s="151"/>
      <c r="P8" s="148">
        <f>P17</f>
        <v>0</v>
      </c>
      <c r="Q8" s="146"/>
      <c r="R8" s="148">
        <f t="shared" ref="R8:AF8" si="0">R17</f>
        <v>70</v>
      </c>
      <c r="S8" s="146"/>
      <c r="T8" s="147">
        <f t="shared" si="0"/>
        <v>45</v>
      </c>
      <c r="U8" s="146"/>
      <c r="V8" s="148">
        <f t="shared" si="0"/>
        <v>115</v>
      </c>
      <c r="W8" s="146"/>
      <c r="X8" s="148">
        <f t="shared" si="0"/>
        <v>75</v>
      </c>
      <c r="Y8" s="146">
        <f t="shared" si="0"/>
        <v>0</v>
      </c>
      <c r="Z8" s="147">
        <f t="shared" si="0"/>
        <v>35</v>
      </c>
      <c r="AA8" s="146">
        <f t="shared" si="0"/>
        <v>0</v>
      </c>
      <c r="AB8" s="148">
        <f t="shared" si="0"/>
        <v>110</v>
      </c>
      <c r="AC8" s="146"/>
      <c r="AD8" s="148">
        <f t="shared" si="0"/>
        <v>164</v>
      </c>
      <c r="AE8" s="146"/>
      <c r="AF8" s="147">
        <f t="shared" si="0"/>
        <v>150</v>
      </c>
      <c r="AG8" s="146"/>
      <c r="AH8" s="148">
        <f>AH17</f>
        <v>314</v>
      </c>
      <c r="AJ8" s="148">
        <f>AJ17</f>
        <v>34</v>
      </c>
      <c r="AL8" s="147">
        <f>AL17</f>
        <v>70</v>
      </c>
      <c r="AN8" s="148">
        <f>AN17</f>
        <v>104</v>
      </c>
      <c r="AP8" s="148">
        <f>AP17</f>
        <v>0</v>
      </c>
      <c r="AR8" s="147">
        <f>AR17</f>
        <v>0</v>
      </c>
      <c r="AT8" s="148">
        <f>AT17</f>
        <v>0</v>
      </c>
      <c r="AV8" s="148">
        <f>AV17</f>
        <v>70</v>
      </c>
      <c r="AX8" s="147">
        <f>AX17</f>
        <v>45</v>
      </c>
      <c r="AZ8" s="148">
        <f>AZ17</f>
        <v>115</v>
      </c>
      <c r="BB8" s="148">
        <f>BB17</f>
        <v>0</v>
      </c>
      <c r="BD8" s="147">
        <f>BD17</f>
        <v>0</v>
      </c>
      <c r="BF8" s="148">
        <f>BF17</f>
        <v>0</v>
      </c>
      <c r="BH8" s="148">
        <f>BH17</f>
        <v>75</v>
      </c>
      <c r="BJ8" s="147">
        <f>BJ17</f>
        <v>35</v>
      </c>
      <c r="BL8" s="148">
        <f>BL17</f>
        <v>110</v>
      </c>
      <c r="BN8" s="148">
        <f>BN17</f>
        <v>0</v>
      </c>
      <c r="BP8" s="147">
        <f>BP17</f>
        <v>0</v>
      </c>
      <c r="BR8" s="148">
        <f>BR17</f>
        <v>0</v>
      </c>
      <c r="BT8" s="148">
        <f>BT17</f>
        <v>130</v>
      </c>
      <c r="BV8" s="147">
        <f>BV17</f>
        <v>80</v>
      </c>
      <c r="BX8" s="148">
        <f>BX17</f>
        <v>210</v>
      </c>
    </row>
    <row r="9" spans="1:76" ht="21" customHeight="1" thickBot="1" x14ac:dyDescent="0.35">
      <c r="F9" s="25"/>
      <c r="L9" s="258" t="str">
        <f>Paramètres!B7</f>
        <v>ECOLE</v>
      </c>
      <c r="M9" s="259"/>
      <c r="N9" s="259"/>
      <c r="O9" s="259"/>
      <c r="P9" s="260"/>
      <c r="R9" s="258" t="str">
        <f>Paramètres!B8</f>
        <v>CENTRE DE SANTE</v>
      </c>
      <c r="S9" s="259"/>
      <c r="T9" s="259"/>
      <c r="U9" s="259"/>
      <c r="V9" s="260"/>
      <c r="X9" s="258" t="str">
        <f>Paramètres!B9</f>
        <v>COMMUNAUTE</v>
      </c>
      <c r="Y9" s="259"/>
      <c r="Z9" s="259"/>
      <c r="AA9" s="259"/>
      <c r="AB9" s="260"/>
      <c r="AD9" s="258" t="str">
        <f>Paramètres!B10</f>
        <v>AUTRES</v>
      </c>
      <c r="AE9" s="259"/>
      <c r="AF9" s="259"/>
      <c r="AG9" s="259"/>
      <c r="AH9" s="260"/>
      <c r="AJ9" s="258" t="str">
        <f>Paramètres!F7</f>
        <v>IST/VIH SIDA</v>
      </c>
      <c r="AK9" s="259"/>
      <c r="AL9" s="259"/>
      <c r="AM9" s="259"/>
      <c r="AN9" s="260"/>
      <c r="AP9" s="258" t="str">
        <f>Paramètres!F8</f>
        <v>Violences sexuelles/VBG</v>
      </c>
      <c r="AQ9" s="259"/>
      <c r="AR9" s="259"/>
      <c r="AS9" s="259"/>
      <c r="AT9" s="260"/>
      <c r="AV9" s="258" t="str">
        <f>Paramètres!F9</f>
        <v>Amour et Sexualité</v>
      </c>
      <c r="AW9" s="259"/>
      <c r="AX9" s="259"/>
      <c r="AY9" s="259"/>
      <c r="AZ9" s="260"/>
      <c r="BB9" s="258" t="str">
        <f>Paramètres!F10</f>
        <v>Grossesses non désirées</v>
      </c>
      <c r="BC9" s="259"/>
      <c r="BD9" s="259"/>
      <c r="BE9" s="259"/>
      <c r="BF9" s="260"/>
      <c r="BH9" s="258" t="str">
        <f>Paramètres!F11</f>
        <v>PF</v>
      </c>
      <c r="BI9" s="259"/>
      <c r="BJ9" s="259"/>
      <c r="BK9" s="259"/>
      <c r="BL9" s="260"/>
      <c r="BN9" s="258" t="str">
        <f>Paramètres!F12</f>
        <v>CPN</v>
      </c>
      <c r="BO9" s="259"/>
      <c r="BP9" s="259"/>
      <c r="BQ9" s="259"/>
      <c r="BR9" s="260"/>
      <c r="BT9" s="258" t="str">
        <f>Paramètres!F13</f>
        <v>Autres</v>
      </c>
      <c r="BU9" s="259"/>
      <c r="BV9" s="259"/>
      <c r="BW9" s="259"/>
      <c r="BX9" s="260"/>
    </row>
    <row r="10" spans="1:76" ht="17.25" thickBot="1" x14ac:dyDescent="0.35">
      <c r="E10" s="127" t="s">
        <v>203</v>
      </c>
      <c r="F10" s="25"/>
      <c r="G10" s="128" t="s">
        <v>204</v>
      </c>
      <c r="L10" s="130" t="s">
        <v>197</v>
      </c>
      <c r="M10" s="25"/>
      <c r="N10" s="131" t="s">
        <v>87</v>
      </c>
      <c r="R10" s="130" t="s">
        <v>197</v>
      </c>
      <c r="S10" s="25"/>
      <c r="T10" s="131" t="s">
        <v>87</v>
      </c>
      <c r="X10" s="130" t="s">
        <v>197</v>
      </c>
      <c r="Y10" s="25"/>
      <c r="Z10" s="131" t="s">
        <v>87</v>
      </c>
      <c r="AD10" s="130" t="s">
        <v>197</v>
      </c>
      <c r="AE10" s="25"/>
      <c r="AF10" s="131" t="s">
        <v>87</v>
      </c>
      <c r="AJ10" s="130" t="s">
        <v>197</v>
      </c>
      <c r="AK10" s="25"/>
      <c r="AL10" s="131" t="s">
        <v>87</v>
      </c>
      <c r="AP10" s="130" t="s">
        <v>197</v>
      </c>
      <c r="AQ10" s="25"/>
      <c r="AR10" s="131" t="s">
        <v>87</v>
      </c>
      <c r="AV10" s="130" t="s">
        <v>197</v>
      </c>
      <c r="AW10" s="25"/>
      <c r="AX10" s="131" t="s">
        <v>87</v>
      </c>
      <c r="BB10" s="130" t="s">
        <v>197</v>
      </c>
      <c r="BC10" s="25"/>
      <c r="BD10" s="131" t="s">
        <v>87</v>
      </c>
      <c r="BH10" s="130" t="s">
        <v>197</v>
      </c>
      <c r="BI10" s="25"/>
      <c r="BJ10" s="131" t="s">
        <v>87</v>
      </c>
      <c r="BN10" s="130" t="s">
        <v>197</v>
      </c>
      <c r="BO10" s="25"/>
      <c r="BP10" s="131" t="s">
        <v>87</v>
      </c>
      <c r="BT10" s="130" t="s">
        <v>197</v>
      </c>
      <c r="BU10" s="25"/>
      <c r="BV10" s="131" t="s">
        <v>87</v>
      </c>
    </row>
    <row r="11" spans="1:76" ht="17.25" thickBot="1" x14ac:dyDescent="0.35">
      <c r="F11" s="25"/>
      <c r="M11" s="25"/>
      <c r="S11" s="25"/>
      <c r="Y11" s="25"/>
      <c r="AE11" s="25"/>
      <c r="AK11" s="25"/>
      <c r="AQ11" s="25"/>
      <c r="AW11" s="25"/>
      <c r="BC11" s="25"/>
      <c r="BI11" s="25"/>
      <c r="BO11" s="25"/>
      <c r="BU11" s="25"/>
    </row>
    <row r="12" spans="1:76" ht="17.100000000000001" customHeight="1" x14ac:dyDescent="0.3">
      <c r="A12" s="82"/>
      <c r="B12" s="153">
        <v>1</v>
      </c>
      <c r="C12" s="120" t="str">
        <f>Paramètres!D21</f>
        <v>SYM</v>
      </c>
      <c r="D12" s="126"/>
      <c r="E12" s="136">
        <f>SUMIFS(Tableau_Data[Masculin],Tableau_Data[ASBL],ASBL!$C12,Tableau_Data[Annee],ASBL!$F$3,Tableau_Data[Mois],ASBL!J$4)</f>
        <v>239</v>
      </c>
      <c r="F12" s="126"/>
      <c r="G12" s="136">
        <f>SUMIFS(Tableau_Data[Féminin],Tableau_Data[ASBL],ASBL!$C12,Tableau_Data[Annee],ASBL!$F$3,Tableau_Data[Mois],ASBL!J$4)</f>
        <v>185</v>
      </c>
      <c r="H12" s="126"/>
      <c r="I12" s="137">
        <f>SUM(E12:G12)</f>
        <v>424</v>
      </c>
      <c r="J12" s="126"/>
      <c r="K12" s="126"/>
      <c r="L12" s="138">
        <f>SUMIFS(Tableau_Data[Masculin],Tableau_Data[ASBL],ASBL!$C12,Tableau_Data[Lieu d''intervention],ASBL!$L$9,Tableau_Data[Annee],ASBL!$F$3,Tableau_Data[Mois],ASBL!J$4)</f>
        <v>0</v>
      </c>
      <c r="M12" s="126"/>
      <c r="N12" s="136">
        <f>SUMIFS(Tableau_Data[Féminin],Tableau_Data[ASBL],ASBL!$C12,Tableau_Data[Lieu d''intervention],ASBL!$L$9,Tableau_Data[Annee],ASBL!$F$3,Tableau_Data[Mois],ASBL!J$4)</f>
        <v>0</v>
      </c>
      <c r="O12" s="126"/>
      <c r="P12" s="137">
        <f>SUM(L12:N12)</f>
        <v>0</v>
      </c>
      <c r="R12" s="136">
        <f>SUMIFS(Tableau_Data[Masculin],Tableau_Data[ASBL],ASBL!$C12,Tableau_Data[Lieu d''intervention],ASBL!$R$9,Tableau_Data[Annee],ASBL!$F$3,Tableau_Data[Mois],ASBL!J$4)</f>
        <v>0</v>
      </c>
      <c r="S12" s="126"/>
      <c r="T12" s="136">
        <f>SUMIFS(Tableau_Data[Féminin],Tableau_Data[ASBL],ASBL!$C12,Tableau_Data[Lieu d''intervention],ASBL!$R$9,Tableau_Data[Annee],ASBL!$F$3,Tableau_Data[Mois],ASBL!J$4)</f>
        <v>0</v>
      </c>
      <c r="U12" s="126"/>
      <c r="V12" s="137">
        <f>SUM(R12:T12)</f>
        <v>0</v>
      </c>
      <c r="X12" s="136">
        <f>SUMIFS(Tableau_Data[Masculin],Tableau_Data[ASBL],ASBL!$C12,Tableau_Data[Lieu d''intervention],ASBL!$X$9,Tableau_Data[Annee],ASBL!$F$3,Tableau_Data[Mois],ASBL!J$4)</f>
        <v>75</v>
      </c>
      <c r="Y12" s="126"/>
      <c r="Z12" s="136">
        <f>SUMIFS(Tableau_Data[Féminin],Tableau_Data[ASBL],ASBL!$C12,Tableau_Data[Lieu d''intervention],ASBL!$X$9,Tableau_Data[Annee],ASBL!$F$3,Tableau_Data[Mois],ASBL!J$4)</f>
        <v>35</v>
      </c>
      <c r="AA12" s="126"/>
      <c r="AB12" s="137">
        <f>SUM(X12:Z12)</f>
        <v>110</v>
      </c>
      <c r="AD12" s="136">
        <f>SUMIFS(Tableau_Data[Masculin],Tableau_Data[ASBL],ASBL!$C12,Tableau_Data[Lieu d''intervention],ASBL!$AD$9,Tableau_Data[Annee],ASBL!$F$3,Tableau_Data[Mois],ASBL!J$4)</f>
        <v>164</v>
      </c>
      <c r="AE12" s="126"/>
      <c r="AF12" s="136">
        <f>SUMIFS(Tableau_Data[Féminin],Tableau_Data[ASBL],ASBL!$C12,Tableau_Data[Lieu d''intervention],ASBL!$AD$9,Tableau_Data[Annee],ASBL!$F$3,Tableau_Data[Mois],ASBL!J$4)</f>
        <v>150</v>
      </c>
      <c r="AG12" s="126"/>
      <c r="AH12" s="137">
        <f>SUM(AD12:AF12)</f>
        <v>314</v>
      </c>
      <c r="AJ12" s="136">
        <f>SUMIFS(Tableau_Data[Masculin],Tableau_Data[ASBL],ASBL!$C12,Tableau_Data[Thèmes],ASBL!$AJ$9,Tableau_Data[Annee],ASBL!$F$3,Tableau_Data[Mois],ASBL!J$4)</f>
        <v>34</v>
      </c>
      <c r="AK12" s="126"/>
      <c r="AL12" s="136">
        <f>SUMIFS(Tableau_Data[Féminin],Tableau_Data[ASBL],ASBL!$C12,Tableau_Data[Thèmes],ASBL!$AJ$9,Tableau_Data[Annee],ASBL!$F$3,Tableau_Data[Mois],ASBL!J$4)</f>
        <v>70</v>
      </c>
      <c r="AM12" s="126"/>
      <c r="AN12" s="137">
        <f>SUM(AJ12:AL12)</f>
        <v>104</v>
      </c>
      <c r="AP12" s="136">
        <f>SUMIFS(Tableau_Data[Masculin],Tableau_Data[ASBL],ASBL!$C12,Tableau_Data[Thèmes],ASBL!$AP$9,Tableau_Data[Annee],ASBL!$F$3,Tableau_Data[Mois],ASBL!J$4)</f>
        <v>0</v>
      </c>
      <c r="AQ12" s="126"/>
      <c r="AR12" s="136">
        <f>SUMIFS(Tableau_Data[Féminin],Tableau_Data[ASBL],ASBL!$C12,Tableau_Data[Thèmes],ASBL!$AP$9,Tableau_Data[Annee],ASBL!$F$3,Tableau_Data[Mois],ASBL!J$4)</f>
        <v>0</v>
      </c>
      <c r="AS12" s="126"/>
      <c r="AT12" s="137">
        <f>SUM(AP12:AR12)</f>
        <v>0</v>
      </c>
      <c r="AV12" s="136">
        <f>SUMIFS(Tableau_Data[Masculin],Tableau_Data[ASBL],ASBL!$C12,Tableau_Data[Thèmes],ASBL!$AV$9,Tableau_Data[Annee],ASBL!$F$3,Tableau_Data[Mois],ASBL!J$4)</f>
        <v>0</v>
      </c>
      <c r="AW12" s="126"/>
      <c r="AX12" s="136">
        <f>SUMIFS(Tableau_Data[Féminin],Tableau_Data[ASBL],ASBL!$C12,Tableau_Data[Thèmes],ASBL!$AV$9,Tableau_Data[Annee],ASBL!$F$3,Tableau_Data[Mois],ASBL!J$4)</f>
        <v>0</v>
      </c>
      <c r="AY12" s="126"/>
      <c r="AZ12" s="137">
        <f>SUM(AV12:AX12)</f>
        <v>0</v>
      </c>
      <c r="BB12" s="136">
        <f>SUMIFS(Tableau_Data[Masculin],Tableau_Data[ASBL],ASBL!$C12,Tableau_Data[Thèmes],ASBL!$BB$9,Tableau_Data[Annee],ASBL!$F$3,Tableau_Data[Mois],ASBL!J$4)</f>
        <v>0</v>
      </c>
      <c r="BC12" s="126"/>
      <c r="BD12" s="136">
        <f>SUMIFS(Tableau_Data[Féminin],Tableau_Data[ASBL],ASBL!$C12,Tableau_Data[Thèmes],ASBL!$BB$9,Tableau_Data[Annee],ASBL!$F$3,Tableau_Data[Mois],ASBL!$J$4)</f>
        <v>0</v>
      </c>
      <c r="BE12" s="126"/>
      <c r="BF12" s="137">
        <f>SUM(BB12:BD12)</f>
        <v>0</v>
      </c>
      <c r="BH12" s="136">
        <f>SUMIFS(Tableau_Data[Masculin],Tableau_Data[ASBL],ASBL!$C12,Tableau_Data[Thèmes],ASBL!$BH$9,Tableau_Data[Annee],ASBL!$F$3,Tableau_Data[Mois],ASBL!$J$4)</f>
        <v>75</v>
      </c>
      <c r="BI12" s="126"/>
      <c r="BJ12" s="136">
        <f>SUMIFS(Tableau_Data[Féminin],Tableau_Data[ASBL],ASBL!$C12,Tableau_Data[Thèmes],ASBL!$BH$9,Tableau_Data[Annee],ASBL!$F$3,Tableau_Data[Mois],ASBL!$J$4)</f>
        <v>35</v>
      </c>
      <c r="BK12" s="126"/>
      <c r="BL12" s="137">
        <f>SUM(BH12:BJ12)</f>
        <v>110</v>
      </c>
      <c r="BN12" s="136">
        <f>SUMIFS(Tableau_Data[Masculin],Tableau_Data[ASBL],ASBL!$C12,Tableau_Data[Thèmes],ASBL!$BN$9,Tableau_Data[Annee],ASBL!$F$3,Tableau_Data[Mois],ASBL!$J$4)</f>
        <v>0</v>
      </c>
      <c r="BO12" s="126"/>
      <c r="BP12" s="136">
        <f>SUMIFS(Tableau_Data[Féminin],Tableau_Data[ASBL],ASBL!$C12,Tableau_Data[Thèmes],ASBL!$BN$9,Tableau_Data[Annee],ASBL!$F$3,Tableau_Data[Mois],ASBL!$J$4)</f>
        <v>0</v>
      </c>
      <c r="BQ12" s="126"/>
      <c r="BR12" s="137">
        <f>SUM(BN12:BP12)</f>
        <v>0</v>
      </c>
      <c r="BT12" s="136">
        <f>SUMIFS(Tableau_Data[Masculin],Tableau_Data[ASBL],ASBL!$C12,Tableau_Data[Thèmes],ASBL!$BT$9,Tableau_Data[Annee],ASBL!$F$3,Tableau_Data[Mois],ASBL!$J$4)</f>
        <v>130</v>
      </c>
      <c r="BU12" s="126"/>
      <c r="BV12" s="136">
        <f>SUMIFS(Tableau_Data[Féminin],Tableau_Data[ASBL],ASBL!$C12,Tableau_Data[Thèmes],ASBL!$BT$9,Tableau_Data[Annee],ASBL!$F$3,Tableau_Data[Mois],ASBL!$J$4)</f>
        <v>80</v>
      </c>
      <c r="BW12" s="126"/>
      <c r="BX12" s="137">
        <f>SUM(BT12:BV12)</f>
        <v>210</v>
      </c>
    </row>
    <row r="13" spans="1:76" ht="17.100000000000001" customHeight="1" x14ac:dyDescent="0.3">
      <c r="A13" s="82"/>
      <c r="B13" s="119">
        <f>IF(ASBL!B12="","",1+B12)</f>
        <v>2</v>
      </c>
      <c r="C13" s="120" t="str">
        <f>Paramètres!D22</f>
        <v>RENAJES</v>
      </c>
      <c r="D13" s="126"/>
      <c r="E13" s="136">
        <f>SUMIFS(Tableau_Data[Masculin],Tableau_Data[ASBL],ASBL!$C13,Tableau_Data[Annee],ASBL!$F$3,Tableau_Data[Mois],ASBL!J$4)</f>
        <v>0</v>
      </c>
      <c r="F13" s="126"/>
      <c r="G13" s="136">
        <f>SUMIFS(Tableau_Data[Féminin],Tableau_Data[ASBL],ASBL!$C13,Tableau_Data[Annee],ASBL!$F$3,Tableau_Data[Mois],ASBL!J$4)</f>
        <v>0</v>
      </c>
      <c r="H13" s="126"/>
      <c r="I13" s="137">
        <f t="shared" ref="I13:I15" si="1">SUM(E13:G13)</f>
        <v>0</v>
      </c>
      <c r="J13" s="126"/>
      <c r="K13" s="126"/>
      <c r="L13" s="138">
        <f>SUMIFS(Tableau_Data[Masculin],Tableau_Data[ASBL],ASBL!$C13,Tableau_Data[Lieu d''intervention],ASBL!$L$9,Tableau_Data[Annee],ASBL!$F$3,Tableau_Data[Mois],ASBL!J$4)</f>
        <v>0</v>
      </c>
      <c r="M13" s="126"/>
      <c r="N13" s="136">
        <f>SUMIFS(Tableau_Data[Féminin],Tableau_Data[ASBL],ASBL!$C13,Tableau_Data[Lieu d''intervention],ASBL!$L$9,Tableau_Data[Annee],ASBL!$F$3,Tableau_Data[Mois],ASBL!J$4)</f>
        <v>0</v>
      </c>
      <c r="O13" s="126"/>
      <c r="P13" s="137">
        <f t="shared" ref="P13:P15" si="2">SUM(L13:N13)</f>
        <v>0</v>
      </c>
      <c r="R13" s="136">
        <f>SUMIFS(Tableau_Data[Masculin],Tableau_Data[ASBL],ASBL!$C13,Tableau_Data[Lieu d''intervention],ASBL!$R$9,Tableau_Data[Annee],ASBL!$F$3,Tableau_Data[Mois],ASBL!J$4)</f>
        <v>0</v>
      </c>
      <c r="S13" s="126"/>
      <c r="T13" s="136">
        <f>SUMIFS(Tableau_Data[Féminin],Tableau_Data[ASBL],ASBL!$C13,Tableau_Data[Lieu d''intervention],ASBL!$R$9,Tableau_Data[Annee],ASBL!$F$3,Tableau_Data[Mois],ASBL!J$4)</f>
        <v>0</v>
      </c>
      <c r="U13" s="126"/>
      <c r="V13" s="137">
        <f t="shared" ref="V13:V15" si="3">SUM(R13:T13)</f>
        <v>0</v>
      </c>
      <c r="X13" s="136">
        <f>SUMIFS(Tableau_Data[Masculin],Tableau_Data[ASBL],ASBL!$C13,Tableau_Data[Lieu d''intervention],ASBL!$X$9,Tableau_Data[Annee],ASBL!$F$3,Tableau_Data[Mois],ASBL!J$4)</f>
        <v>0</v>
      </c>
      <c r="Y13" s="126"/>
      <c r="Z13" s="136">
        <f>SUMIFS(Tableau_Data[Féminin],Tableau_Data[ASBL],ASBL!$C13,Tableau_Data[Lieu d''intervention],ASBL!$X$9,Tableau_Data[Annee],ASBL!$F$3,Tableau_Data[Mois],ASBL!J$4)</f>
        <v>0</v>
      </c>
      <c r="AA13" s="126"/>
      <c r="AB13" s="137">
        <f t="shared" ref="AB13:AB15" si="4">SUM(X13:Z13)</f>
        <v>0</v>
      </c>
      <c r="AD13" s="136">
        <f>SUMIFS(Tableau_Data[Masculin],Tableau_Data[ASBL],ASBL!$C13,Tableau_Data[Lieu d''intervention],ASBL!$AD$9,Tableau_Data[Annee],ASBL!$F$3,Tableau_Data[Mois],ASBL!J$4)</f>
        <v>0</v>
      </c>
      <c r="AE13" s="126"/>
      <c r="AF13" s="136">
        <f>SUMIFS(Tableau_Data[Féminin],Tableau_Data[ASBL],ASBL!$C13,Tableau_Data[Lieu d''intervention],ASBL!$AD$9,Tableau_Data[Annee],ASBL!$F$3,Tableau_Data[Mois],ASBL!J$4)</f>
        <v>0</v>
      </c>
      <c r="AG13" s="126"/>
      <c r="AH13" s="137">
        <f t="shared" ref="AH13:AH15" si="5">SUM(AD13:AF13)</f>
        <v>0</v>
      </c>
      <c r="AJ13" s="136">
        <f>SUMIFS(Tableau_Data[Masculin],Tableau_Data[ASBL],ASBL!$C13,Tableau_Data[Thèmes],ASBL!$AJ$9,Tableau_Data[Annee],ASBL!$F$3,Tableau_Data[Mois],ASBL!J$4)</f>
        <v>0</v>
      </c>
      <c r="AK13" s="126"/>
      <c r="AL13" s="136">
        <f>SUMIFS(Tableau_Data[Féminin],Tableau_Data[ASBL],ASBL!$C13,Tableau_Data[Thèmes],ASBL!$AJ$9,Tableau_Data[Annee],ASBL!$F$3,Tableau_Data[Mois],ASBL!J$4)</f>
        <v>0</v>
      </c>
      <c r="AM13" s="126"/>
      <c r="AN13" s="137">
        <f t="shared" ref="AN13:AN15" si="6">SUM(AJ13:AL13)</f>
        <v>0</v>
      </c>
      <c r="AP13" s="136">
        <f>SUMIFS(Tableau_Data[Masculin],Tableau_Data[ASBL],ASBL!$C13,Tableau_Data[Thèmes],ASBL!$AP$9,Tableau_Data[Annee],ASBL!$F$3,Tableau_Data[Mois],ASBL!J$4)</f>
        <v>0</v>
      </c>
      <c r="AQ13" s="126"/>
      <c r="AR13" s="136">
        <f>SUMIFS(Tableau_Data[Féminin],Tableau_Data[ASBL],ASBL!$C13,Tableau_Data[Thèmes],ASBL!$AP$9,Tableau_Data[Annee],ASBL!$F$3,Tableau_Data[Mois],ASBL!J$4)</f>
        <v>0</v>
      </c>
      <c r="AS13" s="126"/>
      <c r="AT13" s="137">
        <f t="shared" ref="AT13:AT15" si="7">SUM(AP13:AR13)</f>
        <v>0</v>
      </c>
      <c r="AV13" s="136">
        <f>SUMIFS(Tableau_Data[Masculin],Tableau_Data[ASBL],ASBL!$C13,Tableau_Data[Thèmes],ASBL!$AV$9,Tableau_Data[Annee],ASBL!$F$3,Tableau_Data[Mois],ASBL!J$4)</f>
        <v>0</v>
      </c>
      <c r="AW13" s="126"/>
      <c r="AX13" s="136">
        <f>SUMIFS(Tableau_Data[Féminin],Tableau_Data[ASBL],ASBL!$C13,Tableau_Data[Thèmes],ASBL!$AV$9,Tableau_Data[Annee],ASBL!$F$3,Tableau_Data[Mois],ASBL!J$4)</f>
        <v>0</v>
      </c>
      <c r="AY13" s="126"/>
      <c r="AZ13" s="137">
        <f t="shared" ref="AZ13:AZ15" si="8">SUM(AV13:AX13)</f>
        <v>0</v>
      </c>
      <c r="BB13" s="136">
        <f>SUMIFS(Tableau_Data[Masculin],Tableau_Data[ASBL],ASBL!$C13,Tableau_Data[Thèmes],ASBL!$BB$9,Tableau_Data[Annee],ASBL!$F$3,Tableau_Data[Mois],ASBL!J$4)</f>
        <v>0</v>
      </c>
      <c r="BC13" s="126"/>
      <c r="BD13" s="136">
        <f>SUMIFS(Tableau_Data[Féminin],Tableau_Data[ASBL],ASBL!$C13,Tableau_Data[Thèmes],ASBL!$BB$9,Tableau_Data[Annee],ASBL!$F$3,Tableau_Data[Mois],ASBL!$J$4)</f>
        <v>0</v>
      </c>
      <c r="BE13" s="126"/>
      <c r="BF13" s="137">
        <f t="shared" ref="BF13:BF15" si="9">SUM(BB13:BD13)</f>
        <v>0</v>
      </c>
      <c r="BH13" s="136">
        <f>SUMIFS(Tableau_Data[Masculin],Tableau_Data[ASBL],ASBL!$C13,Tableau_Data[Thèmes],ASBL!$BH$9,Tableau_Data[Annee],ASBL!$F$3,Tableau_Data[Mois],ASBL!$J$4)</f>
        <v>0</v>
      </c>
      <c r="BI13" s="126"/>
      <c r="BJ13" s="136">
        <f>SUMIFS(Tableau_Data[Féminin],Tableau_Data[ASBL],ASBL!$C13,Tableau_Data[Thèmes],ASBL!$BH$9,Tableau_Data[Annee],ASBL!$F$3,Tableau_Data[Mois],ASBL!$J$4)</f>
        <v>0</v>
      </c>
      <c r="BK13" s="126"/>
      <c r="BL13" s="137">
        <f t="shared" ref="BL13:BL15" si="10">SUM(BH13:BJ13)</f>
        <v>0</v>
      </c>
      <c r="BN13" s="136">
        <f>SUMIFS(Tableau_Data[Masculin],Tableau_Data[ASBL],ASBL!$C13,Tableau_Data[Thèmes],ASBL!$BN$9,Tableau_Data[Annee],ASBL!$F$3,Tableau_Data[Mois],ASBL!$J$4)</f>
        <v>0</v>
      </c>
      <c r="BO13" s="126"/>
      <c r="BP13" s="136">
        <f>SUMIFS(Tableau_Data[Féminin],Tableau_Data[ASBL],ASBL!$C13,Tableau_Data[Thèmes],ASBL!$BN$9,Tableau_Data[Annee],ASBL!$F$3,Tableau_Data[Mois],ASBL!$J$4)</f>
        <v>0</v>
      </c>
      <c r="BQ13" s="126"/>
      <c r="BR13" s="137">
        <f t="shared" ref="BR13:BR15" si="11">SUM(BN13:BP13)</f>
        <v>0</v>
      </c>
      <c r="BT13" s="136">
        <f>SUMIFS(Tableau_Data[Masculin],Tableau_Data[ASBL],ASBL!$C13,Tableau_Data[Thèmes],ASBL!$BT$9,Tableau_Data[Annee],ASBL!$F$3,Tableau_Data[Mois],ASBL!$J$4)</f>
        <v>0</v>
      </c>
      <c r="BU13" s="126"/>
      <c r="BV13" s="136">
        <f>SUMIFS(Tableau_Data[Féminin],Tableau_Data[ASBL],ASBL!$C13,Tableau_Data[Thèmes],ASBL!$BT$9,Tableau_Data[Annee],ASBL!$F$3,Tableau_Data[Mois],ASBL!$J$4)</f>
        <v>0</v>
      </c>
      <c r="BW13" s="126"/>
      <c r="BX13" s="137">
        <f t="shared" ref="BX13:BX15" si="12">SUM(BT13:BV13)</f>
        <v>0</v>
      </c>
    </row>
    <row r="14" spans="1:76" ht="17.100000000000001" customHeight="1" x14ac:dyDescent="0.3">
      <c r="A14" s="82"/>
      <c r="B14" s="119">
        <f>IF(ASBL!B13="","",1+B13)</f>
        <v>3</v>
      </c>
      <c r="C14" s="120" t="str">
        <f>Paramètres!D23</f>
        <v>NTURENGAHO</v>
      </c>
      <c r="D14" s="126"/>
      <c r="E14" s="136">
        <f>SUMIFS(Tableau_Data[Masculin],Tableau_Data[ASBL],ASBL!$C14,Tableau_Data[Annee],ASBL!$F$3,Tableau_Data[Mois],ASBL!J$4)</f>
        <v>0</v>
      </c>
      <c r="F14" s="126"/>
      <c r="G14" s="136">
        <f>SUMIFS(Tableau_Data[Féminin],Tableau_Data[ASBL],ASBL!$C14,Tableau_Data[Annee],ASBL!$F$3,Tableau_Data[Mois],ASBL!J$4)</f>
        <v>0</v>
      </c>
      <c r="H14" s="126"/>
      <c r="I14" s="137">
        <f t="shared" si="1"/>
        <v>0</v>
      </c>
      <c r="J14" s="126"/>
      <c r="K14" s="126"/>
      <c r="L14" s="138">
        <f>SUMIFS(Tableau_Data[Masculin],Tableau_Data[ASBL],ASBL!$C14,Tableau_Data[Lieu d''intervention],ASBL!$L$9,Tableau_Data[Annee],ASBL!$F$3,Tableau_Data[Mois],ASBL!J$4)</f>
        <v>0</v>
      </c>
      <c r="M14" s="126"/>
      <c r="N14" s="136">
        <f>SUMIFS(Tableau_Data[Féminin],Tableau_Data[ASBL],ASBL!$C14,Tableau_Data[Lieu d''intervention],ASBL!$L$9,Tableau_Data[Annee],ASBL!$F$3,Tableau_Data[Mois],ASBL!J$4)</f>
        <v>0</v>
      </c>
      <c r="O14" s="126"/>
      <c r="P14" s="137">
        <f t="shared" si="2"/>
        <v>0</v>
      </c>
      <c r="R14" s="136">
        <f>SUMIFS(Tableau_Data[Masculin],Tableau_Data[ASBL],ASBL!$C14,Tableau_Data[Lieu d''intervention],ASBL!$R$9,Tableau_Data[Annee],ASBL!$F$3,Tableau_Data[Mois],ASBL!J$4)</f>
        <v>0</v>
      </c>
      <c r="S14" s="126"/>
      <c r="T14" s="136">
        <f>SUMIFS(Tableau_Data[Féminin],Tableau_Data[ASBL],ASBL!$C14,Tableau_Data[Lieu d''intervention],ASBL!$R$9,Tableau_Data[Annee],ASBL!$F$3,Tableau_Data[Mois],ASBL!J$4)</f>
        <v>0</v>
      </c>
      <c r="U14" s="126"/>
      <c r="V14" s="137">
        <f t="shared" si="3"/>
        <v>0</v>
      </c>
      <c r="X14" s="136">
        <f>SUMIFS(Tableau_Data[Masculin],Tableau_Data[ASBL],ASBL!$C14,Tableau_Data[Lieu d''intervention],ASBL!$X$9,Tableau_Data[Annee],ASBL!$F$3,Tableau_Data[Mois],ASBL!J$4)</f>
        <v>0</v>
      </c>
      <c r="Y14" s="126"/>
      <c r="Z14" s="136">
        <f>SUMIFS(Tableau_Data[Féminin],Tableau_Data[ASBL],ASBL!$C14,Tableau_Data[Lieu d''intervention],ASBL!$X$9,Tableau_Data[Annee],ASBL!$F$3,Tableau_Data[Mois],ASBL!J$4)</f>
        <v>0</v>
      </c>
      <c r="AA14" s="126"/>
      <c r="AB14" s="137">
        <f t="shared" si="4"/>
        <v>0</v>
      </c>
      <c r="AD14" s="136">
        <f>SUMIFS(Tableau_Data[Masculin],Tableau_Data[ASBL],ASBL!$C14,Tableau_Data[Lieu d''intervention],ASBL!$AD$9,Tableau_Data[Annee],ASBL!$F$3,Tableau_Data[Mois],ASBL!J$4)</f>
        <v>0</v>
      </c>
      <c r="AE14" s="126"/>
      <c r="AF14" s="136">
        <f>SUMIFS(Tableau_Data[Féminin],Tableau_Data[ASBL],ASBL!$C14,Tableau_Data[Lieu d''intervention],ASBL!$AD$9,Tableau_Data[Annee],ASBL!$F$3,Tableau_Data[Mois],ASBL!J$4)</f>
        <v>0</v>
      </c>
      <c r="AG14" s="126"/>
      <c r="AH14" s="137">
        <f t="shared" si="5"/>
        <v>0</v>
      </c>
      <c r="AJ14" s="136">
        <f>SUMIFS(Tableau_Data[Masculin],Tableau_Data[ASBL],ASBL!$C14,Tableau_Data[Thèmes],ASBL!$AJ$9,Tableau_Data[Annee],ASBL!$F$3,Tableau_Data[Mois],ASBL!J$4)</f>
        <v>0</v>
      </c>
      <c r="AK14" s="126"/>
      <c r="AL14" s="136">
        <f>SUMIFS(Tableau_Data[Féminin],Tableau_Data[ASBL],ASBL!$C14,Tableau_Data[Thèmes],ASBL!$AJ$9,Tableau_Data[Annee],ASBL!$F$3,Tableau_Data[Mois],ASBL!J$4)</f>
        <v>0</v>
      </c>
      <c r="AM14" s="126"/>
      <c r="AN14" s="137">
        <f t="shared" si="6"/>
        <v>0</v>
      </c>
      <c r="AP14" s="136">
        <f>SUMIFS(Tableau_Data[Masculin],Tableau_Data[ASBL],ASBL!$C14,Tableau_Data[Thèmes],ASBL!$AP$9,Tableau_Data[Annee],ASBL!$F$3,Tableau_Data[Mois],ASBL!J$4)</f>
        <v>0</v>
      </c>
      <c r="AQ14" s="126"/>
      <c r="AR14" s="136">
        <f>SUMIFS(Tableau_Data[Féminin],Tableau_Data[ASBL],ASBL!$C14,Tableau_Data[Thèmes],ASBL!$AP$9,Tableau_Data[Annee],ASBL!$F$3,Tableau_Data[Mois],ASBL!J$4)</f>
        <v>0</v>
      </c>
      <c r="AS14" s="126"/>
      <c r="AT14" s="137">
        <f t="shared" si="7"/>
        <v>0</v>
      </c>
      <c r="AV14" s="136">
        <f>SUMIFS(Tableau_Data[Masculin],Tableau_Data[ASBL],ASBL!$C14,Tableau_Data[Thèmes],ASBL!$AV$9,Tableau_Data[Annee],ASBL!$F$3,Tableau_Data[Mois],ASBL!J$4)</f>
        <v>0</v>
      </c>
      <c r="AW14" s="126"/>
      <c r="AX14" s="136">
        <f>SUMIFS(Tableau_Data[Féminin],Tableau_Data[ASBL],ASBL!$C14,Tableau_Data[Thèmes],ASBL!$AV$9,Tableau_Data[Annee],ASBL!$F$3,Tableau_Data[Mois],ASBL!J$4)</f>
        <v>0</v>
      </c>
      <c r="AY14" s="126"/>
      <c r="AZ14" s="137">
        <f t="shared" si="8"/>
        <v>0</v>
      </c>
      <c r="BB14" s="136">
        <f>SUMIFS(Tableau_Data[Masculin],Tableau_Data[ASBL],ASBL!$C14,Tableau_Data[Thèmes],ASBL!$BB$9,Tableau_Data[Annee],ASBL!$F$3,Tableau_Data[Mois],ASBL!J$4)</f>
        <v>0</v>
      </c>
      <c r="BC14" s="126"/>
      <c r="BD14" s="136">
        <f>SUMIFS(Tableau_Data[Féminin],Tableau_Data[ASBL],ASBL!$C14,Tableau_Data[Thèmes],ASBL!$BB$9,Tableau_Data[Annee],ASBL!$F$3,Tableau_Data[Mois],ASBL!$J$4)</f>
        <v>0</v>
      </c>
      <c r="BE14" s="126"/>
      <c r="BF14" s="137">
        <f t="shared" si="9"/>
        <v>0</v>
      </c>
      <c r="BH14" s="136">
        <f>SUMIFS(Tableau_Data[Masculin],Tableau_Data[ASBL],ASBL!$C14,Tableau_Data[Thèmes],ASBL!$BH$9,Tableau_Data[Annee],ASBL!$F$3,Tableau_Data[Mois],ASBL!$J$4)</f>
        <v>0</v>
      </c>
      <c r="BI14" s="126"/>
      <c r="BJ14" s="136">
        <f>SUMIFS(Tableau_Data[Féminin],Tableau_Data[ASBL],ASBL!$C14,Tableau_Data[Thèmes],ASBL!$BH$9,Tableau_Data[Annee],ASBL!$F$3,Tableau_Data[Mois],ASBL!$J$4)</f>
        <v>0</v>
      </c>
      <c r="BK14" s="126"/>
      <c r="BL14" s="137">
        <f t="shared" si="10"/>
        <v>0</v>
      </c>
      <c r="BN14" s="136">
        <f>SUMIFS(Tableau_Data[Masculin],Tableau_Data[ASBL],ASBL!$C14,Tableau_Data[Thèmes],ASBL!$BN$9,Tableau_Data[Annee],ASBL!$F$3,Tableau_Data[Mois],ASBL!$J$4)</f>
        <v>0</v>
      </c>
      <c r="BO14" s="126"/>
      <c r="BP14" s="136">
        <f>SUMIFS(Tableau_Data[Féminin],Tableau_Data[ASBL],ASBL!$C14,Tableau_Data[Thèmes],ASBL!$BN$9,Tableau_Data[Annee],ASBL!$F$3,Tableau_Data[Mois],ASBL!$J$4)</f>
        <v>0</v>
      </c>
      <c r="BQ14" s="126"/>
      <c r="BR14" s="137">
        <f t="shared" si="11"/>
        <v>0</v>
      </c>
      <c r="BT14" s="136">
        <f>SUMIFS(Tableau_Data[Masculin],Tableau_Data[ASBL],ASBL!$C14,Tableau_Data[Thèmes],ASBL!$BT$9,Tableau_Data[Annee],ASBL!$F$3,Tableau_Data[Mois],ASBL!$J$4)</f>
        <v>0</v>
      </c>
      <c r="BU14" s="126"/>
      <c r="BV14" s="136">
        <f>SUMIFS(Tableau_Data[Féminin],Tableau_Data[ASBL],ASBL!$C14,Tableau_Data[Thèmes],ASBL!$BT$9,Tableau_Data[Annee],ASBL!$F$3,Tableau_Data[Mois],ASBL!$J$4)</f>
        <v>0</v>
      </c>
      <c r="BW14" s="126"/>
      <c r="BX14" s="137">
        <f t="shared" si="12"/>
        <v>0</v>
      </c>
    </row>
    <row r="15" spans="1:76" ht="17.100000000000001" customHeight="1" x14ac:dyDescent="0.3">
      <c r="A15" s="82"/>
      <c r="B15" s="119">
        <f>IF(ASBL!B14="","",1+B14)</f>
        <v>4</v>
      </c>
      <c r="C15" s="120" t="str">
        <f>Paramètres!D24</f>
        <v>FVS AMADE</v>
      </c>
      <c r="D15" s="126"/>
      <c r="E15" s="136">
        <f>SUMIFS(Tableau_Data[Masculin],Tableau_Data[ASBL],ASBL!$C15,Tableau_Data[Annee],ASBL!$F$3,Tableau_Data[Mois],ASBL!J$4)</f>
        <v>70</v>
      </c>
      <c r="F15" s="126"/>
      <c r="G15" s="136">
        <f>SUMIFS(Tableau_Data[Féminin],Tableau_Data[ASBL],ASBL!$C15,Tableau_Data[Annee],ASBL!$F$3,Tableau_Data[Mois],ASBL!J$4)</f>
        <v>45</v>
      </c>
      <c r="H15" s="126"/>
      <c r="I15" s="137">
        <f t="shared" si="1"/>
        <v>115</v>
      </c>
      <c r="J15" s="126"/>
      <c r="K15" s="126"/>
      <c r="L15" s="138">
        <f>SUMIFS(Tableau_Data[Masculin],Tableau_Data[ASBL],ASBL!$C15,Tableau_Data[Lieu d''intervention],ASBL!$L$9,Tableau_Data[Annee],ASBL!$F$3,Tableau_Data[Mois],ASBL!J$4)</f>
        <v>0</v>
      </c>
      <c r="M15" s="126"/>
      <c r="N15" s="136">
        <f>SUMIFS(Tableau_Data[Féminin],Tableau_Data[ASBL],ASBL!$C15,Tableau_Data[Lieu d''intervention],ASBL!$L$9,Tableau_Data[Annee],ASBL!$F$3,Tableau_Data[Mois],ASBL!J$4)</f>
        <v>0</v>
      </c>
      <c r="O15" s="126"/>
      <c r="P15" s="137">
        <f t="shared" si="2"/>
        <v>0</v>
      </c>
      <c r="R15" s="136">
        <f>SUMIFS(Tableau_Data[Masculin],Tableau_Data[ASBL],ASBL!$C15,Tableau_Data[Lieu d''intervention],ASBL!$R$9,Tableau_Data[Annee],ASBL!$F$3,Tableau_Data[Mois],ASBL!J$4)</f>
        <v>70</v>
      </c>
      <c r="S15" s="126"/>
      <c r="T15" s="136">
        <f>SUMIFS(Tableau_Data[Féminin],Tableau_Data[ASBL],ASBL!$C15,Tableau_Data[Lieu d''intervention],ASBL!$R$9,Tableau_Data[Annee],ASBL!$F$3,Tableau_Data[Mois],ASBL!J$4)</f>
        <v>45</v>
      </c>
      <c r="U15" s="126"/>
      <c r="V15" s="137">
        <f t="shared" si="3"/>
        <v>115</v>
      </c>
      <c r="X15" s="136">
        <f>SUMIFS(Tableau_Data[Masculin],Tableau_Data[ASBL],ASBL!$C15,Tableau_Data[Lieu d''intervention],ASBL!$X$9,Tableau_Data[Annee],ASBL!$F$3,Tableau_Data[Mois],ASBL!J$4)</f>
        <v>0</v>
      </c>
      <c r="Y15" s="126"/>
      <c r="Z15" s="136">
        <f>SUMIFS(Tableau_Data[Féminin],Tableau_Data[ASBL],ASBL!$C15,Tableau_Data[Lieu d''intervention],ASBL!$X$9,Tableau_Data[Annee],ASBL!$F$3,Tableau_Data[Mois],ASBL!J$4)</f>
        <v>0</v>
      </c>
      <c r="AA15" s="126"/>
      <c r="AB15" s="137">
        <f t="shared" si="4"/>
        <v>0</v>
      </c>
      <c r="AD15" s="136">
        <f>SUMIFS(Tableau_Data[Masculin],Tableau_Data[ASBL],ASBL!$C15,Tableau_Data[Lieu d''intervention],ASBL!$AD$9,Tableau_Data[Annee],ASBL!$F$3,Tableau_Data[Mois],ASBL!J$4)</f>
        <v>0</v>
      </c>
      <c r="AE15" s="126"/>
      <c r="AF15" s="136">
        <f>SUMIFS(Tableau_Data[Féminin],Tableau_Data[ASBL],ASBL!$C15,Tableau_Data[Lieu d''intervention],ASBL!$AD$9,Tableau_Data[Annee],ASBL!$F$3,Tableau_Data[Mois],ASBL!J$4)</f>
        <v>0</v>
      </c>
      <c r="AG15" s="126"/>
      <c r="AH15" s="137">
        <f t="shared" si="5"/>
        <v>0</v>
      </c>
      <c r="AJ15" s="136">
        <f>SUMIFS(Tableau_Data[Masculin],Tableau_Data[ASBL],ASBL!$C15,Tableau_Data[Thèmes],ASBL!$AJ$9,Tableau_Data[Annee],ASBL!$F$3,Tableau_Data[Mois],ASBL!J$4)</f>
        <v>0</v>
      </c>
      <c r="AK15" s="126"/>
      <c r="AL15" s="136">
        <f>SUMIFS(Tableau_Data[Féminin],Tableau_Data[ASBL],ASBL!$C15,Tableau_Data[Thèmes],ASBL!$AJ$9,Tableau_Data[Annee],ASBL!$F$3,Tableau_Data[Mois],ASBL!J$4)</f>
        <v>0</v>
      </c>
      <c r="AM15" s="126"/>
      <c r="AN15" s="137">
        <f t="shared" si="6"/>
        <v>0</v>
      </c>
      <c r="AP15" s="136">
        <f>SUMIFS(Tableau_Data[Masculin],Tableau_Data[ASBL],ASBL!$C15,Tableau_Data[Thèmes],ASBL!$AP$9,Tableau_Data[Annee],ASBL!$F$3,Tableau_Data[Mois],ASBL!J$4)</f>
        <v>0</v>
      </c>
      <c r="AQ15" s="126"/>
      <c r="AR15" s="136">
        <f>SUMIFS(Tableau_Data[Féminin],Tableau_Data[ASBL],ASBL!$C15,Tableau_Data[Thèmes],ASBL!$AP$9,Tableau_Data[Annee],ASBL!$F$3,Tableau_Data[Mois],ASBL!J$4)</f>
        <v>0</v>
      </c>
      <c r="AS15" s="126"/>
      <c r="AT15" s="137">
        <f t="shared" si="7"/>
        <v>0</v>
      </c>
      <c r="AV15" s="136">
        <f>SUMIFS(Tableau_Data[Masculin],Tableau_Data[ASBL],ASBL!$C15,Tableau_Data[Thèmes],ASBL!$AV$9,Tableau_Data[Annee],ASBL!$F$3,Tableau_Data[Mois],ASBL!J$4)</f>
        <v>70</v>
      </c>
      <c r="AW15" s="126"/>
      <c r="AX15" s="136">
        <f>SUMIFS(Tableau_Data[Féminin],Tableau_Data[ASBL],ASBL!$C15,Tableau_Data[Thèmes],ASBL!$AV$9,Tableau_Data[Annee],ASBL!$F$3,Tableau_Data[Mois],ASBL!J$4)</f>
        <v>45</v>
      </c>
      <c r="AY15" s="126"/>
      <c r="AZ15" s="137">
        <f t="shared" si="8"/>
        <v>115</v>
      </c>
      <c r="BB15" s="136">
        <f>SUMIFS(Tableau_Data[Masculin],Tableau_Data[ASBL],ASBL!$C15,Tableau_Data[Thèmes],ASBL!$BB$9,Tableau_Data[Annee],ASBL!$F$3,Tableau_Data[Mois],ASBL!J$4)</f>
        <v>0</v>
      </c>
      <c r="BC15" s="126"/>
      <c r="BD15" s="136">
        <f>SUMIFS(Tableau_Data[Féminin],Tableau_Data[ASBL],ASBL!$C15,Tableau_Data[Thèmes],ASBL!$BB$9,Tableau_Data[Annee],ASBL!$F$3,Tableau_Data[Mois],ASBL!$J$4)</f>
        <v>0</v>
      </c>
      <c r="BE15" s="126"/>
      <c r="BF15" s="137">
        <f t="shared" si="9"/>
        <v>0</v>
      </c>
      <c r="BH15" s="136">
        <f>SUMIFS(Tableau_Data[Masculin],Tableau_Data[ASBL],ASBL!$C15,Tableau_Data[Thèmes],ASBL!$BH$9,Tableau_Data[Annee],ASBL!$F$3,Tableau_Data[Mois],ASBL!$J$4)</f>
        <v>0</v>
      </c>
      <c r="BI15" s="126"/>
      <c r="BJ15" s="136">
        <f>SUMIFS(Tableau_Data[Féminin],Tableau_Data[ASBL],ASBL!$C15,Tableau_Data[Thèmes],ASBL!$BH$9,Tableau_Data[Annee],ASBL!$F$3,Tableau_Data[Mois],ASBL!$J$4)</f>
        <v>0</v>
      </c>
      <c r="BK15" s="126"/>
      <c r="BL15" s="137">
        <f t="shared" si="10"/>
        <v>0</v>
      </c>
      <c r="BN15" s="136">
        <f>SUMIFS(Tableau_Data[Masculin],Tableau_Data[ASBL],ASBL!$C15,Tableau_Data[Thèmes],ASBL!$BN$9,Tableau_Data[Annee],ASBL!$F$3,Tableau_Data[Mois],ASBL!$J$4)</f>
        <v>0</v>
      </c>
      <c r="BO15" s="126"/>
      <c r="BP15" s="136">
        <f>SUMIFS(Tableau_Data[Féminin],Tableau_Data[ASBL],ASBL!$C15,Tableau_Data[Thèmes],ASBL!$BN$9,Tableau_Data[Annee],ASBL!$F$3,Tableau_Data[Mois],ASBL!$J$4)</f>
        <v>0</v>
      </c>
      <c r="BQ15" s="126"/>
      <c r="BR15" s="137">
        <f t="shared" si="11"/>
        <v>0</v>
      </c>
      <c r="BT15" s="136">
        <f>SUMIFS(Tableau_Data[Masculin],Tableau_Data[ASBL],ASBL!$C15,Tableau_Data[Thèmes],ASBL!$BT$9,Tableau_Data[Annee],ASBL!$F$3,Tableau_Data[Mois],ASBL!$J$4)</f>
        <v>0</v>
      </c>
      <c r="BU15" s="126"/>
      <c r="BV15" s="136">
        <f>SUMIFS(Tableau_Data[Féminin],Tableau_Data[ASBL],ASBL!$C15,Tableau_Data[Thèmes],ASBL!$BT$9,Tableau_Data[Annee],ASBL!$F$3,Tableau_Data[Mois],ASBL!$J$4)</f>
        <v>0</v>
      </c>
      <c r="BW15" s="126"/>
      <c r="BX15" s="137">
        <f t="shared" si="12"/>
        <v>0</v>
      </c>
    </row>
    <row r="16" spans="1:76" x14ac:dyDescent="0.3">
      <c r="B16" s="84"/>
      <c r="C16" s="84"/>
      <c r="D16" s="85"/>
      <c r="E16" s="85"/>
      <c r="F16" s="85"/>
      <c r="G16" s="85"/>
      <c r="H16" s="85"/>
      <c r="I16" s="129"/>
      <c r="J16" s="85"/>
      <c r="K16" s="85"/>
      <c r="L16" s="85"/>
      <c r="M16" s="85"/>
      <c r="N16" s="85"/>
      <c r="O16" s="85"/>
      <c r="P16" s="129"/>
      <c r="R16" s="85"/>
      <c r="S16" s="85"/>
      <c r="T16" s="85"/>
      <c r="U16" s="85"/>
      <c r="V16" s="129"/>
      <c r="W16" s="133"/>
      <c r="X16" s="85"/>
      <c r="Y16" s="85"/>
      <c r="Z16" s="85"/>
      <c r="AA16" s="85"/>
      <c r="AB16" s="129"/>
      <c r="AD16" s="85"/>
      <c r="AE16" s="85"/>
      <c r="AF16" s="85"/>
      <c r="AG16" s="85"/>
      <c r="AH16" s="129"/>
      <c r="AJ16" s="85"/>
      <c r="AK16" s="85"/>
      <c r="AL16" s="85"/>
      <c r="AM16" s="85"/>
      <c r="AN16" s="129"/>
      <c r="AP16" s="85"/>
      <c r="AQ16" s="85"/>
      <c r="AR16" s="85"/>
      <c r="AS16" s="85"/>
      <c r="AT16" s="129"/>
      <c r="AV16" s="85"/>
      <c r="AW16" s="85"/>
      <c r="AX16" s="85"/>
      <c r="AY16" s="85"/>
      <c r="AZ16" s="129"/>
      <c r="BB16" s="85"/>
      <c r="BC16" s="85"/>
      <c r="BD16" s="85"/>
      <c r="BE16" s="85"/>
      <c r="BF16" s="129"/>
      <c r="BH16" s="85"/>
      <c r="BI16" s="85"/>
      <c r="BJ16" s="85"/>
      <c r="BK16" s="85"/>
      <c r="BL16" s="129"/>
      <c r="BN16" s="85"/>
      <c r="BO16" s="85"/>
      <c r="BP16" s="85"/>
      <c r="BQ16" s="85"/>
      <c r="BR16" s="129"/>
      <c r="BT16" s="85"/>
      <c r="BU16" s="85"/>
      <c r="BV16" s="85"/>
      <c r="BW16" s="85"/>
      <c r="BX16" s="129"/>
    </row>
    <row r="17" spans="2:81" ht="24.75" customHeight="1" x14ac:dyDescent="0.3">
      <c r="B17" s="141"/>
      <c r="C17" s="86" t="s">
        <v>2</v>
      </c>
      <c r="D17" s="87"/>
      <c r="E17" s="87">
        <f>SUM(E12:E15)</f>
        <v>309</v>
      </c>
      <c r="F17" s="87"/>
      <c r="G17" s="87">
        <f>SUM(G12:G15)</f>
        <v>230</v>
      </c>
      <c r="H17" s="87"/>
      <c r="I17" s="87">
        <f>SUM(I12:I15)</f>
        <v>539</v>
      </c>
      <c r="J17" s="87"/>
      <c r="K17" s="87"/>
      <c r="L17" s="87">
        <f>SUM(L12:L15)</f>
        <v>0</v>
      </c>
      <c r="M17" s="87"/>
      <c r="N17" s="87">
        <f>SUM(N12:N15)</f>
        <v>0</v>
      </c>
      <c r="O17" s="87"/>
      <c r="P17" s="87">
        <f>SUM(P12:P15)</f>
        <v>0</v>
      </c>
      <c r="R17" s="87">
        <f>SUM(R12:R15)</f>
        <v>70</v>
      </c>
      <c r="S17" s="87"/>
      <c r="T17" s="87">
        <f>SUM(T12:T15)</f>
        <v>45</v>
      </c>
      <c r="U17" s="87"/>
      <c r="V17" s="87">
        <f>SUM(V12:V15)</f>
        <v>115</v>
      </c>
      <c r="W17" s="134"/>
      <c r="X17" s="87">
        <f>SUM(X12:X15)</f>
        <v>75</v>
      </c>
      <c r="Y17" s="87"/>
      <c r="Z17" s="87">
        <f>SUM(Z12:Z15)</f>
        <v>35</v>
      </c>
      <c r="AA17" s="87"/>
      <c r="AB17" s="87">
        <f>SUM(AB12:AB15)</f>
        <v>110</v>
      </c>
      <c r="AD17" s="87">
        <f>SUM(AD12:AD15)</f>
        <v>164</v>
      </c>
      <c r="AE17" s="87"/>
      <c r="AF17" s="87">
        <f>SUM(AF12:AF15)</f>
        <v>150</v>
      </c>
      <c r="AG17" s="87"/>
      <c r="AH17" s="87">
        <f>SUM(AH12:AH15)</f>
        <v>314</v>
      </c>
      <c r="AJ17" s="87">
        <f>SUM(AJ12:AJ15)</f>
        <v>34</v>
      </c>
      <c r="AK17" s="87"/>
      <c r="AL17" s="87">
        <f>SUM(AL12:AL15)</f>
        <v>70</v>
      </c>
      <c r="AM17" s="87"/>
      <c r="AN17" s="87">
        <f>SUM(AN12:AN15)</f>
        <v>104</v>
      </c>
      <c r="AP17" s="87">
        <f>SUM(AP12:AP15)</f>
        <v>0</v>
      </c>
      <c r="AQ17" s="87"/>
      <c r="AR17" s="87">
        <f>SUM(AR12:AR15)</f>
        <v>0</v>
      </c>
      <c r="AS17" s="87"/>
      <c r="AT17" s="87">
        <f>SUM(AT12:AT15)</f>
        <v>0</v>
      </c>
      <c r="AV17" s="87">
        <f>SUM(AV12:AV15)</f>
        <v>70</v>
      </c>
      <c r="AW17" s="87"/>
      <c r="AX17" s="87">
        <f>SUM(AX12:AX15)</f>
        <v>45</v>
      </c>
      <c r="AY17" s="87"/>
      <c r="AZ17" s="87">
        <f>SUM(AZ12:AZ15)</f>
        <v>115</v>
      </c>
      <c r="BB17" s="87">
        <f>SUM(BB12:BB15)</f>
        <v>0</v>
      </c>
      <c r="BC17" s="87"/>
      <c r="BD17" s="87">
        <f>SUM(BD12:BD15)</f>
        <v>0</v>
      </c>
      <c r="BE17" s="87"/>
      <c r="BF17" s="87">
        <f>SUM(BF12:BF15)</f>
        <v>0</v>
      </c>
      <c r="BH17" s="87">
        <f>SUM(BH12:BH15)</f>
        <v>75</v>
      </c>
      <c r="BI17" s="87"/>
      <c r="BJ17" s="87">
        <f>SUM(BJ12:BJ15)</f>
        <v>35</v>
      </c>
      <c r="BK17" s="87"/>
      <c r="BL17" s="87">
        <f>SUM(BL12:BL15)</f>
        <v>110</v>
      </c>
      <c r="BN17" s="87">
        <f>SUM(BN12:BN15)</f>
        <v>0</v>
      </c>
      <c r="BO17" s="87"/>
      <c r="BP17" s="87">
        <f>SUM(BP12:BP15)</f>
        <v>0</v>
      </c>
      <c r="BQ17" s="87"/>
      <c r="BR17" s="87">
        <f>SUM(BR12:BR15)</f>
        <v>0</v>
      </c>
      <c r="BT17" s="87">
        <f>SUM(BT12:BT15)</f>
        <v>130</v>
      </c>
      <c r="BU17" s="87"/>
      <c r="BV17" s="87">
        <f>SUM(BV12:BV15)</f>
        <v>80</v>
      </c>
      <c r="BW17" s="87"/>
      <c r="BX17" s="87">
        <f>SUM(BX12:BX15)</f>
        <v>210</v>
      </c>
    </row>
    <row r="18" spans="2:81" x14ac:dyDescent="0.3">
      <c r="B18" s="25"/>
      <c r="C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S18" s="132"/>
      <c r="T18" s="134"/>
      <c r="U18" s="134"/>
      <c r="V18" s="134"/>
      <c r="W18" s="134"/>
      <c r="X18" s="134"/>
      <c r="Y18" s="134"/>
      <c r="Z18" s="134"/>
      <c r="AA18" s="132"/>
      <c r="AB18" s="132"/>
      <c r="CB18" s="139" t="s">
        <v>3</v>
      </c>
      <c r="CC18" s="139">
        <v>1</v>
      </c>
    </row>
    <row r="19" spans="2:81" x14ac:dyDescent="0.3">
      <c r="CB19" s="139" t="s">
        <v>4</v>
      </c>
      <c r="CC19" s="139">
        <v>2</v>
      </c>
    </row>
    <row r="20" spans="2:81" x14ac:dyDescent="0.3">
      <c r="CB20" s="139" t="s">
        <v>5</v>
      </c>
      <c r="CC20" s="139">
        <v>3</v>
      </c>
    </row>
    <row r="21" spans="2:81" x14ac:dyDescent="0.3">
      <c r="CB21" s="139" t="s">
        <v>6</v>
      </c>
      <c r="CC21" s="139">
        <v>4</v>
      </c>
    </row>
    <row r="22" spans="2:81" ht="17.100000000000001" customHeight="1" x14ac:dyDescent="0.3">
      <c r="CB22" s="139" t="s">
        <v>7</v>
      </c>
      <c r="CC22" s="139">
        <v>5</v>
      </c>
    </row>
    <row r="23" spans="2:81" ht="17.100000000000001" customHeight="1" x14ac:dyDescent="0.3">
      <c r="CB23" s="139" t="s">
        <v>8</v>
      </c>
      <c r="CC23" s="139">
        <v>6</v>
      </c>
    </row>
    <row r="24" spans="2:81" ht="17.100000000000001" customHeight="1" x14ac:dyDescent="0.3">
      <c r="CB24" s="139" t="s">
        <v>9</v>
      </c>
      <c r="CC24" s="139">
        <v>7</v>
      </c>
    </row>
    <row r="25" spans="2:81" ht="17.100000000000001" customHeight="1" x14ac:dyDescent="0.3">
      <c r="CB25" s="139" t="s">
        <v>163</v>
      </c>
      <c r="CC25" s="139">
        <v>8</v>
      </c>
    </row>
    <row r="26" spans="2:81" ht="17.100000000000001" customHeight="1" x14ac:dyDescent="0.3">
      <c r="CB26" s="139" t="s">
        <v>10</v>
      </c>
      <c r="CC26" s="139">
        <v>9</v>
      </c>
    </row>
    <row r="27" spans="2:81" ht="17.100000000000001" customHeight="1" x14ac:dyDescent="0.3">
      <c r="CB27" s="139" t="s">
        <v>11</v>
      </c>
      <c r="CC27" s="139">
        <v>10</v>
      </c>
    </row>
    <row r="28" spans="2:81" ht="17.100000000000001" customHeight="1" x14ac:dyDescent="0.3">
      <c r="CB28" s="139" t="s">
        <v>12</v>
      </c>
      <c r="CC28" s="139">
        <v>11</v>
      </c>
    </row>
    <row r="29" spans="2:81" x14ac:dyDescent="0.3">
      <c r="CB29" s="139" t="s">
        <v>13</v>
      </c>
      <c r="CC29" s="139">
        <v>12</v>
      </c>
    </row>
    <row r="30" spans="2:81" ht="24.75" customHeight="1" x14ac:dyDescent="0.3"/>
    <row r="35" ht="17.100000000000001" customHeight="1" x14ac:dyDescent="0.3"/>
    <row r="36" ht="17.100000000000001" customHeight="1" x14ac:dyDescent="0.3"/>
    <row r="37" ht="17.100000000000001" customHeight="1" x14ac:dyDescent="0.3"/>
    <row r="38" ht="17.100000000000001" customHeight="1" x14ac:dyDescent="0.3"/>
    <row r="40" ht="24.75" customHeight="1" x14ac:dyDescent="0.3"/>
    <row r="44" ht="17.100000000000001" customHeight="1" x14ac:dyDescent="0.3"/>
    <row r="45" ht="17.100000000000001" customHeight="1" x14ac:dyDescent="0.3"/>
    <row r="46" ht="17.100000000000001" customHeight="1" x14ac:dyDescent="0.3"/>
    <row r="47" ht="17.100000000000001" customHeight="1" x14ac:dyDescent="0.3"/>
    <row r="49" ht="24.75" customHeight="1" x14ac:dyDescent="0.3"/>
    <row r="55" ht="17.100000000000001" customHeight="1" x14ac:dyDescent="0.3"/>
    <row r="56" ht="17.100000000000001" customHeight="1" x14ac:dyDescent="0.3"/>
    <row r="57" ht="17.100000000000001" customHeight="1" x14ac:dyDescent="0.3"/>
    <row r="58" ht="17.100000000000001" customHeight="1" x14ac:dyDescent="0.3"/>
    <row r="59" ht="17.100000000000001" customHeight="1" x14ac:dyDescent="0.3"/>
    <row r="60" ht="17.100000000000001" customHeight="1" x14ac:dyDescent="0.3"/>
    <row r="61" ht="17.100000000000001" customHeight="1" x14ac:dyDescent="0.3"/>
    <row r="63" ht="24.75" customHeight="1" x14ac:dyDescent="0.3"/>
    <row r="68" ht="17.100000000000001" customHeight="1" x14ac:dyDescent="0.3"/>
    <row r="69" ht="17.100000000000001" customHeight="1" x14ac:dyDescent="0.3"/>
    <row r="70" ht="17.100000000000001" customHeight="1" x14ac:dyDescent="0.3"/>
    <row r="71" ht="17.100000000000001" customHeight="1" x14ac:dyDescent="0.3"/>
    <row r="72" ht="17.100000000000001" customHeight="1" x14ac:dyDescent="0.3"/>
    <row r="73" ht="17.100000000000001" customHeight="1" x14ac:dyDescent="0.3"/>
    <row r="74" ht="17.100000000000001" customHeight="1" x14ac:dyDescent="0.3"/>
    <row r="76" ht="24.75" customHeight="1" x14ac:dyDescent="0.3"/>
  </sheetData>
  <mergeCells count="32">
    <mergeCell ref="E1:F1"/>
    <mergeCell ref="H1:I1"/>
    <mergeCell ref="K1:O1"/>
    <mergeCell ref="E2:F2"/>
    <mergeCell ref="H2:I2"/>
    <mergeCell ref="BN7:BR7"/>
    <mergeCell ref="BT7:BX7"/>
    <mergeCell ref="H4:I4"/>
    <mergeCell ref="B6:C6"/>
    <mergeCell ref="E6:I6"/>
    <mergeCell ref="L6:AH6"/>
    <mergeCell ref="AJ6:BX6"/>
    <mergeCell ref="L7:P7"/>
    <mergeCell ref="R7:V7"/>
    <mergeCell ref="X7:AB7"/>
    <mergeCell ref="AD7:AH7"/>
    <mergeCell ref="AJ7:AN7"/>
    <mergeCell ref="AP7:AT7"/>
    <mergeCell ref="AV7:AZ7"/>
    <mergeCell ref="BB7:BF7"/>
    <mergeCell ref="BH7:BL7"/>
    <mergeCell ref="AV9:AZ9"/>
    <mergeCell ref="BB9:BF9"/>
    <mergeCell ref="BH9:BL9"/>
    <mergeCell ref="BN9:BR9"/>
    <mergeCell ref="BT9:BX9"/>
    <mergeCell ref="AP9:AT9"/>
    <mergeCell ref="L9:P9"/>
    <mergeCell ref="R9:V9"/>
    <mergeCell ref="X9:AB9"/>
    <mergeCell ref="AD9:AH9"/>
    <mergeCell ref="AJ9:AN9"/>
  </mergeCells>
  <dataValidations count="1">
    <dataValidation type="list" allowBlank="1" showInputMessage="1" showErrorMessage="1" sqref="H4:I4">
      <formula1>$CB$18:$CB$29</formula1>
    </dataValidation>
  </dataValidations>
  <pageMargins left="0.46" right="0.32" top="0.28999999999999998" bottom="0.35" header="0.19" footer="0.3"/>
  <pageSetup paperSize="9" scale="2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75BB300-5520-489E-8956-355C34CB6E50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K2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Paramètres!$J$21:$J$35</xm:f>
          </x14:formula1>
          <xm:sqref>C3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B1:AB58"/>
  <sheetViews>
    <sheetView showGridLines="0" view="pageLayout" zoomScaleNormal="100" workbookViewId="0">
      <selection activeCell="B11" sqref="B11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6.7109375" style="155" customWidth="1"/>
    <col min="21" max="22" width="11.42578125" style="155"/>
    <col min="23" max="23" width="11.42578125" style="155" customWidth="1"/>
    <col min="24" max="25" width="11.42578125" style="155"/>
    <col min="26" max="26" width="8.5703125" style="155" customWidth="1"/>
    <col min="27" max="27" width="6.7109375" style="155" customWidth="1"/>
    <col min="28" max="28" width="8" style="155" customWidth="1"/>
    <col min="29" max="16384" width="11.42578125" style="155"/>
  </cols>
  <sheetData>
    <row r="1" spans="2:28" ht="27" customHeight="1" thickBot="1" x14ac:dyDescent="0.2">
      <c r="B1" s="302"/>
      <c r="C1" s="302"/>
      <c r="D1" s="302"/>
      <c r="E1" s="302"/>
      <c r="H1" s="303"/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188"/>
      <c r="I3" s="188"/>
      <c r="J3" s="161"/>
      <c r="N3" s="172" t="s">
        <v>198</v>
      </c>
      <c r="O3" s="173">
        <f>SUMIFS(Tableau_Data[Masculin],Tableau_Data[Lieu d''intervention],$O$2,Tableau_Data[Annee],$D$3)</f>
        <v>0</v>
      </c>
      <c r="P3" s="173">
        <f>SUMIFS(Tableau_Data[Masculin],Tableau_Data[Lieu d''intervention],$P$2,Tableau_Data[Annee],$D$3)</f>
        <v>70</v>
      </c>
      <c r="Q3" s="173">
        <f>SUMIFS(Tableau_Data[Masculin],Tableau_Data[Lieu d''intervention],$Q$2,Tableau_Data[Annee],$D$3)</f>
        <v>150</v>
      </c>
      <c r="R3" s="173">
        <f>SUMIFS(Tableau_Data[Masculin],Tableau_Data[Lieu d''intervention],$R$2,Tableau_Data[Annee],$D$3)</f>
        <v>272</v>
      </c>
      <c r="U3" s="195" t="str">
        <f>Paramètres!H7</f>
        <v>Dépliants</v>
      </c>
      <c r="V3" s="204">
        <f>COUNTIFS(Tableau_Data[Matériel distribué],$U$3,Tableau_Data[Lieu d''intervention],$V2,Tableau_Data[Annee],$D$3)</f>
        <v>0</v>
      </c>
      <c r="W3" s="204">
        <f>COUNTIFS(Tableau_Data[Matériel distribué],$U$3,Tableau_Data[Lieu d''intervention],$W2,Tableau_Data[Annee],$D$3)</f>
        <v>1</v>
      </c>
      <c r="X3" s="204">
        <f>COUNTIFS(Tableau_Data[Matériel distribué],$U$3,Tableau_Data[Lieu d''intervention],$X2,Tableau_Data[Annee],$D$3)</f>
        <v>0</v>
      </c>
      <c r="Y3" s="205">
        <f>COUNTIFS(Tableau_Data[Matériel distribué],$U$3,Tableau_Data[Lieu d''intervention],$Y2,Tableau_Data[Annee],$D$3)</f>
        <v>1</v>
      </c>
      <c r="Z3" s="202">
        <f>SUM(V3:Y3)</f>
        <v>2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SUMIFS(Tableau_Data[Féminin],Tableau_Data[Lieu d''intervention],$O$2,Tableau_Data[Annee],$D$3)</f>
        <v>0</v>
      </c>
      <c r="P4" s="173">
        <f>SUMIFS(Tableau_Data[Féminin],Tableau_Data[Lieu d''intervention],$P$2,Tableau_Data[Annee],$D$3)</f>
        <v>45</v>
      </c>
      <c r="Q4" s="173">
        <f>SUMIFS(Tableau_Data[Féminin],Tableau_Data[Lieu d''intervention],$Q$2,Tableau_Data[Annee],$D$3)</f>
        <v>50</v>
      </c>
      <c r="R4" s="173">
        <f>SUMIFS(Tableau_Data[Féminin],Tableau_Data[Lieu d''intervention],$R$2,Tableau_Data[Annee],$D$3)</f>
        <v>260</v>
      </c>
      <c r="U4" s="195" t="str">
        <f>Paramètres!H8</f>
        <v>Condoms</v>
      </c>
      <c r="V4" s="204">
        <f>COUNTIFS(Tableau_Data[Matériel distribué],$U$4,Tableau_Data[Lieu d''intervention],$V2,Tableau_Data[Annee],$D$3)</f>
        <v>0</v>
      </c>
      <c r="W4" s="204">
        <f>COUNTIFS(Tableau_Data[Matériel distribué],$U$4,Tableau_Data[Lieu d''intervention],$W2,Tableau_Data[Annee],$D$3)</f>
        <v>0</v>
      </c>
      <c r="X4" s="204">
        <f>COUNTIFS(Tableau_Data[Matériel distribué],$U$4,Tableau_Data[Lieu d''intervention],$X2,Tableau_Data[Annee],$D$3)</f>
        <v>1</v>
      </c>
      <c r="Y4" s="205">
        <f>COUNTIFS(Tableau_Data[Matériel distribué],$U$4,Tableau_Data[Lieu d''intervention],$Y2,Tableau_Data[Annee],$D$3)</f>
        <v>2</v>
      </c>
      <c r="Z4" s="202">
        <f t="shared" ref="Z4:Z6" si="0">SUM(V4:Y4)</f>
        <v>3</v>
      </c>
      <c r="AB4" s="194">
        <f>COUNTIFS(Tableau_Data[Annee],$D$3)</f>
        <v>8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115</v>
      </c>
      <c r="Q5" s="175">
        <f t="shared" ref="Q5:R5" si="1">SUM(Q3:Q4)</f>
        <v>200</v>
      </c>
      <c r="R5" s="175">
        <f t="shared" si="1"/>
        <v>532</v>
      </c>
      <c r="U5" s="195" t="str">
        <f>Paramètres!H9</f>
        <v>Aucun</v>
      </c>
      <c r="V5" s="204">
        <f>COUNTIFS(Tableau_Data[Matériel distribué],$U$5,Tableau_Data[Lieu d''intervention],$V2,Tableau_Data[Annee],$D$3)</f>
        <v>0</v>
      </c>
      <c r="W5" s="204">
        <f>COUNTIFS(Tableau_Data[Matériel distribué],$U$5,Tableau_Data[Lieu d''intervention],$W2,Tableau_Data[Annee],$D$3)</f>
        <v>0</v>
      </c>
      <c r="X5" s="204">
        <f>COUNTIFS(Tableau_Data[Matériel distribué],$U$5,Tableau_Data[Lieu d''intervention],$X2,Tableau_Data[Annee],$D$3)</f>
        <v>1</v>
      </c>
      <c r="Y5" s="205">
        <f>COUNTIFS(Tableau_Data[Matériel distribué],$U$5,Tableau_Data[Lieu d''intervention],$Y2,Tableau_Data[Annee],$D$3)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distribué],$U$6,Tableau_Data[Lieu d''intervention],$V2,Tableau_Data[Annee],$D$3)</f>
        <v>0</v>
      </c>
      <c r="W6" s="204">
        <f>COUNTIFS(Tableau_Data[Matériel distribué],$U$6,Tableau_Data[Lieu d''intervention],$W2,Tableau_Data[Annee],$D$3)</f>
        <v>0</v>
      </c>
      <c r="X6" s="204">
        <f>COUNTIFS(Tableau_Data[Matériel distribué],$U$6,Tableau_Data[Lieu d''intervention],$X2,Tableau_Data[Annee],$D$3)</f>
        <v>0</v>
      </c>
      <c r="Y6" s="205">
        <f>COUNTIFS(Tableau_Data[Matériel distribué],$U$6,Tableau_Data[Lieu d''intervention],$Y2,Tableau_Data[Annee],$D$3)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SUMIFS(Tableau_Data[Masculin],Tableau_Data[Annee],$D$3)</f>
        <v>492</v>
      </c>
      <c r="E7" s="298"/>
      <c r="F7" s="297">
        <f>SUMIFS(Tableau_Data[Féminin],Tableau_Data[Annee],$D$3)</f>
        <v>355</v>
      </c>
      <c r="G7" s="298"/>
      <c r="H7" s="160"/>
      <c r="I7" s="159">
        <f>SUM(D7:F7)</f>
        <v>847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M25" s="189">
        <f>D3</f>
        <v>2016</v>
      </c>
      <c r="N25" s="299" t="s">
        <v>170</v>
      </c>
      <c r="O25" s="299"/>
      <c r="P25" s="299"/>
    </row>
    <row r="26" spans="12:28" x14ac:dyDescent="0.15">
      <c r="M26" s="300"/>
      <c r="N26" s="300">
        <f>B1</f>
        <v>0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3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COUNTIFS(Tableau_Data[Cible],$U$29,Tableau_Data[Annee],$D$3)</f>
        <v>2</v>
      </c>
      <c r="V30" s="206">
        <f>COUNTIFS(Tableau_Data[Cible],$V$29,Tableau_Data[Annee],$D$3)</f>
        <v>2</v>
      </c>
      <c r="W30" s="206">
        <f>COUNTIFS(Tableau_Data[Cible],$W$29,Tableau_Data[Annee],$D$3)</f>
        <v>3</v>
      </c>
      <c r="X30" s="206">
        <f>COUNTIFS(Tableau_Data[Cible],$X$29,Tableau_Data[Annee],$D$3)</f>
        <v>1</v>
      </c>
      <c r="AB30" s="155">
        <f>COUNTIFS(Tableau_Data[Annee],$D$3)</f>
        <v>8</v>
      </c>
    </row>
    <row r="31" spans="12:28" x14ac:dyDescent="0.15">
      <c r="L31" s="177" t="s">
        <v>198</v>
      </c>
      <c r="M31" s="178">
        <f>SUMIFS(Tableau_Data[Masculin],Tableau_Data[Thèmes],$M$30,Tableau_Data[Annee],$D$3)</f>
        <v>34</v>
      </c>
      <c r="N31" s="178">
        <f>SUMIFS(Tableau_Data[Masculin],Tableau_Data[Thèmes],$N$30,Tableau_Data[Annee],$D$3)</f>
        <v>0</v>
      </c>
      <c r="O31" s="178">
        <f>SUMIFS(Tableau_Data[Masculin],Tableau_Data[Thèmes],$O$30,Tableau_Data[Annee],$D$3)</f>
        <v>70</v>
      </c>
      <c r="P31" s="178">
        <f>SUMIFS(Tableau_Data[Masculin],Tableau_Data[Thèmes],$P$30,Tableau_Data[Annee],$D$3)</f>
        <v>80</v>
      </c>
      <c r="Q31" s="178">
        <f>SUMIFS(Tableau_Data[Masculin],Tableau_Data[Thèmes],$Q$30,Tableau_Data[Annee],$D$3)</f>
        <v>75</v>
      </c>
      <c r="R31" s="178">
        <f>SUMIFS(Tableau_Data[Masculin],Tableau_Data[Thèmes],$R$30,Tableau_Data[Annee],$D$3)</f>
        <v>0</v>
      </c>
      <c r="S31" s="178">
        <f>SUMIFS(Tableau_Data[Masculin],Tableau_Data[Thèmes],$S$30,Tableau_Data[Annee],$D$3)</f>
        <v>233</v>
      </c>
      <c r="U31" s="207">
        <f>U30/AB30</f>
        <v>0.25</v>
      </c>
      <c r="V31" s="207">
        <f>V30/AB30</f>
        <v>0.25</v>
      </c>
      <c r="W31" s="207">
        <f>W30/AB30</f>
        <v>0.375</v>
      </c>
      <c r="X31" s="207">
        <f>X30/AB30</f>
        <v>0.125</v>
      </c>
    </row>
    <row r="32" spans="12:28" x14ac:dyDescent="0.15">
      <c r="L32" s="177" t="s">
        <v>199</v>
      </c>
      <c r="M32" s="178">
        <f>SUMIFS(Tableau_Data[Féminin],Tableau_Data[Thèmes],$M$30,Tableau_Data[Annee],$D$3)</f>
        <v>70</v>
      </c>
      <c r="N32" s="178">
        <f>SUMIFS(Tableau_Data[Féminin],Tableau_Data[Thèmes],$N$30,Tableau_Data[Annee],$D$3)</f>
        <v>0</v>
      </c>
      <c r="O32" s="178">
        <f>SUMIFS(Tableau_Data[Féminin],Tableau_Data[Thèmes],$O$30,Tableau_Data[Annee],$D$3)</f>
        <v>45</v>
      </c>
      <c r="P32" s="178">
        <f>SUMIFS(Tableau_Data[Féminin],Tableau_Data[Thèmes],$P$30,Tableau_Data[Annee],$D$3)</f>
        <v>50</v>
      </c>
      <c r="Q32" s="178">
        <f>SUMIFS(Tableau_Data[Féminin],Tableau_Data[Thèmes],$Q$30,Tableau_Data[Annee],$D$3)</f>
        <v>35</v>
      </c>
      <c r="R32" s="178">
        <f>SUMIFS(Tableau_Data[Féminin],Tableau_Data[Thèmes],$R$30,Tableau_Data[Annee],$D$3)</f>
        <v>0</v>
      </c>
      <c r="S32" s="178">
        <f>SUMIFS(Tableau_Data[Féminin],Tableau_Data[Thèmes],$S$30,Tableau_Data[Annee],$D$3)</f>
        <v>155</v>
      </c>
    </row>
    <row r="33" spans="2:28" x14ac:dyDescent="0.15">
      <c r="C33" s="300"/>
      <c r="E33" s="300"/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115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388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COUNTIFS(Tableau_Data[Annee],$D$3)</f>
        <v>8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Preservatif],$U$50,Tableau_Data[Annee],$D$3)</f>
        <v>5</v>
      </c>
      <c r="V51" s="197">
        <f>COUNTIFS(Tableau_Data[Démo Preservatif],$V$50,Tableau_Data[Annee],$D$3)</f>
        <v>3</v>
      </c>
      <c r="X51" s="197">
        <f>COUNTIFS(Tableau_Data[Témoignage],$X$50,Tableau_Data[Annee],$D$3)</f>
        <v>4</v>
      </c>
      <c r="Y51" s="197">
        <f>COUNTIFS(Tableau_Data[Témoignage],$Y$50,Tableau_Data[Annee],$D$3)</f>
        <v>4</v>
      </c>
    </row>
    <row r="52" spans="13:28" x14ac:dyDescent="0.15">
      <c r="M52" s="189">
        <f>D3</f>
        <v>2016</v>
      </c>
      <c r="N52" s="299" t="s">
        <v>172</v>
      </c>
      <c r="O52" s="299"/>
      <c r="P52" s="299"/>
      <c r="U52" s="199">
        <f>U51/AB49</f>
        <v>0.625</v>
      </c>
      <c r="V52" s="199">
        <f>V51/AB49</f>
        <v>0.375</v>
      </c>
      <c r="X52" s="199">
        <f>X51/AB49</f>
        <v>0.5</v>
      </c>
      <c r="Y52" s="199">
        <f>Y51/AB49</f>
        <v>0.5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1">
    <mergeCell ref="V1:AA1"/>
    <mergeCell ref="V27:AA27"/>
    <mergeCell ref="B42:C42"/>
    <mergeCell ref="D42:E42"/>
    <mergeCell ref="N52:P52"/>
    <mergeCell ref="C33:C34"/>
    <mergeCell ref="B1:E1"/>
    <mergeCell ref="H1:I1"/>
    <mergeCell ref="D3:F3"/>
    <mergeCell ref="D4:F4"/>
    <mergeCell ref="D6:E6"/>
    <mergeCell ref="F6:G6"/>
    <mergeCell ref="M58:N58"/>
    <mergeCell ref="O58:P58"/>
    <mergeCell ref="S58:T58"/>
    <mergeCell ref="D7:E7"/>
    <mergeCell ref="F7:G7"/>
    <mergeCell ref="N25:P25"/>
    <mergeCell ref="M26:M27"/>
    <mergeCell ref="N26:R27"/>
    <mergeCell ref="E33:I34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Paramètres!$J$21:$J$35</xm:f>
          </x14:formula1>
          <xm:sqref>D3:F3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B1:AB58"/>
  <sheetViews>
    <sheetView showGridLines="0" view="pageLayout" zoomScaleNormal="100" workbookViewId="0">
      <selection activeCell="J4" sqref="J4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1" width="17" style="155" customWidth="1"/>
    <col min="22" max="22" width="11.42578125" style="155"/>
    <col min="23" max="23" width="15.85546875" style="155" customWidth="1"/>
    <col min="24" max="24" width="13.5703125" style="155" customWidth="1"/>
    <col min="25" max="26" width="11.42578125" style="155"/>
    <col min="27" max="27" width="2.7109375" style="155" customWidth="1"/>
    <col min="28" max="28" width="7.7109375" style="155" customWidth="1"/>
    <col min="29" max="29" width="8.5703125" style="155" customWidth="1"/>
    <col min="30" max="16384" width="11.42578125" style="155"/>
  </cols>
  <sheetData>
    <row r="1" spans="2:28" ht="27" customHeight="1" thickBot="1" x14ac:dyDescent="0.2">
      <c r="B1" s="312" t="s">
        <v>124</v>
      </c>
      <c r="C1" s="313"/>
      <c r="D1" s="313"/>
      <c r="E1" s="314"/>
      <c r="H1" s="303" t="s">
        <v>175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310" t="s">
        <v>3</v>
      </c>
      <c r="I3" s="311"/>
      <c r="J3" s="161">
        <f>VLOOKUP(H3,Reseaux!$CB$53:$CC$64,2,0)</f>
        <v>1</v>
      </c>
      <c r="N3" s="172" t="s">
        <v>198</v>
      </c>
      <c r="O3" s="173">
        <f>SUMIFS(Tableau_Data[Masculin],Tableau_Data[Nom Réseau],$B1,Tableau_Data[Lieu d''intervention],$O$2,Tableau_Data[Annee],$D$3,Tableau_Data[Mois],J$3)</f>
        <v>0</v>
      </c>
      <c r="P3" s="173">
        <f>SUMIFS(Tableau_Data[Masculin],Tableau_Data[Nom Réseau],$B1,Tableau_Data[Lieu d''intervention],$P$2,Tableau_Data[Annee],$D$3,Tableau_Data[Mois],J$3)</f>
        <v>0</v>
      </c>
      <c r="Q3" s="173">
        <f>SUMIFS(Tableau_Data[Masculin],Tableau_Data[Nom Réseau],$B1,Tableau_Data[Lieu d''intervention],$Q$2,Tableau_Data[Annee],$D$3,Tableau_Data[Mois],J$3)</f>
        <v>75</v>
      </c>
      <c r="R3" s="173">
        <f>SUMIFS(Tableau_Data[Masculin],Tableau_Data[Nom Réseau],$B1,Tableau_Data[Lieu d''intervention],$R$2,Tableau_Data[Annee],$D$3,Tableau_Data[Mois],J$3)</f>
        <v>34</v>
      </c>
      <c r="U3" s="195" t="str">
        <f>Paramètres!H7</f>
        <v>Dépliants</v>
      </c>
      <c r="V3" s="204">
        <f>COUNTIFS(Tableau_Data[Matériel distribué],$U$3,Tableau_Data[Nom Réseau],$B1,Tableau_Data[Lieu d''intervention],$V2,Tableau_Data[Annee],$D$3,Tableau_Data[Mois],J$3)</f>
        <v>0</v>
      </c>
      <c r="W3" s="204">
        <f>COUNTIFS(Tableau_Data[Matériel distribué],$U$3,Tableau_Data[Nom Réseau],$B1,Tableau_Data[Lieu d''intervention],$W2,Tableau_Data[Annee],$D$3,Tableau_Data[Mois],J$3)</f>
        <v>0</v>
      </c>
      <c r="X3" s="204">
        <f>COUNTIFS(Tableau_Data[Matériel distribué],$U$3,Tableau_Data[Nom Réseau],$B1,Tableau_Data[Lieu d''intervention],$X2,Tableau_Data[Annee],$D$3,Tableau_Data[Mois],J$3)</f>
        <v>0</v>
      </c>
      <c r="Y3" s="205">
        <f>COUNTIFS(Tableau_Data[Matériel distribué],$U$3,Tableau_Data[Nom Réseau],$B1,Tableau_Data[Lieu d''intervention],$Y2,Tableau_Data[Annee],$D$3,Tableau_Data[Mois],J$3)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SUMIFS(Tableau_Data[Féminin],Tableau_Data[Nom Réseau],$B1,Tableau_Data[Lieu d''intervention],$O$2,Tableau_Data[Annee],$D$3,Tableau_Data[Mois],J$3)</f>
        <v>0</v>
      </c>
      <c r="P4" s="173">
        <f>SUMIFS(Tableau_Data[Féminin],Tableau_Data[Nom Réseau],$B1,Tableau_Data[Lieu d''intervention],$P$2,Tableau_Data[Annee],$D$3,Tableau_Data[Mois],J$3)</f>
        <v>0</v>
      </c>
      <c r="Q4" s="173">
        <f>SUMIFS(Tableau_Data[Féminin],Tableau_Data[Nom Réseau],$B1,Tableau_Data[Lieu d''intervention],$Q$2,Tableau_Data[Annee],$D$3,Tableau_Data[Mois],J$3)</f>
        <v>35</v>
      </c>
      <c r="R4" s="173">
        <f>SUMIFS(Tableau_Data[Féminin],Tableau_Data[Nom Réseau],$B1,Tableau_Data[Lieu d''intervention],$R$2,Tableau_Data[Annee],$D$3,Tableau_Data[Mois],J$3)</f>
        <v>70</v>
      </c>
      <c r="U4" s="195" t="str">
        <f>Paramètres!H8</f>
        <v>Condoms</v>
      </c>
      <c r="V4" s="204">
        <f>COUNTIFS(Tableau_Data[Matériel distribué],$U$4,Tableau_Data[Nom Réseau],$B1,Tableau_Data[Lieu d''intervention],$V2,Tableau_Data[Annee],$D$3,Tableau_Data[Mois],J$3)</f>
        <v>0</v>
      </c>
      <c r="W4" s="204">
        <f>COUNTIFS(Tableau_Data[Matériel distribué],$U$4,Tableau_Data[Nom Réseau],$B1,Tableau_Data[Lieu d''intervention],$W2,Tableau_Data[Annee],$D$3,Tableau_Data[Mois],J$3)</f>
        <v>0</v>
      </c>
      <c r="X4" s="204">
        <f>COUNTIFS(Tableau_Data[Matériel distribué],$U$4,Tableau_Data[Nom Réseau],$B1,Tableau_Data[Lieu d''intervention],$X2,Tableau_Data[Annee],$D$3,Tableau_Data[Mois],$J$3)</f>
        <v>0</v>
      </c>
      <c r="Y4" s="205">
        <f>COUNTIFS(Tableau_Data[Matériel distribué],$U$4,Tableau_Data[Nom Réseau],$B1,Tableau_Data[Lieu d''intervention],$Y2,Tableau_Data[Annee],$D$3,Tableau_Data[Mois],$J$3)</f>
        <v>0</v>
      </c>
      <c r="Z4" s="202">
        <f t="shared" ref="Z4:Z6" si="0">SUM(V4:Y4)</f>
        <v>0</v>
      </c>
      <c r="AB4" s="193">
        <f>COUNTIFS(Tableau_Data[Nom Réseau],$B$1,Tableau_Data[Annee],$D$3,Tableau_Data[Mois],$J$3)</f>
        <v>2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104</v>
      </c>
      <c r="U5" s="195" t="str">
        <f>Paramètres!H9</f>
        <v>Aucun</v>
      </c>
      <c r="V5" s="204">
        <f>COUNTIFS(Tableau_Data[Matériel distribué],$U$5,Tableau_Data[Nom Réseau],$B$1,Tableau_Data[Lieu d''intervention],$V2,Tableau_Data[Annee],$D$3,Tableau_Data[Mois],$J$3)</f>
        <v>0</v>
      </c>
      <c r="W5" s="204">
        <f>COUNTIFS(Tableau_Data[Matériel distribué],$U$5,Tableau_Data[Nom Réseau],$B$1,Tableau_Data[Lieu d''intervention],$W2,Tableau_Data[Annee],$D$3,Tableau_Data[Mois],$J$3)</f>
        <v>0</v>
      </c>
      <c r="X5" s="204">
        <f>COUNTIFS(Tableau_Data[Matériel distribué],$U$5,Tableau_Data[Nom Réseau],$B$1,Tableau_Data[Lieu d''intervention],$X2,Tableau_Data[Annee],$D$3,Tableau_Data[Mois],$J$3)</f>
        <v>1</v>
      </c>
      <c r="Y5" s="205">
        <f>COUNTIFS(Tableau_Data[Matériel distribué],$U$5,Tableau_Data[Nom Réseau],$B$1,Tableau_Data[Lieu d''intervention],$Y2,Tableau_Data[Annee],$D$3,Tableau_Data[Mois],$J$3)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distribué],$U$6,Tableau_Data[Nom Réseau],$B$1,Tableau_Data[Lieu d''intervention],$V2,Tableau_Data[Annee],$D$3,Tableau_Data[Mois],$J$3)</f>
        <v>0</v>
      </c>
      <c r="W6" s="204">
        <f>COUNTIFS(Tableau_Data[Matériel distribué],$U$6,Tableau_Data[Nom Réseau],$B$1,Tableau_Data[Lieu d''intervention],$W2,Tableau_Data[Annee],$D$3,Tableau_Data[Mois],$J$3)</f>
        <v>0</v>
      </c>
      <c r="X6" s="204">
        <f>COUNTIFS(Tableau_Data[Matériel distribué],$U$6,Tableau_Data[Nom Réseau],$B$1,Tableau_Data[Lieu d''intervention],$X2,Tableau_Data[Annee],$D$3,Tableau_Data[Mois],$J$3)</f>
        <v>0</v>
      </c>
      <c r="Y6" s="205">
        <f>COUNTIFS(Tableau_Data[Matériel distribué],$U$6,Tableau_Data[Nom Réseau],$B$1,Tableau_Data[Lieu d''intervention],$Y2,Tableau_Data[Annee],$D$3,Tableau_Data[Mois],$J$3)</f>
        <v>0</v>
      </c>
      <c r="Z6" s="202">
        <f t="shared" si="0"/>
        <v>0</v>
      </c>
    </row>
    <row r="7" spans="2:28" ht="16.5" customHeight="1" x14ac:dyDescent="0.15">
      <c r="B7" s="158"/>
      <c r="C7" s="160"/>
      <c r="D7" s="297">
        <f>SUMIFS(Tableau_Data[Masculin],Tableau_Data[Nom Réseau],$B1,Tableau_Data[Annee],$D$3,Tableau_Data[Mois],J$3)</f>
        <v>109</v>
      </c>
      <c r="E7" s="298"/>
      <c r="F7" s="297">
        <f>SUMIFS(Tableau_Data[Féminin],Tableau_Data[Nom Réseau],$B1,Tableau_Data[Annee],$D$3,Tableau_Data[Mois],J$3)</f>
        <v>105</v>
      </c>
      <c r="G7" s="298"/>
      <c r="H7" s="160"/>
      <c r="I7" s="159">
        <f>SUM(D7:F7)</f>
        <v>214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176</v>
      </c>
      <c r="N26" s="300" t="str">
        <f>B1</f>
        <v>CDS Rwesa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3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COUNTIFS(Tableau_Data[Cible],$U$29,Tableau_Data[Nom Réseau],$B$1,Tableau_Data[Annee],$D$3,Tableau_Data[Mois],$J$3)</f>
        <v>1</v>
      </c>
      <c r="V30" s="206">
        <f>COUNTIFS(Tableau_Data[Cible],$V$29,Tableau_Data[Nom Réseau],$B$1,Tableau_Data[Annee],$D$3,Tableau_Data[Mois],$J$3)</f>
        <v>1</v>
      </c>
      <c r="W30" s="206">
        <f>COUNTIFS(Tableau_Data[Cible],$W$29,Tableau_Data[Nom Réseau],$B$1,Tableau_Data[Annee],$D$3,Tableau_Data[Mois],$J$3)</f>
        <v>0</v>
      </c>
      <c r="X30" s="206">
        <f>COUNTIFS(Tableau_Data[Cible],$X$29,Tableau_Data[Nom Réseau],$B$1,Tableau_Data[Annee],$D$3,Tableau_Data[Mois],$J$3)</f>
        <v>0</v>
      </c>
      <c r="AB30" s="155">
        <f>COUNTIFS(Tableau_Data[Nom Réseau],$B$1,Tableau_Data[Annee],$D$3,Tableau_Data[Mois],$J$3)</f>
        <v>2</v>
      </c>
    </row>
    <row r="31" spans="12:28" x14ac:dyDescent="0.15">
      <c r="L31" s="177" t="s">
        <v>198</v>
      </c>
      <c r="M31" s="178">
        <f>SUMIFS(Tableau_Data[Masculin],Tableau_Data[Nom Réseau],$B1,Tableau_Data[Thèmes],$M$30,Tableau_Data[Annee],$D$3,Tableau_Data[Mois],J$3)</f>
        <v>34</v>
      </c>
      <c r="N31" s="178">
        <f>SUMIFS(Tableau_Data[Masculin],Tableau_Data[Nom Réseau],$B1,Tableau_Data[Thèmes],$N$30,Tableau_Data[Annee],$D$3,Tableau_Data[Mois],J$3)</f>
        <v>0</v>
      </c>
      <c r="O31" s="178">
        <f>SUMIFS(Tableau_Data[Masculin],Tableau_Data[Nom Réseau],$B1,Tableau_Data[Thèmes],$O$30,Tableau_Data[Annee],$D$3,Tableau_Data[Mois],J$3)</f>
        <v>0</v>
      </c>
      <c r="P31" s="178">
        <f>SUMIFS(Tableau_Data[Masculin],Tableau_Data[Nom Réseau],$B1,Tableau_Data[Thèmes],$P$30,Tableau_Data[Annee],$D$3,Tableau_Data[Mois],J$3)</f>
        <v>0</v>
      </c>
      <c r="Q31" s="178">
        <f>SUMIFS(Tableau_Data[Masculin],Tableau_Data[Nom Réseau],$B1,Tableau_Data[Thèmes],$Q$30,Tableau_Data[Annee],$D$3,Tableau_Data[Mois],J$3)</f>
        <v>75</v>
      </c>
      <c r="R31" s="178">
        <f>SUMIFS(Tableau_Data[Masculin],Tableau_Data[Nom Réseau],$B1,Tableau_Data[Thèmes],$R$30,Tableau_Data[Annee],$D$3,Tableau_Data[Mois],J$3)</f>
        <v>0</v>
      </c>
      <c r="S31" s="178">
        <f>SUMIFS(Tableau_Data[Masculin],Tableau_Data[Nom Réseau],$B1,Tableau_Data[Thèmes],$S$30,Tableau_Data[Annee],$D$3,Tableau_Data[Mois],J$3)</f>
        <v>0</v>
      </c>
      <c r="U31" s="207">
        <f>U30/AB30</f>
        <v>0.5</v>
      </c>
      <c r="V31" s="207">
        <f>V30/AB30</f>
        <v>0.5</v>
      </c>
      <c r="W31" s="207">
        <f>W30/AB30</f>
        <v>0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SUMIFS(Tableau_Data[Féminin],Tableau_Data[Nom Réseau],$B1,Tableau_Data[Thèmes],$M$30,Tableau_Data[Annee],$D$3,Tableau_Data[Mois],J$3)</f>
        <v>70</v>
      </c>
      <c r="N32" s="178">
        <f>SUMIFS(Tableau_Data[Féminin],Tableau_Data[Nom Réseau],$B1,Tableau_Data[Thèmes],$N$30,Tableau_Data[Annee],$D$3,Tableau_Data[Mois],J$3)</f>
        <v>0</v>
      </c>
      <c r="O32" s="178">
        <f>SUMIFS(Tableau_Data[Féminin],Tableau_Data[Nom Réseau],$B1,Tableau_Data[Thèmes],$O$30,Tableau_Data[Annee],$D$3,Tableau_Data[Mois],J$3)</f>
        <v>0</v>
      </c>
      <c r="P32" s="178">
        <f>SUMIFS(Tableau_Data[Féminin],Tableau_Data[Nom Réseau],$B1,Tableau_Data[Thèmes],$P$30,Tableau_Data[Annee],$D$3,Tableau_Data[Mois],J$3)</f>
        <v>0</v>
      </c>
      <c r="Q32" s="178">
        <f>SUMIFS(Tableau_Data[Féminin],Tableau_Data[Nom Réseau],$B1,Tableau_Data[Thèmes],$Q$30,Tableau_Data[Annee],$D$3,Tableau_Data[Mois],J$3)</f>
        <v>35</v>
      </c>
      <c r="R32" s="178">
        <f>SUMIFS(Tableau_Data[Féminin],Tableau_Data[Nom Réseau],$B1,Tableau_Data[Thèmes],$R$30,Tableau_Data[Annee],$D$3,Tableau_Data[Mois],J$3)</f>
        <v>0</v>
      </c>
      <c r="S32" s="178">
        <f>SUMIFS(Tableau_Data[Féminin],Tableau_Data[Nom Réseau],$B1,Tableau_Data[Thèmes],$S$30,Tableau_Data[Annee],$D$3,Tableau_Data[Mois],J$3)</f>
        <v>0</v>
      </c>
    </row>
    <row r="33" spans="2:28" x14ac:dyDescent="0.15">
      <c r="C33" s="300" t="s">
        <v>176</v>
      </c>
      <c r="E33" s="300" t="str">
        <f>B1</f>
        <v>CDS Rwesa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0</v>
      </c>
      <c r="Q33" s="180">
        <f t="shared" si="2"/>
        <v>110</v>
      </c>
      <c r="R33" s="180">
        <f t="shared" si="2"/>
        <v>0</v>
      </c>
      <c r="S33" s="180">
        <f>SUM(S31:S32)</f>
        <v>0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COUNTIFS(Tableau_Data[Nom Réseau],$B$1,Tableau_Data[Annee],$D$3,Tableau_Data[Mois],$J$3)</f>
        <v>2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Preservatif],$U$50,Tableau_Data[Nom Réseau],$B$1,Tableau_Data[Annee],$D$3,Tableau_Data[Mois],$J$3)</f>
        <v>1</v>
      </c>
      <c r="V51" s="197">
        <f>COUNTIFS(Tableau_Data[Démo Preservatif],$V$50,Tableau_Data[Nom Réseau],$B$1,Tableau_Data[Annee],$D$3,Tableau_Data[Mois],$J$3)</f>
        <v>1</v>
      </c>
      <c r="X51" s="197">
        <f>COUNTIFS(Tableau_Data[Témoignage],$X$50,Tableau_Data[Nom Réseau],$B$1,Tableau_Data[Annee],$D$3,Tableau_Data[Mois],$J$3)</f>
        <v>1</v>
      </c>
      <c r="Y51" s="197">
        <f>COUNTIFS(Tableau_Data[Témoignage],$Y$50,Tableau_Data[Nom Réseau],$B$1,Tableau_Data[Annee],$D$3,Tableau_Data[Mois],$J$3)</f>
        <v>1</v>
      </c>
    </row>
    <row r="52" spans="13:28" x14ac:dyDescent="0.15">
      <c r="N52" s="299" t="s">
        <v>172</v>
      </c>
      <c r="O52" s="299"/>
      <c r="P52" s="299"/>
      <c r="U52" s="199">
        <f>U51/AB49</f>
        <v>0.5</v>
      </c>
      <c r="V52" s="199">
        <f>V51/AB49</f>
        <v>0.5</v>
      </c>
      <c r="X52" s="199">
        <f>X51/AB49</f>
        <v>0.5</v>
      </c>
      <c r="Y52" s="199">
        <f>Y51/AB49</f>
        <v>0.5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2">
    <mergeCell ref="C33:C34"/>
    <mergeCell ref="D3:F3"/>
    <mergeCell ref="D6:E6"/>
    <mergeCell ref="F6:G6"/>
    <mergeCell ref="D7:E7"/>
    <mergeCell ref="F7:G7"/>
    <mergeCell ref="V1:AA1"/>
    <mergeCell ref="V27:AA27"/>
    <mergeCell ref="S58:T58"/>
    <mergeCell ref="M26:M27"/>
    <mergeCell ref="B42:C42"/>
    <mergeCell ref="D42:E42"/>
    <mergeCell ref="D4:F4"/>
    <mergeCell ref="N26:R27"/>
    <mergeCell ref="N25:P25"/>
    <mergeCell ref="N52:P52"/>
    <mergeCell ref="M58:N58"/>
    <mergeCell ref="O58:P58"/>
    <mergeCell ref="H3:I3"/>
    <mergeCell ref="B1:E1"/>
    <mergeCell ref="E33:I34"/>
    <mergeCell ref="H1:I1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Paramètres!$J$21:$J$35</xm:f>
          </x14:formula1>
          <xm:sqref>D3:F3</xm:sqref>
        </x14:dataValidation>
        <x14:dataValidation type="list" allowBlank="1" showInputMessage="1" showErrorMessage="1">
          <x14:formula1>
            <xm:f>Reseaux!$CB$53:$CB$64</xm:f>
          </x14:formula1>
          <xm:sqref>H3:I3</xm:sqref>
        </x14:dataValidation>
        <x14:dataValidation type="list" allowBlank="1" showInputMessage="1" showErrorMessage="1">
          <x14:formula1>
            <xm:f>Paramètres!$N$5:$N$42</xm:f>
          </x14:formula1>
          <xm:sqref>B1:E1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C000"/>
  </sheetPr>
  <dimension ref="B1:AB58"/>
  <sheetViews>
    <sheetView showGridLines="0" view="pageLayout" zoomScaleNormal="100" workbookViewId="0">
      <selection activeCell="E9" sqref="E9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5.85546875" style="155" customWidth="1"/>
    <col min="28" max="28" width="8.7109375" style="155" customWidth="1"/>
    <col min="29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111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310" t="s">
        <v>3</v>
      </c>
      <c r="I3" s="311"/>
      <c r="J3" s="161">
        <f>VLOOKUP(H3,Reseaux!$CB$53:$CC$64,2,0)</f>
        <v>1</v>
      </c>
      <c r="N3" s="172" t="s">
        <v>198</v>
      </c>
      <c r="O3" s="173">
        <f>SUMIFS(Tableau_Data[Masculin],Tableau_Data[District sanitaire],$B1,Tableau_Data[Lieu d''intervention],$O$2,Tableau_Data[Annee],$D$3,Tableau_Data[Mois],J$3)</f>
        <v>0</v>
      </c>
      <c r="P3" s="173">
        <f>SUMIFS(Tableau_Data[Masculin],Tableau_Data[District sanitaire],$B1,Tableau_Data[Lieu d''intervention],$P$2,Tableau_Data[Annee],$D$3,Tableau_Data[Mois],J$3)</f>
        <v>0</v>
      </c>
      <c r="Q3" s="173">
        <f>SUMIFS(Tableau_Data[Masculin],Tableau_Data[District sanitaire],$B1,Tableau_Data[Lieu d''intervention],$Q$2,Tableau_Data[Annee],$D$3,Tableau_Data[Mois],J$3)</f>
        <v>75</v>
      </c>
      <c r="R3" s="173">
        <f>SUMIFS(Tableau_Data[Masculin],Tableau_Data[District sanitaire],$B1,Tableau_Data[Lieu d''intervention],$R$2,Tableau_Data[Annee],$D$3,Tableau_Data[Mois],J$3)</f>
        <v>164</v>
      </c>
      <c r="U3" s="195" t="str">
        <f>Paramètres!H7</f>
        <v>Dépliants</v>
      </c>
      <c r="V3" s="204">
        <f>COUNTIFS(Tableau_Data[Matériel distribué],$U$3,Tableau_Data[District sanitaire],$B1,Tableau_Data[Lieu d''intervention],$V2,Tableau_Data[Annee],$D$3,Tableau_Data[Mois],J$3)</f>
        <v>0</v>
      </c>
      <c r="W3" s="204">
        <f>COUNTIFS(Tableau_Data[Matériel distribué],$U$3,Tableau_Data[District sanitaire],$B1,Tableau_Data[Lieu d''intervention],$W2,Tableau_Data[Annee],$D$3,Tableau_Data[Mois],J$3)</f>
        <v>0</v>
      </c>
      <c r="X3" s="204">
        <f>COUNTIFS(Tableau_Data[Matériel distribué],$U$3,Tableau_Data[District sanitaire],$B1,Tableau_Data[Lieu d''intervention],$X2,Tableau_Data[Annee],$D$3,Tableau_Data[Mois],J$3)</f>
        <v>0</v>
      </c>
      <c r="Y3" s="205">
        <f>COUNTIFS(Tableau_Data[Matériel distribué],$U$3,Tableau_Data[District sanitaire],$B1,Tableau_Data[Lieu d''intervention],$Y2,Tableau_Data[Annee],$D$3,Tableau_Data[Mois],J$3)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SUMIFS(Tableau_Data[Féminin],Tableau_Data[District sanitaire],$B1,Tableau_Data[Lieu d''intervention],$O$2,Tableau_Data[Annee],$D$3,Tableau_Data[Mois],J$3)</f>
        <v>0</v>
      </c>
      <c r="P4" s="173">
        <f>SUMIFS(Tableau_Data[Féminin],Tableau_Data[District sanitaire],$B1,Tableau_Data[Lieu d''intervention],$P$2,Tableau_Data[Annee],$D$3,Tableau_Data[Mois],J$3)</f>
        <v>0</v>
      </c>
      <c r="Q4" s="173">
        <f>SUMIFS(Tableau_Data[Féminin],Tableau_Data[District sanitaire],$B1,Tableau_Data[Lieu d''intervention],$Q$2,Tableau_Data[Annee],$D$3,Tableau_Data[Mois],J$3)</f>
        <v>35</v>
      </c>
      <c r="R4" s="173">
        <f>SUMIFS(Tableau_Data[Féminin],Tableau_Data[District sanitaire],$B1,Tableau_Data[Lieu d''intervention],$R$2,Tableau_Data[Annee],$D$3,Tableau_Data[Mois],J$3)</f>
        <v>150</v>
      </c>
      <c r="U4" s="195" t="str">
        <f>Paramètres!H8</f>
        <v>Condoms</v>
      </c>
      <c r="V4" s="204">
        <f>COUNTIFS(Tableau_Data[Matériel distribué],$U$4,Tableau_Data[District sanitaire],$B1,Tableau_Data[Lieu d''intervention],$V2,Tableau_Data[Annee],$D$3,Tableau_Data[Mois],J$3)</f>
        <v>0</v>
      </c>
      <c r="W4" s="204">
        <f>COUNTIFS(Tableau_Data[Matériel distribué],$U$4,Tableau_Data[District sanitaire],$B1,Tableau_Data[Lieu d''intervention],$W2,Tableau_Data[Annee],$D$3,Tableau_Data[Mois],J$3)</f>
        <v>0</v>
      </c>
      <c r="X4" s="204">
        <f>COUNTIFS(Tableau_Data[Matériel distribué],$U$4,Tableau_Data[District sanitaire],$B1,Tableau_Data[Lieu d''intervention],$X2,Tableau_Data[Annee],$D$3,Tableau_Data[Mois],$J$3)</f>
        <v>0</v>
      </c>
      <c r="Y4" s="205">
        <f>COUNTIFS(Tableau_Data[Matériel distribué],$U$4,Tableau_Data[District sanitaire],$B1,Tableau_Data[Lieu d''intervention],$Y2,Tableau_Data[Annee],$D$3,Tableau_Data[Mois],$J$3)</f>
        <v>0</v>
      </c>
      <c r="Z4" s="202">
        <f t="shared" ref="Z4:Z6" si="0">SUM(V4:Y4)</f>
        <v>0</v>
      </c>
      <c r="AB4" s="194">
        <f>COUNTIFS(Tableau_Data[District sanitaire],$B$1,Tableau_Data[Annee],$D$3,Tableau_Data[Mois],$J$3)</f>
        <v>4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314</v>
      </c>
      <c r="U5" s="195" t="str">
        <f>Paramètres!H9</f>
        <v>Aucun</v>
      </c>
      <c r="V5" s="204">
        <f>COUNTIFS(Tableau_Data[Matériel distribué],$U$5,Tableau_Data[District sanitaire],$B$1,Tableau_Data[Lieu d''intervention],$V2,Tableau_Data[Annee],$D$3,Tableau_Data[Mois],$J$3)</f>
        <v>0</v>
      </c>
      <c r="W5" s="204">
        <f>COUNTIFS(Tableau_Data[Matériel distribué],$U$5,Tableau_Data[District sanitaire],$B$1,Tableau_Data[Lieu d''intervention],$W2,Tableau_Data[Annee],$D$3,Tableau_Data[Mois],$J$3)</f>
        <v>0</v>
      </c>
      <c r="X5" s="204">
        <f>COUNTIFS(Tableau_Data[Matériel distribué],$U$5,Tableau_Data[District sanitaire],$B$1,Tableau_Data[Lieu d''intervention],$X2,Tableau_Data[Annee],$D$3,Tableau_Data[Mois],$J$3)</f>
        <v>1</v>
      </c>
      <c r="Y5" s="205">
        <f>COUNTIFS(Tableau_Data[Matériel distribué],$U$5,Tableau_Data[District sanitaire],$B$1,Tableau_Data[Lieu d''intervention],$Y2,Tableau_Data[Annee],$D$3,Tableau_Data[Mois],$J$3)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distribué],$U$6,Tableau_Data[District sanitaire],$B$1,Tableau_Data[Lieu d''intervention],$V2,Tableau_Data[Annee],$D$3,Tableau_Data[Mois],$J$3)</f>
        <v>0</v>
      </c>
      <c r="W6" s="204">
        <f>COUNTIFS(Tableau_Data[Matériel distribué],$U$6,Tableau_Data[District sanitaire],$B$1,Tableau_Data[Lieu d''intervention],$W2,Tableau_Data[Annee],$D$3,Tableau_Data[Mois],$J$3)</f>
        <v>0</v>
      </c>
      <c r="X6" s="204">
        <f>COUNTIFS(Tableau_Data[Matériel distribué],$U$6,Tableau_Data[District sanitaire],$B$1,Tableau_Data[Lieu d''intervention],$X2,Tableau_Data[Annee],$D$3,Tableau_Data[Mois],$J$3)</f>
        <v>0</v>
      </c>
      <c r="Y6" s="205">
        <f>COUNTIFS(Tableau_Data[Matériel distribué],$U$6,Tableau_Data[District sanitaire],$B$1,Tableau_Data[Lieu d''intervention],$Y2,Tableau_Data[Annee],$D$3,Tableau_Data[Mois],$J$3)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SUMIFS(Tableau_Data[Masculin],Tableau_Data[District sanitaire],$B1,Tableau_Data[Annee],$D$3,Tableau_Data[Mois],J$3)</f>
        <v>239</v>
      </c>
      <c r="E7" s="298"/>
      <c r="F7" s="297">
        <f>SUMIFS(Tableau_Data[Féminin],Tableau_Data[District sanitaire],$B1,Tableau_Data[Annee],$D$3,Tableau_Data[Mois],J$3)</f>
        <v>185</v>
      </c>
      <c r="G7" s="298"/>
      <c r="H7" s="160"/>
      <c r="I7" s="159">
        <f>SUM(D7:F7)</f>
        <v>424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173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COUNTIFS(Tableau_Data[Cible],$U$29,Tableau_Data[District sanitaire],$B$1,Tableau_Data[Annee],$D$3,Tableau_Data[Mois],$J$3)</f>
        <v>2</v>
      </c>
      <c r="V30" s="206">
        <f>COUNTIFS(Tableau_Data[Cible],$V$29,Tableau_Data[District sanitaire],$B$1,Tableau_Data[Annee],$D$3,Tableau_Data[Mois],$J$3)</f>
        <v>1</v>
      </c>
      <c r="W30" s="206">
        <f>COUNTIFS(Tableau_Data[Cible],$W$29,Tableau_Data[District sanitaire],$B$1,Tableau_Data[Annee],$D$3,Tableau_Data[Mois],$J$3)</f>
        <v>1</v>
      </c>
      <c r="X30" s="206">
        <f>COUNTIFS(Tableau_Data[Cible],$X$29,Tableau_Data[District sanitaire],$B$1,Tableau_Data[Annee],$D$3,Tableau_Data[Mois],$J$3)</f>
        <v>0</v>
      </c>
      <c r="AB30" s="155">
        <f>COUNTIFS(Tableau_Data[District sanitaire],$B$1,Tableau_Data[Annee],$D$3,Tableau_Data[Mois],$J$3)</f>
        <v>4</v>
      </c>
    </row>
    <row r="31" spans="12:28" x14ac:dyDescent="0.15">
      <c r="L31" s="177" t="s">
        <v>198</v>
      </c>
      <c r="M31" s="178">
        <f>SUMIFS(Tableau_Data[Masculin],Tableau_Data[District sanitaire],$B1,Tableau_Data[Thèmes],$M$30,Tableau_Data[Annee],$D$3,Tableau_Data[Mois],J$3)</f>
        <v>34</v>
      </c>
      <c r="N31" s="178">
        <f>SUMIFS(Tableau_Data[Masculin],Tableau_Data[District sanitaire],$B1,Tableau_Data[Thèmes],$N$30,Tableau_Data[Annee],$D$3,Tableau_Data[Mois],J$3)</f>
        <v>0</v>
      </c>
      <c r="O31" s="178">
        <f>SUMIFS(Tableau_Data[Masculin],Tableau_Data[District sanitaire],$B1,Tableau_Data[Thèmes],$O$30,Tableau_Data[Annee],$D$3,Tableau_Data[Mois],J$3)</f>
        <v>0</v>
      </c>
      <c r="P31" s="178">
        <f>SUMIFS(Tableau_Data[Masculin],Tableau_Data[District sanitaire],$B1,Tableau_Data[Thèmes],$P$30,Tableau_Data[Annee],$D$3,Tableau_Data[Mois],J$3)</f>
        <v>0</v>
      </c>
      <c r="Q31" s="178">
        <f>SUMIFS(Tableau_Data[Masculin],Tableau_Data[District sanitaire],$B1,Tableau_Data[Thèmes],$Q$30,Tableau_Data[Annee],$D$3,Tableau_Data[Mois],J$3)</f>
        <v>75</v>
      </c>
      <c r="R31" s="178">
        <f>SUMIFS(Tableau_Data[Masculin],Tableau_Data[District sanitaire],$B1,Tableau_Data[Thèmes],$R$30,Tableau_Data[Annee],$D$3,Tableau_Data[Mois],J$3)</f>
        <v>0</v>
      </c>
      <c r="S31" s="178">
        <f>SUMIFS(Tableau_Data[Masculin],Tableau_Data[District sanitaire],$B1,Tableau_Data[Thèmes],$S$30,Tableau_Data[Annee],$D$3,Tableau_Data[Mois],J$3)</f>
        <v>130</v>
      </c>
      <c r="U31" s="207">
        <f>U30/AB30</f>
        <v>0.5</v>
      </c>
      <c r="V31" s="207">
        <f>V30/AB30</f>
        <v>0.25</v>
      </c>
      <c r="W31" s="207">
        <f>W30/AB30</f>
        <v>0.25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SUMIFS(Tableau_Data[Féminin],Tableau_Data[District sanitaire],$B1,Tableau_Data[Thèmes],$M$30,Tableau_Data[Annee],$D$3,Tableau_Data[Mois],J$3)</f>
        <v>70</v>
      </c>
      <c r="N32" s="178">
        <f>SUMIFS(Tableau_Data[Féminin],Tableau_Data[District sanitaire],$B1,Tableau_Data[Thèmes],$N$30,Tableau_Data[Annee],$D$3,Tableau_Data[Mois],J$3)</f>
        <v>0</v>
      </c>
      <c r="O32" s="178">
        <f>SUMIFS(Tableau_Data[Féminin],Tableau_Data[District sanitaire],$B1,Tableau_Data[Thèmes],$O$30,Tableau_Data[Annee],$D$3,Tableau_Data[Mois],J$3)</f>
        <v>0</v>
      </c>
      <c r="P32" s="178">
        <f>SUMIFS(Tableau_Data[Féminin],Tableau_Data[District sanitaire],$B1,Tableau_Data[Thèmes],$P$30,Tableau_Data[Annee],$D$3,Tableau_Data[Mois],J$3)</f>
        <v>0</v>
      </c>
      <c r="Q32" s="178">
        <f>SUMIFS(Tableau_Data[Féminin],Tableau_Data[District sanitaire],$B1,Tableau_Data[Thèmes],$Q$30,Tableau_Data[Annee],$D$3,Tableau_Data[Mois],J$3)</f>
        <v>35</v>
      </c>
      <c r="R32" s="178">
        <f>SUMIFS(Tableau_Data[Féminin],Tableau_Data[District sanitaire],$B1,Tableau_Data[Thèmes],$R$30,Tableau_Data[Annee],$D$3,Tableau_Data[Mois],J$3)</f>
        <v>0</v>
      </c>
      <c r="S32" s="178">
        <f>SUMIFS(Tableau_Data[Féminin],Tableau_Data[District sanitaire],$B1,Tableau_Data[Thèmes],$S$30,Tableau_Data[Annee],$D$3,Tableau_Data[Mois],J$3)</f>
        <v>80</v>
      </c>
    </row>
    <row r="33" spans="2:28" x14ac:dyDescent="0.15">
      <c r="C33" s="300" t="s">
        <v>173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0</v>
      </c>
      <c r="Q33" s="180">
        <f t="shared" si="2"/>
        <v>110</v>
      </c>
      <c r="R33" s="180">
        <f t="shared" si="2"/>
        <v>0</v>
      </c>
      <c r="S33" s="180">
        <f>SUM(S31:S32)</f>
        <v>210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COUNTIFS(Tableau_Data[District sanitaire],$B$1,Tableau_Data[Annee],$D$3,Tableau_Data[Mois],$J$3)</f>
        <v>4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Preservatif],$U$50,Tableau_Data[District sanitaire],$B$1,Tableau_Data[Annee],$D$3,Tableau_Data[Mois],$J$3)</f>
        <v>3</v>
      </c>
      <c r="V51" s="197">
        <f>COUNTIFS(Tableau_Data[Démo Preservatif],$V$50,Tableau_Data[District sanitaire],$B$1,Tableau_Data[Annee],$D$3,Tableau_Data[Mois],$J$3)</f>
        <v>1</v>
      </c>
      <c r="X51" s="197">
        <f>COUNTIFS(Tableau_Data[Témoignage],$X$50,Tableau_Data[District sanitaire],$B$1,Tableau_Data[Annee],$D$3,Tableau_Data[Mois],$J$3)</f>
        <v>2</v>
      </c>
      <c r="Y51" s="197">
        <f>COUNTIFS(Tableau_Data[Témoignage],$Y$50,Tableau_Data[District sanitaire],$B$1,Tableau_Data[Annee],$D$3,Tableau_Data[Mois],$J$3)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0.75</v>
      </c>
      <c r="V52" s="199">
        <f>V51/AB49</f>
        <v>0.25</v>
      </c>
      <c r="X52" s="199">
        <f>X51/AB49</f>
        <v>0.5</v>
      </c>
      <c r="Y52" s="199">
        <f>Y51/AB49</f>
        <v>0.5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2">
    <mergeCell ref="V1:AA1"/>
    <mergeCell ref="V27:AA27"/>
    <mergeCell ref="B42:C42"/>
    <mergeCell ref="D42:E42"/>
    <mergeCell ref="C33:C34"/>
    <mergeCell ref="B1:E1"/>
    <mergeCell ref="D3:F3"/>
    <mergeCell ref="D4:F4"/>
    <mergeCell ref="D6:E6"/>
    <mergeCell ref="F6:G6"/>
    <mergeCell ref="D7:E7"/>
    <mergeCell ref="F7:G7"/>
    <mergeCell ref="S58:T58"/>
    <mergeCell ref="H1:I1"/>
    <mergeCell ref="M26:M27"/>
    <mergeCell ref="H3:I3"/>
    <mergeCell ref="N25:P25"/>
    <mergeCell ref="N26:R27"/>
    <mergeCell ref="E33:I34"/>
    <mergeCell ref="N52:P52"/>
    <mergeCell ref="M58:N58"/>
    <mergeCell ref="O58:P58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Paramètres!$F$21:$F$25</xm:f>
          </x14:formula1>
          <xm:sqref>B1:E1</xm:sqref>
        </x14:dataValidation>
        <x14:dataValidation type="list" allowBlank="1" showInputMessage="1" showErrorMessage="1">
          <x14:formula1>
            <xm:f>Reseaux!$CB$53:$CB$64</xm:f>
          </x14:formula1>
          <xm:sqref>H3:I3</xm:sqref>
        </x14:dataValidation>
        <x14:dataValidation type="list" allowBlank="1" showInputMessage="1" showErrorMessage="1">
          <x14:formula1>
            <xm:f>Paramètres!$J$21:$J$35</xm:f>
          </x14:formula1>
          <xm:sqref>D3:F3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C000"/>
  </sheetPr>
  <dimension ref="B1:AB58"/>
  <sheetViews>
    <sheetView showGridLines="0" view="pageLayout" zoomScaleNormal="100" workbookViewId="0">
      <selection activeCell="F9" sqref="F9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7.28515625" style="155" customWidth="1"/>
    <col min="28" max="28" width="7.140625" style="155" customWidth="1"/>
    <col min="29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110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310" t="s">
        <v>3</v>
      </c>
      <c r="I3" s="311"/>
      <c r="J3" s="161">
        <f>VLOOKUP(H3,Reseaux!$CB$53:$CC$64,2,0)</f>
        <v>1</v>
      </c>
      <c r="N3" s="172" t="s">
        <v>198</v>
      </c>
      <c r="O3" s="173">
        <f>SUMIFS(Tableau_Data[Masculin],Tableau_Data[Province sanitaire],$B1,Tableau_Data[Lieu d''intervention],$O$2,Tableau_Data[Annee],$D$3,Tableau_Data[Mois],J$3)</f>
        <v>0</v>
      </c>
      <c r="P3" s="173">
        <f>SUMIFS(Tableau_Data[Masculin],Tableau_Data[Province sanitaire],$B1,Tableau_Data[Lieu d''intervention],$P$2,Tableau_Data[Annee],$D$3,Tableau_Data[Mois],J$3)</f>
        <v>0</v>
      </c>
      <c r="Q3" s="173">
        <f>SUMIFS(Tableau_Data[Masculin],Tableau_Data[Province sanitaire],$B1,Tableau_Data[Lieu d''intervention],$Q$2,Tableau_Data[Annee],$D$3,Tableau_Data[Mois],J$3)</f>
        <v>75</v>
      </c>
      <c r="R3" s="173">
        <f>SUMIFS(Tableau_Data[Masculin],Tableau_Data[Province sanitaire],$B1,Tableau_Data[Lieu d''intervention],$R$2,Tableau_Data[Annee],$D$3,Tableau_Data[Mois],J$3)</f>
        <v>164</v>
      </c>
      <c r="U3" s="195" t="str">
        <f>Paramètres!H7</f>
        <v>Dépliants</v>
      </c>
      <c r="V3" s="204">
        <f>COUNTIFS(Tableau_Data[Matériel distribué],$U$3,Tableau_Data[Province sanitaire],$B1,Tableau_Data[Lieu d''intervention],$V2,Tableau_Data[Annee],$D$3,Tableau_Data[Mois],J$3)</f>
        <v>0</v>
      </c>
      <c r="W3" s="204">
        <f>COUNTIFS(Tableau_Data[Matériel distribué],$U$3,Tableau_Data[Province sanitaire],$B1,Tableau_Data[Lieu d''intervention],$W2,Tableau_Data[Annee],$D$3,Tableau_Data[Mois],J$3)</f>
        <v>0</v>
      </c>
      <c r="X3" s="204">
        <f>COUNTIFS(Tableau_Data[Matériel distribué],$U$3,Tableau_Data[Province sanitaire],$B1,Tableau_Data[Lieu d''intervention],$X2,Tableau_Data[Annee],$D$3,Tableau_Data[Mois],J$3)</f>
        <v>0</v>
      </c>
      <c r="Y3" s="205">
        <f>COUNTIFS(Tableau_Data[Matériel distribué],$U$3,Tableau_Data[Province sanitaire],$B1,Tableau_Data[Lieu d''intervention],$Y2,Tableau_Data[Annee],$D$3,Tableau_Data[Mois],J$3)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SUMIFS(Tableau_Data[Féminin],Tableau_Data[Province sanitaire],$B1,Tableau_Data[Lieu d''intervention],$O$2,Tableau_Data[Annee],$D$3,Tableau_Data[Mois],J$3)</f>
        <v>0</v>
      </c>
      <c r="P4" s="173">
        <f>SUMIFS(Tableau_Data[Féminin],Tableau_Data[Province sanitaire],$B1,Tableau_Data[Lieu d''intervention],$P$2,Tableau_Data[Annee],$D$3,Tableau_Data[Mois],J$3)</f>
        <v>0</v>
      </c>
      <c r="Q4" s="173">
        <f>SUMIFS(Tableau_Data[Féminin],Tableau_Data[Province sanitaire],$B1,Tableau_Data[Lieu d''intervention],$Q$2,Tableau_Data[Annee],$D$3,Tableau_Data[Mois],J$3)</f>
        <v>35</v>
      </c>
      <c r="R4" s="173">
        <f>SUMIFS(Tableau_Data[Féminin],Tableau_Data[Province sanitaire],$B1,Tableau_Data[Lieu d''intervention],$R$2,Tableau_Data[Annee],$D$3,Tableau_Data[Mois],J$3)</f>
        <v>150</v>
      </c>
      <c r="U4" s="195" t="str">
        <f>Paramètres!H8</f>
        <v>Condoms</v>
      </c>
      <c r="V4" s="204">
        <f>COUNTIFS(Tableau_Data[Matériel distribué],$U$4,Tableau_Data[Province sanitaire],$B1,Tableau_Data[Lieu d''intervention],$V2,Tableau_Data[Annee],$D$3,Tableau_Data[Mois],J$3)</f>
        <v>0</v>
      </c>
      <c r="W4" s="204">
        <f>COUNTIFS(Tableau_Data[Matériel distribué],$U$4,Tableau_Data[Province sanitaire],$B1,Tableau_Data[Lieu d''intervention],$W2,Tableau_Data[Annee],$D$3,Tableau_Data[Mois],J$3)</f>
        <v>0</v>
      </c>
      <c r="X4" s="204">
        <f>COUNTIFS(Tableau_Data[Matériel distribué],$U$4,Tableau_Data[Province sanitaire],$B1,Tableau_Data[Lieu d''intervention],$X2,Tableau_Data[Annee],$D$3,Tableau_Data[Mois],$J$3)</f>
        <v>0</v>
      </c>
      <c r="Y4" s="205">
        <f>COUNTIFS(Tableau_Data[Matériel distribué],$U$4,Tableau_Data[Province sanitaire],$B1,Tableau_Data[Lieu d''intervention],$Y2,Tableau_Data[Annee],$D$3,Tableau_Data[Mois],$J$3)</f>
        <v>0</v>
      </c>
      <c r="Z4" s="202">
        <f t="shared" ref="Z4:Z6" si="0">SUM(V4:Y4)</f>
        <v>0</v>
      </c>
      <c r="AB4" s="194">
        <f>COUNTIFS(Tableau_Data[Province sanitaire],$B$1,Tableau_Data[Annee],$D$3,Tableau_Data[Mois],$J$3)</f>
        <v>4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314</v>
      </c>
      <c r="U5" s="195" t="str">
        <f>Paramètres!H9</f>
        <v>Aucun</v>
      </c>
      <c r="V5" s="204">
        <f>COUNTIFS(Tableau_Data[Matériel distribué],$U$5,Tableau_Data[Province sanitaire],$B$1,Tableau_Data[Lieu d''intervention],$V2,Tableau_Data[Annee],$D$3,Tableau_Data[Mois],$J$3)</f>
        <v>0</v>
      </c>
      <c r="W5" s="204">
        <f>COUNTIFS(Tableau_Data[Matériel distribué],$U$5,Tableau_Data[Province sanitaire],$B$1,Tableau_Data[Lieu d''intervention],$W2,Tableau_Data[Annee],$D$3,Tableau_Data[Mois],$J$3)</f>
        <v>0</v>
      </c>
      <c r="X5" s="204">
        <f>COUNTIFS(Tableau_Data[Matériel distribué],$U$5,Tableau_Data[Province sanitaire],$B$1,Tableau_Data[Lieu d''intervention],$X2,Tableau_Data[Annee],$D$3,Tableau_Data[Mois],$J$3)</f>
        <v>1</v>
      </c>
      <c r="Y5" s="205">
        <f>COUNTIFS(Tableau_Data[Matériel distribué],$U$5,Tableau_Data[Province sanitaire],$B$1,Tableau_Data[Lieu d''intervention],$Y2,Tableau_Data[Annee],$D$3,Tableau_Data[Mois],$J$3)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distribué],$U$6,Tableau_Data[Province sanitaire],$B$1,Tableau_Data[Lieu d''intervention],$V2,Tableau_Data[Annee],$D$3,Tableau_Data[Mois],$J$3)</f>
        <v>0</v>
      </c>
      <c r="W6" s="204">
        <f>COUNTIFS(Tableau_Data[Matériel distribué],$U$6,Tableau_Data[Province sanitaire],$B$1,Tableau_Data[Lieu d''intervention],$W2,Tableau_Data[Annee],$D$3,Tableau_Data[Mois],$J$3)</f>
        <v>0</v>
      </c>
      <c r="X6" s="204">
        <f>COUNTIFS(Tableau_Data[Matériel distribué],$U$6,Tableau_Data[Province sanitaire],$B$1,Tableau_Data[Lieu d''intervention],$X2,Tableau_Data[Annee],$D$3,Tableau_Data[Mois],$J$3)</f>
        <v>0</v>
      </c>
      <c r="Y6" s="205">
        <f>COUNTIFS(Tableau_Data[Matériel distribué],$U$6,Tableau_Data[Province sanitaire],$B$1,Tableau_Data[Lieu d''intervention],$Y2,Tableau_Data[Annee],$D$3,Tableau_Data[Mois],$J$3)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SUMIFS(Tableau_Data[Masculin],Tableau_Data[Province sanitaire],$B1,Tableau_Data[Annee],$D$3,Tableau_Data[Mois],J$3)</f>
        <v>239</v>
      </c>
      <c r="E7" s="298"/>
      <c r="F7" s="297">
        <f>SUMIFS(Tableau_Data[Féminin],Tableau_Data[Province sanitaire],$B1,Tableau_Data[Annee],$D$3,Tableau_Data[Mois],J$3)</f>
        <v>185</v>
      </c>
      <c r="G7" s="298"/>
      <c r="H7" s="160"/>
      <c r="I7" s="159">
        <f>SUM(D7:F7)</f>
        <v>424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174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COUNTIFS(Tableau_Data[Cible],$U$29,Tableau_Data[Province sanitaire],$B$1,Tableau_Data[Annee],$D$3,Tableau_Data[Mois],$J$3)</f>
        <v>2</v>
      </c>
      <c r="V30" s="206">
        <f>COUNTIFS(Tableau_Data[Cible],$V$29,Tableau_Data[Province sanitaire],$B$1,Tableau_Data[Annee],$D$3,Tableau_Data[Mois],$J$3)</f>
        <v>1</v>
      </c>
      <c r="W30" s="206">
        <f>COUNTIFS(Tableau_Data[Cible],$W$29,Tableau_Data[Province sanitaire],$B$1,Tableau_Data[Annee],$D$3,Tableau_Data[Mois],$J$3)</f>
        <v>1</v>
      </c>
      <c r="X30" s="206">
        <f>COUNTIFS(Tableau_Data[Cible],$X$29,Tableau_Data[Province sanitaire],$B$1,Tableau_Data[Annee],$D$3,Tableau_Data[Mois],$J$3)</f>
        <v>0</v>
      </c>
      <c r="AB30" s="155">
        <f>COUNTIFS(Tableau_Data[Province sanitaire],$B$1,Tableau_Data[Annee],$D$3,Tableau_Data[Mois],$J$3)</f>
        <v>4</v>
      </c>
    </row>
    <row r="31" spans="12:28" x14ac:dyDescent="0.15">
      <c r="L31" s="177" t="s">
        <v>198</v>
      </c>
      <c r="M31" s="178">
        <f>SUMIFS(Tableau_Data[Masculin],Tableau_Data[Province sanitaire],$B1,Tableau_Data[Thèmes],$M$30,Tableau_Data[Annee],$D$3,Tableau_Data[Mois],J$3)</f>
        <v>34</v>
      </c>
      <c r="N31" s="178">
        <f>SUMIFS(Tableau_Data[Masculin],Tableau_Data[Province sanitaire],$B1,Tableau_Data[Thèmes],$N$30,Tableau_Data[Annee],$D$3,Tableau_Data[Mois],J$3)</f>
        <v>0</v>
      </c>
      <c r="O31" s="178">
        <f>SUMIFS(Tableau_Data[Masculin],Tableau_Data[Province sanitaire],$B1,Tableau_Data[Thèmes],$O$30,Tableau_Data[Annee],$D$3,Tableau_Data[Mois],J$3)</f>
        <v>0</v>
      </c>
      <c r="P31" s="178">
        <f>SUMIFS(Tableau_Data[Masculin],Tableau_Data[Province sanitaire],$B1,Tableau_Data[Thèmes],$P$30,Tableau_Data[Annee],$D$3,Tableau_Data[Mois],J$3)</f>
        <v>0</v>
      </c>
      <c r="Q31" s="178">
        <f>SUMIFS(Tableau_Data[Masculin],Tableau_Data[Province sanitaire],$B1,Tableau_Data[Thèmes],$Q$30,Tableau_Data[Annee],$D$3,Tableau_Data[Mois],J$3)</f>
        <v>75</v>
      </c>
      <c r="R31" s="178">
        <f>SUMIFS(Tableau_Data[Masculin],Tableau_Data[Province sanitaire],$B1,Tableau_Data[Thèmes],$R$30,Tableau_Data[Annee],$D$3,Tableau_Data[Mois],J$3)</f>
        <v>0</v>
      </c>
      <c r="S31" s="178">
        <f>SUMIFS(Tableau_Data[Masculin],Tableau_Data[Province sanitaire],$B1,Tableau_Data[Thèmes],$S$30,Tableau_Data[Annee],$D$3,Tableau_Data[Mois],J$3)</f>
        <v>130</v>
      </c>
      <c r="U31" s="207">
        <f>U30/AB30</f>
        <v>0.5</v>
      </c>
      <c r="V31" s="207">
        <f>V30/AB30</f>
        <v>0.25</v>
      </c>
      <c r="W31" s="207">
        <f>W30/AB30</f>
        <v>0.25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SUMIFS(Tableau_Data[Féminin],Tableau_Data[Province sanitaire],$B1,Tableau_Data[Thèmes],$M$30,Tableau_Data[Annee],$D$3,Tableau_Data[Mois],J$3)</f>
        <v>70</v>
      </c>
      <c r="N32" s="178">
        <f>SUMIFS(Tableau_Data[Féminin],Tableau_Data[Province sanitaire],$B1,Tableau_Data[Thèmes],$N$30,Tableau_Data[Annee],$D$3,Tableau_Data[Mois],J$3)</f>
        <v>0</v>
      </c>
      <c r="O32" s="178">
        <f>SUMIFS(Tableau_Data[Féminin],Tableau_Data[Province sanitaire],$B1,Tableau_Data[Thèmes],$O$30,Tableau_Data[Annee],$D$3,Tableau_Data[Mois],J$3)</f>
        <v>0</v>
      </c>
      <c r="P32" s="178">
        <f>SUMIFS(Tableau_Data[Féminin],Tableau_Data[Province sanitaire],$B1,Tableau_Data[Thèmes],$P$30,Tableau_Data[Annee],$D$3,Tableau_Data[Mois],J$3)</f>
        <v>0</v>
      </c>
      <c r="Q32" s="178">
        <f>SUMIFS(Tableau_Data[Féminin],Tableau_Data[Province sanitaire],$B1,Tableau_Data[Thèmes],$Q$30,Tableau_Data[Annee],$D$3,Tableau_Data[Mois],J$3)</f>
        <v>35</v>
      </c>
      <c r="R32" s="178">
        <f>SUMIFS(Tableau_Data[Féminin],Tableau_Data[Province sanitaire],$B1,Tableau_Data[Thèmes],$R$30,Tableau_Data[Annee],$D$3,Tableau_Data[Mois],J$3)</f>
        <v>0</v>
      </c>
      <c r="S32" s="178">
        <f>SUMIFS(Tableau_Data[Féminin],Tableau_Data[Province sanitaire],$B1,Tableau_Data[Thèmes],$S$30,Tableau_Data[Annee],$D$3,Tableau_Data[Mois],J$3)</f>
        <v>80</v>
      </c>
    </row>
    <row r="33" spans="2:28" x14ac:dyDescent="0.15">
      <c r="C33" s="300" t="s">
        <v>174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0</v>
      </c>
      <c r="Q33" s="180">
        <f t="shared" si="2"/>
        <v>110</v>
      </c>
      <c r="R33" s="180">
        <f t="shared" si="2"/>
        <v>0</v>
      </c>
      <c r="S33" s="180">
        <f>SUM(S31:S32)</f>
        <v>210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COUNTIFS(Tableau_Data[Province sanitaire],$B$1,Tableau_Data[Annee],$D$3,Tableau_Data[Mois],$J$3)</f>
        <v>4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Preservatif],$U$50,Tableau_Data[Province sanitaire],$B$1,Tableau_Data[Annee],$D$3,Tableau_Data[Mois],$J$3)</f>
        <v>3</v>
      </c>
      <c r="V51" s="197">
        <f>COUNTIFS(Tableau_Data[Démo Preservatif],$V$50,Tableau_Data[Province sanitaire],$B$1,Tableau_Data[Annee],$D$3,Tableau_Data[Mois],$J$3)</f>
        <v>1</v>
      </c>
      <c r="X51" s="197">
        <f>COUNTIFS(Tableau_Data[Témoignage],$X$50,Tableau_Data[Province sanitaire],$B$1,Tableau_Data[Annee],$D$3,Tableau_Data[Mois],$J$3)</f>
        <v>2</v>
      </c>
      <c r="Y51" s="197">
        <f>COUNTIFS(Tableau_Data[Témoignage],$Y$50,Tableau_Data[Province sanitaire],$B$1,Tableau_Data[Annee],$D$3,Tableau_Data[Mois],$J$3)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0.75</v>
      </c>
      <c r="V52" s="199">
        <f>V51/AB49</f>
        <v>0.25</v>
      </c>
      <c r="X52" s="199">
        <f>X51/AB49</f>
        <v>0.5</v>
      </c>
      <c r="Y52" s="199">
        <f>Y51/AB49</f>
        <v>0.5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2">
    <mergeCell ref="V1:AA1"/>
    <mergeCell ref="V27:AA27"/>
    <mergeCell ref="D6:E6"/>
    <mergeCell ref="F6:G6"/>
    <mergeCell ref="B1:E1"/>
    <mergeCell ref="H1:I1"/>
    <mergeCell ref="D3:F3"/>
    <mergeCell ref="H3:I3"/>
    <mergeCell ref="D4:F4"/>
    <mergeCell ref="S58:T58"/>
    <mergeCell ref="D7:E7"/>
    <mergeCell ref="F7:G7"/>
    <mergeCell ref="N25:P25"/>
    <mergeCell ref="M26:M27"/>
    <mergeCell ref="N26:R27"/>
    <mergeCell ref="E33:I34"/>
    <mergeCell ref="C33:C34"/>
    <mergeCell ref="B42:C42"/>
    <mergeCell ref="D42:E42"/>
    <mergeCell ref="N52:P52"/>
    <mergeCell ref="M58:N58"/>
    <mergeCell ref="O58:P58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Paramètres!$J$21:$J$35</xm:f>
          </x14:formula1>
          <xm:sqref>D3:F3</xm:sqref>
        </x14:dataValidation>
        <x14:dataValidation type="list" allowBlank="1" showInputMessage="1" showErrorMessage="1">
          <x14:formula1>
            <xm:f>Reseaux!$CB$53:$CB$64</xm:f>
          </x14:formula1>
          <xm:sqref>H3:I3</xm:sqref>
        </x14:dataValidation>
        <x14:dataValidation type="list" allowBlank="1" showInputMessage="1" showErrorMessage="1">
          <x14:formula1>
            <xm:f>Paramètres!$B$21:$B$23</xm:f>
          </x14:formula1>
          <xm:sqref>B1:E1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C000"/>
  </sheetPr>
  <dimension ref="B1:AB58"/>
  <sheetViews>
    <sheetView showGridLines="0" view="pageLayout" zoomScaleNormal="100" workbookViewId="0">
      <selection activeCell="H9" sqref="H9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7.85546875" style="155" customWidth="1"/>
    <col min="28" max="28" width="6.140625" style="155" customWidth="1"/>
    <col min="29" max="16384" width="11.42578125" style="155"/>
  </cols>
  <sheetData>
    <row r="1" spans="2:28" ht="27" customHeight="1" thickBot="1" x14ac:dyDescent="0.2">
      <c r="B1" s="312" t="s">
        <v>101</v>
      </c>
      <c r="C1" s="313"/>
      <c r="D1" s="313"/>
      <c r="E1" s="314"/>
      <c r="H1" s="303" t="s">
        <v>25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310" t="s">
        <v>3</v>
      </c>
      <c r="I3" s="311"/>
      <c r="J3" s="161">
        <f>VLOOKUP(H3,Reseaux!$CB$53:$CC$64,2,0)</f>
        <v>1</v>
      </c>
      <c r="N3" s="172" t="s">
        <v>198</v>
      </c>
      <c r="O3" s="173">
        <f>SUMIFS(Tableau_Data[Masculin],Tableau_Data[ASBL],$B1,Tableau_Data[Lieu d''intervention],$O$2,Tableau_Data[Annee],$D$3,Tableau_Data[Mois],J$3)</f>
        <v>0</v>
      </c>
      <c r="P3" s="173">
        <f>SUMIFS(Tableau_Data[Masculin],Tableau_Data[ASBL],$B1,Tableau_Data[Lieu d''intervention],$P$2,Tableau_Data[Annee],$D$3,Tableau_Data[Mois],J$3)</f>
        <v>0</v>
      </c>
      <c r="Q3" s="173">
        <f>SUMIFS(Tableau_Data[Masculin],Tableau_Data[ASBL],$B1,Tableau_Data[Lieu d''intervention],$Q$2,Tableau_Data[Annee],$D$3,Tableau_Data[Mois],J$3)</f>
        <v>75</v>
      </c>
      <c r="R3" s="173">
        <f>SUMIFS(Tableau_Data[Masculin],Tableau_Data[ASBL],$B1,Tableau_Data[Lieu d''intervention],$R$2,Tableau_Data[Annee],$D$3,Tableau_Data[Mois],J$3)</f>
        <v>164</v>
      </c>
      <c r="U3" s="195" t="str">
        <f>Paramètres!H7</f>
        <v>Dépliants</v>
      </c>
      <c r="V3" s="204">
        <f>COUNTIFS(Tableau_Data[Matériel distribué],$U$3,Tableau_Data[ASBL],$B1,Tableau_Data[Lieu d''intervention],$V2,Tableau_Data[Annee],$D$3,Tableau_Data[Mois],J$3)</f>
        <v>0</v>
      </c>
      <c r="W3" s="204">
        <f>COUNTIFS(Tableau_Data[Matériel distribué],$U$3,Tableau_Data[ASBL],$B1,Tableau_Data[Lieu d''intervention],$W2,Tableau_Data[Annee],$D$3,Tableau_Data[Mois],J$3)</f>
        <v>0</v>
      </c>
      <c r="X3" s="204">
        <f>COUNTIFS(Tableau_Data[Matériel distribué],$U$3,Tableau_Data[ASBL],$B1,Tableau_Data[Lieu d''intervention],$X2,Tableau_Data[Annee],$D$3,Tableau_Data[Mois],J$3)</f>
        <v>0</v>
      </c>
      <c r="Y3" s="205">
        <f>COUNTIFS(Tableau_Data[Matériel distribué],$U$3,Tableau_Data[ASBL],$B1,Tableau_Data[Lieu d''intervention],$Y2,Tableau_Data[Annee],$D$3,Tableau_Data[Mois],J$3)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SUMIFS(Tableau_Data[Féminin],Tableau_Data[ASBL],$B1,Tableau_Data[Lieu d''intervention],$O$2,Tableau_Data[Annee],$D$3,Tableau_Data[Mois],J$3)</f>
        <v>0</v>
      </c>
      <c r="P4" s="173">
        <f>SUMIFS(Tableau_Data[Féminin],Tableau_Data[ASBL],$B1,Tableau_Data[Lieu d''intervention],$P$2,Tableau_Data[Annee],$D$3,Tableau_Data[Mois],J$3)</f>
        <v>0</v>
      </c>
      <c r="Q4" s="173">
        <f>SUMIFS(Tableau_Data[Féminin],Tableau_Data[ASBL],$B1,Tableau_Data[Lieu d''intervention],$Q$2,Tableau_Data[Annee],$D$3,Tableau_Data[Mois],J$3)</f>
        <v>35</v>
      </c>
      <c r="R4" s="173">
        <f>SUMIFS(Tableau_Data[Féminin],Tableau_Data[ASBL],$B1,Tableau_Data[Lieu d''intervention],$R$2,Tableau_Data[Annee],$D$3,Tableau_Data[Mois],J$3)</f>
        <v>150</v>
      </c>
      <c r="U4" s="195" t="str">
        <f>Paramètres!H8</f>
        <v>Condoms</v>
      </c>
      <c r="V4" s="204">
        <f>COUNTIFS(Tableau_Data[Matériel distribué],$U$4,Tableau_Data[ASBL],$B1,Tableau_Data[Lieu d''intervention],$V2,Tableau_Data[Annee],$D$3,Tableau_Data[Mois],J$3)</f>
        <v>0</v>
      </c>
      <c r="W4" s="204">
        <f>COUNTIFS(Tableau_Data[Matériel distribué],$U$4,Tableau_Data[ASBL],$B1,Tableau_Data[Lieu d''intervention],$W2,Tableau_Data[Annee],$D$3,Tableau_Data[Mois],J$3)</f>
        <v>0</v>
      </c>
      <c r="X4" s="204">
        <f>COUNTIFS(Tableau_Data[Matériel distribué],$U$4,Tableau_Data[ASBL],$B1,Tableau_Data[Lieu d''intervention],$X2,Tableau_Data[Annee],$D$3,Tableau_Data[Mois],$J$3)</f>
        <v>0</v>
      </c>
      <c r="Y4" s="205">
        <f>COUNTIFS(Tableau_Data[Matériel distribué],$U$4,Tableau_Data[ASBL],$B1,Tableau_Data[Lieu d''intervention],$Y2,Tableau_Data[Annee],$D$3,Tableau_Data[Mois],$J$3)</f>
        <v>0</v>
      </c>
      <c r="Z4" s="202">
        <f t="shared" ref="Z4:Z6" si="0">SUM(V4:Y4)</f>
        <v>0</v>
      </c>
      <c r="AB4" s="194">
        <f>COUNTIFS(Tableau_Data[ASBL],$B$1,Tableau_Data[Annee],$D$3,Tableau_Data[Mois],$J$3)</f>
        <v>4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314</v>
      </c>
      <c r="U5" s="195" t="str">
        <f>Paramètres!H9</f>
        <v>Aucun</v>
      </c>
      <c r="V5" s="204">
        <f>COUNTIFS(Tableau_Data[Matériel distribué],$U$5,Tableau_Data[ASBL],$B$1,Tableau_Data[Lieu d''intervention],$V2,Tableau_Data[Annee],$D$3,Tableau_Data[Mois],$J$3)</f>
        <v>0</v>
      </c>
      <c r="W5" s="204">
        <f>COUNTIFS(Tableau_Data[Matériel distribué],$U$5,Tableau_Data[ASBL],$B$1,Tableau_Data[Lieu d''intervention],$W2,Tableau_Data[Annee],$D$3,Tableau_Data[Mois],$J$3)</f>
        <v>0</v>
      </c>
      <c r="X5" s="204">
        <f>COUNTIFS(Tableau_Data[Matériel distribué],$U$5,Tableau_Data[ASBL],$B$1,Tableau_Data[Lieu d''intervention],$X2,Tableau_Data[Annee],$D$3,Tableau_Data[Mois],$J$3)</f>
        <v>1</v>
      </c>
      <c r="Y5" s="205">
        <f>COUNTIFS(Tableau_Data[Matériel distribué],$U$5,Tableau_Data[ASBL],$B$1,Tableau_Data[Lieu d''intervention],$Y2,Tableau_Data[Annee],$D$3,Tableau_Data[Mois],$J$3)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distribué],$U$6,Tableau_Data[ASBL],$B$1,Tableau_Data[Lieu d''intervention],$V2,Tableau_Data[Annee],$D$3,Tableau_Data[Mois],$J$3)</f>
        <v>0</v>
      </c>
      <c r="W6" s="204">
        <f>COUNTIFS(Tableau_Data[Matériel distribué],$U$6,Tableau_Data[ASBL],$B$1,Tableau_Data[Lieu d''intervention],$W2,Tableau_Data[Annee],$D$3,Tableau_Data[Mois],$J$3)</f>
        <v>0</v>
      </c>
      <c r="X6" s="204">
        <f>COUNTIFS(Tableau_Data[Matériel distribué],$U$6,Tableau_Data[ASBL],$B$1,Tableau_Data[Lieu d''intervention],$X2,Tableau_Data[Annee],$D$3,Tableau_Data[Mois],$J$3)</f>
        <v>0</v>
      </c>
      <c r="Y6" s="205">
        <f>COUNTIFS(Tableau_Data[Matériel distribué],$U$6,Tableau_Data[ASBL],$B$1,Tableau_Data[Lieu d''intervention],$Y2,Tableau_Data[Annee],$D$3,Tableau_Data[Mois],$J$3)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SUMIFS(Tableau_Data[Masculin],Tableau_Data[ASBL],$B1,Tableau_Data[Annee],$D$3,Tableau_Data[Mois],J$3)</f>
        <v>239</v>
      </c>
      <c r="E7" s="298"/>
      <c r="F7" s="297">
        <f>SUMIFS(Tableau_Data[Féminin],Tableau_Data[ASBL],$B1,Tableau_Data[Annee],$D$3,Tableau_Data[Mois],J$3)</f>
        <v>185</v>
      </c>
      <c r="G7" s="298"/>
      <c r="H7" s="160"/>
      <c r="I7" s="159">
        <f>SUM(D7:F7)</f>
        <v>424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25</v>
      </c>
      <c r="N26" s="300" t="str">
        <f>B1</f>
        <v>SYM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COUNTIFS(Tableau_Data[Cible],$U$29,Tableau_Data[ASBL],$B$1,Tableau_Data[Annee],$D$3,Tableau_Data[Mois],$J$3)</f>
        <v>2</v>
      </c>
      <c r="V30" s="206">
        <f>COUNTIFS(Tableau_Data[Cible],$V$29,Tableau_Data[ASBL],$B$1,Tableau_Data[Annee],$D$3,Tableau_Data[Mois],$J$3)</f>
        <v>1</v>
      </c>
      <c r="W30" s="206">
        <f>COUNTIFS(Tableau_Data[Cible],$W$29,Tableau_Data[ASBL],$B$1,Tableau_Data[Annee],$D$3,Tableau_Data[Mois],$J$3)</f>
        <v>1</v>
      </c>
      <c r="X30" s="206">
        <f>COUNTIFS(Tableau_Data[Cible],$X$29,Tableau_Data[ASBL],$B$1,Tableau_Data[Annee],$D$3,Tableau_Data[Mois],$J$3)</f>
        <v>0</v>
      </c>
      <c r="AB30" s="155">
        <f>COUNTIFS(Tableau_Data[ASBL],$B$1,Tableau_Data[Annee],$D$3,Tableau_Data[Mois],$J$3)</f>
        <v>4</v>
      </c>
    </row>
    <row r="31" spans="12:28" x14ac:dyDescent="0.15">
      <c r="L31" s="177" t="s">
        <v>198</v>
      </c>
      <c r="M31" s="178">
        <f>SUMIFS(Tableau_Data[Masculin],Tableau_Data[ASBL],$B1,Tableau_Data[Thèmes],$M$30,Tableau_Data[Annee],$D$3,Tableau_Data[Mois],J$3)</f>
        <v>34</v>
      </c>
      <c r="N31" s="178">
        <f>SUMIFS(Tableau_Data[Masculin],Tableau_Data[ASBL],$B1,Tableau_Data[Thèmes],$N$30,Tableau_Data[Annee],$D$3,Tableau_Data[Mois],J$3)</f>
        <v>0</v>
      </c>
      <c r="O31" s="178">
        <f>SUMIFS(Tableau_Data[Masculin],Tableau_Data[ASBL],$B1,Tableau_Data[Thèmes],$O$30,Tableau_Data[Annee],$D$3,Tableau_Data[Mois],J$3)</f>
        <v>0</v>
      </c>
      <c r="P31" s="178">
        <f>SUMIFS(Tableau_Data[Masculin],Tableau_Data[ASBL],$B1,Tableau_Data[Thèmes],$P$30,Tableau_Data[Annee],$D$3,Tableau_Data[Mois],J$3)</f>
        <v>0</v>
      </c>
      <c r="Q31" s="178">
        <f>SUMIFS(Tableau_Data[Masculin],Tableau_Data[ASBL],$B1,Tableau_Data[Thèmes],$Q$30,Tableau_Data[Annee],$D$3,Tableau_Data[Mois],J$3)</f>
        <v>75</v>
      </c>
      <c r="R31" s="178">
        <f>SUMIFS(Tableau_Data[Masculin],Tableau_Data[ASBL],$B1,Tableau_Data[Thèmes],$R$30,Tableau_Data[Annee],$D$3,Tableau_Data[Mois],J$3)</f>
        <v>0</v>
      </c>
      <c r="S31" s="178">
        <f>SUMIFS(Tableau_Data[Masculin],Tableau_Data[ASBL],$B1,Tableau_Data[Thèmes],$S$30,Tableau_Data[Annee],$D$3,Tableau_Data[Mois],J$3)</f>
        <v>130</v>
      </c>
      <c r="U31" s="207">
        <f>U30/AB30</f>
        <v>0.5</v>
      </c>
      <c r="V31" s="207">
        <f>V30/AB30</f>
        <v>0.25</v>
      </c>
      <c r="W31" s="207">
        <f>W30/AB30</f>
        <v>0.25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SUMIFS(Tableau_Data[Féminin],Tableau_Data[ASBL],$B1,Tableau_Data[Thèmes],$M$30,Tableau_Data[Annee],$D$3,Tableau_Data[Mois],J$3)</f>
        <v>70</v>
      </c>
      <c r="N32" s="178">
        <f>SUMIFS(Tableau_Data[Féminin],Tableau_Data[ASBL],$B1,Tableau_Data[Thèmes],$N$30,Tableau_Data[Annee],$D$3,Tableau_Data[Mois],J$3)</f>
        <v>0</v>
      </c>
      <c r="O32" s="178">
        <f>SUMIFS(Tableau_Data[Féminin],Tableau_Data[ASBL],$B1,Tableau_Data[Thèmes],$O$30,Tableau_Data[Annee],$D$3,Tableau_Data[Mois],J$3)</f>
        <v>0</v>
      </c>
      <c r="P32" s="178">
        <f>SUMIFS(Tableau_Data[Féminin],Tableau_Data[ASBL],$B1,Tableau_Data[Thèmes],$P$30,Tableau_Data[Annee],$D$3,Tableau_Data[Mois],J$3)</f>
        <v>0</v>
      </c>
      <c r="Q32" s="178">
        <f>SUMIFS(Tableau_Data[Féminin],Tableau_Data[ASBL],$B1,Tableau_Data[Thèmes],$Q$30,Tableau_Data[Annee],$D$3,Tableau_Data[Mois],J$3)</f>
        <v>35</v>
      </c>
      <c r="R32" s="178">
        <f>SUMIFS(Tableau_Data[Féminin],Tableau_Data[ASBL],$B1,Tableau_Data[Thèmes],$R$30,Tableau_Data[Annee],$D$3,Tableau_Data[Mois],J$3)</f>
        <v>0</v>
      </c>
      <c r="S32" s="178">
        <f>SUMIFS(Tableau_Data[Féminin],Tableau_Data[ASBL],$B1,Tableau_Data[Thèmes],$S$30,Tableau_Data[Annee],$D$3,Tableau_Data[Mois],J$3)</f>
        <v>80</v>
      </c>
    </row>
    <row r="33" spans="2:28" x14ac:dyDescent="0.15">
      <c r="C33" s="300" t="s">
        <v>25</v>
      </c>
      <c r="E33" s="300" t="str">
        <f>B1</f>
        <v>SYM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0</v>
      </c>
      <c r="Q33" s="180">
        <f t="shared" si="2"/>
        <v>110</v>
      </c>
      <c r="R33" s="180">
        <f t="shared" si="2"/>
        <v>0</v>
      </c>
      <c r="S33" s="180">
        <f>SUM(S31:S32)</f>
        <v>210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COUNTIFS(Tableau_Data[ASBL],$B$1,Tableau_Data[Annee],$D$3,Tableau_Data[Mois],$J$3)</f>
        <v>4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Preservatif],$U$50,Tableau_Data[ASBL],$B$1,Tableau_Data[Annee],$D$3,Tableau_Data[Mois],$J$3)</f>
        <v>3</v>
      </c>
      <c r="V51" s="197">
        <f>COUNTIFS(Tableau_Data[Démo Preservatif],$V$50,Tableau_Data[ASBL],$B$1,Tableau_Data[Annee],$D$3,Tableau_Data[Mois],$J$3)</f>
        <v>1</v>
      </c>
      <c r="X51" s="197">
        <f>COUNTIFS(Tableau_Data[Témoignage],$X$50,Tableau_Data[ASBL],$B$1,Tableau_Data[Annee],$D$3,Tableau_Data[Mois],$J$3)</f>
        <v>2</v>
      </c>
      <c r="Y51" s="197">
        <f>COUNTIFS(Tableau_Data[Témoignage],$Y$50,Tableau_Data[ASBL],$B$1,Tableau_Data[Annee],$D$3,Tableau_Data[Mois],$J$3)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0.75</v>
      </c>
      <c r="V52" s="199">
        <f>V51/AB49</f>
        <v>0.25</v>
      </c>
      <c r="X52" s="199">
        <f>X51/AB49</f>
        <v>0.5</v>
      </c>
      <c r="Y52" s="199">
        <f>Y51/AB49</f>
        <v>0.5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2">
    <mergeCell ref="V1:AA1"/>
    <mergeCell ref="V27:AA27"/>
    <mergeCell ref="C33:C34"/>
    <mergeCell ref="E33:I34"/>
    <mergeCell ref="B1:E1"/>
    <mergeCell ref="H1:I1"/>
    <mergeCell ref="D3:F3"/>
    <mergeCell ref="H3:I3"/>
    <mergeCell ref="D4:F4"/>
    <mergeCell ref="D6:E6"/>
    <mergeCell ref="F6:G6"/>
    <mergeCell ref="S58:T58"/>
    <mergeCell ref="D7:E7"/>
    <mergeCell ref="F7:G7"/>
    <mergeCell ref="N25:P25"/>
    <mergeCell ref="M26:M27"/>
    <mergeCell ref="N26:R27"/>
    <mergeCell ref="B42:C42"/>
    <mergeCell ref="D42:E42"/>
    <mergeCell ref="N52:P52"/>
    <mergeCell ref="M58:N58"/>
    <mergeCell ref="O58:P58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Paramètres!$D$21:$D$24</xm:f>
          </x14:formula1>
          <xm:sqref>B1:E1</xm:sqref>
        </x14:dataValidation>
        <x14:dataValidation type="list" allowBlank="1" showInputMessage="1" showErrorMessage="1">
          <x14:formula1>
            <xm:f>Reseaux!$CB$53:$CB$64</xm:f>
          </x14:formula1>
          <xm:sqref>H3:I3</xm:sqref>
        </x14:dataValidation>
        <x14:dataValidation type="list" allowBlank="1" showInputMessage="1" showErrorMessage="1">
          <x14:formula1>
            <xm:f>Paramètres!$J$21:$J$35</xm:f>
          </x14:formula1>
          <xm:sqref>D3:F3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4DE6"/>
  </sheetPr>
  <dimension ref="B1:AB58"/>
  <sheetViews>
    <sheetView showGridLines="0" view="pageLayout" zoomScaleNormal="100" workbookViewId="0">
      <selection activeCell="B1" sqref="B1:E1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1" width="17" style="155" customWidth="1"/>
    <col min="22" max="22" width="11.42578125" style="155"/>
    <col min="23" max="23" width="15.85546875" style="155" customWidth="1"/>
    <col min="24" max="24" width="13.5703125" style="155" customWidth="1"/>
    <col min="25" max="26" width="11.42578125" style="155"/>
    <col min="27" max="27" width="2.7109375" style="155" customWidth="1"/>
    <col min="28" max="28" width="7.7109375" style="155" customWidth="1"/>
    <col min="29" max="29" width="8.5703125" style="155" customWidth="1"/>
    <col min="30" max="16384" width="11.42578125" style="155"/>
  </cols>
  <sheetData>
    <row r="1" spans="2:28" ht="27" customHeight="1" thickBot="1" x14ac:dyDescent="0.2">
      <c r="B1" s="312" t="s">
        <v>124</v>
      </c>
      <c r="C1" s="313"/>
      <c r="D1" s="313"/>
      <c r="E1" s="314"/>
      <c r="H1" s="315" t="s">
        <v>241</v>
      </c>
      <c r="I1" s="303"/>
      <c r="V1" s="301" t="s">
        <v>194</v>
      </c>
      <c r="W1" s="301"/>
      <c r="X1" s="301"/>
      <c r="Y1" s="301"/>
      <c r="Z1" s="301"/>
      <c r="AA1" s="301"/>
    </row>
    <row r="2" spans="2:28" ht="15.75" customHeight="1" thickTop="1" x14ac:dyDescent="0.2">
      <c r="B2" s="158"/>
      <c r="C2" s="160"/>
      <c r="D2" s="160"/>
      <c r="E2" s="160"/>
      <c r="F2" s="156"/>
      <c r="G2" s="316" t="s">
        <v>215</v>
      </c>
      <c r="H2" s="317"/>
      <c r="I2" s="156"/>
      <c r="J2" s="237" t="s">
        <v>82</v>
      </c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6"/>
      <c r="F3" s="233"/>
      <c r="G3" s="310" t="s">
        <v>3</v>
      </c>
      <c r="H3" s="311"/>
      <c r="I3" s="235" t="str">
        <f>VLOOKUP(G3,Reseaux!$CE$53:$CF$64,2,0)</f>
        <v>&gt;0</v>
      </c>
      <c r="J3" s="234" t="s">
        <v>5</v>
      </c>
      <c r="K3" s="236" t="str">
        <f>VLOOKUP(J3,Reseaux!$CH$53:$CI$64,2,0)</f>
        <v>&lt;4</v>
      </c>
      <c r="N3" s="172" t="s">
        <v>198</v>
      </c>
      <c r="O3" s="173">
        <f>SUMIFS(Tableau_Data[Masculin],Tableau_Data[Nom Réseau],$B1,Tableau_Data[Lieu d''intervention],$O$2,Tableau_Data[Annee],$D$3,Tableau_Data[Mois],I3,Tableau_Data[Mois],K3)</f>
        <v>0</v>
      </c>
      <c r="P3" s="173">
        <f>SUMIFS(Tableau_Data[Masculin],Tableau_Data[Nom Réseau],$B1,Tableau_Data[Lieu d''intervention],$P$2,Tableau_Data[Annee],$D$3,Tableau_Data[Mois],I3,Tableau_Data[Mois],K3)</f>
        <v>0</v>
      </c>
      <c r="Q3" s="173">
        <f>SUMIFS(Tableau_Data[Masculin],Tableau_Data[Nom Réseau],$B1,Tableau_Data[Lieu d''intervention],$Q$2,Tableau_Data[Annee],$D$3,Tableau_Data[Mois],I3,Tableau_Data[Mois],K3)</f>
        <v>75</v>
      </c>
      <c r="R3" s="173">
        <f>SUMIFS(Tableau_Data[Masculin],Tableau_Data[Nom Réseau],$B1,Tableau_Data[Lieu d''intervention],$R$2,Tableau_Data[Annee],$D$3,Tableau_Data[Mois],I3,Tableau_Data[Mois],K3)</f>
        <v>114</v>
      </c>
      <c r="U3" s="195" t="str">
        <f>Paramètres!H7</f>
        <v>Dépliants</v>
      </c>
      <c r="V3" s="204">
        <f>COUNTIFS(Tableau_Data[Matériel distribué],$U$3,Tableau_Data[Nom Réseau],$B1,Tableau_Data[Lieu d''intervention],$V2,Tableau_Data[Annee],$D$3,Tableau_Data[Mois],I3,Tableau_Data[Mois],K3)</f>
        <v>0</v>
      </c>
      <c r="W3" s="204">
        <f>COUNTIFS(Tableau_Data[Matériel distribué],$U$3,Tableau_Data[Nom Réseau],$B1,Tableau_Data[Lieu d''intervention],$W2,Tableau_Data[Annee],$D$3,Tableau_Data[Mois],I3,Tableau_Data[Mois],K3)</f>
        <v>0</v>
      </c>
      <c r="X3" s="204">
        <f>COUNTIFS(Tableau_Data[Matériel distribué],$U$3,Tableau_Data[Nom Réseau],$B1,Tableau_Data[Lieu d''intervention],$X2,Tableau_Data[Annee],$D$3,Tableau_Data[Mois],I3,Tableau_Data[Mois],K3)</f>
        <v>0</v>
      </c>
      <c r="Y3" s="205">
        <f>COUNTIFS(Tableau_Data[Matériel distribué],$U$3,Tableau_Data[Nom Réseau],$B1,Tableau_Data[Lieu d''intervention],$Y2,Tableau_Data[Annee],$D$3,Tableau_Data[Mois],I3,Tableau_Data[Mois],K3)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SUMIFS(Tableau_Data[Féminin],Tableau_Data[Nom Réseau],$B1,Tableau_Data[Lieu d''intervention],$O$2,Tableau_Data[Annee],$D$3,Tableau_Data[Mois],I3,Tableau_Data[Mois],K3)</f>
        <v>0</v>
      </c>
      <c r="P4" s="173">
        <f>SUMIFS(Tableau_Data[Féminin],Tableau_Data[Nom Réseau],$B1,Tableau_Data[Lieu d''intervention],$P$2,Tableau_Data[Annee],$D$3,Tableau_Data[Mois],I3,Tableau_Data[Mois],K3)</f>
        <v>0</v>
      </c>
      <c r="Q4" s="173">
        <f>SUMIFS(Tableau_Data[Féminin],Tableau_Data[Nom Réseau],$B1,Tableau_Data[Lieu d''intervention],$Q$2,Tableau_Data[Annee],$D$3,Tableau_Data[Mois],I3,Tableau_Data[Mois],K3)</f>
        <v>35</v>
      </c>
      <c r="R4" s="173">
        <f>SUMIFS(Tableau_Data[Féminin],Tableau_Data[Nom Réseau],$B1,Tableau_Data[Lieu d''intervention],$R$2,Tableau_Data[Annee],$D$3,Tableau_Data[Mois],I3,Tableau_Data[Mois],K3)</f>
        <v>120</v>
      </c>
      <c r="U4" s="195" t="str">
        <f>Paramètres!H8</f>
        <v>Condoms</v>
      </c>
      <c r="V4" s="204">
        <f>COUNTIFS(Tableau_Data[Matériel distribué],$U$4,Tableau_Data[Nom Réseau],$B1,Tableau_Data[Lieu d''intervention],$V2,Tableau_Data[Annee],$D$3,Tableau_Data[Mois],I3,Tableau_Data[Mois],K3)</f>
        <v>0</v>
      </c>
      <c r="W4" s="204">
        <f>COUNTIFS(Tableau_Data[Matériel distribué],$U$4,Tableau_Data[Nom Réseau],$B1,Tableau_Data[Lieu d''intervention],$W2,Tableau_Data[Annee],$D$3,Tableau_Data[Mois],I3,Tableau_Data[Mois],K3)</f>
        <v>0</v>
      </c>
      <c r="X4" s="204">
        <f>COUNTIFS(Tableau_Data[Matériel distribué],$U$4,Tableau_Data[Nom Réseau],$B1,Tableau_Data[Lieu d''intervention],$X2,Tableau_Data[Annee],$D$3,Tableau_Data[Mois],I3,Tableau_Data[Mois],K3)</f>
        <v>0</v>
      </c>
      <c r="Y4" s="205">
        <f>COUNTIFS(Tableau_Data[Matériel distribué],$U$4,Tableau_Data[Nom Réseau],$B1,Tableau_Data[Lieu d''intervention],$Y2,Tableau_Data[Annee],$D$3,Tableau_Data[Mois],I3,Tableau_Data[Mois],K3)</f>
        <v>1</v>
      </c>
      <c r="Z4" s="202">
        <f t="shared" ref="Z4:Z6" si="0">SUM(V4:Y4)</f>
        <v>1</v>
      </c>
      <c r="AB4" s="231">
        <f>COUNTIFS(Tableau_Data[Nom Réseau],$B$1,Tableau_Data[Annee],$D$3,Tableau_Data[Mois],I3,Tableau_Data[Mois],K3)</f>
        <v>3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234</v>
      </c>
      <c r="U5" s="195" t="str">
        <f>Paramètres!H9</f>
        <v>Aucun</v>
      </c>
      <c r="V5" s="204">
        <f>COUNTIFS(Tableau_Data[Matériel distribué],$U$5,Tableau_Data[Nom Réseau],$B$1,Tableau_Data[Lieu d''intervention],$V2,Tableau_Data[Annee],$D$3,Tableau_Data[Mois],I3,Tableau_Data[Mois],K3)</f>
        <v>0</v>
      </c>
      <c r="W5" s="204">
        <f>COUNTIFS(Tableau_Data[Matériel distribué],$U$5,Tableau_Data[Nom Réseau],$B$1,Tableau_Data[Lieu d''intervention],$W2,Tableau_Data[Annee],$D$3,Tableau_Data[Mois],I3,Tableau_Data[Mois],K3)</f>
        <v>0</v>
      </c>
      <c r="X5" s="204">
        <f>COUNTIFS(Tableau_Data[Matériel distribué],$U$5,Tableau_Data[Nom Réseau],$B$1,Tableau_Data[Lieu d''intervention],$X2,Tableau_Data[Annee],$D$3,Tableau_Data[Mois],I3,Tableau_Data[Mois],K3)</f>
        <v>1</v>
      </c>
      <c r="Y5" s="205">
        <f>COUNTIFS(Tableau_Data[Matériel distribué],$U$5,Tableau_Data[Nom Réseau],$B$1,Tableau_Data[Lieu d''intervention],$Y2,Tableau_Data[Annee],$D$3,Tableau_Data[Mois],I3,Tableau_Data[Mois],K3)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distribué],$U$6,Tableau_Data[Nom Réseau],$B$1,Tableau_Data[Lieu d''intervention],$V2,Tableau_Data[Annee],$D$3,Tableau_Data[Mois],I3,Tableau_Data[Mois],K3)</f>
        <v>0</v>
      </c>
      <c r="W6" s="204">
        <f>COUNTIFS(Tableau_Data[Matériel distribué],$U$6,Tableau_Data[Nom Réseau],$B$1,Tableau_Data[Lieu d''intervention],$W2,Tableau_Data[Annee],$D$3,Tableau_Data[Mois],I3,Tableau_Data[Mois],K3)</f>
        <v>0</v>
      </c>
      <c r="X6" s="204">
        <f>COUNTIFS(Tableau_Data[Matériel distribué],$U$6,Tableau_Data[Nom Réseau],$B$1,Tableau_Data[Lieu d''intervention],$X2,Tableau_Data[Annee],$D$3,Tableau_Data[Mois],I3,Tableau_Data[Mois],K3)</f>
        <v>0</v>
      </c>
      <c r="Y6" s="205">
        <f>COUNTIFS(Tableau_Data[Matériel distribué],$U$6,Tableau_Data[Nom Réseau],$B$1,Tableau_Data[Lieu d''intervention],$Y2,Tableau_Data[Annee],$D$3,Tableau_Data[Mois],I3,Tableau_Data[Mois],K3)</f>
        <v>0</v>
      </c>
      <c r="Z6" s="202">
        <f t="shared" si="0"/>
        <v>0</v>
      </c>
    </row>
    <row r="7" spans="2:28" ht="16.5" customHeight="1" x14ac:dyDescent="0.15">
      <c r="B7" s="158"/>
      <c r="C7" s="160"/>
      <c r="D7" s="297">
        <f>SUMIFS(Tableau_Data[Masculin],Tableau_Data[Nom Réseau],$B1,Tableau_Data[Annee],$D$3,Tableau_Data[Mois],I3,Tableau_Data[Mois],K3)</f>
        <v>189</v>
      </c>
      <c r="E7" s="298"/>
      <c r="F7" s="297">
        <f>SUMIFS(Tableau_Data[Féminin],Tableau_Data[Nom Réseau],$B1,Tableau_Data[Annee],$D$3,Tableau_Data[Mois],I3,Tableau_Data[Mois],K3)</f>
        <v>155</v>
      </c>
      <c r="G7" s="298"/>
      <c r="H7" s="160"/>
      <c r="I7" s="159">
        <f>SUM(D7:F7)</f>
        <v>344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176</v>
      </c>
      <c r="N26" s="300" t="str">
        <f>B1</f>
        <v>CDS Rwesa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3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COUNTIFS(Tableau_Data[Cible],$U$29,Tableau_Data[Nom Réseau],$B$1,Tableau_Data[Annee],$D$3,Tableau_Data[Mois],I3,Tableau_Data[Mois],K3)</f>
        <v>1</v>
      </c>
      <c r="V30" s="206">
        <f>COUNTIFS(Tableau_Data[Cible],$V$29,Tableau_Data[Nom Réseau],$B$1,Tableau_Data[Annee],$D$3,Tableau_Data[Mois],I3,Tableau_Data[Mois],K3)</f>
        <v>1</v>
      </c>
      <c r="W30" s="206">
        <f>COUNTIFS(Tableau_Data[Cible],$W$29,Tableau_Data[Nom Réseau],$B$1,Tableau_Data[Annee],$D$3,Tableau_Data[Mois],I3,Tableau_Data[Mois],K3)</f>
        <v>1</v>
      </c>
      <c r="X30" s="206">
        <f>COUNTIFS(Tableau_Data[Cible],$X$29,Tableau_Data[Nom Réseau],$B$1,Tableau_Data[Annee],$D$3,Tableau_Data[Mois],I3,Tableau_Data[Mois],K3)</f>
        <v>0</v>
      </c>
      <c r="AB30" s="155">
        <f>COUNTIFS(Tableau_Data[Nom Réseau],$B$1,Tableau_Data[Annee],$D$3,Tableau_Data[Mois],I3,Tableau_Data[Mois],K3)</f>
        <v>3</v>
      </c>
    </row>
    <row r="31" spans="12:28" x14ac:dyDescent="0.15">
      <c r="L31" s="177" t="s">
        <v>198</v>
      </c>
      <c r="M31" s="178">
        <f>SUMIFS(Tableau_Data[Masculin],Tableau_Data[Nom Réseau],$B1,Tableau_Data[Thèmes],$M$30,Tableau_Data[Annee],$D$3,Tableau_Data[Mois],I3,Tableau_Data[Mois],K3)</f>
        <v>34</v>
      </c>
      <c r="N31" s="178">
        <f>SUMIFS(Tableau_Data[Masculin],Tableau_Data[Nom Réseau],$B1,Tableau_Data[Thèmes],$N$30,Tableau_Data[Annee],$D$3,Tableau_Data[Mois],I3,Tableau_Data[Mois],K3)</f>
        <v>0</v>
      </c>
      <c r="O31" s="178">
        <f>SUMIFS(Tableau_Data[Masculin],Tableau_Data[Nom Réseau],$B1,Tableau_Data[Thèmes],$O$30,Tableau_Data[Annee],$D$3,Tableau_Data[Mois],I3,Tableau_Data[Mois],K3)</f>
        <v>0</v>
      </c>
      <c r="P31" s="178">
        <f>SUMIFS(Tableau_Data[Masculin],Tableau_Data[Nom Réseau],$B1,Tableau_Data[Thèmes],$P$30,Tableau_Data[Annee],$D$3,Tableau_Data[Mois],I3,Tableau_Data[Mois],K3)</f>
        <v>80</v>
      </c>
      <c r="Q31" s="178">
        <f>SUMIFS(Tableau_Data[Masculin],Tableau_Data[Nom Réseau],$B1,Tableau_Data[Thèmes],$Q$30,Tableau_Data[Annee],$D$3,Tableau_Data[Mois],I3,Tableau_Data[Mois],K3)</f>
        <v>75</v>
      </c>
      <c r="R31" s="178">
        <f>SUMIFS(Tableau_Data[Masculin],Tableau_Data[Nom Réseau],$B1,Tableau_Data[Thèmes],$R$30,Tableau_Data[Annee],$D$3,Tableau_Data[Mois],I3,Tableau_Data[Mois],K3)</f>
        <v>0</v>
      </c>
      <c r="S31" s="178">
        <f>SUMIFS(Tableau_Data[Masculin],Tableau_Data[Nom Réseau],$B1,Tableau_Data[Thèmes],$S$30,Tableau_Data[Annee],$D$3,Tableau_Data[Mois],I3,Tableau_Data[Mois],K3)</f>
        <v>0</v>
      </c>
      <c r="U31" s="207">
        <f>U30/AB30</f>
        <v>0.33333333333333331</v>
      </c>
      <c r="V31" s="207">
        <f>V30/AB30</f>
        <v>0.33333333333333331</v>
      </c>
      <c r="W31" s="207">
        <f>W30/AB30</f>
        <v>0.33333333333333331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SUMIFS(Tableau_Data[Féminin],Tableau_Data[Nom Réseau],$B1,Tableau_Data[Thèmes],$M$30,Tableau_Data[Annee],$D$3,Tableau_Data[Mois],I3,Tableau_Data[Mois],K3)</f>
        <v>70</v>
      </c>
      <c r="N32" s="178">
        <f>SUMIFS(Tableau_Data[Féminin],Tableau_Data[Nom Réseau],$B1,Tableau_Data[Thèmes],$N$30,Tableau_Data[Annee],$D$3,Tableau_Data[Mois],I3,Tableau_Data[Mois],K3)</f>
        <v>0</v>
      </c>
      <c r="O32" s="178">
        <f>SUMIFS(Tableau_Data[Féminin],Tableau_Data[Nom Réseau],$B1,Tableau_Data[Thèmes],$O$30,Tableau_Data[Annee],$D$3,Tableau_Data[Mois],I3,Tableau_Data[Mois],K3)</f>
        <v>0</v>
      </c>
      <c r="P32" s="178">
        <f>SUMIFS(Tableau_Data[Féminin],Tableau_Data[Nom Réseau],$B1,Tableau_Data[Thèmes],$P$30,Tableau_Data[Annee],$D$3,Tableau_Data[Mois],I3,Tableau_Data[Mois],K3)</f>
        <v>50</v>
      </c>
      <c r="Q32" s="178">
        <f>SUMIFS(Tableau_Data[Féminin],Tableau_Data[Nom Réseau],$B1,Tableau_Data[Thèmes],$Q$30,Tableau_Data[Annee],$D$3,Tableau_Data[Mois],I3,Tableau_Data[Mois],K3)</f>
        <v>35</v>
      </c>
      <c r="R32" s="178">
        <f>SUMIFS(Tableau_Data[Féminin],Tableau_Data[Nom Réseau],$B1,Tableau_Data[Thèmes],$R$30,Tableau_Data[Annee],$D$3,Tableau_Data[Mois],I3,Tableau_Data[Mois],K3)</f>
        <v>0</v>
      </c>
      <c r="S32" s="178">
        <f>SUMIFS(Tableau_Data[Féminin],Tableau_Data[Nom Réseau],$B1,Tableau_Data[Thèmes],$S$30,Tableau_Data[Annee],$D$3,Tableau_Data[Mois],I3,Tableau_Data[Mois],K3)</f>
        <v>0</v>
      </c>
    </row>
    <row r="33" spans="2:28" x14ac:dyDescent="0.15">
      <c r="C33" s="300" t="s">
        <v>176</v>
      </c>
      <c r="E33" s="300" t="str">
        <f>B1</f>
        <v>CDS Rwesa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0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COUNTIFS(Tableau_Data[Nom Réseau],$B$1,Tableau_Data[Annee],$D$3,Tableau_Data[Mois],I3,Tableau_Data[Mois],K3)</f>
        <v>3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Preservatif],$U$50,Tableau_Data[Nom Réseau],$B$1,Tableau_Data[Annee],$D$3,Tableau_Data[Mois],I3,Tableau_Data[Mois],K3)</f>
        <v>2</v>
      </c>
      <c r="V51" s="197">
        <f>COUNTIFS(Tableau_Data[Démo Preservatif],$V$50,Tableau_Data[Nom Réseau],$B$1,Tableau_Data[Annee],$D$3,Tableau_Data[Mois],I3,Tableau_Data[Mois],K3)</f>
        <v>1</v>
      </c>
      <c r="X51" s="197">
        <f>COUNTIFS(Tableau_Data[Témoignage],$X$50,Tableau_Data[Nom Réseau],$B$1,Tableau_Data[Annee],$D$3,Tableau_Data[Mois],I3,Tableau_Data[Mois],K3)</f>
        <v>2</v>
      </c>
      <c r="Y51" s="197">
        <f>COUNTIFS(Tableau_Data[Témoignage],$Y$50,Tableau_Data[Nom Réseau],$B$1,Tableau_Data[Annee],$D$3,Tableau_Data[Mois],I3,Tableau_Data[Mois],K3)</f>
        <v>1</v>
      </c>
    </row>
    <row r="52" spans="13:28" x14ac:dyDescent="0.15">
      <c r="N52" s="299" t="s">
        <v>172</v>
      </c>
      <c r="O52" s="299"/>
      <c r="P52" s="299"/>
      <c r="U52" s="199">
        <f>U51/AB49</f>
        <v>0.66666666666666663</v>
      </c>
      <c r="V52" s="199">
        <f>V51/AB49</f>
        <v>0.33333333333333331</v>
      </c>
      <c r="X52" s="199">
        <f>X51/AB49</f>
        <v>0.66666666666666663</v>
      </c>
      <c r="Y52" s="199">
        <f>Y51/AB49</f>
        <v>0.33333333333333331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3">
    <mergeCell ref="M58:N58"/>
    <mergeCell ref="O58:P58"/>
    <mergeCell ref="S58:T58"/>
    <mergeCell ref="D3:E3"/>
    <mergeCell ref="G3:H3"/>
    <mergeCell ref="N52:P52"/>
    <mergeCell ref="D6:E6"/>
    <mergeCell ref="F6:G6"/>
    <mergeCell ref="D7:E7"/>
    <mergeCell ref="F7:G7"/>
    <mergeCell ref="N25:P25"/>
    <mergeCell ref="V27:AA27"/>
    <mergeCell ref="C33:C34"/>
    <mergeCell ref="E33:I34"/>
    <mergeCell ref="B42:C42"/>
    <mergeCell ref="D42:E42"/>
    <mergeCell ref="M26:M27"/>
    <mergeCell ref="N26:R27"/>
    <mergeCell ref="B1:E1"/>
    <mergeCell ref="H1:I1"/>
    <mergeCell ref="V1:AA1"/>
    <mergeCell ref="D4:F4"/>
    <mergeCell ref="G2:H2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Paramètres!$N$5:$N$42</xm:f>
          </x14:formula1>
          <xm:sqref>B1:E1</xm:sqref>
        </x14:dataValidation>
        <x14:dataValidation type="list" allowBlank="1" showInputMessage="1" showErrorMessage="1">
          <x14:formula1>
            <xm:f>Paramètres!$J$21:$J$35</xm:f>
          </x14:formula1>
          <xm:sqref>D3</xm:sqref>
        </x14:dataValidation>
        <x14:dataValidation type="list" allowBlank="1" showInputMessage="1" showErrorMessage="1">
          <x14:formula1>
            <xm:f>Reseaux!$CB$53:$CB$64</xm:f>
          </x14:formula1>
          <xm:sqref>G3 J3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4DE6"/>
  </sheetPr>
  <dimension ref="B1:AB58"/>
  <sheetViews>
    <sheetView showGridLines="0" view="pageLayout" zoomScaleNormal="100" workbookViewId="0">
      <selection activeCell="G2" sqref="G2:H2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5.85546875" style="155" customWidth="1"/>
    <col min="28" max="28" width="8.7109375" style="155" customWidth="1"/>
    <col min="29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242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316" t="s">
        <v>215</v>
      </c>
      <c r="H2" s="317"/>
      <c r="I2" s="156"/>
      <c r="J2" s="237" t="s">
        <v>82</v>
      </c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6"/>
      <c r="F3" s="233"/>
      <c r="G3" s="310" t="s">
        <v>3</v>
      </c>
      <c r="H3" s="311"/>
      <c r="I3" s="235" t="str">
        <f>VLOOKUP(G3,Reseaux!$CE$53:$CF$64,2,0)</f>
        <v>&gt;0</v>
      </c>
      <c r="J3" s="234" t="s">
        <v>8</v>
      </c>
      <c r="K3" s="236" t="str">
        <f>VLOOKUP(J3,Reseaux!$CH$53:$CI$64,2,0)</f>
        <v>&lt;7</v>
      </c>
      <c r="N3" s="172" t="s">
        <v>198</v>
      </c>
      <c r="O3" s="173">
        <f>SUMIFS(Tableau_Data[Masculin],Tableau_Data[District sanitaire],$B1,Tableau_Data[Lieu d''intervention],$O$2,Tableau_Data[Annee],$D$3,Tableau_Data[Mois],I3,Tableau_Data[Mois],K3)</f>
        <v>0</v>
      </c>
      <c r="P3" s="173">
        <f>SUMIFS(Tableau_Data[Masculin],Tableau_Data[District sanitaire],$B1,Tableau_Data[Lieu d''intervention],$P$2,Tableau_Data[Annee],$D$3,Tableau_Data[Mois],I3,Tableau_Data[Mois],K3)</f>
        <v>0</v>
      </c>
      <c r="Q3" s="173">
        <f>SUMIFS(Tableau_Data[Masculin],Tableau_Data[District sanitaire],$B1,Tableau_Data[Lieu d''intervention],$Q$2,Tableau_Data[Annee],$D$3,Tableau_Data[Mois],I3,Tableau_Data[Mois],K3)</f>
        <v>75</v>
      </c>
      <c r="R3" s="173">
        <f>SUMIFS(Tableau_Data[Masculin],Tableau_Data[District sanitaire],$B1,Tableau_Data[Lieu d''intervention],$R$2,Tableau_Data[Annee],$D$3,Tableau_Data[Mois],I3,Tableau_Data[Mois],K3)</f>
        <v>272</v>
      </c>
      <c r="U3" s="195" t="str">
        <f>Paramètres!H7</f>
        <v>Dépliants</v>
      </c>
      <c r="V3" s="204">
        <f>COUNTIFS(Tableau_Data[Matériel distribué],$U$3,Tableau_Data[District sanitaire],$B1,Tableau_Data[Lieu d''intervention],$V2,Tableau_Data[Annee],$D$3,Tableau_Data[Mois],I3,Tableau_Data[Mois],K3)</f>
        <v>0</v>
      </c>
      <c r="W3" s="204">
        <f>COUNTIFS(Tableau_Data[Matériel distribué],$U$3,Tableau_Data[District sanitaire],$B1,Tableau_Data[Lieu d''intervention],$W2,Tableau_Data[Annee],$D$3,Tableau_Data[Mois],I3,Tableau_Data[Mois],K3)</f>
        <v>0</v>
      </c>
      <c r="X3" s="204">
        <f>COUNTIFS(Tableau_Data[Matériel distribué],$U$3,Tableau_Data[District sanitaire],$B1,Tableau_Data[Lieu d''intervention],$X2,Tableau_Data[Annee],$D$3,Tableau_Data[Mois],I3,Tableau_Data[Mois],K3)</f>
        <v>0</v>
      </c>
      <c r="Y3" s="205">
        <f>COUNTIFS(Tableau_Data[Matériel distribué],$U$3,Tableau_Data[District sanitaire],$B1,Tableau_Data[Lieu d''intervention],$Y2,Tableau_Data[Annee],$D$3,Tableau_Data[Mois],I3,Tableau_Data[Mois],K3)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SUMIFS(Tableau_Data[Féminin],Tableau_Data[District sanitaire],$B1,Tableau_Data[Lieu d''intervention],$O$2,Tableau_Data[Annee],$D$3,Tableau_Data[Mois],I3,Tableau_Data[Mois],K3)</f>
        <v>0</v>
      </c>
      <c r="P4" s="173">
        <f>SUMIFS(Tableau_Data[Féminin],Tableau_Data[District sanitaire],$B1,Tableau_Data[Lieu d''intervention],$P$2,Tableau_Data[Annee],$D$3,Tableau_Data[Mois],I3,Tableau_Data[Mois],K3)</f>
        <v>0</v>
      </c>
      <c r="Q4" s="173">
        <f>SUMIFS(Tableau_Data[Féminin],Tableau_Data[District sanitaire],$B1,Tableau_Data[Lieu d''intervention],$Q$2,Tableau_Data[Annee],$D$3,Tableau_Data[Mois],I3,Tableau_Data[Mois],K3)</f>
        <v>35</v>
      </c>
      <c r="R4" s="173">
        <f>SUMIFS(Tableau_Data[Féminin],Tableau_Data[District sanitaire],$B1,Tableau_Data[Lieu d''intervention],$R$2,Tableau_Data[Annee],$D$3,Tableau_Data[Mois],I3,Tableau_Data[Mois],K3)</f>
        <v>260</v>
      </c>
      <c r="U4" s="195" t="str">
        <f>Paramètres!H8</f>
        <v>Condoms</v>
      </c>
      <c r="V4" s="204">
        <f>COUNTIFS(Tableau_Data[Matériel distribué],$U$4,Tableau_Data[District sanitaire],$B1,Tableau_Data[Lieu d''intervention],$V2,Tableau_Data[Annee],$D$3,Tableau_Data[Mois],I3,Tableau_Data[Mois],K3)</f>
        <v>0</v>
      </c>
      <c r="W4" s="204">
        <f>COUNTIFS(Tableau_Data[Matériel distribué],$U$4,Tableau_Data[District sanitaire],$B1,Tableau_Data[Lieu d''intervention],$W2,Tableau_Data[Annee],$D$3,Tableau_Data[Mois],I3,Tableau_Data[Mois],K3)</f>
        <v>0</v>
      </c>
      <c r="X4" s="204">
        <f>COUNTIFS(Tableau_Data[Matériel distribué],$U$4,Tableau_Data[District sanitaire],$B1,Tableau_Data[Lieu d''intervention],$X2,Tableau_Data[Annee],$D$3,Tableau_Data[Mois],I3,Tableau_Data[Mois],K3)</f>
        <v>0</v>
      </c>
      <c r="Y4" s="205">
        <f>COUNTIFS(Tableau_Data[Matériel distribué],$U$4,Tableau_Data[District sanitaire],$B1,Tableau_Data[Lieu d''intervention],$Y2,Tableau_Data[Annee],$D$3,Tableau_Data[Mois],I3,Tableau_Data[Mois],K3)</f>
        <v>2</v>
      </c>
      <c r="Z4" s="202">
        <f t="shared" ref="Z4:Z6" si="0">SUM(V4:Y4)</f>
        <v>2</v>
      </c>
      <c r="AB4" s="231">
        <f>COUNTIFS(Tableau_Data[District sanitaire],$B$1,Tableau_Data[Annee],$D$3,Tableau_Data[Mois],I3,Tableau_Data[Mois],K3)</f>
        <v>6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532</v>
      </c>
      <c r="U5" s="195" t="str">
        <f>Paramètres!H9</f>
        <v>Aucun</v>
      </c>
      <c r="V5" s="204">
        <f>COUNTIFS(Tableau_Data[Matériel distribué],$U$5,Tableau_Data[District sanitaire],$B$1,Tableau_Data[Lieu d''intervention],$V2,Tableau_Data[Annee],$D$3,Tableau_Data[Mois],I3,Tableau_Data[Mois],K3)</f>
        <v>0</v>
      </c>
      <c r="W5" s="204">
        <f>COUNTIFS(Tableau_Data[Matériel distribué],$U$5,Tableau_Data[District sanitaire],$B$1,Tableau_Data[Lieu d''intervention],$W2,Tableau_Data[Annee],$D$3,Tableau_Data[Mois],I3,Tableau_Data[Mois],K3)</f>
        <v>0</v>
      </c>
      <c r="X5" s="204">
        <f>COUNTIFS(Tableau_Data[Matériel distribué],$U$5,Tableau_Data[District sanitaire],$B$1,Tableau_Data[Lieu d''intervention],$X2,Tableau_Data[Annee],$D$3,Tableau_Data[Mois],I3,Tableau_Data[Mois],K3)</f>
        <v>1</v>
      </c>
      <c r="Y5" s="205">
        <f>COUNTIFS(Tableau_Data[Matériel distribué],$U$5,Tableau_Data[District sanitaire],$B$1,Tableau_Data[Lieu d''intervention],$Y2,Tableau_Data[Annee],$D$3,Tableau_Data[Mois],I3,Tableau_Data[Mois],K3)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distribué],$U$6,Tableau_Data[District sanitaire],$B$1,Tableau_Data[Lieu d''intervention],$V2,Tableau_Data[Annee],$D$3,Tableau_Data[Mois],I3,Tableau_Data[Mois],K3)</f>
        <v>0</v>
      </c>
      <c r="W6" s="204">
        <f>COUNTIFS(Tableau_Data[Matériel distribué],$U$6,Tableau_Data[District sanitaire],$B$1,Tableau_Data[Lieu d''intervention],$W2,Tableau_Data[Annee],$D$3,Tableau_Data[Mois],I3,Tableau_Data[Mois],K3)</f>
        <v>0</v>
      </c>
      <c r="X6" s="204">
        <f>COUNTIFS(Tableau_Data[Matériel distribué],$U$6,Tableau_Data[District sanitaire],$B$1,Tableau_Data[Lieu d''intervention],$X2,Tableau_Data[Annee],$D$3,Tableau_Data[Mois],I3,Tableau_Data[Mois],K3)</f>
        <v>0</v>
      </c>
      <c r="Y6" s="205">
        <f>COUNTIFS(Tableau_Data[Matériel distribué],$U$6,Tableau_Data[District sanitaire],$B$1,Tableau_Data[Lieu d''intervention],$Y2,Tableau_Data[Annee],$D$3,Tableau_Data[Mois],I3,Tableau_Data[Mois],K3)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SUMIFS(Tableau_Data[Masculin],Tableau_Data[District sanitaire],$B1,Tableau_Data[Annee],$D$3,Tableau_Data[Mois],I3,Tableau_Data[Mois],K3)</f>
        <v>347</v>
      </c>
      <c r="E7" s="298"/>
      <c r="F7" s="297">
        <f>SUMIFS(Tableau_Data[Féminin],Tableau_Data[District sanitaire],$B1,Tableau_Data[Annee],$D$3,Tableau_Data[Mois],I3,Tableau_Data[Mois],K3)</f>
        <v>295</v>
      </c>
      <c r="G7" s="298"/>
      <c r="H7" s="160"/>
      <c r="I7" s="159">
        <f>SUM(D7:F7)</f>
        <v>642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173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COUNTIFS(Tableau_Data[Cible],$U$29,Tableau_Data[District sanitaire],$B$1,Tableau_Data[Annee],$D$3,Tableau_Data[Mois],I3,Tableau_Data[Mois],K3)</f>
        <v>2</v>
      </c>
      <c r="V30" s="206">
        <f>COUNTIFS(Tableau_Data[Cible],$V$29,Tableau_Data[District sanitaire],$B$1,Tableau_Data[Annee],$D$3,Tableau_Data[Mois],I3,Tableau_Data[Mois],K3)</f>
        <v>1</v>
      </c>
      <c r="W30" s="206">
        <f>COUNTIFS(Tableau_Data[Cible],$W$29,Tableau_Data[District sanitaire],$B$1,Tableau_Data[Annee],$D$3,Tableau_Data[Mois],I3,Tableau_Data[Mois],K3)</f>
        <v>3</v>
      </c>
      <c r="X30" s="206">
        <f>COUNTIFS(Tableau_Data[Cible],$X$29,Tableau_Data[District sanitaire],$B$1,Tableau_Data[Annee],$D$3,Tableau_Data[Mois],I3,Tableau_Data[Mois],K3)</f>
        <v>0</v>
      </c>
      <c r="AB30" s="155">
        <f>COUNTIFS(Tableau_Data[District sanitaire],$B$1,Tableau_Data[Annee],$D$3,Tableau_Data[Mois],I3,Tableau_Data[Mois],K3)</f>
        <v>6</v>
      </c>
    </row>
    <row r="31" spans="12:28" x14ac:dyDescent="0.15">
      <c r="L31" s="177" t="s">
        <v>198</v>
      </c>
      <c r="M31" s="178">
        <f>SUMIFS(Tableau_Data[Masculin],Tableau_Data[District sanitaire],$B1,Tableau_Data[Thèmes],$M$30,Tableau_Data[Annee],$D$3,Tableau_Data[Mois],I3,Tableau_Data[Mois],K3)</f>
        <v>34</v>
      </c>
      <c r="N31" s="178">
        <f>SUMIFS(Tableau_Data[Masculin],Tableau_Data[District sanitaire],$B1,Tableau_Data[Thèmes],$N$30,Tableau_Data[Annee],$D$3,Tableau_Data[Mois],I3,Tableau_Data[Mois],K3)</f>
        <v>0</v>
      </c>
      <c r="O31" s="178">
        <f>SUMIFS(Tableau_Data[Masculin],Tableau_Data[District sanitaire],$B1,Tableau_Data[Thèmes],$O$30,Tableau_Data[Annee],$D$3,Tableau_Data[Mois],I3,Tableau_Data[Mois],K3)</f>
        <v>0</v>
      </c>
      <c r="P31" s="178">
        <f>SUMIFS(Tableau_Data[Masculin],Tableau_Data[District sanitaire],$B1,Tableau_Data[Thèmes],$P$30,Tableau_Data[Annee],$D$3,Tableau_Data[Mois],I3,Tableau_Data[Mois],K3)</f>
        <v>80</v>
      </c>
      <c r="Q31" s="178">
        <f>SUMIFS(Tableau_Data[Masculin],Tableau_Data[District sanitaire],$B1,Tableau_Data[Thèmes],$Q$30,Tableau_Data[Annee],$D$3,Tableau_Data[Mois],I3,Tableau_Data[Mois],K3)</f>
        <v>75</v>
      </c>
      <c r="R31" s="178">
        <f>SUMIFS(Tableau_Data[Masculin],Tableau_Data[District sanitaire],$B1,Tableau_Data[Thèmes],$R$30,Tableau_Data[Annee],$D$3,Tableau_Data[Mois],I3,Tableau_Data[Mois],K3)</f>
        <v>0</v>
      </c>
      <c r="S31" s="178">
        <f>SUMIFS(Tableau_Data[Masculin],Tableau_Data[District sanitaire],$B1,Tableau_Data[Thèmes],$S$30,Tableau_Data[Annee],$D$3,Tableau_Data[Mois],I3,Tableau_Data[Mois],K3)</f>
        <v>158</v>
      </c>
      <c r="U31" s="207">
        <f>U30/AB30</f>
        <v>0.33333333333333331</v>
      </c>
      <c r="V31" s="207">
        <f>V30/AB30</f>
        <v>0.16666666666666666</v>
      </c>
      <c r="W31" s="207">
        <f>W30/AB30</f>
        <v>0.5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SUMIFS(Tableau_Data[Féminin],Tableau_Data[District sanitaire],$B1,Tableau_Data[Thèmes],$M$30,Tableau_Data[Annee],$D$3,Tableau_Data[Mois],I3,Tableau_Data[Mois],K3)</f>
        <v>70</v>
      </c>
      <c r="N32" s="178">
        <f>SUMIFS(Tableau_Data[Féminin],Tableau_Data[District sanitaire],$B1,Tableau_Data[Thèmes],$N$30,Tableau_Data[Annee],$D$3,Tableau_Data[Mois],I3,Tableau_Data[Mois],K3)</f>
        <v>0</v>
      </c>
      <c r="O32" s="178">
        <f>SUMIFS(Tableau_Data[Féminin],Tableau_Data[District sanitaire],$B1,Tableau_Data[Thèmes],$O$30,Tableau_Data[Annee],$D$3,Tableau_Data[Mois],I3,Tableau_Data[Mois],K3)</f>
        <v>0</v>
      </c>
      <c r="P32" s="178">
        <f>SUMIFS(Tableau_Data[Féminin],Tableau_Data[District sanitaire],$B1,Tableau_Data[Thèmes],$P$30,Tableau_Data[Annee],$D$3,Tableau_Data[Mois],I3,Tableau_Data[Mois],K3)</f>
        <v>50</v>
      </c>
      <c r="Q32" s="178">
        <f>SUMIFS(Tableau_Data[Féminin],Tableau_Data[District sanitaire],$B1,Tableau_Data[Thèmes],$Q$30,Tableau_Data[Annee],$D$3,Tableau_Data[Mois],I3,Tableau_Data[Mois],K3)</f>
        <v>35</v>
      </c>
      <c r="R32" s="178">
        <f>SUMIFS(Tableau_Data[Féminin],Tableau_Data[District sanitaire],$B1,Tableau_Data[Thèmes],$R$30,Tableau_Data[Annee],$D$3,Tableau_Data[Mois],I3,Tableau_Data[Mois],K3)</f>
        <v>0</v>
      </c>
      <c r="S32" s="178">
        <f>SUMIFS(Tableau_Data[Féminin],Tableau_Data[District sanitaire],$B1,Tableau_Data[Thèmes],$S$30,Tableau_Data[Annee],$D$3,Tableau_Data[Mois],I3,Tableau_Data[Mois],K3)</f>
        <v>140</v>
      </c>
    </row>
    <row r="33" spans="2:28" x14ac:dyDescent="0.15">
      <c r="C33" s="300" t="s">
        <v>173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298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COUNTIFS(Tableau_Data[District sanitaire],$B$1,Tableau_Data[Annee],$D$3,Tableau_Data[Mois],I3,Tableau_Data[Mois],K3)</f>
        <v>6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Preservatif],$U$50,Tableau_Data[District sanitaire],$B$1,Tableau_Data[Annee],$D$3,Tableau_Data[Mois],I3,Tableau_Data[Mois],K3)</f>
        <v>5</v>
      </c>
      <c r="V51" s="197">
        <f>COUNTIFS(Tableau_Data[Démo Preservatif],$V$50,Tableau_Data[District sanitaire],$B$1,Tableau_Data[Annee],$D$3,Tableau_Data[Mois],I3,Tableau_Data[Mois],K3)</f>
        <v>1</v>
      </c>
      <c r="X51" s="197">
        <f>COUNTIFS(Tableau_Data[Témoignage],$X$50,Tableau_Data[District sanitaire],$B$1,Tableau_Data[Annee],$D$3,Tableau_Data[Mois],I3,Tableau_Data[Mois],K3)</f>
        <v>4</v>
      </c>
      <c r="Y51" s="197">
        <f>COUNTIFS(Tableau_Data[Témoignage],$Y$50,Tableau_Data[District sanitaire],$B$1,Tableau_Data[Annee],$D$3,Tableau_Data[Mois],I3,Tableau_Data[Mois],K3)</f>
        <v>2</v>
      </c>
    </row>
    <row r="52" spans="13:28" x14ac:dyDescent="0.15">
      <c r="N52" s="299" t="s">
        <v>172</v>
      </c>
      <c r="O52" s="299"/>
      <c r="P52" s="299"/>
      <c r="U52" s="199">
        <f>U51/AB49</f>
        <v>0.83333333333333337</v>
      </c>
      <c r="V52" s="199">
        <f>V51/AB49</f>
        <v>0.16666666666666666</v>
      </c>
      <c r="X52" s="199">
        <f>X51/AB49</f>
        <v>0.66666666666666663</v>
      </c>
      <c r="Y52" s="199">
        <f>Y51/AB49</f>
        <v>0.33333333333333331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3">
    <mergeCell ref="M58:N58"/>
    <mergeCell ref="O58:P58"/>
    <mergeCell ref="S58:T58"/>
    <mergeCell ref="G2:H2"/>
    <mergeCell ref="D3:E3"/>
    <mergeCell ref="G3:H3"/>
    <mergeCell ref="N52:P52"/>
    <mergeCell ref="D6:E6"/>
    <mergeCell ref="F6:G6"/>
    <mergeCell ref="D7:E7"/>
    <mergeCell ref="F7:G7"/>
    <mergeCell ref="N25:P25"/>
    <mergeCell ref="C33:C34"/>
    <mergeCell ref="E33:I34"/>
    <mergeCell ref="B42:C42"/>
    <mergeCell ref="D42:E42"/>
    <mergeCell ref="M26:M27"/>
    <mergeCell ref="B1:E1"/>
    <mergeCell ref="H1:I1"/>
    <mergeCell ref="V1:AA1"/>
    <mergeCell ref="D4:F4"/>
    <mergeCell ref="V27:AA27"/>
    <mergeCell ref="N26:R27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Paramètres!$J$21:$J$35</xm:f>
          </x14:formula1>
          <xm:sqref>D3</xm:sqref>
        </x14:dataValidation>
        <x14:dataValidation type="list" allowBlank="1" showInputMessage="1" showErrorMessage="1">
          <x14:formula1>
            <xm:f>Reseaux!$CB$53:$CB$64</xm:f>
          </x14:formula1>
          <xm:sqref>G3 J3</xm:sqref>
        </x14:dataValidation>
        <x14:dataValidation type="list" allowBlank="1" showInputMessage="1" showErrorMessage="1">
          <x14:formula1>
            <xm:f>Paramètres!$F$21:$F$25</xm:f>
          </x14:formula1>
          <xm:sqref>B1:E1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004DE6"/>
  </sheetPr>
  <dimension ref="B1:AB58"/>
  <sheetViews>
    <sheetView showGridLines="0" view="pageLayout" zoomScaleNormal="100" workbookViewId="0">
      <selection activeCell="J5" sqref="J5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7.28515625" style="155" customWidth="1"/>
    <col min="28" max="28" width="7.140625" style="155" customWidth="1"/>
    <col min="29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243</v>
      </c>
      <c r="I1" s="303"/>
      <c r="J1" s="238" t="s">
        <v>244</v>
      </c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316" t="s">
        <v>215</v>
      </c>
      <c r="H2" s="317"/>
      <c r="I2" s="156"/>
      <c r="J2" s="237" t="s">
        <v>82</v>
      </c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6"/>
      <c r="F3" s="233"/>
      <c r="G3" s="310" t="s">
        <v>5</v>
      </c>
      <c r="H3" s="311"/>
      <c r="I3" s="235" t="str">
        <f>VLOOKUP(G3,Reseaux!$CE$53:$CF$64,2,0)</f>
        <v>&gt;2</v>
      </c>
      <c r="J3" s="234" t="s">
        <v>10</v>
      </c>
      <c r="K3" s="236" t="str">
        <f>VLOOKUP(J3,Reseaux!$CH$53:$CI$64,2,0)</f>
        <v>&lt;10</v>
      </c>
      <c r="N3" s="172" t="s">
        <v>198</v>
      </c>
      <c r="O3" s="173">
        <f>SUMIFS(Tableau_Data[Masculin],Tableau_Data[Province sanitaire],$B1,Tableau_Data[Lieu d''intervention],$O$2,Tableau_Data[Annee],$D$3,Tableau_Data[Mois],I3,Tableau_Data[Mois],K3)</f>
        <v>0</v>
      </c>
      <c r="P3" s="173">
        <f>SUMIFS(Tableau_Data[Masculin],Tableau_Data[Province sanitaire],$B1,Tableau_Data[Lieu d''intervention],$P$2,Tableau_Data[Annee],$D$3,Tableau_Data[Mois],I3,Tableau_Data[Mois],K3)</f>
        <v>0</v>
      </c>
      <c r="Q3" s="173">
        <f>SUMIFS(Tableau_Data[Masculin],Tableau_Data[Province sanitaire],$B1,Tableau_Data[Lieu d''intervention],$Q$2,Tableau_Data[Annee],$D$3,Tableau_Data[Mois],I3,Tableau_Data[Mois],K3)</f>
        <v>0</v>
      </c>
      <c r="R3" s="173">
        <f>SUMIFS(Tableau_Data[Masculin],Tableau_Data[Province sanitaire],$B1,Tableau_Data[Lieu d''intervention],$R$2,Tableau_Data[Annee],$D$3,Tableau_Data[Mois],I3,Tableau_Data[Mois],K3)</f>
        <v>108</v>
      </c>
      <c r="U3" s="195" t="str">
        <f>Paramètres!H7</f>
        <v>Dépliants</v>
      </c>
      <c r="V3" s="204">
        <f>COUNTIFS(Tableau_Data[Matériel distribué],$U$3,Tableau_Data[Province sanitaire],$B1,Tableau_Data[Lieu d''intervention],$V2,Tableau_Data[Annee],$D$3,Tableau_Data[Mois],I3,Tableau_Data[Mois],K3)</f>
        <v>0</v>
      </c>
      <c r="W3" s="204">
        <f>COUNTIFS(Tableau_Data[Matériel distribué],$U$3,Tableau_Data[Province sanitaire],$B1,Tableau_Data[Lieu d''intervention],$W2,Tableau_Data[Annee],$D$3,Tableau_Data[Mois],I3,Tableau_Data[Mois],K3)</f>
        <v>0</v>
      </c>
      <c r="X3" s="204">
        <f>COUNTIFS(Tableau_Data[Matériel distribué],$U$3,Tableau_Data[Province sanitaire],$B1,Tableau_Data[Lieu d''intervention],$X2,Tableau_Data[Annee],$D$3,Tableau_Data[Mois],I3,Tableau_Data[Mois],K3)</f>
        <v>0</v>
      </c>
      <c r="Y3" s="205">
        <f>COUNTIFS(Tableau_Data[Matériel distribué],$U$3,Tableau_Data[Province sanitaire],$B1,Tableau_Data[Lieu d''intervention],$Y2,Tableau_Data[Annee],$D$3,Tableau_Data[Mois],I3,Tableau_Data[Mois],K3)</f>
        <v>0</v>
      </c>
      <c r="Z3" s="202">
        <f>SUM(V3:Y3)</f>
        <v>0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SUMIFS(Tableau_Data[Féminin],Tableau_Data[Province sanitaire],$B1,Tableau_Data[Lieu d''intervention],$O$2,Tableau_Data[Annee],$D$3,Tableau_Data[Mois],I3,Tableau_Data[Mois],K3)</f>
        <v>0</v>
      </c>
      <c r="P4" s="173">
        <f>SUMIFS(Tableau_Data[Féminin],Tableau_Data[Province sanitaire],$B1,Tableau_Data[Lieu d''intervention],$P$2,Tableau_Data[Annee],$D$3,Tableau_Data[Mois],I3,Tableau_Data[Mois],K3)</f>
        <v>0</v>
      </c>
      <c r="Q4" s="173">
        <f>SUMIFS(Tableau_Data[Féminin],Tableau_Data[Province sanitaire],$B1,Tableau_Data[Lieu d''intervention],$Q$2,Tableau_Data[Annee],$D$3,Tableau_Data[Mois],I3,Tableau_Data[Mois],K3)</f>
        <v>0</v>
      </c>
      <c r="R4" s="173">
        <f>SUMIFS(Tableau_Data[Féminin],Tableau_Data[Province sanitaire],$B1,Tableau_Data[Lieu d''intervention],$R$2,Tableau_Data[Annee],$D$3,Tableau_Data[Mois],I3,Tableau_Data[Mois],K3)</f>
        <v>110</v>
      </c>
      <c r="U4" s="195" t="str">
        <f>Paramètres!H8</f>
        <v>Condoms</v>
      </c>
      <c r="V4" s="204">
        <f>COUNTIFS(Tableau_Data[Matériel distribué],$U$4,Tableau_Data[Province sanitaire],$B1,Tableau_Data[Lieu d''intervention],$V2,Tableau_Data[Annee],$D$3,Tableau_Data[Mois],I3,Tableau_Data[Mois],K3)</f>
        <v>0</v>
      </c>
      <c r="W4" s="204">
        <f>COUNTIFS(Tableau_Data[Matériel distribué],$U$4,Tableau_Data[Province sanitaire],$B1,Tableau_Data[Lieu d''intervention],$W2,Tableau_Data[Annee],$D$3,Tableau_Data[Mois],I3,Tableau_Data[Mois],K3)</f>
        <v>0</v>
      </c>
      <c r="X4" s="204">
        <f>COUNTIFS(Tableau_Data[Matériel distribué],$U$4,Tableau_Data[Province sanitaire],$B1,Tableau_Data[Lieu d''intervention],$X2,Tableau_Data[Annee],$D$3,Tableau_Data[Mois],I3,Tableau_Data[Mois],K3)</f>
        <v>0</v>
      </c>
      <c r="Y4" s="205">
        <f>COUNTIFS(Tableau_Data[Matériel distribué],$U$4,Tableau_Data[Province sanitaire],$B1,Tableau_Data[Lieu d''intervention],$Y2,Tableau_Data[Annee],$D$3,Tableau_Data[Mois],I3,Tableau_Data[Mois],K3)</f>
        <v>2</v>
      </c>
      <c r="Z4" s="202">
        <f t="shared" ref="Z4:Z6" si="0">SUM(V4:Y4)</f>
        <v>2</v>
      </c>
      <c r="AB4" s="231">
        <f>COUNTIFS(Tableau_Data[Province sanitaire],$B$1,Tableau_Data[Annee],$D$3,Tableau_Data[Mois],I3,Tableau_Data[Mois],K3)</f>
        <v>2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0</v>
      </c>
      <c r="R5" s="175">
        <f t="shared" si="1"/>
        <v>218</v>
      </c>
      <c r="U5" s="195" t="str">
        <f>Paramètres!H9</f>
        <v>Aucun</v>
      </c>
      <c r="V5" s="204">
        <f>COUNTIFS(Tableau_Data[Matériel distribué],$U$5,Tableau_Data[Province sanitaire],$B$1,Tableau_Data[Lieu d''intervention],$V2,Tableau_Data[Annee],$D$3,Tableau_Data[Mois],I3,Tableau_Data[Mois],K3)</f>
        <v>0</v>
      </c>
      <c r="W5" s="204">
        <f>COUNTIFS(Tableau_Data[Matériel distribué],$U$5,Tableau_Data[Province sanitaire],$B$1,Tableau_Data[Lieu d''intervention],$W2,Tableau_Data[Annee],$D$3,Tableau_Data[Mois],I3,Tableau_Data[Mois],K3)</f>
        <v>0</v>
      </c>
      <c r="X5" s="204">
        <f>COUNTIFS(Tableau_Data[Matériel distribué],$U$5,Tableau_Data[Province sanitaire],$B$1,Tableau_Data[Lieu d''intervention],$X2,Tableau_Data[Annee],$D$3,Tableau_Data[Mois],I3,Tableau_Data[Mois],K3)</f>
        <v>0</v>
      </c>
      <c r="Y5" s="205">
        <f>COUNTIFS(Tableau_Data[Matériel distribué],$U$5,Tableau_Data[Province sanitaire],$B$1,Tableau_Data[Lieu d''intervention],$Y2,Tableau_Data[Annee],$D$3,Tableau_Data[Mois],I3,Tableau_Data[Mois],K3)</f>
        <v>0</v>
      </c>
      <c r="Z5" s="202">
        <f t="shared" si="0"/>
        <v>0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distribué],$U$6,Tableau_Data[Province sanitaire],$B$1,Tableau_Data[Lieu d''intervention],$V2,Tableau_Data[Annee],$D$3,Tableau_Data[Mois],I3,Tableau_Data[Mois],K3)</f>
        <v>0</v>
      </c>
      <c r="W6" s="204">
        <f>COUNTIFS(Tableau_Data[Matériel distribué],$U$6,Tableau_Data[Province sanitaire],$B$1,Tableau_Data[Lieu d''intervention],$W2,Tableau_Data[Annee],$D$3,Tableau_Data[Mois],I3,Tableau_Data[Mois],K3)</f>
        <v>0</v>
      </c>
      <c r="X6" s="204">
        <f>COUNTIFS(Tableau_Data[Matériel distribué],$U$6,Tableau_Data[Province sanitaire],$B$1,Tableau_Data[Lieu d''intervention],$X2,Tableau_Data[Annee],$D$3,Tableau_Data[Mois],I3,Tableau_Data[Mois],K3)</f>
        <v>0</v>
      </c>
      <c r="Y6" s="205">
        <f>COUNTIFS(Tableau_Data[Matériel distribué],$U$6,Tableau_Data[Province sanitaire],$B$1,Tableau_Data[Lieu d''intervention],$Y2,Tableau_Data[Annee],$D$3,Tableau_Data[Mois],I3,Tableau_Data[Mois],K3)</f>
        <v>0</v>
      </c>
      <c r="Z6" s="202">
        <f t="shared" si="0"/>
        <v>0</v>
      </c>
    </row>
    <row r="7" spans="2:28" ht="16.5" customHeight="1" x14ac:dyDescent="0.15">
      <c r="B7" s="158"/>
      <c r="C7" s="160"/>
      <c r="D7" s="297">
        <f>SUMIFS(Tableau_Data[Masculin],Tableau_Data[Province sanitaire],$B1,Tableau_Data[Annee],$D$3,Tableau_Data[Mois],I3,Tableau_Data[Mois],K3)</f>
        <v>108</v>
      </c>
      <c r="E7" s="298"/>
      <c r="F7" s="297">
        <f>SUMIFS(Tableau_Data[Féminin],Tableau_Data[Province sanitaire],$B1,Tableau_Data[Annee],$D$3,Tableau_Data[Mois],I3,Tableau_Data[Mois],K3)</f>
        <v>110</v>
      </c>
      <c r="G7" s="298"/>
      <c r="H7" s="160"/>
      <c r="I7" s="159">
        <f>SUM(D7:F7)</f>
        <v>218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174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COUNTIFS(Tableau_Data[Cible],$U$29,Tableau_Data[Province sanitaire],$B$1,Tableau_Data[Annee],$D$3,Tableau_Data[Mois],I3,Tableau_Data[Mois],K3)</f>
        <v>0</v>
      </c>
      <c r="V30" s="206">
        <f>COUNTIFS(Tableau_Data[Cible],$V$29,Tableau_Data[Province sanitaire],$B$1,Tableau_Data[Annee],$D$3,Tableau_Data[Mois],I3,Tableau_Data[Mois],K3)</f>
        <v>0</v>
      </c>
      <c r="W30" s="206">
        <f>COUNTIFS(Tableau_Data[Cible],$W$29,Tableau_Data[Province sanitaire],$B$1,Tableau_Data[Annee],$D$3,Tableau_Data[Mois],I3,Tableau_Data[Mois],K3)</f>
        <v>2</v>
      </c>
      <c r="X30" s="206">
        <f>COUNTIFS(Tableau_Data[Cible],$X$29,Tableau_Data[Province sanitaire],$B$1,Tableau_Data[Annee],$D$3,Tableau_Data[Mois],I3,Tableau_Data[Mois],K3)</f>
        <v>0</v>
      </c>
      <c r="AB30" s="155">
        <f>COUNTIFS(Tableau_Data[Province sanitaire],$B$1,Tableau_Data[Annee],$D$3,Tableau_Data[Mois],I3,Tableau_Data[Mois],K3)</f>
        <v>2</v>
      </c>
    </row>
    <row r="31" spans="12:28" x14ac:dyDescent="0.15">
      <c r="L31" s="177" t="s">
        <v>198</v>
      </c>
      <c r="M31" s="178">
        <f>SUMIFS(Tableau_Data[Masculin],Tableau_Data[Province sanitaire],$B1,Tableau_Data[Thèmes],$M$30,Tableau_Data[Annee],$D$3,Tableau_Data[Mois],I3,Tableau_Data[Mois],K3)</f>
        <v>0</v>
      </c>
      <c r="N31" s="178">
        <f>SUMIFS(Tableau_Data[Masculin],Tableau_Data[Province sanitaire],$B1,Tableau_Data[Thèmes],$N$30,Tableau_Data[Annee],$D$3,Tableau_Data[Mois],I3,Tableau_Data[Mois],K3)</f>
        <v>0</v>
      </c>
      <c r="O31" s="178">
        <f>SUMIFS(Tableau_Data[Masculin],Tableau_Data[Province sanitaire],$B1,Tableau_Data[Thèmes],$O$30,Tableau_Data[Annee],$D$3,Tableau_Data[Mois],I3,Tableau_Data[Mois],K3)</f>
        <v>0</v>
      </c>
      <c r="P31" s="178">
        <f>SUMIFS(Tableau_Data[Masculin],Tableau_Data[Province sanitaire],$B1,Tableau_Data[Thèmes],$P$30,Tableau_Data[Annee],$D$3,Tableau_Data[Mois],I3,Tableau_Data[Mois],K3)</f>
        <v>80</v>
      </c>
      <c r="Q31" s="178">
        <f>SUMIFS(Tableau_Data[Masculin],Tableau_Data[Province sanitaire],$B1,Tableau_Data[Thèmes],$Q$30,Tableau_Data[Annee],$D$3,Tableau_Data[Mois],I3,Tableau_Data[Mois],K3)</f>
        <v>0</v>
      </c>
      <c r="R31" s="178">
        <f>SUMIFS(Tableau_Data[Masculin],Tableau_Data[Province sanitaire],$B1,Tableau_Data[Thèmes],$R$30,Tableau_Data[Annee],$D$3,Tableau_Data[Mois],I3,Tableau_Data[Mois],K3)</f>
        <v>0</v>
      </c>
      <c r="S31" s="178">
        <f>SUMIFS(Tableau_Data[Masculin],Tableau_Data[Province sanitaire],$B1,Tableau_Data[Thèmes],$S$30,Tableau_Data[Annee],$D$3,Tableau_Data[Mois],I3,Tableau_Data[Mois],K3)</f>
        <v>28</v>
      </c>
      <c r="U31" s="207">
        <f>U30/AB30</f>
        <v>0</v>
      </c>
      <c r="V31" s="207">
        <f>V30/AB30</f>
        <v>0</v>
      </c>
      <c r="W31" s="207">
        <f>W30/AB30</f>
        <v>1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SUMIFS(Tableau_Data[Féminin],Tableau_Data[Province sanitaire],$B1,Tableau_Data[Thèmes],$M$30,Tableau_Data[Annee],$D$3,Tableau_Data[Mois],I3,Tableau_Data[Mois],K3)</f>
        <v>0</v>
      </c>
      <c r="N32" s="178">
        <f>SUMIFS(Tableau_Data[Féminin],Tableau_Data[Province sanitaire],$B1,Tableau_Data[Thèmes],$N$30,Tableau_Data[Annee],$D$3,Tableau_Data[Mois],I3,Tableau_Data[Mois],K3)</f>
        <v>0</v>
      </c>
      <c r="O32" s="178">
        <f>SUMIFS(Tableau_Data[Féminin],Tableau_Data[Province sanitaire],$B1,Tableau_Data[Thèmes],$O$30,Tableau_Data[Annee],$D$3,Tableau_Data[Mois],I3,Tableau_Data[Mois],K3)</f>
        <v>0</v>
      </c>
      <c r="P32" s="178">
        <f>SUMIFS(Tableau_Data[Féminin],Tableau_Data[Province sanitaire],$B1,Tableau_Data[Thèmes],$P$30,Tableau_Data[Annee],$D$3,Tableau_Data[Mois],I3,Tableau_Data[Mois],K3)</f>
        <v>50</v>
      </c>
      <c r="Q32" s="178">
        <f>SUMIFS(Tableau_Data[Féminin],Tableau_Data[Province sanitaire],$B1,Tableau_Data[Thèmes],$Q$30,Tableau_Data[Annee],$D$3,Tableau_Data[Mois],I3,Tableau_Data[Mois],K3)</f>
        <v>0</v>
      </c>
      <c r="R32" s="178">
        <f>SUMIFS(Tableau_Data[Féminin],Tableau_Data[Province sanitaire],$B1,Tableau_Data[Thèmes],$R$30,Tableau_Data[Annee],$D$3,Tableau_Data[Mois],I3,Tableau_Data[Mois],K3)</f>
        <v>0</v>
      </c>
      <c r="S32" s="178">
        <f>SUMIFS(Tableau_Data[Féminin],Tableau_Data[Province sanitaire],$B1,Tableau_Data[Thèmes],$S$30,Tableau_Data[Annee],$D$3,Tableau_Data[Mois],I3,Tableau_Data[Mois],K3)</f>
        <v>60</v>
      </c>
    </row>
    <row r="33" spans="2:28" x14ac:dyDescent="0.15">
      <c r="C33" s="300" t="s">
        <v>174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0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0</v>
      </c>
      <c r="R33" s="180">
        <f t="shared" si="2"/>
        <v>0</v>
      </c>
      <c r="S33" s="180">
        <f>SUM(S31:S32)</f>
        <v>88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COUNTIFS(Tableau_Data[Province sanitaire],$B$1,Tableau_Data[Annee],$D$3,Tableau_Data[Mois],I3,Tableau_Data[Mois],K3)</f>
        <v>2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Preservatif],$U$50,Tableau_Data[Province sanitaire],$B$1,Tableau_Data[Annee],$D$3,Tableau_Data[Mois],I3,Tableau_Data[Mois],K3)</f>
        <v>2</v>
      </c>
      <c r="V51" s="197">
        <f>COUNTIFS(Tableau_Data[Démo Preservatif],$V$50,Tableau_Data[Province sanitaire],$B$1,Tableau_Data[Annee],$D$3,Tableau_Data[Mois],I3,Tableau_Data[Mois],K3)</f>
        <v>0</v>
      </c>
      <c r="X51" s="197">
        <f>COUNTIFS(Tableau_Data[Témoignage],$X$50,Tableau_Data[Province sanitaire],$B$1,Tableau_Data[Annee],$D$3,Tableau_Data[Mois],I3,Tableau_Data[Mois],K3)</f>
        <v>2</v>
      </c>
      <c r="Y51" s="197">
        <f>COUNTIFS(Tableau_Data[Témoignage],$Y$50,Tableau_Data[Province sanitaire],$B$1,Tableau_Data[Annee],$D$3,Tableau_Data[Mois],I3,Tableau_Data[Mois],K3)</f>
        <v>0</v>
      </c>
    </row>
    <row r="52" spans="13:28" x14ac:dyDescent="0.15">
      <c r="N52" s="299" t="s">
        <v>172</v>
      </c>
      <c r="O52" s="299"/>
      <c r="P52" s="299"/>
      <c r="U52" s="199">
        <f>U51/AB49</f>
        <v>1</v>
      </c>
      <c r="V52" s="199">
        <f>V51/AB49</f>
        <v>0</v>
      </c>
      <c r="X52" s="199">
        <f>X51/AB49</f>
        <v>1</v>
      </c>
      <c r="Y52" s="199">
        <f>Y51/AB49</f>
        <v>0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3">
    <mergeCell ref="M58:N58"/>
    <mergeCell ref="O58:P58"/>
    <mergeCell ref="S58:T58"/>
    <mergeCell ref="G2:H2"/>
    <mergeCell ref="D3:E3"/>
    <mergeCell ref="G3:H3"/>
    <mergeCell ref="N52:P52"/>
    <mergeCell ref="D6:E6"/>
    <mergeCell ref="F6:G6"/>
    <mergeCell ref="D7:E7"/>
    <mergeCell ref="F7:G7"/>
    <mergeCell ref="N25:P25"/>
    <mergeCell ref="C33:C34"/>
    <mergeCell ref="E33:I34"/>
    <mergeCell ref="B42:C42"/>
    <mergeCell ref="D42:E42"/>
    <mergeCell ref="M26:M27"/>
    <mergeCell ref="B1:E1"/>
    <mergeCell ref="H1:I1"/>
    <mergeCell ref="V1:AA1"/>
    <mergeCell ref="D4:F4"/>
    <mergeCell ref="V27:AA27"/>
    <mergeCell ref="N26:R27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Paramètres!$B$21:$B$23</xm:f>
          </x14:formula1>
          <xm:sqref>B1:E1</xm:sqref>
        </x14:dataValidation>
        <x14:dataValidation type="list" allowBlank="1" showInputMessage="1" showErrorMessage="1">
          <x14:formula1>
            <xm:f>Reseaux!$CB$53:$CB$64</xm:f>
          </x14:formula1>
          <xm:sqref>G3 J3</xm:sqref>
        </x14:dataValidation>
        <x14:dataValidation type="list" allowBlank="1" showInputMessage="1" showErrorMessage="1">
          <x14:formula1>
            <xm:f>Paramètres!$J$21:$J$35</xm:f>
          </x14:formula1>
          <xm:sqref>D3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4DE6"/>
  </sheetPr>
  <dimension ref="B1:AB58"/>
  <sheetViews>
    <sheetView showGridLines="0" view="pageLayout" zoomScaleNormal="100" workbookViewId="0">
      <selection activeCell="G2" sqref="G2:H2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7.85546875" style="155" customWidth="1"/>
    <col min="28" max="28" width="6.140625" style="155" customWidth="1"/>
    <col min="29" max="16384" width="11.42578125" style="155"/>
  </cols>
  <sheetData>
    <row r="1" spans="2:28" ht="27" customHeight="1" thickBot="1" x14ac:dyDescent="0.2">
      <c r="B1" s="312" t="s">
        <v>101</v>
      </c>
      <c r="C1" s="313"/>
      <c r="D1" s="313"/>
      <c r="E1" s="314"/>
      <c r="H1" s="303" t="s">
        <v>245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316" t="s">
        <v>215</v>
      </c>
      <c r="H2" s="317"/>
      <c r="I2" s="156"/>
      <c r="J2" s="237" t="s">
        <v>82</v>
      </c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13" t="str">
        <f>Paramètres!B7</f>
        <v>ECOLE</v>
      </c>
      <c r="W2" s="213" t="str">
        <f>Paramètres!B8</f>
        <v>CENTRE DE SANTE</v>
      </c>
      <c r="X2" s="213" t="str">
        <f>Paramètres!B9</f>
        <v>COMMUNAUTE</v>
      </c>
      <c r="Y2" s="214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6"/>
      <c r="F3" s="233"/>
      <c r="G3" s="310" t="s">
        <v>5</v>
      </c>
      <c r="H3" s="311"/>
      <c r="I3" s="235" t="str">
        <f>VLOOKUP(G3,Reseaux!$CE$53:$CF$64,2,0)</f>
        <v>&gt;2</v>
      </c>
      <c r="J3" s="234" t="s">
        <v>10</v>
      </c>
      <c r="K3" s="236" t="str">
        <f>VLOOKUP(J3,Reseaux!$CH$53:$CI$64,2,0)</f>
        <v>&lt;10</v>
      </c>
      <c r="N3" s="172" t="s">
        <v>198</v>
      </c>
      <c r="O3" s="173">
        <f>SUMIFS(Tableau_Data[Masculin],Tableau_Data[ASBL],$B1,Tableau_Data[Lieu d''intervention],$O$2,Tableau_Data[Annee],$D$3,Tableau_Data[Mois],I3,Tableau_Data[Mois],K3)</f>
        <v>0</v>
      </c>
      <c r="P3" s="173">
        <f>SUMIFS(Tableau_Data[Masculin],Tableau_Data[ASBL],$B1,Tableau_Data[Lieu d''intervention],$P$2,Tableau_Data[Annee],$D$3,Tableau_Data[Mois],I3,Tableau_Data[Mois],K3)</f>
        <v>0</v>
      </c>
      <c r="Q3" s="173">
        <f>SUMIFS(Tableau_Data[Masculin],Tableau_Data[ASBL],$B1,Tableau_Data[Lieu d''intervention],$Q$2,Tableau_Data[Annee],$D$3,Tableau_Data[Mois],I3,Tableau_Data[Mois],K3)</f>
        <v>0</v>
      </c>
      <c r="R3" s="173">
        <f>SUMIFS(Tableau_Data[Masculin],Tableau_Data[ASBL],$B1,Tableau_Data[Lieu d''intervention],$R$2,Tableau_Data[Annee],$D$3,Tableau_Data[Mois],I3,Tableau_Data[Mois],K3)</f>
        <v>108</v>
      </c>
      <c r="U3" s="195" t="str">
        <f>Paramètres!H7</f>
        <v>Dépliants</v>
      </c>
      <c r="V3" s="204">
        <f>COUNTIFS(Tableau_Data[Matériel distribué],$U$3,Tableau_Data[ASBL],$B1,Tableau_Data[Lieu d''intervention],$V2,Tableau_Data[Annee],$D$3,Tableau_Data[Mois],I3,Tableau_Data[Mois],K3)</f>
        <v>0</v>
      </c>
      <c r="W3" s="204">
        <f>COUNTIFS(Tableau_Data[Matériel distribué],$U$3,Tableau_Data[ASBL],$B1,Tableau_Data[Lieu d''intervention],$W2,Tableau_Data[Annee],$D$3,Tableau_Data[Mois],I3,Tableau_Data[Mois],K3)</f>
        <v>0</v>
      </c>
      <c r="X3" s="204">
        <f>COUNTIFS(Tableau_Data[Matériel distribué],$U$3,Tableau_Data[ASBL],$B1,Tableau_Data[Lieu d''intervention],$X2,Tableau_Data[Annee],$D$3,Tableau_Data[Mois],I3,Tableau_Data[Mois],K3)</f>
        <v>0</v>
      </c>
      <c r="Y3" s="205">
        <f>COUNTIFS(Tableau_Data[Matériel distribué],$U$3,Tableau_Data[ASBL],$B1,Tableau_Data[Lieu d''intervention],$Y2,Tableau_Data[Annee],$D$3,Tableau_Data[Mois],I3,Tableau_Data[Mois],K3)</f>
        <v>0</v>
      </c>
      <c r="Z3" s="202">
        <f>SUM(V3:Y3)</f>
        <v>0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SUMIFS(Tableau_Data[Féminin],Tableau_Data[ASBL],$B1,Tableau_Data[Lieu d''intervention],$O$2,Tableau_Data[Annee],$D$3,Tableau_Data[Mois],I3,Tableau_Data[Mois],K3)</f>
        <v>0</v>
      </c>
      <c r="P4" s="173">
        <f>SUMIFS(Tableau_Data[Féminin],Tableau_Data[ASBL],$B1,Tableau_Data[Lieu d''intervention],$P$2,Tableau_Data[Annee],$D$3,Tableau_Data[Mois],I3,Tableau_Data[Mois],K3)</f>
        <v>0</v>
      </c>
      <c r="Q4" s="173">
        <f>SUMIFS(Tableau_Data[Féminin],Tableau_Data[ASBL],$B1,Tableau_Data[Lieu d''intervention],$Q$2,Tableau_Data[Annee],$D$3,Tableau_Data[Mois],I3,Tableau_Data[Mois],K3)</f>
        <v>0</v>
      </c>
      <c r="R4" s="173">
        <f>SUMIFS(Tableau_Data[Féminin],Tableau_Data[ASBL],$B1,Tableau_Data[Lieu d''intervention],$R$2,Tableau_Data[Annee],$D$3,Tableau_Data[Mois],I3,Tableau_Data[Mois],K3)</f>
        <v>110</v>
      </c>
      <c r="U4" s="195" t="str">
        <f>Paramètres!H8</f>
        <v>Condoms</v>
      </c>
      <c r="V4" s="204">
        <f>COUNTIFS(Tableau_Data[Matériel distribué],$U$4,Tableau_Data[ASBL],$B1,Tableau_Data[Lieu d''intervention],$V2,Tableau_Data[Annee],$D$3,Tableau_Data[Mois],I3,Tableau_Data[Mois],K3)</f>
        <v>0</v>
      </c>
      <c r="W4" s="204">
        <f>COUNTIFS(Tableau_Data[Matériel distribué],$U$4,Tableau_Data[ASBL],$B1,Tableau_Data[Lieu d''intervention],$W2,Tableau_Data[Annee],$D$3,Tableau_Data[Mois],I3,Tableau_Data[Mois],K3)</f>
        <v>0</v>
      </c>
      <c r="X4" s="204">
        <f>COUNTIFS(Tableau_Data[Matériel distribué],$U$4,Tableau_Data[ASBL],$B1,Tableau_Data[Lieu d''intervention],$X2,Tableau_Data[Annee],$D$3,Tableau_Data[Mois],I3,Tableau_Data[Mois],K3)</f>
        <v>0</v>
      </c>
      <c r="Y4" s="205">
        <f>COUNTIFS(Tableau_Data[Matériel distribué],$U$4,Tableau_Data[ASBL],$B1,Tableau_Data[Lieu d''intervention],$Y2,Tableau_Data[Annee],$D$3,Tableau_Data[Mois],I3,Tableau_Data[Mois],K3)</f>
        <v>2</v>
      </c>
      <c r="Z4" s="202">
        <f t="shared" ref="Z4:Z6" si="0">SUM(V4:Y4)</f>
        <v>2</v>
      </c>
      <c r="AB4" s="231">
        <f>COUNTIFS(Tableau_Data[ASBL],$B$1,Tableau_Data[Annee],$D$3,Tableau_Data[Mois],I3,Tableau_Data[Mois],K3)</f>
        <v>2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0</v>
      </c>
      <c r="R5" s="175">
        <f t="shared" si="1"/>
        <v>218</v>
      </c>
      <c r="U5" s="195" t="str">
        <f>Paramètres!H9</f>
        <v>Aucun</v>
      </c>
      <c r="V5" s="204">
        <f>COUNTIFS(Tableau_Data[Matériel distribué],$U$5,Tableau_Data[ASBL],$B$1,Tableau_Data[Lieu d''intervention],$V2,Tableau_Data[Annee],$D$3,Tableau_Data[Mois],I3,Tableau_Data[Mois],K3)</f>
        <v>0</v>
      </c>
      <c r="W5" s="204">
        <f>COUNTIFS(Tableau_Data[Matériel distribué],$U$5,Tableau_Data[ASBL],$B$1,Tableau_Data[Lieu d''intervention],$W2,Tableau_Data[Annee],$D$3,Tableau_Data[Mois],I3,Tableau_Data[Mois],K3)</f>
        <v>0</v>
      </c>
      <c r="X5" s="204">
        <f>COUNTIFS(Tableau_Data[Matériel distribué],$U$5,Tableau_Data[ASBL],$B$1,Tableau_Data[Lieu d''intervention],$X2,Tableau_Data[Annee],$D$3,Tableau_Data[Mois],I3,Tableau_Data[Mois],K3)</f>
        <v>0</v>
      </c>
      <c r="Y5" s="205">
        <f>COUNTIFS(Tableau_Data[Matériel distribué],$U$5,Tableau_Data[ASBL],$B$1,Tableau_Data[Lieu d''intervention],$Y2,Tableau_Data[Annee],$D$3,Tableau_Data[Mois],I3,Tableau_Data[Mois],K3)</f>
        <v>0</v>
      </c>
      <c r="Z5" s="202">
        <f t="shared" si="0"/>
        <v>0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distribué],$U$6,Tableau_Data[ASBL],$B$1,Tableau_Data[Lieu d''intervention],$V2,Tableau_Data[Annee],$D$3,Tableau_Data[Mois],I3,Tableau_Data[Mois],K3)</f>
        <v>0</v>
      </c>
      <c r="W6" s="204">
        <f>COUNTIFS(Tableau_Data[Matériel distribué],$U$6,Tableau_Data[ASBL],$B$1,Tableau_Data[Lieu d''intervention],$W2,Tableau_Data[Annee],$D$3,Tableau_Data[Mois],I3,Tableau_Data[Mois],K3)</f>
        <v>0</v>
      </c>
      <c r="X6" s="204">
        <f>COUNTIFS(Tableau_Data[Matériel distribué],$U$6,Tableau_Data[ASBL],$B$1,Tableau_Data[Lieu d''intervention],$X2,Tableau_Data[Annee],$D$3,Tableau_Data[Mois],I3,Tableau_Data[Mois],K3)</f>
        <v>0</v>
      </c>
      <c r="Y6" s="205">
        <f>COUNTIFS(Tableau_Data[Matériel distribué],$U$6,Tableau_Data[ASBL],$B$1,Tableau_Data[Lieu d''intervention],$Y2,Tableau_Data[Annee],$D$3,Tableau_Data[Mois],I3,Tableau_Data[Mois],K3)</f>
        <v>0</v>
      </c>
      <c r="Z6" s="202">
        <f t="shared" si="0"/>
        <v>0</v>
      </c>
    </row>
    <row r="7" spans="2:28" ht="16.5" customHeight="1" x14ac:dyDescent="0.15">
      <c r="B7" s="158"/>
      <c r="C7" s="160"/>
      <c r="D7" s="297">
        <f>SUMIFS(Tableau_Data[Masculin],Tableau_Data[ASBL],$B1,Tableau_Data[Annee],$D$3,Tableau_Data[Mois],I3,Tableau_Data[Mois],K3)</f>
        <v>108</v>
      </c>
      <c r="E7" s="298"/>
      <c r="F7" s="297">
        <f>SUMIFS(Tableau_Data[Féminin],Tableau_Data[ASBL],$B1,Tableau_Data[Annee],$D$3,Tableau_Data[Mois],I3,Tableau_Data[Mois],K3)</f>
        <v>110</v>
      </c>
      <c r="G7" s="298"/>
      <c r="H7" s="160"/>
      <c r="I7" s="159">
        <f>SUM(D7:F7)</f>
        <v>218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25</v>
      </c>
      <c r="N26" s="300" t="str">
        <f>B1</f>
        <v>SYM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COUNTIFS(Tableau_Data[Cible],$U$29,Tableau_Data[ASBL],$B$1,Tableau_Data[Annee],$D$3,Tableau_Data[Mois],I3,Tableau_Data[Mois],K3)</f>
        <v>0</v>
      </c>
      <c r="V30" s="206">
        <f>COUNTIFS(Tableau_Data[Cible],$V$29,Tableau_Data[ASBL],$B$1,Tableau_Data[Annee],$D$3,Tableau_Data[Mois],I3,Tableau_Data[Mois],K3)</f>
        <v>0</v>
      </c>
      <c r="W30" s="206">
        <f>COUNTIFS(Tableau_Data[Cible],$W$29,Tableau_Data[ASBL],$B$1,Tableau_Data[Annee],$D$3,Tableau_Data[Mois],I3,Tableau_Data[Mois],K3)</f>
        <v>2</v>
      </c>
      <c r="X30" s="206">
        <f>COUNTIFS(Tableau_Data[Cible],$X$29,Tableau_Data[ASBL],$B$1,Tableau_Data[Annee],$D$3,Tableau_Data[Mois],I3,Tableau_Data[Mois],K3)</f>
        <v>0</v>
      </c>
      <c r="AB30" s="155">
        <f>COUNTIFS(Tableau_Data[ASBL],$B$1,Tableau_Data[Annee],$D$3,Tableau_Data[Mois],I3,Tableau_Data[Mois],K3)</f>
        <v>2</v>
      </c>
    </row>
    <row r="31" spans="12:28" x14ac:dyDescent="0.15">
      <c r="L31" s="177" t="s">
        <v>198</v>
      </c>
      <c r="M31" s="178">
        <f>SUMIFS(Tableau_Data[Masculin],Tableau_Data[ASBL],$B1,Tableau_Data[Thèmes],$M$30,Tableau_Data[Annee],$D$3,Tableau_Data[Mois],I3,Tableau_Data[Mois],K3)</f>
        <v>0</v>
      </c>
      <c r="N31" s="178">
        <f>SUMIFS(Tableau_Data[Masculin],Tableau_Data[ASBL],$B1,Tableau_Data[Thèmes],$N$30,Tableau_Data[Annee],$D$3,Tableau_Data[Mois],I3,Tableau_Data[Mois],K3)</f>
        <v>0</v>
      </c>
      <c r="O31" s="178">
        <f>SUMIFS(Tableau_Data[Masculin],Tableau_Data[ASBL],$B1,Tableau_Data[Thèmes],$O$30,Tableau_Data[Annee],$D$3,Tableau_Data[Mois],I3,Tableau_Data[Mois],K3)</f>
        <v>0</v>
      </c>
      <c r="P31" s="178">
        <f>SUMIFS(Tableau_Data[Masculin],Tableau_Data[ASBL],$B1,Tableau_Data[Thèmes],$P$30,Tableau_Data[Annee],$D$3,Tableau_Data[Mois],I3,Tableau_Data[Mois],K3)</f>
        <v>80</v>
      </c>
      <c r="Q31" s="178">
        <f>SUMIFS(Tableau_Data[Masculin],Tableau_Data[ASBL],$B1,Tableau_Data[Thèmes],$Q$30,Tableau_Data[Annee],$D$3,Tableau_Data[Mois],I3,Tableau_Data[Mois],K3)</f>
        <v>0</v>
      </c>
      <c r="R31" s="178">
        <f>SUMIFS(Tableau_Data[Masculin],Tableau_Data[ASBL],$B1,Tableau_Data[Thèmes],$R$30,Tableau_Data[Annee],$D$3,Tableau_Data[Mois],I3,Tableau_Data[Mois],K3)</f>
        <v>0</v>
      </c>
      <c r="S31" s="178">
        <f>SUMIFS(Tableau_Data[Masculin],Tableau_Data[ASBL],$B1,Tableau_Data[Thèmes],$S$30,Tableau_Data[Annee],$D$3,Tableau_Data[Mois],I3,Tableau_Data[Mois],K3)</f>
        <v>28</v>
      </c>
      <c r="U31" s="207">
        <f>U30/AB30</f>
        <v>0</v>
      </c>
      <c r="V31" s="207">
        <f>V30/AB30</f>
        <v>0</v>
      </c>
      <c r="W31" s="207">
        <f>W30/AB30</f>
        <v>1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SUMIFS(Tableau_Data[Féminin],Tableau_Data[ASBL],$B1,Tableau_Data[Thèmes],$M$30,Tableau_Data[Annee],$D$3,Tableau_Data[Mois],I3,Tableau_Data[Mois],K3)</f>
        <v>0</v>
      </c>
      <c r="N32" s="178">
        <f>SUMIFS(Tableau_Data[Féminin],Tableau_Data[ASBL],$B1,Tableau_Data[Thèmes],$N$30,Tableau_Data[Annee],$D$3,Tableau_Data[Mois],I3,Tableau_Data[Mois],K3)</f>
        <v>0</v>
      </c>
      <c r="O32" s="178">
        <f>SUMIFS(Tableau_Data[Féminin],Tableau_Data[ASBL],$B1,Tableau_Data[Thèmes],$O$30,Tableau_Data[Annee],$D$3,Tableau_Data[Mois],I3,Tableau_Data[Mois],K3)</f>
        <v>0</v>
      </c>
      <c r="P32" s="178">
        <f>SUMIFS(Tableau_Data[Féminin],Tableau_Data[ASBL],$B1,Tableau_Data[Thèmes],$P$30,Tableau_Data[Annee],$D$3,Tableau_Data[Mois],I3,Tableau_Data[Mois],K3)</f>
        <v>50</v>
      </c>
      <c r="Q32" s="178">
        <f>SUMIFS(Tableau_Data[Féminin],Tableau_Data[ASBL],$B1,Tableau_Data[Thèmes],$Q$30,Tableau_Data[Annee],$D$3,Tableau_Data[Mois],I3,Tableau_Data[Mois],K3)</f>
        <v>0</v>
      </c>
      <c r="R32" s="178">
        <f>SUMIFS(Tableau_Data[Féminin],Tableau_Data[ASBL],$B1,Tableau_Data[Thèmes],$R$30,Tableau_Data[Annee],$D$3,Tableau_Data[Mois],I3,Tableau_Data[Mois],K3)</f>
        <v>0</v>
      </c>
      <c r="S32" s="178">
        <f>SUMIFS(Tableau_Data[Féminin],Tableau_Data[ASBL],$B1,Tableau_Data[Thèmes],$S$30,Tableau_Data[Annee],$D$3,Tableau_Data[Mois],I3,Tableau_Data[Mois],K3)</f>
        <v>60</v>
      </c>
    </row>
    <row r="33" spans="2:28" x14ac:dyDescent="0.15">
      <c r="C33" s="300" t="s">
        <v>25</v>
      </c>
      <c r="E33" s="300" t="str">
        <f>B1</f>
        <v>SYM</v>
      </c>
      <c r="F33" s="300"/>
      <c r="G33" s="300"/>
      <c r="H33" s="300"/>
      <c r="I33" s="300"/>
      <c r="L33" s="179" t="s">
        <v>2</v>
      </c>
      <c r="M33" s="180">
        <f>SUM(M31:M32)</f>
        <v>0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0</v>
      </c>
      <c r="R33" s="180">
        <f t="shared" si="2"/>
        <v>0</v>
      </c>
      <c r="S33" s="180">
        <f>SUM(S31:S32)</f>
        <v>88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COUNTIFS(Tableau_Data[ASBL],$B$1,Tableau_Data[Annee],$D$3,Tableau_Data[Mois],I3,Tableau_Data[Mois],K3)</f>
        <v>2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Preservatif],$U$50,Tableau_Data[ASBL],$B$1,Tableau_Data[Annee],$D$3,Tableau_Data[Mois],I3,Tableau_Data[Mois],K3)</f>
        <v>2</v>
      </c>
      <c r="V51" s="197">
        <f>COUNTIFS(Tableau_Data[Démo Preservatif],$V$50,Tableau_Data[ASBL],$B$1,Tableau_Data[Annee],$D$3,Tableau_Data[Mois],I3,Tableau_Data[Mois],K3)</f>
        <v>0</v>
      </c>
      <c r="X51" s="197">
        <f>COUNTIFS(Tableau_Data[Témoignage],$X$50,Tableau_Data[ASBL],$B$1,Tableau_Data[Annee],$D$3,Tableau_Data[Mois],I3,Tableau_Data[Mois],K3)</f>
        <v>2</v>
      </c>
      <c r="Y51" s="197">
        <f>COUNTIFS(Tableau_Data[Témoignage],$Y$50,Tableau_Data[ASBL],$B$1,Tableau_Data[Annee],$D$3,Tableau_Data[Mois],I3,Tableau_Data[Mois],K3)</f>
        <v>0</v>
      </c>
    </row>
    <row r="52" spans="13:28" x14ac:dyDescent="0.15">
      <c r="N52" s="299" t="s">
        <v>172</v>
      </c>
      <c r="O52" s="299"/>
      <c r="P52" s="299"/>
      <c r="U52" s="199">
        <f>U51/AB49</f>
        <v>1</v>
      </c>
      <c r="V52" s="199">
        <f>V51/AB49</f>
        <v>0</v>
      </c>
      <c r="X52" s="199">
        <f>X51/AB49</f>
        <v>1</v>
      </c>
      <c r="Y52" s="199">
        <f>Y51/AB49</f>
        <v>0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3">
    <mergeCell ref="M58:N58"/>
    <mergeCell ref="O58:P58"/>
    <mergeCell ref="S58:T58"/>
    <mergeCell ref="G2:H2"/>
    <mergeCell ref="D3:E3"/>
    <mergeCell ref="G3:H3"/>
    <mergeCell ref="N52:P52"/>
    <mergeCell ref="D6:E6"/>
    <mergeCell ref="F6:G6"/>
    <mergeCell ref="D7:E7"/>
    <mergeCell ref="F7:G7"/>
    <mergeCell ref="N25:P25"/>
    <mergeCell ref="C33:C34"/>
    <mergeCell ref="E33:I34"/>
    <mergeCell ref="B42:C42"/>
    <mergeCell ref="D42:E42"/>
    <mergeCell ref="M26:M27"/>
    <mergeCell ref="B1:E1"/>
    <mergeCell ref="H1:I1"/>
    <mergeCell ref="V1:AA1"/>
    <mergeCell ref="D4:F4"/>
    <mergeCell ref="V27:AA27"/>
    <mergeCell ref="N26:R27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Paramètres!$J$21:$J$35</xm:f>
          </x14:formula1>
          <xm:sqref>D3</xm:sqref>
        </x14:dataValidation>
        <x14:dataValidation type="list" allowBlank="1" showInputMessage="1" showErrorMessage="1">
          <x14:formula1>
            <xm:f>Reseaux!$CB$53:$CB$64</xm:f>
          </x14:formula1>
          <xm:sqref>G3 J3</xm:sqref>
        </x14:dataValidation>
        <x14:dataValidation type="list" allowBlank="1" showInputMessage="1" showErrorMessage="1">
          <x14:formula1>
            <xm:f>Paramètres!$D$21:$D$24</xm:f>
          </x14:formula1>
          <xm:sqref>B1:E1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00B050"/>
  </sheetPr>
  <dimension ref="B1:AB58"/>
  <sheetViews>
    <sheetView showGridLines="0" view="pageLayout" zoomScaleNormal="100" workbookViewId="0">
      <selection activeCell="J7" sqref="J7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7" width="11.42578125" style="155"/>
    <col min="18" max="18" width="10.7109375" style="155" customWidth="1"/>
    <col min="19" max="19" width="9.42578125" style="155" customWidth="1"/>
    <col min="20" max="20" width="9.28515625" style="155" customWidth="1"/>
    <col min="21" max="21" width="13" style="155" customWidth="1"/>
    <col min="22" max="26" width="11.42578125" style="155"/>
    <col min="27" max="27" width="6" style="155" customWidth="1"/>
    <col min="28" max="28" width="2" style="155" customWidth="1"/>
    <col min="29" max="16384" width="11.42578125" style="155"/>
  </cols>
  <sheetData>
    <row r="1" spans="2:28" ht="27" customHeight="1" thickBot="1" x14ac:dyDescent="0.2">
      <c r="B1" s="312" t="s">
        <v>124</v>
      </c>
      <c r="C1" s="313"/>
      <c r="D1" s="313"/>
      <c r="E1" s="314"/>
      <c r="H1" s="303" t="s">
        <v>175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160"/>
      <c r="I3" s="160"/>
      <c r="J3" s="161"/>
      <c r="N3" s="172" t="s">
        <v>198</v>
      </c>
      <c r="O3" s="173">
        <f>SUMIFS(Tableau_Data[Masculin],Tableau_Data[Nom Réseau],$B1,Tableau_Data[Lieu d''intervention],$O$2,Tableau_Data[Annee],$D$3)</f>
        <v>0</v>
      </c>
      <c r="P3" s="173">
        <f>SUMIFS(Tableau_Data[Masculin],Tableau_Data[Nom Réseau],$B1,Tableau_Data[Lieu d''intervention],$P$2,Tableau_Data[Annee],$D$3)</f>
        <v>0</v>
      </c>
      <c r="Q3" s="173">
        <f>SUMIFS(Tableau_Data[Masculin],Tableau_Data[Nom Réseau],$B1,Tableau_Data[Lieu d''intervention],$Q$2,Tableau_Data[Annee],$D$3)</f>
        <v>75</v>
      </c>
      <c r="R3" s="173">
        <f>SUMIFS(Tableau_Data[Masculin],Tableau_Data[Nom Réseau],$B1,Tableau_Data[Lieu d''intervention],$R$2,Tableau_Data[Annee],$D$3)</f>
        <v>142</v>
      </c>
      <c r="U3" s="195" t="str">
        <f>Paramètres!H7</f>
        <v>Dépliants</v>
      </c>
      <c r="V3" s="204">
        <f>COUNTIFS(Tableau_Data[Matériel distribué],$U$3,Tableau_Data[Nom Réseau],$B1,Tableau_Data[Lieu d''intervention],$V2,Tableau_Data[Annee],$D$3)</f>
        <v>0</v>
      </c>
      <c r="W3" s="204">
        <f>COUNTIFS(Tableau_Data[Matériel distribué],$U$3,Tableau_Data[Nom Réseau],$B1,Tableau_Data[Lieu d''intervention],$W2,Tableau_Data[Annee],$D$3)</f>
        <v>0</v>
      </c>
      <c r="X3" s="204">
        <f>COUNTIFS(Tableau_Data[Matériel distribué],$U$3,Tableau_Data[Nom Réseau],$B1,Tableau_Data[Lieu d''intervention],$X2,Tableau_Data[Annee],$D$3)</f>
        <v>0</v>
      </c>
      <c r="Y3" s="205">
        <f>COUNTIFS(Tableau_Data[Matériel distribué],$U$3,Tableau_Data[Nom Réseau],$B1,Tableau_Data[Lieu d''intervention],$Y2,Tableau_Data[Annee],$D$3)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SUMIFS(Tableau_Data[Féminin],Tableau_Data[Nom Réseau],$B1,Tableau_Data[Lieu d''intervention],$O$2,Tableau_Data[Annee],$D$3)</f>
        <v>0</v>
      </c>
      <c r="P4" s="173">
        <f>SUMIFS(Tableau_Data[Féminin],Tableau_Data[Nom Réseau],$B1,Tableau_Data[Lieu d''intervention],$P$2,Tableau_Data[Annee],$D$3)</f>
        <v>0</v>
      </c>
      <c r="Q4" s="173">
        <f>SUMIFS(Tableau_Data[Féminin],Tableau_Data[Nom Réseau],$B1,Tableau_Data[Lieu d''intervention],$Q$2,Tableau_Data[Annee],$D$3)</f>
        <v>35</v>
      </c>
      <c r="R4" s="173">
        <f>SUMIFS(Tableau_Data[Féminin],Tableau_Data[Nom Réseau],$B1,Tableau_Data[Lieu d''intervention],$R$2,Tableau_Data[Annee],$D$3)</f>
        <v>180</v>
      </c>
      <c r="U4" s="195" t="str">
        <f>Paramètres!H8</f>
        <v>Condoms</v>
      </c>
      <c r="V4" s="204">
        <f>COUNTIFS(Tableau_Data[Matériel distribué],$U$4,Tableau_Data[Nom Réseau],$B1,Tableau_Data[Lieu d''intervention],$V2,Tableau_Data[Annee],$D$3)</f>
        <v>0</v>
      </c>
      <c r="W4" s="204">
        <f>COUNTIFS(Tableau_Data[Matériel distribué],$U$4,Tableau_Data[Nom Réseau],$B1,Tableau_Data[Lieu d''intervention],$W2,Tableau_Data[Annee],$D$3)</f>
        <v>0</v>
      </c>
      <c r="X4" s="204">
        <f>COUNTIFS(Tableau_Data[Matériel distribué],$U$4,Tableau_Data[Nom Réseau],$B1,Tableau_Data[Lieu d''intervention],$X2,Tableau_Data[Annee],$D$3)</f>
        <v>0</v>
      </c>
      <c r="Y4" s="205">
        <f>COUNTIFS(Tableau_Data[Matériel distribué],$U$4,Tableau_Data[Nom Réseau],$B1,Tableau_Data[Lieu d''intervention],$Y2,Tableau_Data[Annee],$D$3)</f>
        <v>2</v>
      </c>
      <c r="Z4" s="202">
        <f t="shared" ref="Z4:Z6" si="0">SUM(V4:Y4)</f>
        <v>2</v>
      </c>
      <c r="AB4" s="194">
        <f>COUNTIFS(Tableau_Data[Nom Réseau],$B$1,Tableau_Data[Annee],$D$3)</f>
        <v>4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322</v>
      </c>
      <c r="U5" s="195" t="str">
        <f>Paramètres!H9</f>
        <v>Aucun</v>
      </c>
      <c r="V5" s="204">
        <f>COUNTIFS(Tableau_Data[Matériel distribué],$U$5,Tableau_Data[Nom Réseau],$B$1,Tableau_Data[Lieu d''intervention],$V2,Tableau_Data[Annee],$D$3)</f>
        <v>0</v>
      </c>
      <c r="W5" s="204">
        <f>COUNTIFS(Tableau_Data[Matériel distribué],$U$5,Tableau_Data[Nom Réseau],$B$1,Tableau_Data[Lieu d''intervention],$W2,Tableau_Data[Annee],$D$3)</f>
        <v>0</v>
      </c>
      <c r="X5" s="204">
        <f>COUNTIFS(Tableau_Data[Matériel distribué],$U$5,Tableau_Data[Nom Réseau],$B$1,Tableau_Data[Lieu d''intervention],$X2,Tableau_Data[Annee],$D$3)</f>
        <v>1</v>
      </c>
      <c r="Y5" s="205">
        <f>COUNTIFS(Tableau_Data[Matériel distribué],$U$5,Tableau_Data[Nom Réseau],$B$1,Tableau_Data[Lieu d''intervention],$Y2,Tableau_Data[Annee],$D$3)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distribué],$U$6,Tableau_Data[Nom Réseau],$B$1,Tableau_Data[Lieu d''intervention],$V2,Tableau_Data[Annee],$D$3)</f>
        <v>0</v>
      </c>
      <c r="W6" s="204">
        <f>COUNTIFS(Tableau_Data[Matériel distribué],$U$6,Tableau_Data[Nom Réseau],$B$1,Tableau_Data[Lieu d''intervention],$W2,Tableau_Data[Annee],$D$3)</f>
        <v>0</v>
      </c>
      <c r="X6" s="204">
        <f>COUNTIFS(Tableau_Data[Matériel distribué],$U$6,Tableau_Data[Nom Réseau],$B$1,Tableau_Data[Lieu d''intervention],$X2,Tableau_Data[Annee],$D$3)</f>
        <v>0</v>
      </c>
      <c r="Y6" s="205">
        <f>COUNTIFS(Tableau_Data[Matériel distribué],$U$6,Tableau_Data[Nom Réseau],$B$1,Tableau_Data[Lieu d''intervention],$Y2,Tableau_Data[Annee],$D$3)</f>
        <v>0</v>
      </c>
      <c r="Z6" s="202">
        <f t="shared" si="0"/>
        <v>0</v>
      </c>
    </row>
    <row r="7" spans="2:28" ht="16.5" customHeight="1" x14ac:dyDescent="0.15">
      <c r="B7" s="158"/>
      <c r="C7" s="160"/>
      <c r="D7" s="297">
        <f>SUMIFS(Tableau_Data[Masculin],Tableau_Data[Nom Réseau],$B1,Tableau_Data[Annee],$D$3)</f>
        <v>217</v>
      </c>
      <c r="E7" s="298"/>
      <c r="F7" s="297">
        <f>SUMIFS(Tableau_Data[Féminin],Tableau_Data[Nom Réseau],$B1,Tableau_Data[Annee],$D$3)</f>
        <v>215</v>
      </c>
      <c r="G7" s="298"/>
      <c r="H7" s="160"/>
      <c r="I7" s="159">
        <f>SUM(D7:F7)</f>
        <v>432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176</v>
      </c>
      <c r="N26" s="300" t="str">
        <f>B1</f>
        <v>CDS Rwesa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3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COUNTIFS(Tableau_Data[Cible],$U$29,Tableau_Data[Nom Réseau],$B$1,Tableau_Data[Annee],$D$3)</f>
        <v>1</v>
      </c>
      <c r="V30" s="206">
        <f>COUNTIFS(Tableau_Data[Cible],$V$29,Tableau_Data[Nom Réseau],$B$1,Tableau_Data[Annee],$D$3)</f>
        <v>1</v>
      </c>
      <c r="W30" s="206">
        <f>COUNTIFS(Tableau_Data[Cible],$W$29,Tableau_Data[Nom Réseau],$B$1,Tableau_Data[Annee],$D$3)</f>
        <v>2</v>
      </c>
      <c r="X30" s="206">
        <f>COUNTIFS(Tableau_Data[Cible],$X$29,Tableau_Data[Nom Réseau],$B$1,Tableau_Data[Annee],$D$3)</f>
        <v>0</v>
      </c>
      <c r="AB30" s="155">
        <f>COUNTIFS(Tableau_Data[Nom Réseau],$B$1,Tableau_Data[Annee],$D$3)</f>
        <v>4</v>
      </c>
    </row>
    <row r="31" spans="12:28" x14ac:dyDescent="0.15">
      <c r="L31" s="177" t="s">
        <v>198</v>
      </c>
      <c r="M31" s="178">
        <f>SUMIFS(Tableau_Data[Masculin],Tableau_Data[Nom Réseau],$B1,Tableau_Data[Thèmes],$M$30,Tableau_Data[Annee],$D$3)</f>
        <v>34</v>
      </c>
      <c r="N31" s="178">
        <f>SUMIFS(Tableau_Data[Masculin],Tableau_Data[Nom Réseau],$B1,Tableau_Data[Thèmes],$N$30,Tableau_Data[Annee],$D$3)</f>
        <v>0</v>
      </c>
      <c r="O31" s="178">
        <f>SUMIFS(Tableau_Data[Masculin],Tableau_Data[Nom Réseau],$B1,Tableau_Data[Thèmes],$O$30,Tableau_Data[Annee],$D$3)</f>
        <v>0</v>
      </c>
      <c r="P31" s="178">
        <f>SUMIFS(Tableau_Data[Masculin],Tableau_Data[Nom Réseau],$B1,Tableau_Data[Thèmes],$P$30,Tableau_Data[Annee],$D$3)</f>
        <v>80</v>
      </c>
      <c r="Q31" s="178">
        <f>SUMIFS(Tableau_Data[Masculin],Tableau_Data[Nom Réseau],$B1,Tableau_Data[Thèmes],$Q$30,Tableau_Data[Annee],$D$3)</f>
        <v>75</v>
      </c>
      <c r="R31" s="178">
        <f>SUMIFS(Tableau_Data[Masculin],Tableau_Data[Nom Réseau],$B1,Tableau_Data[Thèmes],$R$30,Tableau_Data[Annee],$D$3)</f>
        <v>0</v>
      </c>
      <c r="S31" s="178">
        <f>SUMIFS(Tableau_Data[Masculin],Tableau_Data[Nom Réseau],$B1,Tableau_Data[Thèmes],$S$30,Tableau_Data[Annee],$D$3)</f>
        <v>28</v>
      </c>
      <c r="U31" s="207">
        <f>U30/AB30</f>
        <v>0.25</v>
      </c>
      <c r="V31" s="207">
        <f>V30/AB30</f>
        <v>0.25</v>
      </c>
      <c r="W31" s="207">
        <f>W30/AB30</f>
        <v>0.5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SUMIFS(Tableau_Data[Féminin],Tableau_Data[Nom Réseau],$B1,Tableau_Data[Thèmes],$M$30,Tableau_Data[Annee],$D$3)</f>
        <v>70</v>
      </c>
      <c r="N32" s="178">
        <f>SUMIFS(Tableau_Data[Féminin],Tableau_Data[Nom Réseau],$B1,Tableau_Data[Thèmes],$N$30,Tableau_Data[Annee],$D$3)</f>
        <v>0</v>
      </c>
      <c r="O32" s="178">
        <f>SUMIFS(Tableau_Data[Féminin],Tableau_Data[Nom Réseau],$B1,Tableau_Data[Thèmes],$O$30,Tableau_Data[Annee],$D$3)</f>
        <v>0</v>
      </c>
      <c r="P32" s="178">
        <f>SUMIFS(Tableau_Data[Féminin],Tableau_Data[Nom Réseau],$B1,Tableau_Data[Thèmes],$P$30,Tableau_Data[Annee],$D$3)</f>
        <v>50</v>
      </c>
      <c r="Q32" s="178">
        <f>SUMIFS(Tableau_Data[Féminin],Tableau_Data[Nom Réseau],$B1,Tableau_Data[Thèmes],$Q$30,Tableau_Data[Annee],$D$3)</f>
        <v>35</v>
      </c>
      <c r="R32" s="178">
        <f>SUMIFS(Tableau_Data[Féminin],Tableau_Data[Nom Réseau],$B1,Tableau_Data[Thèmes],$R$30,Tableau_Data[Annee],$D$3)</f>
        <v>0</v>
      </c>
      <c r="S32" s="178">
        <f>SUMIFS(Tableau_Data[Féminin],Tableau_Data[Nom Réseau],$B1,Tableau_Data[Thèmes],$S$30,Tableau_Data[Annee],$D$3)</f>
        <v>60</v>
      </c>
    </row>
    <row r="33" spans="2:28" x14ac:dyDescent="0.15">
      <c r="C33" s="300" t="s">
        <v>176</v>
      </c>
      <c r="E33" s="300" t="str">
        <f>B1</f>
        <v>CDS Rwesa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88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COUNTIFS(Tableau_Data[Nom Réseau],$B$1,Tableau_Data[Annee],$D$3)</f>
        <v>4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Preservatif],$U$50,Tableau_Data[Nom Réseau],$B$1,Tableau_Data[Annee],$D$3)</f>
        <v>3</v>
      </c>
      <c r="V51" s="197">
        <f>COUNTIFS(Tableau_Data[Démo Preservatif],$V$50,Tableau_Data[Nom Réseau],$B$1,Tableau_Data[Annee],$D$3)</f>
        <v>1</v>
      </c>
      <c r="X51" s="197">
        <f>COUNTIFS(Tableau_Data[Témoignage],$X$50,Tableau_Data[Nom Réseau],$B$1,Tableau_Data[Annee],$D$3)</f>
        <v>3</v>
      </c>
      <c r="Y51" s="197">
        <f>COUNTIFS(Tableau_Data[Témoignage],$Y$50,Tableau_Data[Nom Réseau],$B$1,Tableau_Data[Annee],$D$3)</f>
        <v>1</v>
      </c>
    </row>
    <row r="52" spans="13:28" x14ac:dyDescent="0.15">
      <c r="N52" s="299" t="s">
        <v>172</v>
      </c>
      <c r="O52" s="299"/>
      <c r="P52" s="299"/>
      <c r="U52" s="199">
        <f>U51/AB49</f>
        <v>0.75</v>
      </c>
      <c r="V52" s="199">
        <f>V51/AB49</f>
        <v>0.25</v>
      </c>
      <c r="X52" s="199">
        <f>X51/AB49</f>
        <v>0.75</v>
      </c>
      <c r="Y52" s="199">
        <f>Y51/AB49</f>
        <v>0.25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1">
    <mergeCell ref="V1:AA1"/>
    <mergeCell ref="V27:AA27"/>
    <mergeCell ref="B42:C42"/>
    <mergeCell ref="D42:E42"/>
    <mergeCell ref="N52:P52"/>
    <mergeCell ref="C33:C34"/>
    <mergeCell ref="B1:E1"/>
    <mergeCell ref="H1:I1"/>
    <mergeCell ref="D3:F3"/>
    <mergeCell ref="D4:F4"/>
    <mergeCell ref="D6:E6"/>
    <mergeCell ref="F6:G6"/>
    <mergeCell ref="M58:N58"/>
    <mergeCell ref="O58:P58"/>
    <mergeCell ref="S58:T58"/>
    <mergeCell ref="D7:E7"/>
    <mergeCell ref="F7:G7"/>
    <mergeCell ref="N25:P25"/>
    <mergeCell ref="M26:M27"/>
    <mergeCell ref="N26:R27"/>
    <mergeCell ref="E33:I34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Paramètres!$N$5:$N$42</xm:f>
          </x14:formula1>
          <xm:sqref>B1:E1</xm:sqref>
        </x14:dataValidation>
        <x14:dataValidation type="list" allowBlank="1" showInputMessage="1" showErrorMessage="1">
          <x14:formula1>
            <xm:f>Paramètres!$J$21:$J$35</xm:f>
          </x14:formula1>
          <xm:sqref>D3:F3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00B050"/>
  </sheetPr>
  <dimension ref="B1:AB58"/>
  <sheetViews>
    <sheetView showGridLines="0" view="pageLayout" zoomScaleNormal="100" workbookViewId="0">
      <selection activeCell="H7" sqref="H7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8.28515625" style="155" customWidth="1"/>
    <col min="28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111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160"/>
      <c r="I3" s="160"/>
      <c r="J3" s="161"/>
      <c r="N3" s="172" t="s">
        <v>198</v>
      </c>
      <c r="O3" s="173">
        <f>SUMIFS(Tableau_Data[Masculin],Tableau_Data[District sanitaire],$B1,Tableau_Data[Lieu d''intervention],$O$2,Tableau_Data[Annee],$D$3)</f>
        <v>0</v>
      </c>
      <c r="P3" s="173">
        <f>SUMIFS(Tableau_Data[Masculin],Tableau_Data[District sanitaire],$B1,Tableau_Data[Lieu d''intervention],$P$2,Tableau_Data[Annee],$D$3)</f>
        <v>0</v>
      </c>
      <c r="Q3" s="173">
        <f>SUMIFS(Tableau_Data[Masculin],Tableau_Data[District sanitaire],$B1,Tableau_Data[Lieu d''intervention],$Q$2,Tableau_Data[Annee],$D$3)</f>
        <v>75</v>
      </c>
      <c r="R3" s="173">
        <f>SUMIFS(Tableau_Data[Masculin],Tableau_Data[District sanitaire],$B1,Tableau_Data[Lieu d''intervention],$R$2,Tableau_Data[Annee],$D$3)</f>
        <v>272</v>
      </c>
      <c r="U3" s="195" t="str">
        <f>Paramètres!H7</f>
        <v>Dépliants</v>
      </c>
      <c r="V3" s="204">
        <f>COUNTIFS(Tableau_Data[Matériel distribué],$U$3,Tableau_Data[District sanitaire],$B1,Tableau_Data[Lieu d''intervention],$V2,Tableau_Data[Annee],$D$3)</f>
        <v>0</v>
      </c>
      <c r="W3" s="204">
        <f>COUNTIFS(Tableau_Data[Matériel distribué],$U$3,Tableau_Data[District sanitaire],$B1,Tableau_Data[Lieu d''intervention],$W2,Tableau_Data[Annee],$D$3)</f>
        <v>0</v>
      </c>
      <c r="X3" s="204">
        <f>COUNTIFS(Tableau_Data[Matériel distribué],$U$3,Tableau_Data[District sanitaire],$B1,Tableau_Data[Lieu d''intervention],$X2,Tableau_Data[Annee],$D$3)</f>
        <v>0</v>
      </c>
      <c r="Y3" s="205">
        <f>COUNTIFS(Tableau_Data[Matériel distribué],$U$3,Tableau_Data[District sanitaire],$B1,Tableau_Data[Lieu d''intervention],$Y2,Tableau_Data[Annee],$D$3)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SUMIFS(Tableau_Data[Féminin],Tableau_Data[District sanitaire],$B1,Tableau_Data[Lieu d''intervention],$O$2,Tableau_Data[Annee],$D$3)</f>
        <v>0</v>
      </c>
      <c r="P4" s="173">
        <f>SUMIFS(Tableau_Data[Féminin],Tableau_Data[District sanitaire],$B1,Tableau_Data[Lieu d''intervention],$P$2,Tableau_Data[Annee],$D$3)</f>
        <v>0</v>
      </c>
      <c r="Q4" s="173">
        <f>SUMIFS(Tableau_Data[Féminin],Tableau_Data[District sanitaire],$B1,Tableau_Data[Lieu d''intervention],$Q$2,Tableau_Data[Annee],$D$3)</f>
        <v>35</v>
      </c>
      <c r="R4" s="173">
        <f>SUMIFS(Tableau_Data[Féminin],Tableau_Data[District sanitaire],$B1,Tableau_Data[Lieu d''intervention],$R$2,Tableau_Data[Annee],$D$3)</f>
        <v>260</v>
      </c>
      <c r="U4" s="195" t="str">
        <f>Paramètres!H8</f>
        <v>Condoms</v>
      </c>
      <c r="V4" s="204">
        <f>COUNTIFS(Tableau_Data[Matériel distribué],$U$4,Tableau_Data[District sanitaire],$B1,Tableau_Data[Lieu d''intervention],$V2,Tableau_Data[Annee],$D$3)</f>
        <v>0</v>
      </c>
      <c r="W4" s="204">
        <f>COUNTIFS(Tableau_Data[Matériel distribué],$U$4,Tableau_Data[District sanitaire],$B1,Tableau_Data[Lieu d''intervention],$W2,Tableau_Data[Annee],$D$3)</f>
        <v>0</v>
      </c>
      <c r="X4" s="204">
        <f>COUNTIFS(Tableau_Data[Matériel distribué],$U$4,Tableau_Data[District sanitaire],$B1,Tableau_Data[Lieu d''intervention],$X2,Tableau_Data[Annee],$D$3)</f>
        <v>0</v>
      </c>
      <c r="Y4" s="205">
        <f>COUNTIFS(Tableau_Data[Matériel distribué],$U$4,Tableau_Data[District sanitaire],$B1,Tableau_Data[Lieu d''intervention],$Y2,Tableau_Data[Annee],$D$3)</f>
        <v>2</v>
      </c>
      <c r="Z4" s="202">
        <f t="shared" ref="Z4:Z6" si="0">SUM(V4:Y4)</f>
        <v>2</v>
      </c>
      <c r="AB4" s="194">
        <f>COUNTIFS(Tableau_Data[District sanitaire],$B$1,Tableau_Data[Annee],$D$3)</f>
        <v>6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532</v>
      </c>
      <c r="U5" s="195" t="str">
        <f>Paramètres!H9</f>
        <v>Aucun</v>
      </c>
      <c r="V5" s="204">
        <f>COUNTIFS(Tableau_Data[Matériel distribué],$U$5,Tableau_Data[District sanitaire],$B$1,Tableau_Data[Lieu d''intervention],$V2,Tableau_Data[Annee],$D$3)</f>
        <v>0</v>
      </c>
      <c r="W5" s="204">
        <f>COUNTIFS(Tableau_Data[Matériel distribué],$U$5,Tableau_Data[District sanitaire],$B$1,Tableau_Data[Lieu d''intervention],$W2,Tableau_Data[Annee],$D$3)</f>
        <v>0</v>
      </c>
      <c r="X5" s="204">
        <f>COUNTIFS(Tableau_Data[Matériel distribué],$U$5,Tableau_Data[District sanitaire],$B$1,Tableau_Data[Lieu d''intervention],$X2,Tableau_Data[Annee],$D$3)</f>
        <v>1</v>
      </c>
      <c r="Y5" s="205">
        <f>COUNTIFS(Tableau_Data[Matériel distribué],$U$5,Tableau_Data[District sanitaire],$B$1,Tableau_Data[Lieu d''intervention],$Y2,Tableau_Data[Annee],$D$3)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distribué],$U$6,Tableau_Data[District sanitaire],$B$1,Tableau_Data[Lieu d''intervention],$V2,Tableau_Data[Annee],$D$3)</f>
        <v>0</v>
      </c>
      <c r="W6" s="204">
        <f>COUNTIFS(Tableau_Data[Matériel distribué],$U$6,Tableau_Data[District sanitaire],$B$1,Tableau_Data[Lieu d''intervention],$W2,Tableau_Data[Annee],$D$3)</f>
        <v>0</v>
      </c>
      <c r="X6" s="204">
        <f>COUNTIFS(Tableau_Data[Matériel distribué],$U$6,Tableau_Data[District sanitaire],$B$1,Tableau_Data[Lieu d''intervention],$X2,Tableau_Data[Annee],$D$3)</f>
        <v>0</v>
      </c>
      <c r="Y6" s="205">
        <f>COUNTIFS(Tableau_Data[Matériel distribué],$U$6,Tableau_Data[District sanitaire],$B$1,Tableau_Data[Lieu d''intervention],$Y2,Tableau_Data[Annee],$D$3)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SUMIFS(Tableau_Data[Masculin],Tableau_Data[District sanitaire],$B1,Tableau_Data[Annee],$D$3)</f>
        <v>347</v>
      </c>
      <c r="E7" s="298"/>
      <c r="F7" s="297">
        <f>SUMIFS(Tableau_Data[Féminin],Tableau_Data[District sanitaire],$B1,Tableau_Data[Annee],$D$3)</f>
        <v>295</v>
      </c>
      <c r="G7" s="298"/>
      <c r="H7" s="160"/>
      <c r="I7" s="159">
        <f>SUM(D7:F7)</f>
        <v>642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173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COUNTIFS(Tableau_Data[Cible],$U$29,Tableau_Data[District sanitaire],$B$1,Tableau_Data[Annee],$D$3)</f>
        <v>2</v>
      </c>
      <c r="V30" s="206">
        <f>COUNTIFS(Tableau_Data[Cible],$V$29,Tableau_Data[District sanitaire],$B$1,Tableau_Data[Annee],$D$3)</f>
        <v>1</v>
      </c>
      <c r="W30" s="206">
        <f>COUNTIFS(Tableau_Data[Cible],$W$29,Tableau_Data[District sanitaire],$B$1,Tableau_Data[Annee],$D$3)</f>
        <v>3</v>
      </c>
      <c r="X30" s="206">
        <f>COUNTIFS(Tableau_Data[Cible],$X$29,Tableau_Data[District sanitaire],$B$1,Tableau_Data[Annee],$D$3)</f>
        <v>0</v>
      </c>
      <c r="AB30" s="155">
        <f>COUNTIFS(Tableau_Data[District sanitaire],$B$1,Tableau_Data[Annee],$D$3)</f>
        <v>6</v>
      </c>
    </row>
    <row r="31" spans="12:28" x14ac:dyDescent="0.15">
      <c r="L31" s="177" t="s">
        <v>198</v>
      </c>
      <c r="M31" s="178">
        <f>SUMIFS(Tableau_Data[Masculin],Tableau_Data[District sanitaire],$B1,Tableau_Data[Thèmes],$M$30,Tableau_Data[Annee],$D$3)</f>
        <v>34</v>
      </c>
      <c r="N31" s="178">
        <f>SUMIFS(Tableau_Data[Masculin],Tableau_Data[District sanitaire],$B1,Tableau_Data[Thèmes],$N$30,Tableau_Data[Annee],$D$3)</f>
        <v>0</v>
      </c>
      <c r="O31" s="178">
        <f>SUMIFS(Tableau_Data[Masculin],Tableau_Data[District sanitaire],$B1,Tableau_Data[Thèmes],$O$30,Tableau_Data[Annee],$D$3)</f>
        <v>0</v>
      </c>
      <c r="P31" s="178">
        <f>SUMIFS(Tableau_Data[Masculin],Tableau_Data[District sanitaire],$B1,Tableau_Data[Thèmes],$P$30,Tableau_Data[Annee],$D$3)</f>
        <v>80</v>
      </c>
      <c r="Q31" s="178">
        <f>SUMIFS(Tableau_Data[Masculin],Tableau_Data[District sanitaire],$B1,Tableau_Data[Thèmes],$Q$30,Tableau_Data[Annee],$D$3)</f>
        <v>75</v>
      </c>
      <c r="R31" s="178">
        <f>SUMIFS(Tableau_Data[Masculin],Tableau_Data[District sanitaire],$B1,Tableau_Data[Thèmes],$R$30,Tableau_Data[Annee],$D$3)</f>
        <v>0</v>
      </c>
      <c r="S31" s="178">
        <f>SUMIFS(Tableau_Data[Masculin],Tableau_Data[District sanitaire],$B1,Tableau_Data[Thèmes],$S$30,Tableau_Data[Annee],$D$3)</f>
        <v>158</v>
      </c>
      <c r="U31" s="207">
        <f>U30/AB30</f>
        <v>0.33333333333333331</v>
      </c>
      <c r="V31" s="207">
        <f>V30/AB30</f>
        <v>0.16666666666666666</v>
      </c>
      <c r="W31" s="207">
        <f>W30/AB30</f>
        <v>0.5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SUMIFS(Tableau_Data[Féminin],Tableau_Data[District sanitaire],$B1,Tableau_Data[Thèmes],$M$30,Tableau_Data[Annee],$D$3)</f>
        <v>70</v>
      </c>
      <c r="N32" s="178">
        <f>SUMIFS(Tableau_Data[Féminin],Tableau_Data[District sanitaire],$B1,Tableau_Data[Thèmes],$N$30,Tableau_Data[Annee],$D$3)</f>
        <v>0</v>
      </c>
      <c r="O32" s="178">
        <f>SUMIFS(Tableau_Data[Féminin],Tableau_Data[District sanitaire],$B1,Tableau_Data[Thèmes],$O$30,Tableau_Data[Annee],$D$3)</f>
        <v>0</v>
      </c>
      <c r="P32" s="178">
        <f>SUMIFS(Tableau_Data[Féminin],Tableau_Data[District sanitaire],$B1,Tableau_Data[Thèmes],$P$30,Tableau_Data[Annee],$D$3)</f>
        <v>50</v>
      </c>
      <c r="Q32" s="178">
        <f>SUMIFS(Tableau_Data[Féminin],Tableau_Data[District sanitaire],$B1,Tableau_Data[Thèmes],$Q$30,Tableau_Data[Annee],$D$3)</f>
        <v>35</v>
      </c>
      <c r="R32" s="178">
        <f>SUMIFS(Tableau_Data[Féminin],Tableau_Data[District sanitaire],$B1,Tableau_Data[Thèmes],$R$30,Tableau_Data[Annee],$D$3)</f>
        <v>0</v>
      </c>
      <c r="S32" s="178">
        <f>SUMIFS(Tableau_Data[Féminin],Tableau_Data[District sanitaire],$B1,Tableau_Data[Thèmes],$S$30,Tableau_Data[Annee],$D$3)</f>
        <v>140</v>
      </c>
    </row>
    <row r="33" spans="2:28" x14ac:dyDescent="0.15">
      <c r="C33" s="300" t="s">
        <v>173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298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COUNTIFS(Tableau_Data[District sanitaire],$B$1,Tableau_Data[Annee],$D$3)</f>
        <v>6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Preservatif],$U$50,Tableau_Data[District sanitaire],$B$1,Tableau_Data[Annee],$D$3)</f>
        <v>5</v>
      </c>
      <c r="V51" s="197">
        <f>COUNTIFS(Tableau_Data[Démo Preservatif],$V$50,Tableau_Data[District sanitaire],$B$1,Tableau_Data[Annee],$D$3)</f>
        <v>1</v>
      </c>
      <c r="X51" s="197">
        <f>COUNTIFS(Tableau_Data[Témoignage],$X$50,Tableau_Data[District sanitaire],$B$1,Tableau_Data[Annee],$D$3)</f>
        <v>4</v>
      </c>
      <c r="Y51" s="197">
        <f>COUNTIFS(Tableau_Data[Témoignage],$Y$50,Tableau_Data[District sanitaire],$B$1,Tableau_Data[Annee],$D$3)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0.83333333333333337</v>
      </c>
      <c r="V52" s="199">
        <f>V51/AB49</f>
        <v>0.16666666666666666</v>
      </c>
      <c r="X52" s="199">
        <f>X51/AB49</f>
        <v>0.66666666666666663</v>
      </c>
      <c r="Y52" s="199">
        <f>Y51/AB49</f>
        <v>0.33333333333333331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1">
    <mergeCell ref="V1:AA1"/>
    <mergeCell ref="V27:AA27"/>
    <mergeCell ref="B42:C42"/>
    <mergeCell ref="D42:E42"/>
    <mergeCell ref="N52:P52"/>
    <mergeCell ref="C33:C34"/>
    <mergeCell ref="B1:E1"/>
    <mergeCell ref="H1:I1"/>
    <mergeCell ref="D3:F3"/>
    <mergeCell ref="D4:F4"/>
    <mergeCell ref="D6:E6"/>
    <mergeCell ref="F6:G6"/>
    <mergeCell ref="M58:N58"/>
    <mergeCell ref="O58:P58"/>
    <mergeCell ref="S58:T58"/>
    <mergeCell ref="D7:E7"/>
    <mergeCell ref="F7:G7"/>
    <mergeCell ref="N25:P25"/>
    <mergeCell ref="M26:M27"/>
    <mergeCell ref="N26:R27"/>
    <mergeCell ref="E33:I34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Paramètres!$J$21:$J$35</xm:f>
          </x14:formula1>
          <xm:sqref>D3:F3</xm:sqref>
        </x14:dataValidation>
        <x14:dataValidation type="list" allowBlank="1" showInputMessage="1" showErrorMessage="1">
          <x14:formula1>
            <xm:f>Paramètres!$F$21:$F$25</xm:f>
          </x14:formula1>
          <xm:sqref>B1:E1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B050"/>
  </sheetPr>
  <dimension ref="B1:AB58"/>
  <sheetViews>
    <sheetView showGridLines="0" view="pageLayout" zoomScaleNormal="100" workbookViewId="0">
      <selection activeCell="H8" sqref="H8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5.5703125" style="155" customWidth="1"/>
    <col min="28" max="16384" width="11.42578125" style="155"/>
  </cols>
  <sheetData>
    <row r="1" spans="2:28" ht="27" customHeight="1" thickBot="1" x14ac:dyDescent="0.2">
      <c r="B1" s="312" t="s">
        <v>115</v>
      </c>
      <c r="C1" s="313"/>
      <c r="D1" s="313"/>
      <c r="E1" s="314"/>
      <c r="H1" s="303" t="s">
        <v>110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160"/>
      <c r="I3" s="160"/>
      <c r="J3" s="161"/>
      <c r="N3" s="172" t="s">
        <v>198</v>
      </c>
      <c r="O3" s="173">
        <f>SUMIFS(Tableau_Data[Masculin],Tableau_Data[Province sanitaire],$B1,Tableau_Data[Lieu d''intervention],$O$2,Tableau_Data[Annee],$D$3)</f>
        <v>0</v>
      </c>
      <c r="P3" s="173">
        <f>SUMIFS(Tableau_Data[Masculin],Tableau_Data[Province sanitaire],$B1,Tableau_Data[Lieu d''intervention],$P$2,Tableau_Data[Annee],$D$3)</f>
        <v>0</v>
      </c>
      <c r="Q3" s="173">
        <f>SUMIFS(Tableau_Data[Masculin],Tableau_Data[Province sanitaire],$B1,Tableau_Data[Lieu d''intervention],$Q$2,Tableau_Data[Annee],$D$3)</f>
        <v>75</v>
      </c>
      <c r="R3" s="173">
        <f>SUMIFS(Tableau_Data[Masculin],Tableau_Data[Province sanitaire],$B1,Tableau_Data[Lieu d''intervention],$R$2,Tableau_Data[Annee],$D$3)</f>
        <v>272</v>
      </c>
      <c r="U3" s="195" t="str">
        <f>Paramètres!H7</f>
        <v>Dépliants</v>
      </c>
      <c r="V3" s="204">
        <f>COUNTIFS(Tableau_Data[Matériel distribué],$U$3,Tableau_Data[Province sanitaire],$B1,Tableau_Data[Lieu d''intervention],$V2,Tableau_Data[Annee],$D$3)</f>
        <v>0</v>
      </c>
      <c r="W3" s="204">
        <f>COUNTIFS(Tableau_Data[Matériel distribué],$U$3,Tableau_Data[Province sanitaire],$B1,Tableau_Data[Lieu d''intervention],$W2,Tableau_Data[Annee],$D$3)</f>
        <v>0</v>
      </c>
      <c r="X3" s="204">
        <f>COUNTIFS(Tableau_Data[Matériel distribué],$U$3,Tableau_Data[Province sanitaire],$B1,Tableau_Data[Lieu d''intervention],$X2,Tableau_Data[Annee],$D$3)</f>
        <v>0</v>
      </c>
      <c r="Y3" s="205">
        <f>COUNTIFS(Tableau_Data[Matériel distribué],$U$3,Tableau_Data[Province sanitaire],$B1,Tableau_Data[Lieu d''intervention],$Y2,Tableau_Data[Annee],$D$3)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SUMIFS(Tableau_Data[Féminin],Tableau_Data[Province sanitaire],$B1,Tableau_Data[Lieu d''intervention],$O$2,Tableau_Data[Annee],$D$3)</f>
        <v>0</v>
      </c>
      <c r="P4" s="173">
        <f>SUMIFS(Tableau_Data[Féminin],Tableau_Data[Province sanitaire],$B1,Tableau_Data[Lieu d''intervention],$P$2,Tableau_Data[Annee],$D$3)</f>
        <v>0</v>
      </c>
      <c r="Q4" s="173">
        <f>SUMIFS(Tableau_Data[Féminin],Tableau_Data[Province sanitaire],$B1,Tableau_Data[Lieu d''intervention],$Q$2,Tableau_Data[Annee],$D$3)</f>
        <v>35</v>
      </c>
      <c r="R4" s="173">
        <f>SUMIFS(Tableau_Data[Féminin],Tableau_Data[Province sanitaire],$B1,Tableau_Data[Lieu d''intervention],$R$2,Tableau_Data[Annee],$D$3)</f>
        <v>260</v>
      </c>
      <c r="U4" s="195" t="str">
        <f>Paramètres!H8</f>
        <v>Condoms</v>
      </c>
      <c r="V4" s="204">
        <f>COUNTIFS(Tableau_Data[Matériel distribué],$U$4,Tableau_Data[Province sanitaire],$B1,Tableau_Data[Lieu d''intervention],$V2,Tableau_Data[Annee],$D$3)</f>
        <v>0</v>
      </c>
      <c r="W4" s="204">
        <f>COUNTIFS(Tableau_Data[Matériel distribué],$U$4,Tableau_Data[Province sanitaire],$B1,Tableau_Data[Lieu d''intervention],$W2,Tableau_Data[Annee],$D$3)</f>
        <v>0</v>
      </c>
      <c r="X4" s="204">
        <f>COUNTIFS(Tableau_Data[Matériel distribué],$U$4,Tableau_Data[Province sanitaire],$B1,Tableau_Data[Lieu d''intervention],$X2,Tableau_Data[Annee],$D$3)</f>
        <v>0</v>
      </c>
      <c r="Y4" s="205">
        <f>COUNTIFS(Tableau_Data[Matériel distribué],$U$4,Tableau_Data[Province sanitaire],$B1,Tableau_Data[Lieu d''intervention],$Y2,Tableau_Data[Annee],$D$3)</f>
        <v>2</v>
      </c>
      <c r="Z4" s="202">
        <f t="shared" ref="Z4:Z6" si="0">SUM(V4:Y4)</f>
        <v>2</v>
      </c>
      <c r="AB4" s="194">
        <f>COUNTIFS(Tableau_Data[Province sanitaire],$B$1,Tableau_Data[Annee],$D$3)</f>
        <v>6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532</v>
      </c>
      <c r="U5" s="195" t="str">
        <f>Paramètres!H9</f>
        <v>Aucun</v>
      </c>
      <c r="V5" s="204">
        <f>COUNTIFS(Tableau_Data[Matériel distribué],$U$5,Tableau_Data[Province sanitaire],$B$1,Tableau_Data[Lieu d''intervention],$V2,Tableau_Data[Annee],$D$3)</f>
        <v>0</v>
      </c>
      <c r="W5" s="204">
        <f>COUNTIFS(Tableau_Data[Matériel distribué],$U$5,Tableau_Data[Province sanitaire],$B$1,Tableau_Data[Lieu d''intervention],$W2,Tableau_Data[Annee],$D$3)</f>
        <v>0</v>
      </c>
      <c r="X5" s="204">
        <f>COUNTIFS(Tableau_Data[Matériel distribué],$U$5,Tableau_Data[Province sanitaire],$B$1,Tableau_Data[Lieu d''intervention],$X2,Tableau_Data[Annee],$D$3)</f>
        <v>1</v>
      </c>
      <c r="Y5" s="205">
        <f>COUNTIFS(Tableau_Data[Matériel distribué],$U$5,Tableau_Data[Province sanitaire],$B$1,Tableau_Data[Lieu d''intervention],$Y2,Tableau_Data[Annee],$D$3)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distribué],$U$6,Tableau_Data[Province sanitaire],$B$1,Tableau_Data[Lieu d''intervention],$V2,Tableau_Data[Annee],$D$3)</f>
        <v>0</v>
      </c>
      <c r="W6" s="204">
        <f>COUNTIFS(Tableau_Data[Matériel distribué],$U$6,Tableau_Data[Province sanitaire],$B$1,Tableau_Data[Lieu d''intervention],$W2,Tableau_Data[Annee],$D$3)</f>
        <v>0</v>
      </c>
      <c r="X6" s="204">
        <f>COUNTIFS(Tableau_Data[Matériel distribué],$U$6,Tableau_Data[Province sanitaire],$B$1,Tableau_Data[Lieu d''intervention],$X2,Tableau_Data[Annee],$D$3)</f>
        <v>0</v>
      </c>
      <c r="Y6" s="205">
        <f>COUNTIFS(Tableau_Data[Matériel distribué],$U$6,Tableau_Data[Province sanitaire],$B$1,Tableau_Data[Lieu d''intervention],$Y2,Tableau_Data[Annee],$D$3)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SUMIFS(Tableau_Data[Masculin],Tableau_Data[Province sanitaire],$B1,Tableau_Data[Annee],$D$3)</f>
        <v>347</v>
      </c>
      <c r="E7" s="298"/>
      <c r="F7" s="297">
        <f>SUMIFS(Tableau_Data[Féminin],Tableau_Data[Province sanitaire],$B1,Tableau_Data[Annee],$D$3)</f>
        <v>295</v>
      </c>
      <c r="G7" s="298"/>
      <c r="H7" s="160"/>
      <c r="I7" s="159">
        <f>SUM(D7:F7)</f>
        <v>642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174</v>
      </c>
      <c r="N26" s="300" t="str">
        <f>B1</f>
        <v>Muramya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COUNTIFS(Tableau_Data[Cible],$U$29,Tableau_Data[Province sanitaire],$B$1,Tableau_Data[Annee],$D$3)</f>
        <v>2</v>
      </c>
      <c r="V30" s="206">
        <f>COUNTIFS(Tableau_Data[Cible],$V$29,Tableau_Data[Province sanitaire],$B$1,Tableau_Data[Annee],$D$3)</f>
        <v>1</v>
      </c>
      <c r="W30" s="206">
        <f>COUNTIFS(Tableau_Data[Cible],$W$29,Tableau_Data[Province sanitaire],$B$1,Tableau_Data[Annee],$D$3)</f>
        <v>3</v>
      </c>
      <c r="X30" s="206">
        <f>COUNTIFS(Tableau_Data[Cible],$X$29,Tableau_Data[Province sanitaire],$B$1,Tableau_Data[Annee],$D$3)</f>
        <v>0</v>
      </c>
      <c r="AB30" s="155">
        <f>COUNTIFS(Tableau_Data[Province sanitaire],$B$1,Tableau_Data[Annee],$D$3)</f>
        <v>6</v>
      </c>
    </row>
    <row r="31" spans="12:28" x14ac:dyDescent="0.15">
      <c r="L31" s="177" t="s">
        <v>198</v>
      </c>
      <c r="M31" s="178">
        <f>SUMIFS(Tableau_Data[Masculin],Tableau_Data[Province sanitaire],$B1,Tableau_Data[Thèmes],$M$30,Tableau_Data[Annee],$D$3)</f>
        <v>34</v>
      </c>
      <c r="N31" s="178">
        <f>SUMIFS(Tableau_Data[Masculin],Tableau_Data[Province sanitaire],$B1,Tableau_Data[Thèmes],$N$30,Tableau_Data[Annee],$D$3)</f>
        <v>0</v>
      </c>
      <c r="O31" s="178">
        <f>SUMIFS(Tableau_Data[Masculin],Tableau_Data[Province sanitaire],$B1,Tableau_Data[Thèmes],$O$30,Tableau_Data[Annee],$D$3)</f>
        <v>0</v>
      </c>
      <c r="P31" s="178">
        <f>SUMIFS(Tableau_Data[Masculin],Tableau_Data[Province sanitaire],$B1,Tableau_Data[Thèmes],$P$30,Tableau_Data[Annee],$D$3)</f>
        <v>80</v>
      </c>
      <c r="Q31" s="178">
        <f>SUMIFS(Tableau_Data[Masculin],Tableau_Data[Province sanitaire],$B1,Tableau_Data[Thèmes],$Q$30,Tableau_Data[Annee],$D$3)</f>
        <v>75</v>
      </c>
      <c r="R31" s="178">
        <f>SUMIFS(Tableau_Data[Masculin],Tableau_Data[Province sanitaire],$B1,Tableau_Data[Thèmes],$R$30,Tableau_Data[Annee],$D$3)</f>
        <v>0</v>
      </c>
      <c r="S31" s="178">
        <f>SUMIFS(Tableau_Data[Masculin],Tableau_Data[Province sanitaire],$B1,Tableau_Data[Thèmes],$S$30,Tableau_Data[Annee],$D$3)</f>
        <v>158</v>
      </c>
      <c r="U31" s="207">
        <f>U30/AB30</f>
        <v>0.33333333333333331</v>
      </c>
      <c r="V31" s="207">
        <f>V30/AB30</f>
        <v>0.16666666666666666</v>
      </c>
      <c r="W31" s="207">
        <f>W30/AB30</f>
        <v>0.5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SUMIFS(Tableau_Data[Féminin],Tableau_Data[Province sanitaire],$B1,Tableau_Data[Thèmes],$M$30,Tableau_Data[Annee],$D$3)</f>
        <v>70</v>
      </c>
      <c r="N32" s="178">
        <f>SUMIFS(Tableau_Data[Féminin],Tableau_Data[Province sanitaire],$B1,Tableau_Data[Thèmes],$N$30,Tableau_Data[Annee],$D$3)</f>
        <v>0</v>
      </c>
      <c r="O32" s="178">
        <f>SUMIFS(Tableau_Data[Féminin],Tableau_Data[Province sanitaire],$B1,Tableau_Data[Thèmes],$O$30,Tableau_Data[Annee],$D$3)</f>
        <v>0</v>
      </c>
      <c r="P32" s="178">
        <f>SUMIFS(Tableau_Data[Féminin],Tableau_Data[Province sanitaire],$B1,Tableau_Data[Thèmes],$P$30,Tableau_Data[Annee],$D$3)</f>
        <v>50</v>
      </c>
      <c r="Q32" s="178">
        <f>SUMIFS(Tableau_Data[Féminin],Tableau_Data[Province sanitaire],$B1,Tableau_Data[Thèmes],$Q$30,Tableau_Data[Annee],$D$3)</f>
        <v>35</v>
      </c>
      <c r="R32" s="178">
        <f>SUMIFS(Tableau_Data[Féminin],Tableau_Data[Province sanitaire],$B1,Tableau_Data[Thèmes],$R$30,Tableau_Data[Annee],$D$3)</f>
        <v>0</v>
      </c>
      <c r="S32" s="178">
        <f>SUMIFS(Tableau_Data[Féminin],Tableau_Data[Province sanitaire],$B1,Tableau_Data[Thèmes],$S$30,Tableau_Data[Annee],$D$3)</f>
        <v>140</v>
      </c>
    </row>
    <row r="33" spans="2:28" x14ac:dyDescent="0.15">
      <c r="C33" s="300" t="s">
        <v>174</v>
      </c>
      <c r="E33" s="300" t="str">
        <f>B1</f>
        <v>Muramya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298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COUNTIFS(Tableau_Data[Province sanitaire],$B$1,Tableau_Data[Annee],$D$3)</f>
        <v>6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Preservatif],$U$50,Tableau_Data[Province sanitaire],$B$1,Tableau_Data[Annee],$D$3)</f>
        <v>5</v>
      </c>
      <c r="V51" s="197">
        <f>COUNTIFS(Tableau_Data[Démo Preservatif],$V$50,Tableau_Data[Province sanitaire],$B$1,Tableau_Data[Annee],$D$3)</f>
        <v>1</v>
      </c>
      <c r="X51" s="197">
        <f>COUNTIFS(Tableau_Data[Témoignage],$X$50,Tableau_Data[Province sanitaire],$B$1,Tableau_Data[Annee],$D$3)</f>
        <v>4</v>
      </c>
      <c r="Y51" s="197">
        <f>COUNTIFS(Tableau_Data[Témoignage],$Y$50,Tableau_Data[Province sanitaire],$B$1,Tableau_Data[Annee],$D$3)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0.83333333333333337</v>
      </c>
      <c r="V52" s="199">
        <f>V51/AB49</f>
        <v>0.16666666666666666</v>
      </c>
      <c r="X52" s="199">
        <f>X51/AB49</f>
        <v>0.66666666666666663</v>
      </c>
      <c r="Y52" s="199">
        <f>Y51/AB49</f>
        <v>0.33333333333333331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1">
    <mergeCell ref="V1:AA1"/>
    <mergeCell ref="V27:AA27"/>
    <mergeCell ref="B42:C42"/>
    <mergeCell ref="D42:E42"/>
    <mergeCell ref="N52:P52"/>
    <mergeCell ref="C33:C34"/>
    <mergeCell ref="B1:E1"/>
    <mergeCell ref="H1:I1"/>
    <mergeCell ref="D3:F3"/>
    <mergeCell ref="D4:F4"/>
    <mergeCell ref="D6:E6"/>
    <mergeCell ref="F6:G6"/>
    <mergeCell ref="M58:N58"/>
    <mergeCell ref="O58:P58"/>
    <mergeCell ref="S58:T58"/>
    <mergeCell ref="D7:E7"/>
    <mergeCell ref="F7:G7"/>
    <mergeCell ref="N25:P25"/>
    <mergeCell ref="M26:M27"/>
    <mergeCell ref="N26:R27"/>
    <mergeCell ref="E33:I34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Paramètres!$B$21:$B$23</xm:f>
          </x14:formula1>
          <xm:sqref>B1:E1</xm:sqref>
        </x14:dataValidation>
        <x14:dataValidation type="list" allowBlank="1" showInputMessage="1" showErrorMessage="1">
          <x14:formula1>
            <xm:f>Paramètres!$J$21:$J$35</xm:f>
          </x14:formula1>
          <xm:sqref>D3:F3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B050"/>
  </sheetPr>
  <dimension ref="B1:AB58"/>
  <sheetViews>
    <sheetView showGridLines="0" view="pageLayout" zoomScaleNormal="100" workbookViewId="0">
      <selection activeCell="J8" sqref="J8"/>
    </sheetView>
  </sheetViews>
  <sheetFormatPr baseColWidth="10" defaultRowHeight="11.25" x14ac:dyDescent="0.15"/>
  <cols>
    <col min="1" max="1" width="4.85546875" style="155" customWidth="1"/>
    <col min="2" max="2" width="5.28515625" style="155" customWidth="1"/>
    <col min="3" max="3" width="11.42578125" style="155"/>
    <col min="4" max="4" width="6.85546875" style="155" customWidth="1"/>
    <col min="5" max="5" width="7.7109375" style="155" customWidth="1"/>
    <col min="6" max="6" width="8.42578125" style="155" customWidth="1"/>
    <col min="7" max="7" width="8.85546875" style="155" customWidth="1"/>
    <col min="8" max="9" width="11.42578125" style="155"/>
    <col min="10" max="10" width="18.140625" style="155" customWidth="1"/>
    <col min="11" max="11" width="2.85546875" style="155" customWidth="1"/>
    <col min="12" max="12" width="11.42578125" style="155"/>
    <col min="13" max="13" width="9.5703125" style="155" customWidth="1"/>
    <col min="14" max="14" width="14.28515625" style="155" customWidth="1"/>
    <col min="15" max="15" width="11.7109375" style="155" customWidth="1"/>
    <col min="16" max="16" width="14.140625" style="155" customWidth="1"/>
    <col min="17" max="19" width="11.42578125" style="155"/>
    <col min="20" max="20" width="4.5703125" style="155" customWidth="1"/>
    <col min="21" max="26" width="11.42578125" style="155"/>
    <col min="27" max="27" width="8.5703125" style="155" customWidth="1"/>
    <col min="28" max="16384" width="11.42578125" style="155"/>
  </cols>
  <sheetData>
    <row r="1" spans="2:28" ht="27" customHeight="1" thickBot="1" x14ac:dyDescent="0.2">
      <c r="B1" s="312" t="s">
        <v>101</v>
      </c>
      <c r="C1" s="313"/>
      <c r="D1" s="313"/>
      <c r="E1" s="314"/>
      <c r="H1" s="303" t="s">
        <v>25</v>
      </c>
      <c r="I1" s="303"/>
      <c r="V1" s="301" t="s">
        <v>194</v>
      </c>
      <c r="W1" s="301"/>
      <c r="X1" s="301"/>
      <c r="Y1" s="301"/>
      <c r="Z1" s="301"/>
      <c r="AA1" s="301"/>
    </row>
    <row r="2" spans="2:28" ht="15" thickTop="1" x14ac:dyDescent="0.2">
      <c r="B2" s="158"/>
      <c r="C2" s="160"/>
      <c r="D2" s="160"/>
      <c r="E2" s="160"/>
      <c r="F2" s="156"/>
      <c r="G2" s="156"/>
      <c r="H2" s="156"/>
      <c r="I2" s="156"/>
      <c r="J2" s="157"/>
      <c r="N2" s="170"/>
      <c r="O2" s="171" t="str">
        <f>Paramètres!B7</f>
        <v>ECOLE</v>
      </c>
      <c r="P2" s="171" t="str">
        <f>Paramètres!B8</f>
        <v>CENTRE DE SANTE</v>
      </c>
      <c r="Q2" s="171" t="str">
        <f>Paramètres!B9</f>
        <v>COMMUNAUTE</v>
      </c>
      <c r="R2" s="171" t="str">
        <f>Paramètres!B10</f>
        <v>AUTRES</v>
      </c>
      <c r="V2" s="200" t="str">
        <f>Paramètres!B7</f>
        <v>ECOLE</v>
      </c>
      <c r="W2" s="200" t="str">
        <f>Paramètres!B8</f>
        <v>CENTRE DE SANTE</v>
      </c>
      <c r="X2" s="200" t="str">
        <f>Paramètres!B9</f>
        <v>COMMUNAUTE</v>
      </c>
      <c r="Y2" s="201" t="str">
        <f>Paramètres!B10</f>
        <v>AUTRES</v>
      </c>
      <c r="Z2" s="202" t="s">
        <v>2</v>
      </c>
      <c r="AB2" s="196" t="s">
        <v>191</v>
      </c>
    </row>
    <row r="3" spans="2:28" ht="20.25" customHeight="1" x14ac:dyDescent="0.15">
      <c r="B3" s="158"/>
      <c r="C3" s="168" t="s">
        <v>168</v>
      </c>
      <c r="D3" s="304">
        <v>2016</v>
      </c>
      <c r="E3" s="305"/>
      <c r="F3" s="306"/>
      <c r="G3" s="169"/>
      <c r="H3" s="160"/>
      <c r="I3" s="160"/>
      <c r="J3" s="161"/>
      <c r="N3" s="172" t="s">
        <v>198</v>
      </c>
      <c r="O3" s="173">
        <f>SUMIFS(Tableau_Data[Masculin],Tableau_Data[ASBL],$B1,Tableau_Data[Lieu d''intervention],$O$2,Tableau_Data[Annee],$D$3)</f>
        <v>0</v>
      </c>
      <c r="P3" s="173">
        <f>SUMIFS(Tableau_Data[Masculin],Tableau_Data[ASBL],$B1,Tableau_Data[Lieu d''intervention],$P$2,Tableau_Data[Annee],$D$3)</f>
        <v>0</v>
      </c>
      <c r="Q3" s="173">
        <f>SUMIFS(Tableau_Data[Masculin],Tableau_Data[ASBL],$B1,Tableau_Data[Lieu d''intervention],$Q$2,Tableau_Data[Annee],$D$3)</f>
        <v>75</v>
      </c>
      <c r="R3" s="173">
        <f>SUMIFS(Tableau_Data[Masculin],Tableau_Data[ASBL],$B1,Tableau_Data[Lieu d''intervention],$R$2,Tableau_Data[Annee],$D$3)</f>
        <v>272</v>
      </c>
      <c r="U3" s="195" t="str">
        <f>Paramètres!H7</f>
        <v>Dépliants</v>
      </c>
      <c r="V3" s="204">
        <f>COUNTIFS(Tableau_Data[Matériel distribué],$U$3,Tableau_Data[ASBL],$B1,Tableau_Data[Lieu d''intervention],$V2,Tableau_Data[Annee],$D$3)</f>
        <v>0</v>
      </c>
      <c r="W3" s="204">
        <f>COUNTIFS(Tableau_Data[Matériel distribué],$U$3,Tableau_Data[ASBL],$B1,Tableau_Data[Lieu d''intervention],$W2,Tableau_Data[Annee],$D$3)</f>
        <v>0</v>
      </c>
      <c r="X3" s="204">
        <f>COUNTIFS(Tableau_Data[Matériel distribué],$U$3,Tableau_Data[ASBL],$B1,Tableau_Data[Lieu d''intervention],$X2,Tableau_Data[Annee],$D$3)</f>
        <v>0</v>
      </c>
      <c r="Y3" s="205">
        <f>COUNTIFS(Tableau_Data[Matériel distribué],$U$3,Tableau_Data[ASBL],$B1,Tableau_Data[Lieu d''intervention],$Y2,Tableau_Data[Annee],$D$3)</f>
        <v>1</v>
      </c>
      <c r="Z3" s="202">
        <f>SUM(V3:Y3)</f>
        <v>1</v>
      </c>
    </row>
    <row r="4" spans="2:28" ht="18.75" customHeight="1" x14ac:dyDescent="0.15">
      <c r="B4" s="158"/>
      <c r="C4" s="160"/>
      <c r="D4" s="307" t="s">
        <v>169</v>
      </c>
      <c r="E4" s="307"/>
      <c r="F4" s="307"/>
      <c r="G4" s="160"/>
      <c r="H4" s="160"/>
      <c r="I4" s="160"/>
      <c r="J4" s="161"/>
      <c r="N4" s="172" t="s">
        <v>199</v>
      </c>
      <c r="O4" s="173">
        <f>SUMIFS(Tableau_Data[Féminin],Tableau_Data[ASBL],$B1,Tableau_Data[Lieu d''intervention],$O$2,Tableau_Data[Annee],$D$3)</f>
        <v>0</v>
      </c>
      <c r="P4" s="173">
        <f>SUMIFS(Tableau_Data[Féminin],Tableau_Data[ASBL],$B1,Tableau_Data[Lieu d''intervention],$P$2,Tableau_Data[Annee],$D$3)</f>
        <v>0</v>
      </c>
      <c r="Q4" s="173">
        <f>SUMIFS(Tableau_Data[Féminin],Tableau_Data[ASBL],$B1,Tableau_Data[Lieu d''intervention],$Q$2,Tableau_Data[Annee],$D$3)</f>
        <v>35</v>
      </c>
      <c r="R4" s="173">
        <f>SUMIFS(Tableau_Data[Féminin],Tableau_Data[ASBL],$B1,Tableau_Data[Lieu d''intervention],$R$2,Tableau_Data[Annee],$D$3)</f>
        <v>260</v>
      </c>
      <c r="U4" s="195" t="str">
        <f>Paramètres!H8</f>
        <v>Condoms</v>
      </c>
      <c r="V4" s="204">
        <f>COUNTIFS(Tableau_Data[Matériel distribué],$U$4,Tableau_Data[ASBL],$B1,Tableau_Data[Lieu d''intervention],$V2,Tableau_Data[Annee],$D$3)</f>
        <v>0</v>
      </c>
      <c r="W4" s="204">
        <f>COUNTIFS(Tableau_Data[Matériel distribué],$U$4,Tableau_Data[ASBL],$B1,Tableau_Data[Lieu d''intervention],$W2,Tableau_Data[Annee],$D$3)</f>
        <v>0</v>
      </c>
      <c r="X4" s="204">
        <f>COUNTIFS(Tableau_Data[Matériel distribué],$U$4,Tableau_Data[ASBL],$B1,Tableau_Data[Lieu d''intervention],$X2,Tableau_Data[Annee],$D$3)</f>
        <v>0</v>
      </c>
      <c r="Y4" s="205">
        <f>COUNTIFS(Tableau_Data[Matériel distribué],$U$4,Tableau_Data[ASBL],$B1,Tableau_Data[Lieu d''intervention],$Y2,Tableau_Data[Annee],$D$3)</f>
        <v>2</v>
      </c>
      <c r="Z4" s="202">
        <f t="shared" ref="Z4:Z6" si="0">SUM(V4:Y4)</f>
        <v>2</v>
      </c>
      <c r="AB4" s="194">
        <f>COUNTIFS(Tableau_Data[ASBL],$B$1,Tableau_Data[Annee],$D$3)</f>
        <v>6</v>
      </c>
    </row>
    <row r="5" spans="2:28" ht="13.5" customHeight="1" x14ac:dyDescent="0.15">
      <c r="B5" s="158"/>
      <c r="C5" s="160"/>
      <c r="D5" s="160"/>
      <c r="E5" s="160"/>
      <c r="F5" s="160"/>
      <c r="G5" s="160"/>
      <c r="H5" s="160"/>
      <c r="I5" s="160"/>
      <c r="J5" s="161"/>
      <c r="N5" s="174" t="s">
        <v>2</v>
      </c>
      <c r="O5" s="175">
        <f>SUM(O3:O4)</f>
        <v>0</v>
      </c>
      <c r="P5" s="175">
        <f>SUM(P3:P4)</f>
        <v>0</v>
      </c>
      <c r="Q5" s="175">
        <f t="shared" ref="Q5:R5" si="1">SUM(Q3:Q4)</f>
        <v>110</v>
      </c>
      <c r="R5" s="175">
        <f t="shared" si="1"/>
        <v>532</v>
      </c>
      <c r="U5" s="195" t="str">
        <f>Paramètres!H9</f>
        <v>Aucun</v>
      </c>
      <c r="V5" s="204">
        <f>COUNTIFS(Tableau_Data[Matériel distribué],$U$5,Tableau_Data[ASBL],$B$1,Tableau_Data[Lieu d''intervention],$V2,Tableau_Data[Annee],$D$3)</f>
        <v>0</v>
      </c>
      <c r="W5" s="204">
        <f>COUNTIFS(Tableau_Data[Matériel distribué],$U$5,Tableau_Data[ASBL],$B$1,Tableau_Data[Lieu d''intervention],$W2,Tableau_Data[Annee],$D$3)</f>
        <v>0</v>
      </c>
      <c r="X5" s="204">
        <f>COUNTIFS(Tableau_Data[Matériel distribué],$U$5,Tableau_Data[ASBL],$B$1,Tableau_Data[Lieu d''intervention],$X2,Tableau_Data[Annee],$D$3)</f>
        <v>1</v>
      </c>
      <c r="Y5" s="205">
        <f>COUNTIFS(Tableau_Data[Matériel distribué],$U$5,Tableau_Data[ASBL],$B$1,Tableau_Data[Lieu d''intervention],$Y2,Tableau_Data[Annee],$D$3)</f>
        <v>0</v>
      </c>
      <c r="Z5" s="202">
        <f t="shared" si="0"/>
        <v>1</v>
      </c>
    </row>
    <row r="6" spans="2:28" ht="15" customHeight="1" x14ac:dyDescent="0.15">
      <c r="B6" s="158"/>
      <c r="C6" s="160"/>
      <c r="D6" s="308" t="s">
        <v>205</v>
      </c>
      <c r="E6" s="309"/>
      <c r="F6" s="308" t="s">
        <v>206</v>
      </c>
      <c r="G6" s="309"/>
      <c r="H6" s="162"/>
      <c r="I6" s="163" t="s">
        <v>77</v>
      </c>
      <c r="J6" s="161"/>
      <c r="U6" s="195" t="str">
        <f>Paramètres!H10</f>
        <v>Autres</v>
      </c>
      <c r="V6" s="204">
        <f>COUNTIFS(Tableau_Data[Matériel distribué],$U$6,Tableau_Data[ASBL],$B$1,Tableau_Data[Lieu d''intervention],$V2,Tableau_Data[Annee],$D$3)</f>
        <v>0</v>
      </c>
      <c r="W6" s="204">
        <f>COUNTIFS(Tableau_Data[Matériel distribué],$U$6,Tableau_Data[ASBL],$B$1,Tableau_Data[Lieu d''intervention],$W2,Tableau_Data[Annee],$D$3)</f>
        <v>0</v>
      </c>
      <c r="X6" s="204">
        <f>COUNTIFS(Tableau_Data[Matériel distribué],$U$6,Tableau_Data[ASBL],$B$1,Tableau_Data[Lieu d''intervention],$X2,Tableau_Data[Annee],$D$3)</f>
        <v>0</v>
      </c>
      <c r="Y6" s="205">
        <f>COUNTIFS(Tableau_Data[Matériel distribué],$U$6,Tableau_Data[ASBL],$B$1,Tableau_Data[Lieu d''intervention],$Y2,Tableau_Data[Annee],$D$3)</f>
        <v>2</v>
      </c>
      <c r="Z6" s="202">
        <f t="shared" si="0"/>
        <v>2</v>
      </c>
    </row>
    <row r="7" spans="2:28" ht="16.5" customHeight="1" x14ac:dyDescent="0.15">
      <c r="B7" s="158"/>
      <c r="C7" s="160"/>
      <c r="D7" s="297">
        <f>SUMIFS(Tableau_Data[Masculin],Tableau_Data[ASBL],$B1,Tableau_Data[Annee],$D$3)</f>
        <v>347</v>
      </c>
      <c r="E7" s="298"/>
      <c r="F7" s="297">
        <f>SUMIFS(Tableau_Data[Féminin],Tableau_Data[ASBL],$B1,Tableau_Data[Annee],$D$3)</f>
        <v>295</v>
      </c>
      <c r="G7" s="298"/>
      <c r="H7" s="160"/>
      <c r="I7" s="159">
        <f>SUM(D7:F7)</f>
        <v>642</v>
      </c>
      <c r="J7" s="161"/>
      <c r="U7" s="198"/>
      <c r="V7" s="198"/>
      <c r="W7" s="198"/>
      <c r="X7" s="198"/>
      <c r="Y7" s="198"/>
      <c r="Z7" s="198"/>
    </row>
    <row r="8" spans="2:28" x14ac:dyDescent="0.15">
      <c r="B8" s="158"/>
      <c r="C8" s="160"/>
      <c r="D8" s="160"/>
      <c r="E8" s="163"/>
      <c r="F8" s="160"/>
      <c r="G8" s="163"/>
      <c r="H8" s="160"/>
      <c r="I8" s="160"/>
      <c r="J8" s="161"/>
    </row>
    <row r="9" spans="2:28" ht="12" thickBot="1" x14ac:dyDescent="0.2">
      <c r="B9" s="164"/>
      <c r="C9" s="165"/>
      <c r="D9" s="165"/>
      <c r="E9" s="165"/>
      <c r="F9" s="165"/>
      <c r="G9" s="165"/>
      <c r="H9" s="165"/>
      <c r="I9" s="165"/>
      <c r="J9" s="166"/>
    </row>
    <row r="10" spans="2:28" ht="12" thickTop="1" x14ac:dyDescent="0.15"/>
    <row r="11" spans="2:28" x14ac:dyDescent="0.15">
      <c r="C11" s="167"/>
    </row>
    <row r="25" spans="12:28" x14ac:dyDescent="0.15">
      <c r="N25" s="299" t="s">
        <v>170</v>
      </c>
      <c r="O25" s="299"/>
      <c r="P25" s="299"/>
    </row>
    <row r="26" spans="12:28" x14ac:dyDescent="0.15">
      <c r="M26" s="300" t="s">
        <v>25</v>
      </c>
      <c r="N26" s="300" t="str">
        <f>B1</f>
        <v>SYM</v>
      </c>
      <c r="O26" s="300"/>
      <c r="P26" s="300"/>
      <c r="Q26" s="300"/>
      <c r="R26" s="300"/>
    </row>
    <row r="27" spans="12:28" ht="12.75" x14ac:dyDescent="0.15">
      <c r="M27" s="300"/>
      <c r="N27" s="300"/>
      <c r="O27" s="300"/>
      <c r="P27" s="300"/>
      <c r="Q27" s="300"/>
      <c r="R27" s="300"/>
      <c r="V27" s="301" t="s">
        <v>195</v>
      </c>
      <c r="W27" s="301"/>
      <c r="X27" s="301"/>
      <c r="Y27" s="301"/>
      <c r="Z27" s="301"/>
      <c r="AA27" s="301"/>
    </row>
    <row r="28" spans="12:28" x14ac:dyDescent="0.15">
      <c r="U28" s="208" t="s">
        <v>196</v>
      </c>
      <c r="V28" s="208" t="s">
        <v>165</v>
      </c>
      <c r="W28" s="208" t="s">
        <v>87</v>
      </c>
      <c r="X28" s="208" t="s">
        <v>197</v>
      </c>
    </row>
    <row r="29" spans="12:28" x14ac:dyDescent="0.15">
      <c r="L29" s="176"/>
      <c r="M29" s="176" t="s">
        <v>82</v>
      </c>
      <c r="N29" s="176" t="s">
        <v>83</v>
      </c>
      <c r="O29" s="176" t="s">
        <v>84</v>
      </c>
      <c r="P29" s="176" t="s">
        <v>85</v>
      </c>
      <c r="Q29" s="176" t="s">
        <v>86</v>
      </c>
      <c r="R29" s="176" t="s">
        <v>87</v>
      </c>
      <c r="S29" s="176" t="s">
        <v>171</v>
      </c>
      <c r="U29" s="209" t="str">
        <f>Paramètres!L7</f>
        <v>Jeunes et Adolescents</v>
      </c>
      <c r="V29" s="203" t="str">
        <f>Paramètres!L8</f>
        <v>Hommes</v>
      </c>
      <c r="W29" s="203" t="str">
        <f>Paramètres!L9</f>
        <v>Femmes</v>
      </c>
      <c r="X29" s="203" t="str">
        <f>Paramètres!L10</f>
        <v>Mixte</v>
      </c>
      <c r="AB29" s="155" t="s">
        <v>191</v>
      </c>
    </row>
    <row r="30" spans="12:28" x14ac:dyDescent="0.15">
      <c r="L30" s="176"/>
      <c r="M30" s="181" t="str">
        <f>Paramètres!F7</f>
        <v>IST/VIH SIDA</v>
      </c>
      <c r="N30" s="181" t="str">
        <f>Paramètres!F8</f>
        <v>Violences sexuelles/VBG</v>
      </c>
      <c r="O30" s="181" t="str">
        <f>Paramètres!F9</f>
        <v>Amour et Sexualité</v>
      </c>
      <c r="P30" s="181" t="str">
        <f>Paramètres!F10</f>
        <v>Grossesses non désirées</v>
      </c>
      <c r="Q30" s="181" t="str">
        <f>Paramètres!F11</f>
        <v>PF</v>
      </c>
      <c r="R30" s="181" t="str">
        <f>Paramètres!F12</f>
        <v>CPN</v>
      </c>
      <c r="S30" s="181" t="str">
        <f>Paramètres!F13</f>
        <v>Autres</v>
      </c>
      <c r="U30" s="206">
        <f>COUNTIFS(Tableau_Data[Cible],$U$29,Tableau_Data[ASBL],$B$1,Tableau_Data[Annee],$D$3)</f>
        <v>2</v>
      </c>
      <c r="V30" s="206">
        <f>COUNTIFS(Tableau_Data[Cible],$V$29,Tableau_Data[ASBL],$B$1,Tableau_Data[Annee],$D$3)</f>
        <v>1</v>
      </c>
      <c r="W30" s="206">
        <f>COUNTIFS(Tableau_Data[Cible],$W$29,Tableau_Data[ASBL],$B$1,Tableau_Data[Annee],$D$3)</f>
        <v>3</v>
      </c>
      <c r="X30" s="206">
        <f>COUNTIFS(Tableau_Data[Cible],$X$29,Tableau_Data[ASBL],$B$1,Tableau_Data[Annee],$D$3)</f>
        <v>0</v>
      </c>
      <c r="AB30" s="155">
        <f>COUNTIFS(Tableau_Data[ASBL],$B$1,Tableau_Data[Annee],$D$3)</f>
        <v>6</v>
      </c>
    </row>
    <row r="31" spans="12:28" x14ac:dyDescent="0.15">
      <c r="L31" s="177" t="s">
        <v>198</v>
      </c>
      <c r="M31" s="178">
        <f>SUMIFS(Tableau_Data[Masculin],Tableau_Data[ASBL],$B1,Tableau_Data[Thèmes],$M$30,Tableau_Data[Annee],$D$3)</f>
        <v>34</v>
      </c>
      <c r="N31" s="178">
        <f>SUMIFS(Tableau_Data[Masculin],Tableau_Data[ASBL],$B1,Tableau_Data[Thèmes],$N$30,Tableau_Data[Annee],$D$3)</f>
        <v>0</v>
      </c>
      <c r="O31" s="178">
        <f>SUMIFS(Tableau_Data[Masculin],Tableau_Data[ASBL],$B1,Tableau_Data[Thèmes],$O$30,Tableau_Data[Annee],$D$3)</f>
        <v>0</v>
      </c>
      <c r="P31" s="178">
        <f>SUMIFS(Tableau_Data[Masculin],Tableau_Data[ASBL],$B1,Tableau_Data[Thèmes],$P$30,Tableau_Data[Annee],$D$3)</f>
        <v>80</v>
      </c>
      <c r="Q31" s="178">
        <f>SUMIFS(Tableau_Data[Masculin],Tableau_Data[ASBL],$B1,Tableau_Data[Thèmes],$Q$30,Tableau_Data[Annee],$D$3)</f>
        <v>75</v>
      </c>
      <c r="R31" s="178">
        <f>SUMIFS(Tableau_Data[Masculin],Tableau_Data[ASBL],$B1,Tableau_Data[Thèmes],$R$30,Tableau_Data[Annee],$D$3)</f>
        <v>0</v>
      </c>
      <c r="S31" s="178">
        <f>SUMIFS(Tableau_Data[Masculin],Tableau_Data[ASBL],$B1,Tableau_Data[Thèmes],$S$30,Tableau_Data[Annee],$D$3)</f>
        <v>158</v>
      </c>
      <c r="U31" s="207">
        <f>U30/AB30</f>
        <v>0.33333333333333331</v>
      </c>
      <c r="V31" s="207">
        <f>V30/AB30</f>
        <v>0.16666666666666666</v>
      </c>
      <c r="W31" s="207">
        <f>W30/AB30</f>
        <v>0.5</v>
      </c>
      <c r="X31" s="207">
        <f>X30/AB30</f>
        <v>0</v>
      </c>
    </row>
    <row r="32" spans="12:28" x14ac:dyDescent="0.15">
      <c r="L32" s="177" t="s">
        <v>199</v>
      </c>
      <c r="M32" s="178">
        <f>SUMIFS(Tableau_Data[Féminin],Tableau_Data[ASBL],$B1,Tableau_Data[Thèmes],$M$30,Tableau_Data[Annee],$D$3)</f>
        <v>70</v>
      </c>
      <c r="N32" s="178">
        <f>SUMIFS(Tableau_Data[Féminin],Tableau_Data[ASBL],$B1,Tableau_Data[Thèmes],$N$30,Tableau_Data[Annee],$D$3)</f>
        <v>0</v>
      </c>
      <c r="O32" s="178">
        <f>SUMIFS(Tableau_Data[Féminin],Tableau_Data[ASBL],$B1,Tableau_Data[Thèmes],$O$30,Tableau_Data[Annee],$D$3)</f>
        <v>0</v>
      </c>
      <c r="P32" s="178">
        <f>SUMIFS(Tableau_Data[Féminin],Tableau_Data[ASBL],$B1,Tableau_Data[Thèmes],$P$30,Tableau_Data[Annee],$D$3)</f>
        <v>50</v>
      </c>
      <c r="Q32" s="178">
        <f>SUMIFS(Tableau_Data[Féminin],Tableau_Data[ASBL],$B1,Tableau_Data[Thèmes],$Q$30,Tableau_Data[Annee],$D$3)</f>
        <v>35</v>
      </c>
      <c r="R32" s="178">
        <f>SUMIFS(Tableau_Data[Féminin],Tableau_Data[ASBL],$B1,Tableau_Data[Thèmes],$R$30,Tableau_Data[Annee],$D$3)</f>
        <v>0</v>
      </c>
      <c r="S32" s="178">
        <f>SUMIFS(Tableau_Data[Féminin],Tableau_Data[ASBL],$B1,Tableau_Data[Thèmes],$S$30,Tableau_Data[Annee],$D$3)</f>
        <v>140</v>
      </c>
    </row>
    <row r="33" spans="2:28" x14ac:dyDescent="0.15">
      <c r="C33" s="300" t="s">
        <v>25</v>
      </c>
      <c r="E33" s="300" t="str">
        <f>B1</f>
        <v>SYM</v>
      </c>
      <c r="F33" s="300"/>
      <c r="G33" s="300"/>
      <c r="H33" s="300"/>
      <c r="I33" s="300"/>
      <c r="L33" s="179" t="s">
        <v>2</v>
      </c>
      <c r="M33" s="180">
        <f>SUM(M31:M32)</f>
        <v>104</v>
      </c>
      <c r="N33" s="180">
        <f>SUM(N31:N32)</f>
        <v>0</v>
      </c>
      <c r="O33" s="180">
        <f t="shared" ref="O33:R33" si="2">SUM(O31:O32)</f>
        <v>0</v>
      </c>
      <c r="P33" s="180">
        <f t="shared" si="2"/>
        <v>130</v>
      </c>
      <c r="Q33" s="180">
        <f t="shared" si="2"/>
        <v>110</v>
      </c>
      <c r="R33" s="180">
        <f t="shared" si="2"/>
        <v>0</v>
      </c>
      <c r="S33" s="180">
        <f>SUM(S31:S32)</f>
        <v>298</v>
      </c>
    </row>
    <row r="34" spans="2:28" x14ac:dyDescent="0.15">
      <c r="C34" s="300"/>
      <c r="E34" s="300"/>
      <c r="F34" s="300"/>
      <c r="G34" s="300"/>
      <c r="H34" s="300"/>
      <c r="I34" s="300"/>
    </row>
    <row r="42" spans="2:28" ht="15.75" x14ac:dyDescent="0.25">
      <c r="B42" s="292" t="s">
        <v>78</v>
      </c>
      <c r="C42" s="293"/>
      <c r="D42" s="294" t="str">
        <f>Paramètres!J18</f>
        <v>GIZ</v>
      </c>
      <c r="E42" s="295"/>
      <c r="F42" s="92"/>
      <c r="G42" s="89" t="s">
        <v>81</v>
      </c>
      <c r="I42" s="92">
        <f ca="1">TODAY()</f>
        <v>42701</v>
      </c>
    </row>
    <row r="48" spans="2:28" x14ac:dyDescent="0.15">
      <c r="U48" s="155" t="s">
        <v>192</v>
      </c>
      <c r="X48" s="155" t="s">
        <v>193</v>
      </c>
      <c r="AB48" s="155" t="s">
        <v>191</v>
      </c>
    </row>
    <row r="49" spans="13:28" x14ac:dyDescent="0.15">
      <c r="AB49" s="155">
        <f>COUNTIFS(Tableau_Data[ASBL],$B$1,Tableau_Data[Annee],$D$3)</f>
        <v>6</v>
      </c>
    </row>
    <row r="50" spans="13:28" x14ac:dyDescent="0.15">
      <c r="U50" s="197" t="s">
        <v>35</v>
      </c>
      <c r="V50" s="197" t="s">
        <v>36</v>
      </c>
      <c r="X50" s="197" t="s">
        <v>35</v>
      </c>
      <c r="Y50" s="197" t="s">
        <v>36</v>
      </c>
    </row>
    <row r="51" spans="13:28" x14ac:dyDescent="0.15">
      <c r="U51" s="197">
        <f>COUNTIFS(Tableau_Data[Démo Preservatif],$U$50,Tableau_Data[ASBL],$B$1,Tableau_Data[Annee],$D$3)</f>
        <v>5</v>
      </c>
      <c r="V51" s="197">
        <f>COUNTIFS(Tableau_Data[Démo Preservatif],$V$50,Tableau_Data[ASBL],$B$1,Tableau_Data[Annee],$D$3)</f>
        <v>1</v>
      </c>
      <c r="X51" s="197">
        <f>COUNTIFS(Tableau_Data[Témoignage],$X$50,Tableau_Data[ASBL],$B$1,Tableau_Data[Annee],$D$3)</f>
        <v>4</v>
      </c>
      <c r="Y51" s="197">
        <f>COUNTIFS(Tableau_Data[Témoignage],$Y$50,Tableau_Data[ASBL],$B$1,Tableau_Data[Annee],$D$3)</f>
        <v>2</v>
      </c>
    </row>
    <row r="52" spans="13:28" x14ac:dyDescent="0.15">
      <c r="N52" s="299" t="s">
        <v>172</v>
      </c>
      <c r="O52" s="299"/>
      <c r="P52" s="299"/>
      <c r="U52" s="199">
        <f>U51/AB49</f>
        <v>0.83333333333333337</v>
      </c>
      <c r="V52" s="199">
        <f>V51/AB49</f>
        <v>0.16666666666666666</v>
      </c>
      <c r="X52" s="199">
        <f>X51/AB49</f>
        <v>0.66666666666666663</v>
      </c>
      <c r="Y52" s="199">
        <f>Y51/AB49</f>
        <v>0.33333333333333331</v>
      </c>
    </row>
    <row r="58" spans="13:28" ht="15.75" x14ac:dyDescent="0.25">
      <c r="M58" s="292" t="s">
        <v>78</v>
      </c>
      <c r="N58" s="293"/>
      <c r="O58" s="294" t="str">
        <f>Paramètres!J18</f>
        <v>GIZ</v>
      </c>
      <c r="P58" s="295"/>
      <c r="Q58" s="92"/>
      <c r="R58" s="89" t="s">
        <v>81</v>
      </c>
      <c r="S58" s="296">
        <f ca="1">TODAY()</f>
        <v>42701</v>
      </c>
      <c r="T58" s="296"/>
    </row>
  </sheetData>
  <mergeCells count="21">
    <mergeCell ref="V1:AA1"/>
    <mergeCell ref="V27:AA27"/>
    <mergeCell ref="B42:C42"/>
    <mergeCell ref="D42:E42"/>
    <mergeCell ref="N52:P52"/>
    <mergeCell ref="C33:C34"/>
    <mergeCell ref="B1:E1"/>
    <mergeCell ref="H1:I1"/>
    <mergeCell ref="D3:F3"/>
    <mergeCell ref="D4:F4"/>
    <mergeCell ref="D6:E6"/>
    <mergeCell ref="F6:G6"/>
    <mergeCell ref="M58:N58"/>
    <mergeCell ref="O58:P58"/>
    <mergeCell ref="S58:T58"/>
    <mergeCell ref="D7:E7"/>
    <mergeCell ref="F7:G7"/>
    <mergeCell ref="N25:P25"/>
    <mergeCell ref="M26:M27"/>
    <mergeCell ref="N26:R27"/>
    <mergeCell ref="E33:I34"/>
  </mergeCells>
  <pageMargins left="0.14583333333333334" right="0.19791666666666666" top="0.75" bottom="0.75" header="0.3" footer="0.3"/>
  <pageSetup paperSize="9" orientation="portrait" r:id="rId1"/>
  <headerFooter>
    <oddHeader xml:space="preserve">&amp;C&amp;"Maiandra GD,Gras"&amp;12Fiche de capitalisation des actions communes des reseaux&amp;"Verdana,Gras"&amp;9    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Paramètres!$J$21:$J$35</xm:f>
          </x14:formula1>
          <xm:sqref>D3:F3</xm:sqref>
        </x14:dataValidation>
        <x14:dataValidation type="list" allowBlank="1" showInputMessage="1" showErrorMessage="1">
          <x14:formula1>
            <xm:f>Paramètres!$D$21:$D$24</xm:f>
          </x14:formula1>
          <xm:sqref>B1:E1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ion">
    <tabColor rgb="FFFF0000"/>
  </sheetPr>
  <dimension ref="A1:Y20"/>
  <sheetViews>
    <sheetView workbookViewId="0">
      <selection activeCell="X2" sqref="X2"/>
    </sheetView>
  </sheetViews>
  <sheetFormatPr baseColWidth="10" defaultRowHeight="15" x14ac:dyDescent="0.25"/>
  <cols>
    <col min="1" max="1" width="18" customWidth="1"/>
    <col min="2" max="2" width="12.7109375" bestFit="1" customWidth="1"/>
    <col min="3" max="3" width="12.28515625" style="26" bestFit="1" customWidth="1"/>
    <col min="4" max="4" width="9.28515625" style="26" customWidth="1"/>
    <col min="5" max="5" width="14" style="26" customWidth="1"/>
    <col min="6" max="6" width="15.7109375" style="26" customWidth="1"/>
    <col min="7" max="7" width="14" style="26" customWidth="1"/>
    <col min="8" max="8" width="13.7109375" style="26" customWidth="1"/>
    <col min="9" max="9" width="14.7109375" customWidth="1"/>
    <col min="12" max="12" width="12.7109375" customWidth="1"/>
    <col min="13" max="13" width="15.5703125" customWidth="1"/>
    <col min="17" max="17" width="17.42578125" customWidth="1"/>
    <col min="21" max="21" width="18.140625" customWidth="1"/>
    <col min="24" max="24" width="12.85546875" customWidth="1"/>
    <col min="249" max="249" width="12.7109375" bestFit="1" customWidth="1"/>
    <col min="250" max="250" width="12.28515625" bestFit="1" customWidth="1"/>
    <col min="251" max="259" width="6.42578125" bestFit="1" customWidth="1"/>
    <col min="260" max="262" width="7.42578125" bestFit="1" customWidth="1"/>
    <col min="505" max="505" width="12.7109375" bestFit="1" customWidth="1"/>
    <col min="506" max="506" width="12.28515625" bestFit="1" customWidth="1"/>
    <col min="507" max="515" width="6.42578125" bestFit="1" customWidth="1"/>
    <col min="516" max="518" width="7.42578125" bestFit="1" customWidth="1"/>
    <col min="761" max="761" width="12.7109375" bestFit="1" customWidth="1"/>
    <col min="762" max="762" width="12.28515625" bestFit="1" customWidth="1"/>
    <col min="763" max="771" width="6.42578125" bestFit="1" customWidth="1"/>
    <col min="772" max="774" width="7.42578125" bestFit="1" customWidth="1"/>
    <col min="1017" max="1017" width="12.7109375" bestFit="1" customWidth="1"/>
    <col min="1018" max="1018" width="12.28515625" bestFit="1" customWidth="1"/>
    <col min="1019" max="1027" width="6.42578125" bestFit="1" customWidth="1"/>
    <col min="1028" max="1030" width="7.42578125" bestFit="1" customWidth="1"/>
    <col min="1273" max="1273" width="12.7109375" bestFit="1" customWidth="1"/>
    <col min="1274" max="1274" width="12.28515625" bestFit="1" customWidth="1"/>
    <col min="1275" max="1283" width="6.42578125" bestFit="1" customWidth="1"/>
    <col min="1284" max="1286" width="7.42578125" bestFit="1" customWidth="1"/>
    <col min="1529" max="1529" width="12.7109375" bestFit="1" customWidth="1"/>
    <col min="1530" max="1530" width="12.28515625" bestFit="1" customWidth="1"/>
    <col min="1531" max="1539" width="6.42578125" bestFit="1" customWidth="1"/>
    <col min="1540" max="1542" width="7.42578125" bestFit="1" customWidth="1"/>
    <col min="1785" max="1785" width="12.7109375" bestFit="1" customWidth="1"/>
    <col min="1786" max="1786" width="12.28515625" bestFit="1" customWidth="1"/>
    <col min="1787" max="1795" width="6.42578125" bestFit="1" customWidth="1"/>
    <col min="1796" max="1798" width="7.42578125" bestFit="1" customWidth="1"/>
    <col min="2041" max="2041" width="12.7109375" bestFit="1" customWidth="1"/>
    <col min="2042" max="2042" width="12.28515625" bestFit="1" customWidth="1"/>
    <col min="2043" max="2051" width="6.42578125" bestFit="1" customWidth="1"/>
    <col min="2052" max="2054" width="7.42578125" bestFit="1" customWidth="1"/>
    <col min="2297" max="2297" width="12.7109375" bestFit="1" customWidth="1"/>
    <col min="2298" max="2298" width="12.28515625" bestFit="1" customWidth="1"/>
    <col min="2299" max="2307" width="6.42578125" bestFit="1" customWidth="1"/>
    <col min="2308" max="2310" width="7.42578125" bestFit="1" customWidth="1"/>
    <col min="2553" max="2553" width="12.7109375" bestFit="1" customWidth="1"/>
    <col min="2554" max="2554" width="12.28515625" bestFit="1" customWidth="1"/>
    <col min="2555" max="2563" width="6.42578125" bestFit="1" customWidth="1"/>
    <col min="2564" max="2566" width="7.42578125" bestFit="1" customWidth="1"/>
    <col min="2809" max="2809" width="12.7109375" bestFit="1" customWidth="1"/>
    <col min="2810" max="2810" width="12.28515625" bestFit="1" customWidth="1"/>
    <col min="2811" max="2819" width="6.42578125" bestFit="1" customWidth="1"/>
    <col min="2820" max="2822" width="7.42578125" bestFit="1" customWidth="1"/>
    <col min="3065" max="3065" width="12.7109375" bestFit="1" customWidth="1"/>
    <col min="3066" max="3066" width="12.28515625" bestFit="1" customWidth="1"/>
    <col min="3067" max="3075" width="6.42578125" bestFit="1" customWidth="1"/>
    <col min="3076" max="3078" width="7.42578125" bestFit="1" customWidth="1"/>
    <col min="3321" max="3321" width="12.7109375" bestFit="1" customWidth="1"/>
    <col min="3322" max="3322" width="12.28515625" bestFit="1" customWidth="1"/>
    <col min="3323" max="3331" width="6.42578125" bestFit="1" customWidth="1"/>
    <col min="3332" max="3334" width="7.42578125" bestFit="1" customWidth="1"/>
    <col min="3577" max="3577" width="12.7109375" bestFit="1" customWidth="1"/>
    <col min="3578" max="3578" width="12.28515625" bestFit="1" customWidth="1"/>
    <col min="3579" max="3587" width="6.42578125" bestFit="1" customWidth="1"/>
    <col min="3588" max="3590" width="7.42578125" bestFit="1" customWidth="1"/>
    <col min="3833" max="3833" width="12.7109375" bestFit="1" customWidth="1"/>
    <col min="3834" max="3834" width="12.28515625" bestFit="1" customWidth="1"/>
    <col min="3835" max="3843" width="6.42578125" bestFit="1" customWidth="1"/>
    <col min="3844" max="3846" width="7.42578125" bestFit="1" customWidth="1"/>
    <col min="4089" max="4089" width="12.7109375" bestFit="1" customWidth="1"/>
    <col min="4090" max="4090" width="12.28515625" bestFit="1" customWidth="1"/>
    <col min="4091" max="4099" width="6.42578125" bestFit="1" customWidth="1"/>
    <col min="4100" max="4102" width="7.42578125" bestFit="1" customWidth="1"/>
    <col min="4345" max="4345" width="12.7109375" bestFit="1" customWidth="1"/>
    <col min="4346" max="4346" width="12.28515625" bestFit="1" customWidth="1"/>
    <col min="4347" max="4355" width="6.42578125" bestFit="1" customWidth="1"/>
    <col min="4356" max="4358" width="7.42578125" bestFit="1" customWidth="1"/>
    <col min="4601" max="4601" width="12.7109375" bestFit="1" customWidth="1"/>
    <col min="4602" max="4602" width="12.28515625" bestFit="1" customWidth="1"/>
    <col min="4603" max="4611" width="6.42578125" bestFit="1" customWidth="1"/>
    <col min="4612" max="4614" width="7.42578125" bestFit="1" customWidth="1"/>
    <col min="4857" max="4857" width="12.7109375" bestFit="1" customWidth="1"/>
    <col min="4858" max="4858" width="12.28515625" bestFit="1" customWidth="1"/>
    <col min="4859" max="4867" width="6.42578125" bestFit="1" customWidth="1"/>
    <col min="4868" max="4870" width="7.42578125" bestFit="1" customWidth="1"/>
    <col min="5113" max="5113" width="12.7109375" bestFit="1" customWidth="1"/>
    <col min="5114" max="5114" width="12.28515625" bestFit="1" customWidth="1"/>
    <col min="5115" max="5123" width="6.42578125" bestFit="1" customWidth="1"/>
    <col min="5124" max="5126" width="7.42578125" bestFit="1" customWidth="1"/>
    <col min="5369" max="5369" width="12.7109375" bestFit="1" customWidth="1"/>
    <col min="5370" max="5370" width="12.28515625" bestFit="1" customWidth="1"/>
    <col min="5371" max="5379" width="6.42578125" bestFit="1" customWidth="1"/>
    <col min="5380" max="5382" width="7.42578125" bestFit="1" customWidth="1"/>
    <col min="5625" max="5625" width="12.7109375" bestFit="1" customWidth="1"/>
    <col min="5626" max="5626" width="12.28515625" bestFit="1" customWidth="1"/>
    <col min="5627" max="5635" width="6.42578125" bestFit="1" customWidth="1"/>
    <col min="5636" max="5638" width="7.42578125" bestFit="1" customWidth="1"/>
    <col min="5881" max="5881" width="12.7109375" bestFit="1" customWidth="1"/>
    <col min="5882" max="5882" width="12.28515625" bestFit="1" customWidth="1"/>
    <col min="5883" max="5891" width="6.42578125" bestFit="1" customWidth="1"/>
    <col min="5892" max="5894" width="7.42578125" bestFit="1" customWidth="1"/>
    <col min="6137" max="6137" width="12.7109375" bestFit="1" customWidth="1"/>
    <col min="6138" max="6138" width="12.28515625" bestFit="1" customWidth="1"/>
    <col min="6139" max="6147" width="6.42578125" bestFit="1" customWidth="1"/>
    <col min="6148" max="6150" width="7.42578125" bestFit="1" customWidth="1"/>
    <col min="6393" max="6393" width="12.7109375" bestFit="1" customWidth="1"/>
    <col min="6394" max="6394" width="12.28515625" bestFit="1" customWidth="1"/>
    <col min="6395" max="6403" width="6.42578125" bestFit="1" customWidth="1"/>
    <col min="6404" max="6406" width="7.42578125" bestFit="1" customWidth="1"/>
    <col min="6649" max="6649" width="12.7109375" bestFit="1" customWidth="1"/>
    <col min="6650" max="6650" width="12.28515625" bestFit="1" customWidth="1"/>
    <col min="6651" max="6659" width="6.42578125" bestFit="1" customWidth="1"/>
    <col min="6660" max="6662" width="7.42578125" bestFit="1" customWidth="1"/>
    <col min="6905" max="6905" width="12.7109375" bestFit="1" customWidth="1"/>
    <col min="6906" max="6906" width="12.28515625" bestFit="1" customWidth="1"/>
    <col min="6907" max="6915" width="6.42578125" bestFit="1" customWidth="1"/>
    <col min="6916" max="6918" width="7.42578125" bestFit="1" customWidth="1"/>
    <col min="7161" max="7161" width="12.7109375" bestFit="1" customWidth="1"/>
    <col min="7162" max="7162" width="12.28515625" bestFit="1" customWidth="1"/>
    <col min="7163" max="7171" width="6.42578125" bestFit="1" customWidth="1"/>
    <col min="7172" max="7174" width="7.42578125" bestFit="1" customWidth="1"/>
    <col min="7417" max="7417" width="12.7109375" bestFit="1" customWidth="1"/>
    <col min="7418" max="7418" width="12.28515625" bestFit="1" customWidth="1"/>
    <col min="7419" max="7427" width="6.42578125" bestFit="1" customWidth="1"/>
    <col min="7428" max="7430" width="7.42578125" bestFit="1" customWidth="1"/>
    <col min="7673" max="7673" width="12.7109375" bestFit="1" customWidth="1"/>
    <col min="7674" max="7674" width="12.28515625" bestFit="1" customWidth="1"/>
    <col min="7675" max="7683" width="6.42578125" bestFit="1" customWidth="1"/>
    <col min="7684" max="7686" width="7.42578125" bestFit="1" customWidth="1"/>
    <col min="7929" max="7929" width="12.7109375" bestFit="1" customWidth="1"/>
    <col min="7930" max="7930" width="12.28515625" bestFit="1" customWidth="1"/>
    <col min="7931" max="7939" width="6.42578125" bestFit="1" customWidth="1"/>
    <col min="7940" max="7942" width="7.42578125" bestFit="1" customWidth="1"/>
    <col min="8185" max="8185" width="12.7109375" bestFit="1" customWidth="1"/>
    <col min="8186" max="8186" width="12.28515625" bestFit="1" customWidth="1"/>
    <col min="8187" max="8195" width="6.42578125" bestFit="1" customWidth="1"/>
    <col min="8196" max="8198" width="7.42578125" bestFit="1" customWidth="1"/>
    <col min="8441" max="8441" width="12.7109375" bestFit="1" customWidth="1"/>
    <col min="8442" max="8442" width="12.28515625" bestFit="1" customWidth="1"/>
    <col min="8443" max="8451" width="6.42578125" bestFit="1" customWidth="1"/>
    <col min="8452" max="8454" width="7.42578125" bestFit="1" customWidth="1"/>
    <col min="8697" max="8697" width="12.7109375" bestFit="1" customWidth="1"/>
    <col min="8698" max="8698" width="12.28515625" bestFit="1" customWidth="1"/>
    <col min="8699" max="8707" width="6.42578125" bestFit="1" customWidth="1"/>
    <col min="8708" max="8710" width="7.42578125" bestFit="1" customWidth="1"/>
    <col min="8953" max="8953" width="12.7109375" bestFit="1" customWidth="1"/>
    <col min="8954" max="8954" width="12.28515625" bestFit="1" customWidth="1"/>
    <col min="8955" max="8963" width="6.42578125" bestFit="1" customWidth="1"/>
    <col min="8964" max="8966" width="7.42578125" bestFit="1" customWidth="1"/>
    <col min="9209" max="9209" width="12.7109375" bestFit="1" customWidth="1"/>
    <col min="9210" max="9210" width="12.28515625" bestFit="1" customWidth="1"/>
    <col min="9211" max="9219" width="6.42578125" bestFit="1" customWidth="1"/>
    <col min="9220" max="9222" width="7.42578125" bestFit="1" customWidth="1"/>
    <col min="9465" max="9465" width="12.7109375" bestFit="1" customWidth="1"/>
    <col min="9466" max="9466" width="12.28515625" bestFit="1" customWidth="1"/>
    <col min="9467" max="9475" width="6.42578125" bestFit="1" customWidth="1"/>
    <col min="9476" max="9478" width="7.42578125" bestFit="1" customWidth="1"/>
    <col min="9721" max="9721" width="12.7109375" bestFit="1" customWidth="1"/>
    <col min="9722" max="9722" width="12.28515625" bestFit="1" customWidth="1"/>
    <col min="9723" max="9731" width="6.42578125" bestFit="1" customWidth="1"/>
    <col min="9732" max="9734" width="7.42578125" bestFit="1" customWidth="1"/>
    <col min="9977" max="9977" width="12.7109375" bestFit="1" customWidth="1"/>
    <col min="9978" max="9978" width="12.28515625" bestFit="1" customWidth="1"/>
    <col min="9979" max="9987" width="6.42578125" bestFit="1" customWidth="1"/>
    <col min="9988" max="9990" width="7.42578125" bestFit="1" customWidth="1"/>
    <col min="10233" max="10233" width="12.7109375" bestFit="1" customWidth="1"/>
    <col min="10234" max="10234" width="12.28515625" bestFit="1" customWidth="1"/>
    <col min="10235" max="10243" width="6.42578125" bestFit="1" customWidth="1"/>
    <col min="10244" max="10246" width="7.42578125" bestFit="1" customWidth="1"/>
    <col min="10489" max="10489" width="12.7109375" bestFit="1" customWidth="1"/>
    <col min="10490" max="10490" width="12.28515625" bestFit="1" customWidth="1"/>
    <col min="10491" max="10499" width="6.42578125" bestFit="1" customWidth="1"/>
    <col min="10500" max="10502" width="7.42578125" bestFit="1" customWidth="1"/>
    <col min="10745" max="10745" width="12.7109375" bestFit="1" customWidth="1"/>
    <col min="10746" max="10746" width="12.28515625" bestFit="1" customWidth="1"/>
    <col min="10747" max="10755" width="6.42578125" bestFit="1" customWidth="1"/>
    <col min="10756" max="10758" width="7.42578125" bestFit="1" customWidth="1"/>
    <col min="11001" max="11001" width="12.7109375" bestFit="1" customWidth="1"/>
    <col min="11002" max="11002" width="12.28515625" bestFit="1" customWidth="1"/>
    <col min="11003" max="11011" width="6.42578125" bestFit="1" customWidth="1"/>
    <col min="11012" max="11014" width="7.42578125" bestFit="1" customWidth="1"/>
    <col min="11257" max="11257" width="12.7109375" bestFit="1" customWidth="1"/>
    <col min="11258" max="11258" width="12.28515625" bestFit="1" customWidth="1"/>
    <col min="11259" max="11267" width="6.42578125" bestFit="1" customWidth="1"/>
    <col min="11268" max="11270" width="7.42578125" bestFit="1" customWidth="1"/>
    <col min="11513" max="11513" width="12.7109375" bestFit="1" customWidth="1"/>
    <col min="11514" max="11514" width="12.28515625" bestFit="1" customWidth="1"/>
    <col min="11515" max="11523" width="6.42578125" bestFit="1" customWidth="1"/>
    <col min="11524" max="11526" width="7.42578125" bestFit="1" customWidth="1"/>
    <col min="11769" max="11769" width="12.7109375" bestFit="1" customWidth="1"/>
    <col min="11770" max="11770" width="12.28515625" bestFit="1" customWidth="1"/>
    <col min="11771" max="11779" width="6.42578125" bestFit="1" customWidth="1"/>
    <col min="11780" max="11782" width="7.42578125" bestFit="1" customWidth="1"/>
    <col min="12025" max="12025" width="12.7109375" bestFit="1" customWidth="1"/>
    <col min="12026" max="12026" width="12.28515625" bestFit="1" customWidth="1"/>
    <col min="12027" max="12035" width="6.42578125" bestFit="1" customWidth="1"/>
    <col min="12036" max="12038" width="7.42578125" bestFit="1" customWidth="1"/>
    <col min="12281" max="12281" width="12.7109375" bestFit="1" customWidth="1"/>
    <col min="12282" max="12282" width="12.28515625" bestFit="1" customWidth="1"/>
    <col min="12283" max="12291" width="6.42578125" bestFit="1" customWidth="1"/>
    <col min="12292" max="12294" width="7.42578125" bestFit="1" customWidth="1"/>
    <col min="12537" max="12537" width="12.7109375" bestFit="1" customWidth="1"/>
    <col min="12538" max="12538" width="12.28515625" bestFit="1" customWidth="1"/>
    <col min="12539" max="12547" width="6.42578125" bestFit="1" customWidth="1"/>
    <col min="12548" max="12550" width="7.42578125" bestFit="1" customWidth="1"/>
    <col min="12793" max="12793" width="12.7109375" bestFit="1" customWidth="1"/>
    <col min="12794" max="12794" width="12.28515625" bestFit="1" customWidth="1"/>
    <col min="12795" max="12803" width="6.42578125" bestFit="1" customWidth="1"/>
    <col min="12804" max="12806" width="7.42578125" bestFit="1" customWidth="1"/>
    <col min="13049" max="13049" width="12.7109375" bestFit="1" customWidth="1"/>
    <col min="13050" max="13050" width="12.28515625" bestFit="1" customWidth="1"/>
    <col min="13051" max="13059" width="6.42578125" bestFit="1" customWidth="1"/>
    <col min="13060" max="13062" width="7.42578125" bestFit="1" customWidth="1"/>
    <col min="13305" max="13305" width="12.7109375" bestFit="1" customWidth="1"/>
    <col min="13306" max="13306" width="12.28515625" bestFit="1" customWidth="1"/>
    <col min="13307" max="13315" width="6.42578125" bestFit="1" customWidth="1"/>
    <col min="13316" max="13318" width="7.42578125" bestFit="1" customWidth="1"/>
    <col min="13561" max="13561" width="12.7109375" bestFit="1" customWidth="1"/>
    <col min="13562" max="13562" width="12.28515625" bestFit="1" customWidth="1"/>
    <col min="13563" max="13571" width="6.42578125" bestFit="1" customWidth="1"/>
    <col min="13572" max="13574" width="7.42578125" bestFit="1" customWidth="1"/>
    <col min="13817" max="13817" width="12.7109375" bestFit="1" customWidth="1"/>
    <col min="13818" max="13818" width="12.28515625" bestFit="1" customWidth="1"/>
    <col min="13819" max="13827" width="6.42578125" bestFit="1" customWidth="1"/>
    <col min="13828" max="13830" width="7.42578125" bestFit="1" customWidth="1"/>
    <col min="14073" max="14073" width="12.7109375" bestFit="1" customWidth="1"/>
    <col min="14074" max="14074" width="12.28515625" bestFit="1" customWidth="1"/>
    <col min="14075" max="14083" width="6.42578125" bestFit="1" customWidth="1"/>
    <col min="14084" max="14086" width="7.42578125" bestFit="1" customWidth="1"/>
    <col min="14329" max="14329" width="12.7109375" bestFit="1" customWidth="1"/>
    <col min="14330" max="14330" width="12.28515625" bestFit="1" customWidth="1"/>
    <col min="14331" max="14339" width="6.42578125" bestFit="1" customWidth="1"/>
    <col min="14340" max="14342" width="7.42578125" bestFit="1" customWidth="1"/>
    <col min="14585" max="14585" width="12.7109375" bestFit="1" customWidth="1"/>
    <col min="14586" max="14586" width="12.28515625" bestFit="1" customWidth="1"/>
    <col min="14587" max="14595" width="6.42578125" bestFit="1" customWidth="1"/>
    <col min="14596" max="14598" width="7.42578125" bestFit="1" customWidth="1"/>
    <col min="14841" max="14841" width="12.7109375" bestFit="1" customWidth="1"/>
    <col min="14842" max="14842" width="12.28515625" bestFit="1" customWidth="1"/>
    <col min="14843" max="14851" width="6.42578125" bestFit="1" customWidth="1"/>
    <col min="14852" max="14854" width="7.42578125" bestFit="1" customWidth="1"/>
    <col min="15097" max="15097" width="12.7109375" bestFit="1" customWidth="1"/>
    <col min="15098" max="15098" width="12.28515625" bestFit="1" customWidth="1"/>
    <col min="15099" max="15107" width="6.42578125" bestFit="1" customWidth="1"/>
    <col min="15108" max="15110" width="7.42578125" bestFit="1" customWidth="1"/>
    <col min="15353" max="15353" width="12.7109375" bestFit="1" customWidth="1"/>
    <col min="15354" max="15354" width="12.28515625" bestFit="1" customWidth="1"/>
    <col min="15355" max="15363" width="6.42578125" bestFit="1" customWidth="1"/>
    <col min="15364" max="15366" width="7.42578125" bestFit="1" customWidth="1"/>
    <col min="15609" max="15609" width="12.7109375" bestFit="1" customWidth="1"/>
    <col min="15610" max="15610" width="12.28515625" bestFit="1" customWidth="1"/>
    <col min="15611" max="15619" width="6.42578125" bestFit="1" customWidth="1"/>
    <col min="15620" max="15622" width="7.42578125" bestFit="1" customWidth="1"/>
    <col min="15865" max="15865" width="12.7109375" bestFit="1" customWidth="1"/>
    <col min="15866" max="15866" width="12.28515625" bestFit="1" customWidth="1"/>
    <col min="15867" max="15875" width="6.42578125" bestFit="1" customWidth="1"/>
    <col min="15876" max="15878" width="7.42578125" bestFit="1" customWidth="1"/>
    <col min="16121" max="16121" width="12.7109375" bestFit="1" customWidth="1"/>
    <col min="16122" max="16122" width="12.28515625" bestFit="1" customWidth="1"/>
    <col min="16123" max="16131" width="6.42578125" bestFit="1" customWidth="1"/>
    <col min="16132" max="16134" width="7.42578125" bestFit="1" customWidth="1"/>
  </cols>
  <sheetData>
    <row r="1" spans="1:25" ht="15.75" customHeight="1" x14ac:dyDescent="0.25">
      <c r="A1" s="54" t="s">
        <v>65</v>
      </c>
      <c r="B1" s="55" t="s">
        <v>66</v>
      </c>
      <c r="C1" s="56" t="s">
        <v>69</v>
      </c>
      <c r="D1" s="56" t="s">
        <v>72</v>
      </c>
      <c r="E1" s="56" t="s">
        <v>68</v>
      </c>
      <c r="F1" s="56" t="s">
        <v>73</v>
      </c>
      <c r="G1" s="56" t="s">
        <v>74</v>
      </c>
      <c r="H1" s="56" t="s">
        <v>180</v>
      </c>
      <c r="I1" s="56" t="s">
        <v>173</v>
      </c>
      <c r="J1" s="56" t="s">
        <v>174</v>
      </c>
      <c r="K1" s="56" t="s">
        <v>25</v>
      </c>
      <c r="L1" s="56" t="s">
        <v>181</v>
      </c>
      <c r="M1" s="56" t="s">
        <v>182</v>
      </c>
      <c r="N1" s="56" t="s">
        <v>183</v>
      </c>
      <c r="O1" s="56" t="s">
        <v>184</v>
      </c>
      <c r="P1" s="56" t="s">
        <v>185</v>
      </c>
      <c r="Q1" s="56" t="s">
        <v>186</v>
      </c>
      <c r="R1" s="56" t="s">
        <v>187</v>
      </c>
      <c r="S1" s="56" t="s">
        <v>188</v>
      </c>
      <c r="T1" s="56" t="s">
        <v>189</v>
      </c>
      <c r="U1" s="56" t="s">
        <v>246</v>
      </c>
      <c r="V1" s="56" t="s">
        <v>247</v>
      </c>
      <c r="W1" s="56" t="s">
        <v>248</v>
      </c>
      <c r="X1" s="56" t="s">
        <v>249</v>
      </c>
      <c r="Y1" s="56" t="s">
        <v>67</v>
      </c>
    </row>
    <row r="2" spans="1:25" ht="15.75" thickBot="1" x14ac:dyDescent="0.3">
      <c r="A2" s="57" t="s">
        <v>92</v>
      </c>
      <c r="B2" s="58" t="s">
        <v>93</v>
      </c>
      <c r="C2" s="59" t="s">
        <v>70</v>
      </c>
      <c r="D2" s="59" t="s">
        <v>70</v>
      </c>
      <c r="E2" s="59" t="s">
        <v>70</v>
      </c>
      <c r="F2" s="59" t="s">
        <v>70</v>
      </c>
      <c r="G2" s="59" t="s">
        <v>70</v>
      </c>
      <c r="H2" s="59" t="s">
        <v>70</v>
      </c>
      <c r="I2" s="59" t="s">
        <v>70</v>
      </c>
      <c r="J2" s="59" t="s">
        <v>70</v>
      </c>
      <c r="K2" s="59" t="s">
        <v>70</v>
      </c>
      <c r="L2" s="59" t="s">
        <v>70</v>
      </c>
      <c r="M2" s="59" t="s">
        <v>70</v>
      </c>
      <c r="N2" s="59" t="s">
        <v>70</v>
      </c>
      <c r="O2" s="59" t="s">
        <v>70</v>
      </c>
      <c r="P2" s="59" t="s">
        <v>70</v>
      </c>
      <c r="Q2" s="59" t="s">
        <v>70</v>
      </c>
      <c r="R2" s="59" t="s">
        <v>70</v>
      </c>
      <c r="S2" s="59" t="s">
        <v>70</v>
      </c>
      <c r="T2" s="59" t="s">
        <v>70</v>
      </c>
      <c r="U2" s="59" t="s">
        <v>70</v>
      </c>
      <c r="V2" s="59" t="s">
        <v>70</v>
      </c>
      <c r="W2" s="59" t="s">
        <v>70</v>
      </c>
      <c r="X2" s="59" t="s">
        <v>70</v>
      </c>
      <c r="Y2" s="59" t="s">
        <v>70</v>
      </c>
    </row>
    <row r="3" spans="1:25" ht="16.5" thickTop="1" thickBot="1" x14ac:dyDescent="0.3">
      <c r="A3" s="60" t="s">
        <v>94</v>
      </c>
      <c r="B3" s="61" t="s">
        <v>190</v>
      </c>
      <c r="C3" s="59" t="s">
        <v>70</v>
      </c>
      <c r="D3" s="59" t="s">
        <v>70</v>
      </c>
      <c r="E3" s="59" t="s">
        <v>70</v>
      </c>
      <c r="F3" s="59" t="s">
        <v>70</v>
      </c>
      <c r="G3" s="59" t="s">
        <v>70</v>
      </c>
      <c r="H3" s="59" t="s">
        <v>70</v>
      </c>
      <c r="I3" s="59" t="s">
        <v>70</v>
      </c>
      <c r="J3" s="59" t="s">
        <v>70</v>
      </c>
      <c r="K3" s="59" t="s">
        <v>70</v>
      </c>
      <c r="L3" s="59" t="s">
        <v>70</v>
      </c>
      <c r="M3" s="59" t="s">
        <v>70</v>
      </c>
      <c r="N3" s="59" t="s">
        <v>70</v>
      </c>
      <c r="O3" s="59" t="s">
        <v>70</v>
      </c>
      <c r="P3" s="59" t="s">
        <v>70</v>
      </c>
      <c r="Q3" s="59" t="s">
        <v>70</v>
      </c>
      <c r="R3" s="59" t="s">
        <v>70</v>
      </c>
      <c r="S3" s="59" t="s">
        <v>70</v>
      </c>
      <c r="T3" s="59" t="s">
        <v>70</v>
      </c>
      <c r="U3" s="59" t="s">
        <v>70</v>
      </c>
      <c r="V3" s="59" t="s">
        <v>70</v>
      </c>
      <c r="W3" s="59" t="s">
        <v>70</v>
      </c>
      <c r="X3" s="59" t="s">
        <v>70</v>
      </c>
      <c r="Y3" s="59" t="s">
        <v>70</v>
      </c>
    </row>
    <row r="4" spans="1:25" ht="16.5" thickTop="1" thickBot="1" x14ac:dyDescent="0.3">
      <c r="A4" s="60" t="s">
        <v>95</v>
      </c>
      <c r="B4" s="61" t="s">
        <v>102</v>
      </c>
      <c r="C4" s="59" t="s">
        <v>70</v>
      </c>
      <c r="D4" s="59" t="s">
        <v>70</v>
      </c>
      <c r="E4" s="59" t="s">
        <v>70</v>
      </c>
      <c r="F4" s="59" t="s">
        <v>70</v>
      </c>
      <c r="G4" s="59" t="s">
        <v>70</v>
      </c>
      <c r="H4" s="59" t="s">
        <v>70</v>
      </c>
      <c r="I4" s="59" t="s">
        <v>70</v>
      </c>
      <c r="J4" s="59" t="s">
        <v>70</v>
      </c>
      <c r="K4" s="59" t="s">
        <v>70</v>
      </c>
      <c r="L4" s="59" t="s">
        <v>70</v>
      </c>
      <c r="M4" s="59" t="s">
        <v>70</v>
      </c>
      <c r="N4" s="59" t="s">
        <v>70</v>
      </c>
      <c r="O4" s="59" t="s">
        <v>70</v>
      </c>
      <c r="P4" s="59" t="s">
        <v>70</v>
      </c>
      <c r="Q4" s="59" t="s">
        <v>70</v>
      </c>
      <c r="R4" s="59" t="s">
        <v>70</v>
      </c>
      <c r="S4" s="59" t="s">
        <v>70</v>
      </c>
      <c r="T4" s="59" t="s">
        <v>70</v>
      </c>
      <c r="U4" s="59" t="s">
        <v>70</v>
      </c>
      <c r="V4" s="59" t="s">
        <v>70</v>
      </c>
      <c r="W4" s="59" t="s">
        <v>70</v>
      </c>
      <c r="X4" s="59" t="s">
        <v>70</v>
      </c>
      <c r="Y4" s="59" t="s">
        <v>70</v>
      </c>
    </row>
    <row r="5" spans="1:25" ht="16.5" thickTop="1" thickBot="1" x14ac:dyDescent="0.3">
      <c r="A5" s="60" t="s">
        <v>96</v>
      </c>
      <c r="B5" s="61" t="s">
        <v>103</v>
      </c>
      <c r="C5" s="59" t="s">
        <v>70</v>
      </c>
      <c r="D5" s="59" t="s">
        <v>70</v>
      </c>
      <c r="E5" s="59" t="s">
        <v>70</v>
      </c>
      <c r="F5" s="59" t="s">
        <v>70</v>
      </c>
      <c r="G5" s="59" t="s">
        <v>70</v>
      </c>
      <c r="H5" s="59" t="s">
        <v>70</v>
      </c>
      <c r="I5" s="59" t="s">
        <v>70</v>
      </c>
      <c r="J5" s="59" t="s">
        <v>70</v>
      </c>
      <c r="K5" s="59" t="s">
        <v>70</v>
      </c>
      <c r="L5" s="59" t="s">
        <v>70</v>
      </c>
      <c r="M5" s="59" t="s">
        <v>70</v>
      </c>
      <c r="N5" s="59" t="s">
        <v>70</v>
      </c>
      <c r="O5" s="59" t="s">
        <v>70</v>
      </c>
      <c r="P5" s="59" t="s">
        <v>70</v>
      </c>
      <c r="Q5" s="59" t="s">
        <v>70</v>
      </c>
      <c r="R5" s="59" t="s">
        <v>70</v>
      </c>
      <c r="S5" s="59" t="s">
        <v>70</v>
      </c>
      <c r="T5" s="59" t="s">
        <v>70</v>
      </c>
      <c r="U5" s="59" t="s">
        <v>70</v>
      </c>
      <c r="V5" s="59" t="s">
        <v>70</v>
      </c>
      <c r="W5" s="59" t="s">
        <v>70</v>
      </c>
      <c r="X5" s="59" t="s">
        <v>70</v>
      </c>
      <c r="Y5" s="59" t="s">
        <v>70</v>
      </c>
    </row>
    <row r="6" spans="1:25" ht="16.5" thickTop="1" thickBot="1" x14ac:dyDescent="0.3">
      <c r="A6" s="60" t="s">
        <v>97</v>
      </c>
      <c r="B6" s="61" t="s">
        <v>104</v>
      </c>
      <c r="C6" s="59" t="s">
        <v>70</v>
      </c>
      <c r="D6" s="59" t="s">
        <v>70</v>
      </c>
      <c r="E6" s="59" t="s">
        <v>70</v>
      </c>
      <c r="F6" s="59" t="s">
        <v>70</v>
      </c>
      <c r="G6" s="59" t="s">
        <v>70</v>
      </c>
      <c r="H6" s="59" t="s">
        <v>70</v>
      </c>
      <c r="I6" s="59" t="s">
        <v>70</v>
      </c>
      <c r="J6" s="59" t="s">
        <v>70</v>
      </c>
      <c r="K6" s="59" t="s">
        <v>70</v>
      </c>
      <c r="L6" s="59" t="s">
        <v>70</v>
      </c>
      <c r="M6" s="59" t="s">
        <v>70</v>
      </c>
      <c r="N6" s="59" t="s">
        <v>70</v>
      </c>
      <c r="O6" s="59" t="s">
        <v>70</v>
      </c>
      <c r="P6" s="59" t="s">
        <v>70</v>
      </c>
      <c r="Q6" s="59" t="s">
        <v>70</v>
      </c>
      <c r="R6" s="59" t="s">
        <v>70</v>
      </c>
      <c r="S6" s="59" t="s">
        <v>70</v>
      </c>
      <c r="T6" s="59" t="s">
        <v>70</v>
      </c>
      <c r="U6" s="59" t="s">
        <v>70</v>
      </c>
      <c r="V6" s="59" t="s">
        <v>70</v>
      </c>
      <c r="W6" s="59" t="s">
        <v>70</v>
      </c>
      <c r="X6" s="59" t="s">
        <v>70</v>
      </c>
      <c r="Y6" s="59" t="s">
        <v>70</v>
      </c>
    </row>
    <row r="7" spans="1:25" ht="16.5" thickTop="1" thickBot="1" x14ac:dyDescent="0.3">
      <c r="A7" s="60" t="s">
        <v>98</v>
      </c>
      <c r="B7" s="61" t="s">
        <v>105</v>
      </c>
      <c r="C7" s="62"/>
      <c r="D7" s="62" t="s">
        <v>70</v>
      </c>
      <c r="E7" s="59" t="s">
        <v>70</v>
      </c>
      <c r="F7" s="59" t="s">
        <v>70</v>
      </c>
      <c r="G7" s="59"/>
      <c r="H7" s="59" t="s">
        <v>70</v>
      </c>
      <c r="I7" s="59" t="s">
        <v>70</v>
      </c>
      <c r="J7" s="59" t="s">
        <v>70</v>
      </c>
      <c r="K7" s="59" t="s">
        <v>70</v>
      </c>
      <c r="L7" s="59" t="s">
        <v>70</v>
      </c>
      <c r="M7" s="59" t="s">
        <v>70</v>
      </c>
      <c r="N7" s="59" t="s">
        <v>70</v>
      </c>
      <c r="O7" s="59" t="s">
        <v>70</v>
      </c>
      <c r="P7" s="59" t="s">
        <v>70</v>
      </c>
      <c r="Q7" s="59" t="s">
        <v>70</v>
      </c>
      <c r="R7" s="59" t="s">
        <v>70</v>
      </c>
      <c r="S7" s="59" t="s">
        <v>70</v>
      </c>
      <c r="T7" s="59" t="s">
        <v>70</v>
      </c>
      <c r="U7" s="59" t="s">
        <v>70</v>
      </c>
      <c r="V7" s="59" t="s">
        <v>70</v>
      </c>
      <c r="W7" s="59" t="s">
        <v>70</v>
      </c>
      <c r="X7" s="59" t="s">
        <v>70</v>
      </c>
      <c r="Y7" s="59"/>
    </row>
    <row r="8" spans="1:25" ht="16.5" thickTop="1" thickBot="1" x14ac:dyDescent="0.3">
      <c r="A8" s="60" t="s">
        <v>99</v>
      </c>
      <c r="B8" s="61" t="s">
        <v>106</v>
      </c>
      <c r="C8" s="62"/>
      <c r="D8" s="62" t="s">
        <v>70</v>
      </c>
      <c r="E8" s="59" t="s">
        <v>70</v>
      </c>
      <c r="F8" s="59" t="s">
        <v>70</v>
      </c>
      <c r="G8" s="59"/>
      <c r="H8" s="59" t="s">
        <v>70</v>
      </c>
      <c r="I8" s="59" t="s">
        <v>70</v>
      </c>
      <c r="J8" s="59" t="s">
        <v>70</v>
      </c>
      <c r="K8" s="59" t="s">
        <v>70</v>
      </c>
      <c r="L8" s="59" t="s">
        <v>70</v>
      </c>
      <c r="M8" s="59" t="s">
        <v>70</v>
      </c>
      <c r="N8" s="59" t="s">
        <v>70</v>
      </c>
      <c r="O8" s="59" t="s">
        <v>70</v>
      </c>
      <c r="P8" s="59" t="s">
        <v>70</v>
      </c>
      <c r="Q8" s="59" t="s">
        <v>70</v>
      </c>
      <c r="R8" s="59" t="s">
        <v>70</v>
      </c>
      <c r="S8" s="59" t="s">
        <v>70</v>
      </c>
      <c r="T8" s="59" t="s">
        <v>70</v>
      </c>
      <c r="U8" s="59" t="s">
        <v>70</v>
      </c>
      <c r="V8" s="59" t="s">
        <v>70</v>
      </c>
      <c r="W8" s="59" t="s">
        <v>70</v>
      </c>
      <c r="X8" s="59" t="s">
        <v>70</v>
      </c>
      <c r="Y8" s="59"/>
    </row>
    <row r="9" spans="1:25" ht="16.5" thickTop="1" thickBot="1" x14ac:dyDescent="0.3">
      <c r="A9" s="60" t="s">
        <v>100</v>
      </c>
      <c r="B9" s="61" t="s">
        <v>107</v>
      </c>
      <c r="C9" s="62"/>
      <c r="D9" s="62" t="s">
        <v>70</v>
      </c>
      <c r="E9" s="59" t="s">
        <v>70</v>
      </c>
      <c r="F9" s="59" t="s">
        <v>70</v>
      </c>
      <c r="G9" s="59"/>
      <c r="H9" s="59" t="s">
        <v>70</v>
      </c>
      <c r="I9" s="59" t="s">
        <v>70</v>
      </c>
      <c r="J9" s="59" t="s">
        <v>70</v>
      </c>
      <c r="K9" s="59" t="s">
        <v>70</v>
      </c>
      <c r="L9" s="59" t="s">
        <v>70</v>
      </c>
      <c r="M9" s="59" t="s">
        <v>70</v>
      </c>
      <c r="N9" s="59" t="s">
        <v>70</v>
      </c>
      <c r="O9" s="59" t="s">
        <v>70</v>
      </c>
      <c r="P9" s="59" t="s">
        <v>70</v>
      </c>
      <c r="Q9" s="59" t="s">
        <v>70</v>
      </c>
      <c r="R9" s="59" t="s">
        <v>70</v>
      </c>
      <c r="S9" s="59" t="s">
        <v>70</v>
      </c>
      <c r="T9" s="59" t="s">
        <v>70</v>
      </c>
      <c r="U9" s="59" t="s">
        <v>70</v>
      </c>
      <c r="V9" s="59" t="s">
        <v>70</v>
      </c>
      <c r="W9" s="59" t="s">
        <v>70</v>
      </c>
      <c r="X9" s="59" t="s">
        <v>70</v>
      </c>
      <c r="Y9" s="59"/>
    </row>
    <row r="10" spans="1:25" ht="16.5" thickTop="1" thickBot="1" x14ac:dyDescent="0.3">
      <c r="A10" s="60" t="s">
        <v>101</v>
      </c>
      <c r="B10" s="61" t="s">
        <v>108</v>
      </c>
      <c r="C10" s="62"/>
      <c r="D10" s="62" t="s">
        <v>70</v>
      </c>
      <c r="E10" s="59" t="s">
        <v>70</v>
      </c>
      <c r="F10" s="59" t="s">
        <v>70</v>
      </c>
      <c r="G10" s="59"/>
      <c r="H10" s="59" t="s">
        <v>70</v>
      </c>
      <c r="I10" s="59" t="s">
        <v>70</v>
      </c>
      <c r="J10" s="59" t="s">
        <v>70</v>
      </c>
      <c r="K10" s="59" t="s">
        <v>70</v>
      </c>
      <c r="L10" s="59" t="s">
        <v>70</v>
      </c>
      <c r="M10" s="59" t="s">
        <v>70</v>
      </c>
      <c r="N10" s="59" t="s">
        <v>70</v>
      </c>
      <c r="O10" s="59" t="s">
        <v>70</v>
      </c>
      <c r="P10" s="59" t="s">
        <v>70</v>
      </c>
      <c r="Q10" s="59" t="s">
        <v>70</v>
      </c>
      <c r="R10" s="59" t="s">
        <v>70</v>
      </c>
      <c r="S10" s="59" t="s">
        <v>70</v>
      </c>
      <c r="T10" s="59" t="s">
        <v>70</v>
      </c>
      <c r="U10" s="59" t="s">
        <v>70</v>
      </c>
      <c r="V10" s="59" t="s">
        <v>70</v>
      </c>
      <c r="W10" s="59" t="s">
        <v>70</v>
      </c>
      <c r="X10" s="59" t="s">
        <v>70</v>
      </c>
      <c r="Y10" s="59"/>
    </row>
    <row r="11" spans="1:25" ht="15.75" thickTop="1" x14ac:dyDescent="0.25">
      <c r="C11" s="64"/>
      <c r="D11" s="64"/>
      <c r="E11" s="64"/>
    </row>
    <row r="18" spans="1:13" ht="18" x14ac:dyDescent="0.25">
      <c r="M18" s="63" t="s">
        <v>71</v>
      </c>
    </row>
    <row r="20" spans="1:13" s="26" customFormat="1" x14ac:dyDescent="0.25">
      <c r="A20"/>
      <c r="B20" s="7"/>
      <c r="D2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59</vt:i4>
      </vt:variant>
    </vt:vector>
  </HeadingPairs>
  <TitlesOfParts>
    <vt:vector size="82" baseType="lpstr">
      <vt:lpstr>Menu</vt:lpstr>
      <vt:lpstr>Programme</vt:lpstr>
      <vt:lpstr>Espace Admin</vt:lpstr>
      <vt:lpstr>Paramètres</vt:lpstr>
      <vt:lpstr>Données</vt:lpstr>
      <vt:lpstr>Reseaux</vt:lpstr>
      <vt:lpstr>DS</vt:lpstr>
      <vt:lpstr>PS</vt:lpstr>
      <vt:lpstr>ASBL</vt:lpstr>
      <vt:lpstr>RecapGlobal</vt:lpstr>
      <vt:lpstr>Reseaux-mois</vt:lpstr>
      <vt:lpstr>DS-mois</vt:lpstr>
      <vt:lpstr>PS-mois</vt:lpstr>
      <vt:lpstr>ASBL-mois</vt:lpstr>
      <vt:lpstr>Reseaux-Période</vt:lpstr>
      <vt:lpstr>DS-Période</vt:lpstr>
      <vt:lpstr>PS-Période</vt:lpstr>
      <vt:lpstr>ASBL-Période</vt:lpstr>
      <vt:lpstr>Reseaux-année</vt:lpstr>
      <vt:lpstr>DS-année</vt:lpstr>
      <vt:lpstr>PS-année</vt:lpstr>
      <vt:lpstr>ASBL-année</vt:lpstr>
      <vt:lpstr>Accès</vt:lpstr>
      <vt:lpstr>ASBL!Cible</vt:lpstr>
      <vt:lpstr>'ASBL-année'!Cible</vt:lpstr>
      <vt:lpstr>'ASBL-mois'!Cible</vt:lpstr>
      <vt:lpstr>'ASBL-Période'!Cible</vt:lpstr>
      <vt:lpstr>DS!Cible</vt:lpstr>
      <vt:lpstr>'DS-année'!Cible</vt:lpstr>
      <vt:lpstr>'DS-mois'!Cible</vt:lpstr>
      <vt:lpstr>'DS-Période'!Cible</vt:lpstr>
      <vt:lpstr>'Espace Admin'!Cible</vt:lpstr>
      <vt:lpstr>PS!Cible</vt:lpstr>
      <vt:lpstr>'PS-année'!Cible</vt:lpstr>
      <vt:lpstr>'PS-mois'!Cible</vt:lpstr>
      <vt:lpstr>'PS-Période'!Cible</vt:lpstr>
      <vt:lpstr>RecapGlobal!Cible</vt:lpstr>
      <vt:lpstr>Reseaux!Cible</vt:lpstr>
      <vt:lpstr>'Reseaux-année'!Cible</vt:lpstr>
      <vt:lpstr>'Reseaux-mois'!Cible</vt:lpstr>
      <vt:lpstr>'Reseaux-Période'!Cible</vt:lpstr>
      <vt:lpstr>Cible</vt:lpstr>
      <vt:lpstr>ASBL!LieuIntervention</vt:lpstr>
      <vt:lpstr>'ASBL-année'!LieuIntervention</vt:lpstr>
      <vt:lpstr>'ASBL-mois'!LieuIntervention</vt:lpstr>
      <vt:lpstr>'ASBL-Période'!LieuIntervention</vt:lpstr>
      <vt:lpstr>DS!LieuIntervention</vt:lpstr>
      <vt:lpstr>'DS-année'!LieuIntervention</vt:lpstr>
      <vt:lpstr>'DS-mois'!LieuIntervention</vt:lpstr>
      <vt:lpstr>'DS-Période'!LieuIntervention</vt:lpstr>
      <vt:lpstr>'Espace Admin'!LieuIntervention</vt:lpstr>
      <vt:lpstr>PS!LieuIntervention</vt:lpstr>
      <vt:lpstr>'PS-année'!LieuIntervention</vt:lpstr>
      <vt:lpstr>'PS-mois'!LieuIntervention</vt:lpstr>
      <vt:lpstr>'PS-Période'!LieuIntervention</vt:lpstr>
      <vt:lpstr>RecapGlobal!LieuIntervention</vt:lpstr>
      <vt:lpstr>Reseaux!LieuIntervention</vt:lpstr>
      <vt:lpstr>'Reseaux-année'!LieuIntervention</vt:lpstr>
      <vt:lpstr>'Reseaux-mois'!LieuIntervention</vt:lpstr>
      <vt:lpstr>'Reseaux-Période'!LieuIntervention</vt:lpstr>
      <vt:lpstr>LieuIntervention</vt:lpstr>
      <vt:lpstr>ASBL!Matdistribué</vt:lpstr>
      <vt:lpstr>'ASBL-année'!Matdistribué</vt:lpstr>
      <vt:lpstr>'ASBL-mois'!Matdistribué</vt:lpstr>
      <vt:lpstr>'ASBL-Période'!Matdistribué</vt:lpstr>
      <vt:lpstr>DS!Matdistribué</vt:lpstr>
      <vt:lpstr>'DS-année'!Matdistribué</vt:lpstr>
      <vt:lpstr>'DS-mois'!Matdistribué</vt:lpstr>
      <vt:lpstr>'DS-Période'!Matdistribué</vt:lpstr>
      <vt:lpstr>'Espace Admin'!Matdistribué</vt:lpstr>
      <vt:lpstr>PS!Matdistribué</vt:lpstr>
      <vt:lpstr>'PS-année'!Matdistribué</vt:lpstr>
      <vt:lpstr>'PS-mois'!Matdistribué</vt:lpstr>
      <vt:lpstr>'PS-Période'!Matdistribué</vt:lpstr>
      <vt:lpstr>RecapGlobal!Matdistribué</vt:lpstr>
      <vt:lpstr>Reseaux!Matdistribué</vt:lpstr>
      <vt:lpstr>'Reseaux-année'!Matdistribué</vt:lpstr>
      <vt:lpstr>'Reseaux-mois'!Matdistribué</vt:lpstr>
      <vt:lpstr>'Reseaux-Période'!Matdistribué</vt:lpstr>
      <vt:lpstr>Matdistribué</vt:lpstr>
      <vt:lpstr>Thèmes</vt:lpstr>
      <vt:lpstr>Variables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BD Capitalisation</dc:title>
  <dc:creator/>
  <cp:lastModifiedBy/>
  <dcterms:created xsi:type="dcterms:W3CDTF">2006-09-16T00:00:00Z</dcterms:created>
  <dcterms:modified xsi:type="dcterms:W3CDTF">2016-11-27T15:28:35Z</dcterms:modified>
</cp:coreProperties>
</file>