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/>
  <mc:AlternateContent xmlns:mc="http://schemas.openxmlformats.org/markup-compatibility/2006">
    <mc:Choice Requires="x15">
      <x15ac:absPath xmlns:x15ac="http://schemas.microsoft.com/office/spreadsheetml/2010/11/ac" url="https://cevalogisticsoffice365.sharepoint.com/sites/ovlkosice/Shared Documents/Produktivita/plachty 2024/"/>
    </mc:Choice>
  </mc:AlternateContent>
  <xr:revisionPtr revIDLastSave="380" documentId="8_{CAE5FB0B-4804-46D4-A03A-986000EF9FE3}" xr6:coauthVersionLast="47" xr6:coauthVersionMax="47" xr10:uidLastSave="{CCA98DC1-6B18-4BC3-9157-1D20BA4C116B}"/>
  <bookViews>
    <workbookView xWindow="28680" yWindow="-120" windowWidth="29040" windowHeight="15720" tabRatio="449" firstSheet="1" activeTab="1" xr2:uid="{00000000-000D-0000-FFFF-FFFF00000000}"/>
  </bookViews>
  <sheets>
    <sheet name="INE MSG" sheetId="7" r:id="rId1"/>
    <sheet name="Ushi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" i="1" l="1"/>
  <c r="V11" i="1"/>
  <c r="AB11" i="1"/>
  <c r="AC11" i="1"/>
  <c r="AL11" i="1"/>
  <c r="AN11" i="1"/>
  <c r="A10" i="1"/>
  <c r="U10" i="1"/>
  <c r="V10" i="1" s="1"/>
  <c r="AB10" i="1"/>
  <c r="AC10" i="1"/>
  <c r="AL10" i="1"/>
  <c r="AN10" i="1"/>
  <c r="U9" i="1" l="1"/>
  <c r="V9" i="1"/>
  <c r="AB9" i="1"/>
  <c r="AC9" i="1"/>
  <c r="AL9" i="1"/>
  <c r="AN9" i="1"/>
  <c r="A13" i="7"/>
  <c r="U13" i="7"/>
  <c r="V13" i="7" s="1"/>
  <c r="AB13" i="7"/>
  <c r="AC13" i="7"/>
  <c r="AL13" i="7"/>
  <c r="AN13" i="7"/>
  <c r="AB14" i="7"/>
  <c r="AC14" i="7"/>
  <c r="AL14" i="7"/>
  <c r="AN14" i="7"/>
  <c r="A14" i="7"/>
  <c r="U14" i="7"/>
  <c r="V14" i="7" s="1"/>
  <c r="A8" i="1" l="1"/>
  <c r="U8" i="1"/>
  <c r="V8" i="1" s="1"/>
  <c r="AB8" i="1"/>
  <c r="AC8" i="1"/>
  <c r="AL8" i="1"/>
  <c r="AN8" i="1"/>
  <c r="A7" i="1"/>
  <c r="U7" i="1"/>
  <c r="V7" i="1" s="1"/>
  <c r="AB7" i="1"/>
  <c r="AC7" i="1"/>
  <c r="AL7" i="1"/>
  <c r="AN7" i="1"/>
  <c r="A6" i="1"/>
  <c r="U6" i="1"/>
  <c r="V6" i="1" s="1"/>
  <c r="AB6" i="1"/>
  <c r="AC6" i="1"/>
  <c r="AL6" i="1"/>
  <c r="AN6" i="1"/>
  <c r="A5" i="1"/>
  <c r="U5" i="1"/>
  <c r="V5" i="1" s="1"/>
  <c r="AB5" i="1"/>
  <c r="AC5" i="1"/>
  <c r="AL5" i="1"/>
  <c r="AN5" i="1"/>
  <c r="A12" i="7" l="1"/>
  <c r="U12" i="7"/>
  <c r="V12" i="7" s="1"/>
  <c r="AB12" i="7"/>
  <c r="AC12" i="7"/>
  <c r="AL12" i="7"/>
  <c r="AN12" i="7"/>
  <c r="A11" i="7"/>
  <c r="U11" i="7"/>
  <c r="V11" i="7" s="1"/>
  <c r="AB11" i="7"/>
  <c r="AC11" i="7"/>
  <c r="AL11" i="7"/>
  <c r="AN11" i="7"/>
  <c r="A10" i="7"/>
  <c r="U10" i="7"/>
  <c r="V10" i="7" s="1"/>
  <c r="AB10" i="7"/>
  <c r="AC10" i="7"/>
  <c r="AL10" i="7"/>
  <c r="AN10" i="7"/>
  <c r="A4" i="1"/>
  <c r="U4" i="1"/>
  <c r="V4" i="1" s="1"/>
  <c r="AB4" i="1"/>
  <c r="AC4" i="1"/>
  <c r="AL4" i="1"/>
  <c r="AN4" i="1"/>
  <c r="A9" i="7"/>
  <c r="U9" i="7"/>
  <c r="V9" i="7" s="1"/>
  <c r="AB9" i="7"/>
  <c r="AC9" i="7"/>
  <c r="AL9" i="7"/>
  <c r="AN9" i="7"/>
  <c r="A8" i="7"/>
  <c r="U8" i="7"/>
  <c r="V8" i="7" s="1"/>
  <c r="AB8" i="7"/>
  <c r="AC8" i="7"/>
  <c r="AL8" i="7"/>
  <c r="AN8" i="7"/>
  <c r="A3" i="1" l="1"/>
  <c r="U3" i="1"/>
  <c r="V3" i="1" s="1"/>
  <c r="AB3" i="1"/>
  <c r="AC3" i="1"/>
  <c r="AL3" i="1"/>
  <c r="AN3" i="1"/>
  <c r="A6" i="7" l="1"/>
  <c r="U6" i="7"/>
  <c r="V6" i="7" s="1"/>
  <c r="AB6" i="7"/>
  <c r="AC6" i="7"/>
  <c r="AL6" i="7"/>
  <c r="AN6" i="7"/>
  <c r="A7" i="7"/>
  <c r="U7" i="7"/>
  <c r="V7" i="7" s="1"/>
  <c r="AB7" i="7"/>
  <c r="AC7" i="7"/>
  <c r="AL7" i="7"/>
  <c r="AN7" i="7"/>
  <c r="A5" i="7"/>
  <c r="U5" i="7"/>
  <c r="V5" i="7" s="1"/>
  <c r="AB5" i="7"/>
  <c r="AC5" i="7"/>
  <c r="AL5" i="7"/>
  <c r="AN5" i="7"/>
  <c r="A4" i="7"/>
  <c r="U4" i="7"/>
  <c r="V4" i="7" s="1"/>
  <c r="AB4" i="7"/>
  <c r="AC4" i="7"/>
  <c r="AL4" i="7"/>
  <c r="AN4" i="7"/>
  <c r="A3" i="7"/>
  <c r="U3" i="7"/>
  <c r="V3" i="7" s="1"/>
  <c r="AB3" i="7"/>
  <c r="AC3" i="7"/>
  <c r="AL3" i="7"/>
  <c r="AN3" i="7"/>
  <c r="AB2" i="7"/>
  <c r="A2" i="7"/>
  <c r="U2" i="7"/>
  <c r="V2" i="7" s="1"/>
  <c r="AC2" i="7"/>
  <c r="AL2" i="7"/>
  <c r="AN2" i="7"/>
  <c r="A2" i="1" l="1"/>
  <c r="U2" i="1"/>
  <c r="V2" i="1" s="1"/>
  <c r="AB2" i="1"/>
  <c r="AC2" i="1"/>
  <c r="AL2" i="1"/>
  <c r="A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KOLESAR Tomas</author>
  </authors>
  <commentList>
    <comment ref="S2" authorId="0" shapeId="0" xr:uid="{84457866-21C0-4844-8169-388DE8AD1C6C}">
      <text>
        <r>
          <rPr>
            <b/>
            <sz val="9"/>
            <color indexed="81"/>
            <rFont val="Segoe UI"/>
            <family val="2"/>
          </rPr>
          <t>KOLESAR Tomas:</t>
        </r>
        <r>
          <rPr>
            <sz val="9"/>
            <color indexed="81"/>
            <rFont val="Segoe UI"/>
            <family val="2"/>
          </rPr>
          <t xml:space="preserve">
792E + 20,50E (25.000E) pripoistenie</t>
        </r>
      </text>
    </comment>
    <comment ref="S3" authorId="0" shapeId="0" xr:uid="{5535B5E2-0474-4AB2-B1EE-3C87DFA74DFC}">
      <text>
        <r>
          <rPr>
            <b/>
            <sz val="9"/>
            <color indexed="81"/>
            <rFont val="Segoe UI"/>
            <family val="2"/>
          </rPr>
          <t>KOLESAR Tomas:</t>
        </r>
        <r>
          <rPr>
            <sz val="9"/>
            <color indexed="81"/>
            <rFont val="Segoe UI"/>
            <family val="2"/>
          </rPr>
          <t xml:space="preserve">
792E + 20,50E (25.000E) pripoistenie</t>
        </r>
      </text>
    </comment>
    <comment ref="S6" authorId="0" shapeId="0" xr:uid="{44EF531B-4C3F-4BA3-B141-1D5475236A06}">
      <text>
        <r>
          <rPr>
            <b/>
            <sz val="9"/>
            <color indexed="81"/>
            <rFont val="Segoe UI"/>
            <family val="2"/>
          </rPr>
          <t>KOLESAR Tomas:</t>
        </r>
        <r>
          <rPr>
            <sz val="9"/>
            <color indexed="81"/>
            <rFont val="Segoe UI"/>
            <family val="2"/>
          </rPr>
          <t xml:space="preserve">
792E + 20,50E (25.000E) pripoistenie</t>
        </r>
      </text>
    </comment>
    <comment ref="S8" authorId="0" shapeId="0" xr:uid="{7086FBFA-0D72-41E8-93C0-AFEBB283115C}">
      <text>
        <r>
          <rPr>
            <b/>
            <sz val="9"/>
            <color indexed="81"/>
            <rFont val="Segoe UI"/>
            <family val="2"/>
          </rPr>
          <t>KOLESAR Tomas:</t>
        </r>
        <r>
          <rPr>
            <sz val="9"/>
            <color indexed="81"/>
            <rFont val="Segoe UI"/>
            <family val="2"/>
          </rPr>
          <t xml:space="preserve">
792E + 20,50E (25.000E) pripoistenie</t>
        </r>
      </text>
    </comment>
  </commentList>
</comments>
</file>

<file path=xl/sharedStrings.xml><?xml version="1.0" encoding="utf-8"?>
<sst xmlns="http://schemas.openxmlformats.org/spreadsheetml/2006/main" count="397" uniqueCount="134">
  <si>
    <t>WEEK</t>
  </si>
  <si>
    <t>CLIENT</t>
  </si>
  <si>
    <t>LOADING CTR</t>
  </si>
  <si>
    <t>LOADING ZIP</t>
  </si>
  <si>
    <t>LOADING CITY</t>
  </si>
  <si>
    <t>LOADING DATE</t>
  </si>
  <si>
    <t>LOADING TIME</t>
  </si>
  <si>
    <t>DELIVERY CTR</t>
  </si>
  <si>
    <t>DELIVERY ZIP</t>
  </si>
  <si>
    <t>DELIVERY CITY</t>
  </si>
  <si>
    <t>DELIVERY DATE</t>
  </si>
  <si>
    <t>DELIVERY TIME</t>
  </si>
  <si>
    <t>BOOKING REFERENCE</t>
  </si>
  <si>
    <t>TRUCK TYPE</t>
  </si>
  <si>
    <t>LTL / FTL</t>
  </si>
  <si>
    <t>GROSS WEIGHT [KG]</t>
  </si>
  <si>
    <t>TRUCK PLATES</t>
  </si>
  <si>
    <t>CARRIER</t>
  </si>
  <si>
    <t>SALES [€]</t>
  </si>
  <si>
    <t>PURCHASE [€]</t>
  </si>
  <si>
    <t>MARGIN [€]</t>
  </si>
  <si>
    <t>MARGIN [%]</t>
  </si>
  <si>
    <t>CF</t>
  </si>
  <si>
    <t>VF</t>
  </si>
  <si>
    <t>KM</t>
  </si>
  <si>
    <t>REMARK</t>
  </si>
  <si>
    <t>PIC</t>
  </si>
  <si>
    <t>PURCHASE [€/KM]</t>
  </si>
  <si>
    <t>SALES [€/KM]</t>
  </si>
  <si>
    <t>COLLI [KS]</t>
  </si>
  <si>
    <t>LDM</t>
  </si>
  <si>
    <t>DEMURRAGE COST / CLIENT</t>
  </si>
  <si>
    <t>DEMURRAGE COST / HAULIER</t>
  </si>
  <si>
    <t>CLIENT PENALTIES</t>
  </si>
  <si>
    <t xml:space="preserve"> HAULIER PENALTIES</t>
  </si>
  <si>
    <t>NC/R</t>
  </si>
  <si>
    <t># LOADINGS</t>
  </si>
  <si>
    <t>START STATUS</t>
  </si>
  <si>
    <t># UNLOADINGS</t>
  </si>
  <si>
    <t>STOP STATUS</t>
  </si>
  <si>
    <t>TRAILER PLATES</t>
  </si>
  <si>
    <t>04MINIBEA-SVK</t>
  </si>
  <si>
    <t>SK</t>
  </si>
  <si>
    <t>04</t>
  </si>
  <si>
    <t>KOSICE</t>
  </si>
  <si>
    <t>3x prevoz do Panattoni -box sivy-12+box cierny-13+tray-14+kartonbox-48</t>
  </si>
  <si>
    <t>SOLO</t>
  </si>
  <si>
    <t>FTL</t>
  </si>
  <si>
    <t>MI768DT</t>
  </si>
  <si>
    <t>07MYSLINA</t>
  </si>
  <si>
    <t>T9212071232</t>
  </si>
  <si>
    <t>TK</t>
  </si>
  <si>
    <t>3x prevoz MSM2176-7+MSM2187-3+MSM2196-7+Kartonbox-30+PDT6172-1+PDT6044-1+IM02937-3+MSM2198-4+MSM2189-4</t>
  </si>
  <si>
    <t>KE666OP</t>
  </si>
  <si>
    <t>04VMPTRANS-SK</t>
  </si>
  <si>
    <t>T9212071233</t>
  </si>
  <si>
    <t>85FAURECIA-SVK-KE</t>
  </si>
  <si>
    <t>I</t>
  </si>
  <si>
    <t>ARZIGNANO</t>
  </si>
  <si>
    <t>special Pasubio 2x TRAN 263 - 259677325</t>
  </si>
  <si>
    <t>STANDARD</t>
  </si>
  <si>
    <t>LTL</t>
  </si>
  <si>
    <t>TV720EE</t>
  </si>
  <si>
    <t>07PALENIK</t>
  </si>
  <si>
    <t>T9212071235</t>
  </si>
  <si>
    <t>TRAN 261; PO: 5500590085 - 259677328</t>
  </si>
  <si>
    <t>TV546EO</t>
  </si>
  <si>
    <t>T9212071279</t>
  </si>
  <si>
    <t>1x prevoz GFR0904-2+GFR0903-4+GGR03983-1</t>
  </si>
  <si>
    <t>KE411KL</t>
  </si>
  <si>
    <t>T9212071354</t>
  </si>
  <si>
    <t>TRAN 262; PO 5500590086 - 259677331</t>
  </si>
  <si>
    <t>RS631CD/RS675YG</t>
  </si>
  <si>
    <t>04TRANSKARPATIA-S</t>
  </si>
  <si>
    <t>T9212071362</t>
  </si>
  <si>
    <t>2x prevoz ZE22723-1+ZE22079-1+PER03013-4+PER02984-4+PDT6115-1+MSM2183-1+PDT6031-1+PDT6173-1+PDT5832-2</t>
  </si>
  <si>
    <t>T9212071424</t>
  </si>
  <si>
    <t>1x prevoz PDT6179-1+PDT6180-1+PDT6171-1+PDT6182-1</t>
  </si>
  <si>
    <t>T9212071459</t>
  </si>
  <si>
    <t>2x prevoz PDT6101-1+PDT6102-1+PDT6030-1+PDT5922-1+PDT5958-2+MSM2146-3+MSM2142-1+MSM2190-2+PDT6177-1+PDT6178-1</t>
  </si>
  <si>
    <t>T9212071564</t>
  </si>
  <si>
    <t>1x prevoz PER03071-1+PER03072-4+TBM5070-1</t>
  </si>
  <si>
    <t>T9212071595</t>
  </si>
  <si>
    <t>2x prevoz PDT6071+PDT6072+PDT6143+M59085+PM59682+GGR03956+GGR03973+GGR03896+GGR03917+GGR03980+GFR0909+ZE22597+ZE22199+ZE23220</t>
  </si>
  <si>
    <t>T9212071708</t>
  </si>
  <si>
    <t>KECHNEC</t>
  </si>
  <si>
    <t>BARCA</t>
  </si>
  <si>
    <t>prevoz Marius Pedersen</t>
  </si>
  <si>
    <t>PO077HV</t>
  </si>
  <si>
    <t>08LZTRANS-SK</t>
  </si>
  <si>
    <t>T9212072114</t>
  </si>
  <si>
    <t>TRAN 261; PO: 5500590085 - ID 259745611</t>
  </si>
  <si>
    <t>T9212072012</t>
  </si>
  <si>
    <t>RD</t>
  </si>
  <si>
    <t>04U-SHIN</t>
  </si>
  <si>
    <t>BG</t>
  </si>
  <si>
    <t>21</t>
  </si>
  <si>
    <t>BOTEVGRAD</t>
  </si>
  <si>
    <t>VAN</t>
  </si>
  <si>
    <t>RT</t>
  </si>
  <si>
    <t>LE848BL</t>
  </si>
  <si>
    <t>05MAJERSKY-SK</t>
  </si>
  <si>
    <t>9215170439; 9215170440; 9215170441; 9215170442</t>
  </si>
  <si>
    <t>T9212071199</t>
  </si>
  <si>
    <t>LE543BC</t>
  </si>
  <si>
    <t>9215170618; 9215170620; 9215170621; 9215170624</t>
  </si>
  <si>
    <t>T9212071367</t>
  </si>
  <si>
    <t>RO</t>
  </si>
  <si>
    <t>ARAD</t>
  </si>
  <si>
    <t>9215170891; 9215170890</t>
  </si>
  <si>
    <t>T9212071598</t>
  </si>
  <si>
    <t>S</t>
  </si>
  <si>
    <t>B217DMK</t>
  </si>
  <si>
    <t>20VDA-SK</t>
  </si>
  <si>
    <t>T9212071721</t>
  </si>
  <si>
    <t>LE462BE</t>
  </si>
  <si>
    <t>9215171102; 9215171103</t>
  </si>
  <si>
    <t>T9212071781</t>
  </si>
  <si>
    <t>83</t>
  </si>
  <si>
    <t>BRATISLAVA</t>
  </si>
  <si>
    <t>KE007MA</t>
  </si>
  <si>
    <t>04MARKO-SK</t>
  </si>
  <si>
    <t>T9212071785</t>
  </si>
  <si>
    <t>9215171342; 9215171343</t>
  </si>
  <si>
    <t>T9212072001</t>
  </si>
  <si>
    <t>08</t>
  </si>
  <si>
    <t>PRESOV</t>
  </si>
  <si>
    <t>9215171506, 9215171511</t>
  </si>
  <si>
    <t>T9212072167</t>
  </si>
  <si>
    <t>LE523BO</t>
  </si>
  <si>
    <t>9215171653; 9215171654</t>
  </si>
  <si>
    <t>T9212072296</t>
  </si>
  <si>
    <t>9215171751 , 9215171754</t>
  </si>
  <si>
    <t>T9212072396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</si>
</sst>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5" formatCode="0.0%"/>
    <numFmt numFmtId="166" formatCode="[$-F400]h:mm:ss\ AM/PM"/>
    <numFmt numFmtId="167" formatCode="0.0&quot; &quot;%"/>
    <numFmt numFmtId="168" formatCode="0.000"/>
    <numFmt numFmtId="169" formatCode="m/d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8"/>
      <color rgb="FFFFFF00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9"/>
      <name val="Calibri"/>
      <family val="2"/>
      <scheme val="minor"/>
    </font>
    <font>
      <sz val="10"/>
      <color rgb="FFFFFF00"/>
      <name val="Calibri"/>
      <family val="2"/>
      <charset val="238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4" fillId="0" borderId="2" xfId="0" applyFont="1" applyBorder="1" applyAlignment="1">
      <alignment horizontal="center" vertical="center"/>
    </xf>
    <xf numFmtId="0" fontId="4" fillId="0" borderId="0" xfId="0" applyFont="1"/>
    <xf numFmtId="2" fontId="7" fillId="0" borderId="2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2" fontId="4" fillId="0" borderId="2" xfId="0" applyNumberFormat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4" fillId="0" borderId="3" xfId="0" applyFont="1" applyBorder="1"/>
    <xf numFmtId="0" fontId="5" fillId="0" borderId="0" xfId="0" applyFont="1"/>
    <xf numFmtId="1" fontId="8" fillId="2" borderId="3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66" fontId="8" fillId="2" borderId="3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167" fontId="8" fillId="2" borderId="3" xfId="0" applyNumberFormat="1" applyFont="1" applyFill="1" applyBorder="1" applyAlignment="1">
      <alignment horizontal="center" vertical="center"/>
    </xf>
    <xf numFmtId="168" fontId="8" fillId="2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7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5" xfId="0" applyFont="1" applyFill="1" applyBorder="1" applyAlignment="1">
      <alignment horizontal="center" vertical="center" wrapText="1"/>
    </xf>
    <xf numFmtId="0" fontId="4" fillId="0" borderId="4" xfId="0" applyFont="1" applyBorder="1"/>
    <xf numFmtId="14" fontId="4" fillId="0" borderId="3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2" fontId="0" fillId="0" borderId="0" xfId="0" applyNumberFormat="1" applyAlignment="1">
      <alignment horizontal="left"/>
    </xf>
    <xf numFmtId="165" fontId="7" fillId="0" borderId="2" xfId="0" applyNumberFormat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4" fillId="0" borderId="2" xfId="0" applyFont="1" applyBorder="1"/>
    <xf numFmtId="0" fontId="10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1" fontId="8" fillId="3" borderId="7" xfId="0" applyNumberFormat="1" applyFont="1" applyFill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8" fontId="8" fillId="2" borderId="3" xfId="0" applyNumberFormat="1" applyFont="1" applyFill="1" applyBorder="1" applyAlignment="1">
      <alignment horizontal="right" vertical="center"/>
    </xf>
    <xf numFmtId="0" fontId="9" fillId="0" borderId="3" xfId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left" vertical="top"/>
    </xf>
    <xf numFmtId="164" fontId="4" fillId="0" borderId="3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9" fillId="0" borderId="8" xfId="1" applyFont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left" vertical="center"/>
    </xf>
    <xf numFmtId="2" fontId="4" fillId="0" borderId="2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center" vertical="center"/>
    </xf>
    <xf numFmtId="165" fontId="7" fillId="0" borderId="2" xfId="0" applyNumberFormat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NumberFormat="1" applyFont="1" applyFill="1" applyBorder="1"/>
    <xf numFmtId="14" fontId="0" fillId="0" borderId="0" xfId="0" applyNumberFormat="1" applyAlignment="1">
      <alignment horizont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left" vertical="top"/>
    </xf>
    <xf numFmtId="14" fontId="0" fillId="0" borderId="10" xfId="0" applyNumberFormat="1" applyBorder="1" applyAlignment="1">
      <alignment horizontal="center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left" vertical="top"/>
    </xf>
  </cellXfs>
  <cellStyles count="2">
    <cellStyle name="Normal 2" xfId="1" xr:uid="{AEDDEF62-85F5-4FEE-B7C5-E0BFA8E7770E}"/>
    <cellStyle name="Normálna" xfId="0" builtinId="0"/>
  </cellStyles>
  <dxfs count="127"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0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1" formatCode="dd/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FFFF0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A661EA-8FC7-4E1D-96BB-DE0569891554}" name="P1_17" displayName="P1_17" ref="A1:AO14" totalsRowShown="0" headerRowDxfId="108" dataDxfId="107" headerRowBorderDxfId="105" tableBorderDxfId="106" totalsRowBorderDxfId="104">
  <autoFilter ref="A1:AO14" xr:uid="{71A661EA-8FC7-4E1D-96BB-DE0569891554}"/>
  <sortState xmlns:xlrd2="http://schemas.microsoft.com/office/spreadsheetml/2017/richdata2" ref="A2:AO14">
    <sortCondition ref="F1:F14"/>
  </sortState>
  <tableColumns count="41">
    <tableColumn id="1" xr3:uid="{55D7AB5E-B15F-43B1-90DC-76C31D5B3491}" name="WEEK" dataDxfId="103">
      <calculatedColumnFormula>WEEKNUM(P1_17[[#This Row],[LOADING DATE]],1)</calculatedColumnFormula>
    </tableColumn>
    <tableColumn id="2" xr3:uid="{0A7286DD-5273-4E9D-BA50-D6986E58D887}" name="CLIENT" dataDxfId="102"/>
    <tableColumn id="3" xr3:uid="{56C60AB6-3D66-4509-9EEC-BB77E9498D02}" name="LOADING CTR" dataDxfId="101"/>
    <tableColumn id="4" xr3:uid="{CB722954-4F2D-4CDB-B051-9C8EC2AB9B64}" name="LOADING ZIP" dataDxfId="100"/>
    <tableColumn id="5" xr3:uid="{5DBBD91E-B366-4439-896E-9B5FDB986D47}" name="LOADING CITY" dataDxfId="99"/>
    <tableColumn id="6" xr3:uid="{F3EA0EAD-C42E-45DB-9389-0C296F2CD367}" name="LOADING DATE" dataDxfId="98"/>
    <tableColumn id="7" xr3:uid="{FF46872F-916B-401A-8687-9F506A4C15CD}" name="LOADING TIME" dataDxfId="97"/>
    <tableColumn id="8" xr3:uid="{A0796A32-4C8F-4F02-9CCC-CF8FF474DF6A}" name="DELIVERY CTR" dataDxfId="96"/>
    <tableColumn id="9" xr3:uid="{F83B5B0A-593E-4194-B44D-F268830F6155}" name="DELIVERY ZIP" dataDxfId="95"/>
    <tableColumn id="35" xr3:uid="{147365EF-527E-4370-B8CB-63425FA3320B}" name="DELIVERY CITY" dataDxfId="94"/>
    <tableColumn id="10" xr3:uid="{9600E853-60B4-464A-9F20-8B9F37655147}" name="DELIVERY DATE" dataDxfId="93"/>
    <tableColumn id="11" xr3:uid="{4F25E79B-9145-4C47-B62D-2B56AAAF2FBA}" name="DELIVERY TIME" dataDxfId="92"/>
    <tableColumn id="12" xr3:uid="{742B618E-FB34-42B9-8B5B-09572248C985}" name="BOOKING REFERENCE" dataDxfId="91"/>
    <tableColumn id="13" xr3:uid="{429174FC-23A0-4A0B-8D67-9071CE5EBE3A}" name="TRUCK TYPE" dataDxfId="90"/>
    <tableColumn id="14" xr3:uid="{27274024-1410-4324-AA94-E3AF62944268}" name="LTL / FTL" dataDxfId="89"/>
    <tableColumn id="28" xr3:uid="{6FF683D8-2742-4E34-A5D9-A4D08E85B5CC}" name="GROSS WEIGHT [KG]" dataDxfId="88"/>
    <tableColumn id="15" xr3:uid="{CD127C1E-FC4A-4E69-BFD5-E28A35CD5369}" name="TRUCK PLATES" dataDxfId="87"/>
    <tableColumn id="16" xr3:uid="{93F4FE82-9DAA-4C3D-93E6-2E7C47B05208}" name="CARRIER" dataDxfId="86"/>
    <tableColumn id="17" xr3:uid="{64F4480C-DEC0-4D31-845C-E034192B57A0}" name="SALES [€]" dataDxfId="85"/>
    <tableColumn id="18" xr3:uid="{C42DCEFD-0916-4E1B-B85B-E8CBE4168971}" name="PURCHASE [€]" dataDxfId="84"/>
    <tableColumn id="19" xr3:uid="{F330E1F8-C7C6-4B41-A766-2D4E660BFAA4}" name="MARGIN [€]" dataDxfId="83">
      <calculatedColumnFormula>S2-T2</calculatedColumnFormula>
    </tableColumn>
    <tableColumn id="20" xr3:uid="{A8275EF7-64D7-45B7-8209-316FDEAB7648}" name="MARGIN [%]" dataDxfId="82">
      <calculatedColumnFormula>U2/S2</calculatedColumnFormula>
    </tableColumn>
    <tableColumn id="21" xr3:uid="{8A0B8051-5447-4DCE-985F-B53A2D94C8B2}" name="CF" dataDxfId="81" dataCellStyle="Normal 2"/>
    <tableColumn id="22" xr3:uid="{E86FC592-F926-4B80-9A29-FD9C47620DA9}" name="VF" dataDxfId="80" dataCellStyle="Normal 2"/>
    <tableColumn id="23" xr3:uid="{BDE2B6F5-4C2D-416B-98D1-ABDF34031C93}" name="KM" dataDxfId="79"/>
    <tableColumn id="26" xr3:uid="{585A8534-1CE1-46B4-A8F6-A409AE4F7044}" name="REMARK" dataDxfId="78"/>
    <tableColumn id="27" xr3:uid="{320E902C-126B-460A-B9D0-0DBC3491A2D7}" name="PIC" dataDxfId="77"/>
    <tableColumn id="25" xr3:uid="{FD89538D-21C3-4223-8345-65E8F508B1F0}" name="PURCHASE [€/KM]" dataDxfId="76">
      <calculatedColumnFormula>P1_17[[#This Row],[PURCHASE '[€']]]/P1_17[[#This Row],[KM]]</calculatedColumnFormula>
    </tableColumn>
    <tableColumn id="24" xr3:uid="{825576C4-49FE-4B6E-8AC5-284B51015C7C}" name="SALES [€/KM]" dataDxfId="75">
      <calculatedColumnFormula>P1_17[[#This Row],[SALES '[€']]]/P1_17[[#This Row],[KM]]</calculatedColumnFormula>
    </tableColumn>
    <tableColumn id="32" xr3:uid="{6BFBFA8A-E105-4F57-8819-950206DF61C4}" name="COLLI [KS]" dataDxfId="74"/>
    <tableColumn id="29" xr3:uid="{6E18922D-59EC-462E-A81D-563D03FAA192}" name="LDM" dataDxfId="73"/>
    <tableColumn id="30" xr3:uid="{08782CC8-D8BF-46ED-B7D8-BC0920E1700D}" name="DEMURRAGE COST / CLIENT" dataDxfId="72"/>
    <tableColumn id="31" xr3:uid="{A034F39F-81D5-4973-82F6-EB47B741D06A}" name="DEMURRAGE COST / HAULIER" dataDxfId="71"/>
    <tableColumn id="33" xr3:uid="{DD432B48-C431-4574-8343-4F4AB06697A8}" name="CLIENT PENALTIES" dataDxfId="70" dataCellStyle="Normal 2"/>
    <tableColumn id="34" xr3:uid="{CA582A1B-A50D-48DB-8D73-11DE69CD3989}" name=" HAULIER PENALTIES" dataDxfId="69" dataCellStyle="Normal 2"/>
    <tableColumn id="36" xr3:uid="{A35A69A2-03F3-4FB3-8578-19B202ADEF1C}" name="NC/R" dataDxfId="68"/>
    <tableColumn id="37" xr3:uid="{1EE8F560-288C-4945-BF57-963228BD1266}" name="# LOADINGS" dataDxfId="67"/>
    <tableColumn id="38" xr3:uid="{0DBED6B5-CB0A-4BE3-8D7D-F5D586480917}" name="START STATUS" dataDxfId="66">
      <calculatedColumnFormula>IF(P1_17[[#This Row],[DELIVERY TIME]]="STORNO","CANCELLED","OK")</calculatedColumnFormula>
    </tableColumn>
    <tableColumn id="39" xr3:uid="{847520C9-1CC7-409E-A9BA-69F2208ED383}" name="# UNLOADINGS" dataDxfId="65"/>
    <tableColumn id="40" xr3:uid="{348A9FDB-3D5F-45FC-8602-AA6FE3008F1A}" name="STOP STATUS" dataDxfId="64">
      <calculatedColumnFormula>IF(RIGHT(P1_17[[#This Row],[CARRIER]],3)="-MF",921,"")</calculatedColumnFormula>
    </tableColumn>
    <tableColumn id="41" xr3:uid="{75239E09-79E2-4EF4-B0B6-58FB4C78A6C7}" name="TRAILER PLATES" dataDxfId="6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D38A4E-1A74-46F3-8BF4-BE5CA8ED5FD3}" name="P1_1" displayName="P1_1" ref="A1:AO11" totalsRowShown="0" headerRowDxfId="44" dataDxfId="43" headerRowBorderDxfId="41" tableBorderDxfId="42">
  <autoFilter ref="A1:AO11" xr:uid="{E65B88C9-1BA9-485F-B869-1EEAAB56AD78}"/>
  <tableColumns count="41">
    <tableColumn id="1" xr3:uid="{CD03AE61-FAA2-4C41-BA8D-4562123728D8}" name="WEEK" dataDxfId="40">
      <calculatedColumnFormula>WEEKNUM(P1_1[[#This Row],[LOADING DATE]])</calculatedColumnFormula>
    </tableColumn>
    <tableColumn id="2" xr3:uid="{ED8183D5-91D7-491D-9AA4-9628559F7A10}" name="CLIENT" dataDxfId="39"/>
    <tableColumn id="3" xr3:uid="{94B53D5B-A991-4339-AACC-0F9C0530E907}" name="LOADING CTR" dataDxfId="38"/>
    <tableColumn id="4" xr3:uid="{E35331AF-20B1-4A0B-A7AE-AA960CBA7647}" name="LOADING ZIP" dataDxfId="37"/>
    <tableColumn id="5" xr3:uid="{0CB9F684-D0B2-4E4A-9BC7-810D09B105EB}" name="LOADING CITY" dataDxfId="36"/>
    <tableColumn id="6" xr3:uid="{8F1D0673-C45E-462D-906A-656B5FE8987B}" name="LOADING DATE" dataDxfId="35"/>
    <tableColumn id="8" xr3:uid="{C43E97A2-9EA6-4106-9CDA-1D816756B4DE}" name="LOADING TIME" dataDxfId="34"/>
    <tableColumn id="9" xr3:uid="{87D596CC-3EF1-45AD-8AF5-5F0FFF84D471}" name="DELIVERY CTR" dataDxfId="33"/>
    <tableColumn id="35" xr3:uid="{23DAD407-DB91-4760-9145-3787A30F7F96}" name="DELIVERY ZIP" dataDxfId="32"/>
    <tableColumn id="10" xr3:uid="{F519C7C3-A468-4DF2-82AC-99C7292E9221}" name="DELIVERY CITY" dataDxfId="31"/>
    <tableColumn id="11" xr3:uid="{19F63DB4-EE05-4863-9E17-84700B4AAD34}" name="DELIVERY DATE" dataDxfId="30"/>
    <tableColumn id="12" xr3:uid="{76607EEE-5391-4CB3-A643-138F73C3E0F8}" name="DELIVERY TIME" dataDxfId="29"/>
    <tableColumn id="13" xr3:uid="{28E2CB65-F424-44A3-A039-DE71101CE6AA}" name="BOOKING REFERENCE" dataDxfId="28"/>
    <tableColumn id="14" xr3:uid="{581A1DEE-BBBF-4C3A-86D6-1AA92577A953}" name="TRUCK TYPE" dataDxfId="27"/>
    <tableColumn id="28" xr3:uid="{508B9D3B-CB23-4545-973D-01A6901610D3}" name="LTL / FTL" dataDxfId="26"/>
    <tableColumn id="15" xr3:uid="{ABA32200-A838-41CE-9B45-E9F697296A87}" name="GROSS WEIGHT [KG]" dataDxfId="25"/>
    <tableColumn id="16" xr3:uid="{6BB0C2FC-6F81-401B-8EA5-66D7BA3B7F8A}" name="TRUCK PLATES" dataDxfId="24"/>
    <tableColumn id="17" xr3:uid="{329879FA-1E47-423A-A943-729E57D92DD5}" name="CARRIER" dataDxfId="23"/>
    <tableColumn id="18" xr3:uid="{A6ECFF93-9B42-488A-8E3E-1427D281EABD}" name="SALES [€]" dataDxfId="22"/>
    <tableColumn id="19" xr3:uid="{EB2ACE8A-B691-4F4A-B2CC-FDD0F82D86DF}" name="PURCHASE [€]" dataDxfId="21"/>
    <tableColumn id="20" xr3:uid="{8F494CD5-9F3F-4DD8-B317-F1975BB71F24}" name="MARGIN [€]" dataDxfId="20">
      <calculatedColumnFormula>S2-T2</calculatedColumnFormula>
    </tableColumn>
    <tableColumn id="21" xr3:uid="{433497F8-CD5E-410F-ADDF-9E00FE332BBE}" name="MARGIN [%]" dataDxfId="19">
      <calculatedColumnFormula>U2/S2</calculatedColumnFormula>
    </tableColumn>
    <tableColumn id="22" xr3:uid="{6AB25A13-A5E2-4E6A-8292-8D769CF0794A}" name="CF" dataDxfId="18" dataCellStyle="Normal 2"/>
    <tableColumn id="23" xr3:uid="{C1B9BE0A-4689-4A3F-9176-4E8C27423D58}" name="VF" dataDxfId="17" dataCellStyle="Normal 2"/>
    <tableColumn id="26" xr3:uid="{3FF5BC3C-129A-4AAE-94F9-272D717071B3}" name="KM" dataDxfId="16"/>
    <tableColumn id="27" xr3:uid="{916089C8-E2F0-44A4-B662-0E85F3AD77BB}" name="REMARK" dataDxfId="15"/>
    <tableColumn id="32" xr3:uid="{1426535E-93E7-484D-A849-A3D8CA027D89}" name="PIC" dataDxfId="14"/>
    <tableColumn id="24" xr3:uid="{385BC90A-F408-4294-85F8-4E260BAF522E}" name="PURCHASE [€/KM]" dataDxfId="13">
      <calculatedColumnFormula>P1_1[[#This Row],[PURCHASE '[€']]]/P1_1[[#This Row],[KM]]</calculatedColumnFormula>
    </tableColumn>
    <tableColumn id="7" xr3:uid="{8E782F63-7D1A-4018-8D97-F0C14FF9D4C8}" name="SALES [€/KM]" dataDxfId="12">
      <calculatedColumnFormula>P1_1[[#This Row],[SALES '[€']]]/P1_1[[#This Row],[KM]]</calculatedColumnFormula>
    </tableColumn>
    <tableColumn id="29" xr3:uid="{0D985396-1256-4A5F-B233-6E5596048B68}" name="COLLI [KS]" dataDxfId="11"/>
    <tableColumn id="30" xr3:uid="{326D4F62-26D6-460D-BEF7-0CDF319119C0}" name="LDM" dataDxfId="10"/>
    <tableColumn id="31" xr3:uid="{0BC05033-CF69-4D97-9F23-FA8032D42333}" name="DEMURRAGE COST / CLIENT" dataDxfId="9"/>
    <tableColumn id="33" xr3:uid="{842557CF-29D9-48F6-A1AE-11EC9E46668A}" name="DEMURRAGE COST / HAULIER" dataDxfId="8" dataCellStyle="Normal 2"/>
    <tableColumn id="34" xr3:uid="{468F27CA-DDD8-44BF-8294-34B084C054C3}" name="CLIENT PENALTIES" dataDxfId="7" dataCellStyle="Normal 2"/>
    <tableColumn id="36" xr3:uid="{7568025F-552D-496F-BC40-62650DA718C0}" name=" HAULIER PENALTIES" dataDxfId="6"/>
    <tableColumn id="37" xr3:uid="{78A44030-39DD-4726-A70D-EF9A4D03469B}" name="NC/R" dataDxfId="5"/>
    <tableColumn id="25" xr3:uid="{999581E4-46BD-4FD1-9C29-EB62670E20DF}" name="# LOADINGS" dataDxfId="4"/>
    <tableColumn id="38" xr3:uid="{B5DD5E69-B8A6-46DB-AE28-883E69263189}" name="START STATUS" dataDxfId="3">
      <calculatedColumnFormula>IF(P1_1[[#This Row],[DELIVERY TIME]]="STORNO","CANCELLED","OK")</calculatedColumnFormula>
    </tableColumn>
    <tableColumn id="39" xr3:uid="{37E87E81-30FF-4A5A-9E2E-585188A6ADDA}" name="# UNLOADINGS" dataDxfId="2"/>
    <tableColumn id="40" xr3:uid="{54DEC6A3-C8C8-409B-A83F-A923418AE205}" name="STOP STATUS" dataDxfId="1">
      <calculatedColumnFormula>IF(RIGHT(P1_1[[#This Row],[CARRIER]],3)="-MF",921,"")</calculatedColumnFormula>
    </tableColumn>
    <tableColumn id="41" xr3:uid="{2A222163-0515-4BDD-BDB9-5B132568C6C1}" name="TRAILER PLA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1A7A-A965-4795-8616-09847D2ECB45}">
  <dimension ref="A1:AO14"/>
  <sheetViews>
    <sheetView zoomScale="85" zoomScaleNormal="85" workbookViewId="0">
      <selection activeCell="C13" sqref="C13"/>
    </sheetView>
  </sheetViews>
  <sheetFormatPr defaultRowHeight="15"/>
  <cols>
    <col min="1" max="1" width="9.28515625" customWidth="1"/>
    <col min="2" max="2" width="27" customWidth="1"/>
    <col min="3" max="3" width="6.7109375" style="30" customWidth="1"/>
    <col min="4" max="4" width="9.42578125" style="61" customWidth="1"/>
    <col min="5" max="5" width="18.85546875" style="30" customWidth="1"/>
    <col min="6" max="6" width="16.5703125" style="30" customWidth="1"/>
    <col min="7" max="7" width="11.42578125" style="30" customWidth="1"/>
    <col min="8" max="8" width="7.5703125" style="30" customWidth="1"/>
    <col min="9" max="9" width="8.7109375" style="61" customWidth="1"/>
    <col min="10" max="10" width="20.42578125" style="30" customWidth="1"/>
    <col min="11" max="11" width="14" style="30" customWidth="1"/>
    <col min="12" max="12" width="10" style="30" customWidth="1"/>
    <col min="13" max="13" width="66.85546875" style="30" customWidth="1"/>
    <col min="14" max="14" width="17.28515625" style="30" customWidth="1"/>
    <col min="15" max="15" width="7.85546875" style="30" customWidth="1"/>
    <col min="16" max="16" width="9.42578125" style="30" customWidth="1"/>
    <col min="17" max="17" width="24.140625" style="30" bestFit="1" customWidth="1"/>
    <col min="18" max="18" width="23.85546875" style="30" bestFit="1" customWidth="1"/>
    <col min="19" max="19" width="16.140625" style="30" bestFit="1" customWidth="1"/>
    <col min="20" max="20" width="15.140625" style="30" bestFit="1" customWidth="1"/>
    <col min="21" max="21" width="13.7109375" style="30" bestFit="1" customWidth="1"/>
    <col min="22" max="22" width="17" style="30" bestFit="1" customWidth="1"/>
    <col min="23" max="23" width="22.85546875" style="62" bestFit="1" customWidth="1"/>
    <col min="24" max="24" width="16.42578125" style="63" bestFit="1" customWidth="1"/>
    <col min="25" max="25" width="10.5703125" style="64" bestFit="1" customWidth="1"/>
    <col min="26" max="26" width="26" style="63" customWidth="1"/>
    <col min="27" max="27" width="11.5703125" style="65" bestFit="1" customWidth="1"/>
    <col min="28" max="28" width="13.85546875" style="60" customWidth="1"/>
    <col min="29" max="29" width="14.28515625" style="60" customWidth="1"/>
    <col min="30" max="31" width="14.28515625" style="30" customWidth="1"/>
    <col min="32" max="37" width="14.28515625" hidden="1" customWidth="1"/>
    <col min="38" max="41" width="9.140625" hidden="1" customWidth="1"/>
  </cols>
  <sheetData>
    <row r="1" spans="1:41" s="21" customFormat="1" ht="33.75">
      <c r="A1" s="56" t="s">
        <v>0</v>
      </c>
      <c r="B1" s="55" t="s">
        <v>1</v>
      </c>
      <c r="C1" s="16" t="s">
        <v>2</v>
      </c>
      <c r="D1" s="18" t="s">
        <v>3</v>
      </c>
      <c r="E1" s="7" t="s">
        <v>4</v>
      </c>
      <c r="F1" s="16" t="s">
        <v>5</v>
      </c>
      <c r="G1" s="17" t="s">
        <v>6</v>
      </c>
      <c r="H1" s="16" t="s">
        <v>7</v>
      </c>
      <c r="I1" s="18" t="s">
        <v>8</v>
      </c>
      <c r="J1" s="7" t="s">
        <v>9</v>
      </c>
      <c r="K1" s="16" t="s">
        <v>10</v>
      </c>
      <c r="L1" s="1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9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44" t="s">
        <v>26</v>
      </c>
      <c r="AB1" s="66" t="s">
        <v>27</v>
      </c>
      <c r="AC1" s="66" t="s">
        <v>28</v>
      </c>
      <c r="AD1" s="45" t="s">
        <v>29</v>
      </c>
      <c r="AE1" s="45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36" t="s">
        <v>40</v>
      </c>
    </row>
    <row r="2" spans="1:41">
      <c r="A2" s="24">
        <f>WEEKNUM(P1_17[[#This Row],[LOADING DATE]],1)</f>
        <v>1</v>
      </c>
      <c r="B2" s="10" t="s">
        <v>41</v>
      </c>
      <c r="C2" s="4" t="s">
        <v>42</v>
      </c>
      <c r="D2" s="9" t="s">
        <v>43</v>
      </c>
      <c r="E2" s="9" t="s">
        <v>44</v>
      </c>
      <c r="F2" s="38">
        <v>45294</v>
      </c>
      <c r="G2" s="28">
        <v>0.625</v>
      </c>
      <c r="H2" s="57" t="s">
        <v>42</v>
      </c>
      <c r="I2" s="9" t="s">
        <v>43</v>
      </c>
      <c r="J2" s="4" t="s">
        <v>44</v>
      </c>
      <c r="K2" s="38">
        <v>45294</v>
      </c>
      <c r="L2" s="28">
        <v>0.375</v>
      </c>
      <c r="M2" s="25" t="s">
        <v>45</v>
      </c>
      <c r="N2" s="24" t="s">
        <v>46</v>
      </c>
      <c r="O2" s="24" t="s">
        <v>47</v>
      </c>
      <c r="P2" s="24">
        <v>5500</v>
      </c>
      <c r="Q2" s="58" t="s">
        <v>48</v>
      </c>
      <c r="R2" s="32" t="s">
        <v>49</v>
      </c>
      <c r="S2" s="23">
        <v>150</v>
      </c>
      <c r="T2" s="23">
        <v>120</v>
      </c>
      <c r="U2" s="26">
        <f t="shared" ref="U2:U14" si="0">S2-T2</f>
        <v>30</v>
      </c>
      <c r="V2" s="22">
        <f t="shared" ref="V2:V14" si="1">U2/S2</f>
        <v>0.2</v>
      </c>
      <c r="W2" s="12">
        <v>9215170480</v>
      </c>
      <c r="X2" s="12" t="s">
        <v>50</v>
      </c>
      <c r="Y2" s="31">
        <v>2</v>
      </c>
      <c r="Z2" s="26"/>
      <c r="AA2" s="33" t="s">
        <v>51</v>
      </c>
      <c r="AB2" s="59">
        <f>P1_17[[#This Row],[PURCHASE '[€']]]/P1_17[[#This Row],[KM]]</f>
        <v>60</v>
      </c>
      <c r="AC2" s="59">
        <f>P1_17[[#This Row],[SALES '[€']]]/P1_17[[#This Row],[KM]]</f>
        <v>75</v>
      </c>
      <c r="AD2" s="24">
        <v>87</v>
      </c>
      <c r="AE2" s="24">
        <v>7</v>
      </c>
      <c r="AF2" s="24"/>
      <c r="AG2" s="24"/>
      <c r="AH2" s="12"/>
      <c r="AI2" s="12"/>
      <c r="AJ2" s="25"/>
      <c r="AK2" s="13"/>
      <c r="AL2" s="13" t="str">
        <f>IF(P1_17[[#This Row],[DELIVERY TIME]]="STORNO","CANCELLED","OK")</f>
        <v>OK</v>
      </c>
      <c r="AM2" s="13"/>
      <c r="AN2" s="13" t="str">
        <f>IF(RIGHT(P1_17[[#This Row],[CARRIER]],3)="-MF",921,"")</f>
        <v/>
      </c>
      <c r="AO2" s="37"/>
    </row>
    <row r="3" spans="1:41">
      <c r="A3" s="24">
        <f>WEEKNUM(P1_17[[#This Row],[LOADING DATE]],1)</f>
        <v>1</v>
      </c>
      <c r="B3" s="10" t="s">
        <v>41</v>
      </c>
      <c r="C3" s="4" t="s">
        <v>42</v>
      </c>
      <c r="D3" s="9" t="s">
        <v>43</v>
      </c>
      <c r="E3" s="9" t="s">
        <v>44</v>
      </c>
      <c r="F3" s="38">
        <v>45295</v>
      </c>
      <c r="G3" s="28">
        <v>0.45833333333333331</v>
      </c>
      <c r="H3" s="46" t="s">
        <v>42</v>
      </c>
      <c r="I3" s="9" t="s">
        <v>43</v>
      </c>
      <c r="J3" s="28" t="s">
        <v>44</v>
      </c>
      <c r="K3" s="38">
        <v>45295</v>
      </c>
      <c r="L3" s="28">
        <v>0.5</v>
      </c>
      <c r="M3" s="9" t="s">
        <v>52</v>
      </c>
      <c r="N3" s="4" t="s">
        <v>46</v>
      </c>
      <c r="O3" s="4" t="s">
        <v>47</v>
      </c>
      <c r="P3" s="4">
        <v>5500</v>
      </c>
      <c r="Q3" s="46" t="s">
        <v>53</v>
      </c>
      <c r="R3" s="28" t="s">
        <v>54</v>
      </c>
      <c r="S3" s="23">
        <v>225</v>
      </c>
      <c r="T3" s="23">
        <v>180</v>
      </c>
      <c r="U3" s="26">
        <f t="shared" si="0"/>
        <v>45</v>
      </c>
      <c r="V3" s="22">
        <f t="shared" si="1"/>
        <v>0.2</v>
      </c>
      <c r="W3" s="12">
        <v>9215170481</v>
      </c>
      <c r="X3" s="12" t="s">
        <v>55</v>
      </c>
      <c r="Y3" s="31">
        <v>2</v>
      </c>
      <c r="Z3" s="26"/>
      <c r="AA3" s="33" t="s">
        <v>51</v>
      </c>
      <c r="AB3" s="59">
        <f>P1_17[[#This Row],[PURCHASE '[€']]]/P1_17[[#This Row],[KM]]</f>
        <v>90</v>
      </c>
      <c r="AC3" s="59">
        <f>P1_17[[#This Row],[SALES '[€']]]/P1_17[[#This Row],[KM]]</f>
        <v>112.5</v>
      </c>
      <c r="AD3" s="24">
        <v>60</v>
      </c>
      <c r="AE3" s="24">
        <v>7</v>
      </c>
      <c r="AF3" s="24"/>
      <c r="AG3" s="24"/>
      <c r="AH3" s="12"/>
      <c r="AI3" s="12"/>
      <c r="AJ3" s="25"/>
      <c r="AK3" s="13"/>
      <c r="AL3" s="13" t="str">
        <f>IF(P1_17[[#This Row],[DELIVERY TIME]]="STORNO","CANCELLED","OK")</f>
        <v>OK</v>
      </c>
      <c r="AM3" s="13"/>
      <c r="AN3" s="13" t="str">
        <f>IF(RIGHT(P1_17[[#This Row],[CARRIER]],3)="-MF",921,"")</f>
        <v/>
      </c>
      <c r="AO3" s="37"/>
    </row>
    <row r="4" spans="1:41">
      <c r="A4" s="24">
        <f>WEEKNUM(P1_17[[#This Row],[LOADING DATE]],1)</f>
        <v>1</v>
      </c>
      <c r="B4" s="10" t="s">
        <v>56</v>
      </c>
      <c r="C4" s="4" t="s">
        <v>57</v>
      </c>
      <c r="D4" s="9">
        <v>36</v>
      </c>
      <c r="E4" s="4" t="s">
        <v>58</v>
      </c>
      <c r="F4" s="38">
        <v>45295</v>
      </c>
      <c r="G4" s="28">
        <v>0.5</v>
      </c>
      <c r="H4" s="4" t="s">
        <v>42</v>
      </c>
      <c r="I4" s="9" t="s">
        <v>43</v>
      </c>
      <c r="J4" s="4" t="s">
        <v>44</v>
      </c>
      <c r="K4" s="38">
        <v>45296</v>
      </c>
      <c r="L4" s="28">
        <v>0.41666666666666669</v>
      </c>
      <c r="M4" s="25" t="s">
        <v>59</v>
      </c>
      <c r="N4" s="24" t="s">
        <v>60</v>
      </c>
      <c r="O4" s="24" t="s">
        <v>61</v>
      </c>
      <c r="P4" s="24">
        <v>1000</v>
      </c>
      <c r="Q4" s="54" t="s">
        <v>62</v>
      </c>
      <c r="R4" s="32" t="s">
        <v>63</v>
      </c>
      <c r="S4" s="23">
        <v>1055.82</v>
      </c>
      <c r="T4" s="23">
        <v>1000</v>
      </c>
      <c r="U4" s="26">
        <f t="shared" si="0"/>
        <v>55.819999999999936</v>
      </c>
      <c r="V4" s="22">
        <f t="shared" si="1"/>
        <v>5.2868860222386335E-2</v>
      </c>
      <c r="W4" s="12">
        <v>9215170483</v>
      </c>
      <c r="X4" s="12" t="s">
        <v>64</v>
      </c>
      <c r="Y4" s="31">
        <v>1027</v>
      </c>
      <c r="Z4" s="26"/>
      <c r="AA4" s="33" t="s">
        <v>51</v>
      </c>
      <c r="AB4" s="59">
        <f>P1_17[[#This Row],[PURCHASE '[€']]]/P1_17[[#This Row],[KM]]</f>
        <v>0.97370983446932813</v>
      </c>
      <c r="AC4" s="59">
        <f>P1_17[[#This Row],[SALES '[€']]]/P1_17[[#This Row],[KM]]</f>
        <v>1.0280623174294059</v>
      </c>
      <c r="AD4" s="24">
        <v>2</v>
      </c>
      <c r="AE4" s="24">
        <v>2.6</v>
      </c>
      <c r="AF4" s="24"/>
      <c r="AG4" s="24"/>
      <c r="AH4" s="12"/>
      <c r="AI4" s="12"/>
      <c r="AJ4" s="25"/>
      <c r="AK4" s="13"/>
      <c r="AL4" s="13" t="str">
        <f>IF(P1_17[[#This Row],[DELIVERY TIME]]="STORNO","CANCELLED","OK")</f>
        <v>OK</v>
      </c>
      <c r="AM4" s="13"/>
      <c r="AN4" s="13" t="str">
        <f>IF(RIGHT(P1_17[[#This Row],[CARRIER]],3)="-MF",921,"")</f>
        <v/>
      </c>
      <c r="AO4" s="37"/>
    </row>
    <row r="5" spans="1:41">
      <c r="A5" s="24">
        <f>WEEKNUM(P1_17[[#This Row],[LOADING DATE]],1)</f>
        <v>1</v>
      </c>
      <c r="B5" s="10" t="s">
        <v>56</v>
      </c>
      <c r="C5" s="4" t="s">
        <v>57</v>
      </c>
      <c r="D5" s="9">
        <v>36</v>
      </c>
      <c r="E5" s="4" t="s">
        <v>58</v>
      </c>
      <c r="F5" s="38">
        <v>45296</v>
      </c>
      <c r="G5" s="28">
        <v>0.58333333333333337</v>
      </c>
      <c r="H5" s="4" t="s">
        <v>42</v>
      </c>
      <c r="I5" s="9" t="s">
        <v>43</v>
      </c>
      <c r="J5" s="4" t="s">
        <v>44</v>
      </c>
      <c r="K5" s="38">
        <v>45299</v>
      </c>
      <c r="L5" s="28">
        <v>0.41666666666666669</v>
      </c>
      <c r="M5" s="25" t="s">
        <v>65</v>
      </c>
      <c r="N5" s="24" t="s">
        <v>60</v>
      </c>
      <c r="O5" s="24" t="s">
        <v>61</v>
      </c>
      <c r="P5" s="24">
        <v>500</v>
      </c>
      <c r="Q5" s="54" t="s">
        <v>66</v>
      </c>
      <c r="R5" s="32" t="s">
        <v>63</v>
      </c>
      <c r="S5" s="23">
        <v>328.8</v>
      </c>
      <c r="T5" s="23">
        <v>600</v>
      </c>
      <c r="U5" s="26">
        <f t="shared" si="0"/>
        <v>-271.2</v>
      </c>
      <c r="V5" s="22">
        <f t="shared" si="1"/>
        <v>-0.82481751824817517</v>
      </c>
      <c r="W5" s="12">
        <v>9215170525</v>
      </c>
      <c r="X5" s="12" t="s">
        <v>67</v>
      </c>
      <c r="Y5" s="31">
        <v>1027</v>
      </c>
      <c r="Z5" s="26"/>
      <c r="AA5" s="33" t="s">
        <v>51</v>
      </c>
      <c r="AB5" s="59">
        <f>P1_17[[#This Row],[PURCHASE '[€']]]/P1_17[[#This Row],[KM]]</f>
        <v>0.58422590068159685</v>
      </c>
      <c r="AC5" s="59">
        <f>P1_17[[#This Row],[SALES '[€']]]/P1_17[[#This Row],[KM]]</f>
        <v>0.32015579357351509</v>
      </c>
      <c r="AD5" s="24">
        <v>1</v>
      </c>
      <c r="AE5" s="24">
        <v>1.3</v>
      </c>
      <c r="AF5" s="24"/>
      <c r="AG5" s="24"/>
      <c r="AH5" s="12"/>
      <c r="AI5" s="12"/>
      <c r="AJ5" s="25"/>
      <c r="AK5" s="13"/>
      <c r="AL5" s="13" t="str">
        <f>IF(P1_17[[#This Row],[DELIVERY TIME]]="STORNO","CANCELLED","OK")</f>
        <v>OK</v>
      </c>
      <c r="AM5" s="13"/>
      <c r="AN5" s="13" t="str">
        <f>IF(RIGHT(P1_17[[#This Row],[CARRIER]],3)="-MF",921,"")</f>
        <v/>
      </c>
      <c r="AO5" s="37"/>
    </row>
    <row r="6" spans="1:41">
      <c r="A6" s="24">
        <f>WEEKNUM(P1_17[[#This Row],[LOADING DATE]],1)</f>
        <v>2</v>
      </c>
      <c r="B6" s="10" t="s">
        <v>41</v>
      </c>
      <c r="C6" s="4" t="s">
        <v>42</v>
      </c>
      <c r="D6" s="9" t="s">
        <v>43</v>
      </c>
      <c r="E6" s="9" t="s">
        <v>44</v>
      </c>
      <c r="F6" s="38">
        <v>45300</v>
      </c>
      <c r="G6" s="28">
        <v>0.5</v>
      </c>
      <c r="H6" s="46" t="s">
        <v>42</v>
      </c>
      <c r="I6" s="9" t="s">
        <v>43</v>
      </c>
      <c r="J6" s="28" t="s">
        <v>44</v>
      </c>
      <c r="K6" s="38">
        <v>45300</v>
      </c>
      <c r="L6" s="28">
        <v>0.54166666666666663</v>
      </c>
      <c r="M6" s="25" t="s">
        <v>68</v>
      </c>
      <c r="N6" s="24" t="s">
        <v>46</v>
      </c>
      <c r="O6" s="24" t="s">
        <v>47</v>
      </c>
      <c r="P6" s="24">
        <v>5500</v>
      </c>
      <c r="Q6" s="38" t="s">
        <v>69</v>
      </c>
      <c r="R6" s="32" t="s">
        <v>54</v>
      </c>
      <c r="S6" s="23">
        <v>75</v>
      </c>
      <c r="T6" s="23">
        <v>60</v>
      </c>
      <c r="U6" s="26">
        <f t="shared" si="0"/>
        <v>15</v>
      </c>
      <c r="V6" s="22">
        <f t="shared" si="1"/>
        <v>0.2</v>
      </c>
      <c r="W6" s="12">
        <v>9215170605</v>
      </c>
      <c r="X6" s="12" t="s">
        <v>70</v>
      </c>
      <c r="Y6" s="31">
        <v>2</v>
      </c>
      <c r="Z6" s="26"/>
      <c r="AA6" s="33" t="s">
        <v>51</v>
      </c>
      <c r="AB6" s="59">
        <f>P1_17[[#This Row],[PURCHASE '[€']]]/P1_17[[#This Row],[KM]]</f>
        <v>30</v>
      </c>
      <c r="AC6" s="59">
        <f>P1_17[[#This Row],[SALES '[€']]]/P1_17[[#This Row],[KM]]</f>
        <v>37.5</v>
      </c>
      <c r="AD6" s="24">
        <v>7</v>
      </c>
      <c r="AE6" s="24">
        <v>7</v>
      </c>
      <c r="AF6" s="24"/>
      <c r="AG6" s="24"/>
      <c r="AH6" s="12"/>
      <c r="AI6" s="12"/>
      <c r="AJ6" s="25"/>
      <c r="AK6" s="13"/>
      <c r="AL6" s="13" t="str">
        <f>IF(P1_17[[#This Row],[DELIVERY TIME]]="STORNO","CANCELLED","OK")</f>
        <v>OK</v>
      </c>
      <c r="AM6" s="13"/>
      <c r="AN6" s="13" t="str">
        <f>IF(RIGHT(P1_17[[#This Row],[CARRIER]],3)="-MF",921,"")</f>
        <v/>
      </c>
      <c r="AO6" s="37"/>
    </row>
    <row r="7" spans="1:41">
      <c r="A7" s="24">
        <f>WEEKNUM(P1_17[[#This Row],[LOADING DATE]],1)</f>
        <v>2</v>
      </c>
      <c r="B7" s="10" t="s">
        <v>56</v>
      </c>
      <c r="C7" s="4" t="s">
        <v>57</v>
      </c>
      <c r="D7" s="9">
        <v>36</v>
      </c>
      <c r="E7" s="4" t="s">
        <v>58</v>
      </c>
      <c r="F7" s="38">
        <v>45302</v>
      </c>
      <c r="G7" s="28">
        <v>0.41666666666666669</v>
      </c>
      <c r="H7" s="4" t="s">
        <v>42</v>
      </c>
      <c r="I7" s="9" t="s">
        <v>43</v>
      </c>
      <c r="J7" s="4" t="s">
        <v>44</v>
      </c>
      <c r="K7" s="38">
        <v>45306</v>
      </c>
      <c r="L7" s="28">
        <v>0.375</v>
      </c>
      <c r="M7" s="9" t="s">
        <v>71</v>
      </c>
      <c r="N7" s="4" t="s">
        <v>60</v>
      </c>
      <c r="O7" s="4" t="s">
        <v>61</v>
      </c>
      <c r="P7" s="4">
        <v>1000</v>
      </c>
      <c r="Q7" s="71" t="s">
        <v>72</v>
      </c>
      <c r="R7" s="28" t="s">
        <v>73</v>
      </c>
      <c r="S7" s="23">
        <v>394.63</v>
      </c>
      <c r="T7" s="23">
        <v>350</v>
      </c>
      <c r="U7" s="26">
        <f t="shared" si="0"/>
        <v>44.629999999999995</v>
      </c>
      <c r="V7" s="22">
        <f t="shared" si="1"/>
        <v>0.11309327724704152</v>
      </c>
      <c r="W7" s="12">
        <v>9215170615</v>
      </c>
      <c r="X7" s="12" t="s">
        <v>74</v>
      </c>
      <c r="Y7" s="31">
        <v>1027</v>
      </c>
      <c r="Z7" s="26"/>
      <c r="AA7" s="33" t="s">
        <v>51</v>
      </c>
      <c r="AB7" s="59">
        <f>P1_17[[#This Row],[PURCHASE '[€']]]/P1_17[[#This Row],[KM]]</f>
        <v>0.34079844206426485</v>
      </c>
      <c r="AC7" s="59">
        <f>P1_17[[#This Row],[SALES '[€']]]/P1_17[[#This Row],[KM]]</f>
        <v>0.38425511197663098</v>
      </c>
      <c r="AD7" s="24">
        <v>2</v>
      </c>
      <c r="AE7" s="24">
        <v>2.6</v>
      </c>
      <c r="AF7" s="24"/>
      <c r="AG7" s="24"/>
      <c r="AH7" s="12"/>
      <c r="AI7" s="12"/>
      <c r="AJ7" s="25"/>
      <c r="AK7" s="13"/>
      <c r="AL7" s="13" t="str">
        <f>IF(P1_17[[#This Row],[DELIVERY TIME]]="STORNO","CANCELLED","OK")</f>
        <v>OK</v>
      </c>
      <c r="AM7" s="13"/>
      <c r="AN7" s="13" t="str">
        <f>IF(RIGHT(P1_17[[#This Row],[CARRIER]],3)="-MF",921,"")</f>
        <v/>
      </c>
      <c r="AO7" s="37"/>
    </row>
    <row r="8" spans="1:41">
      <c r="A8" s="24">
        <f>WEEKNUM(P1_17[[#This Row],[LOADING DATE]],1)</f>
        <v>2</v>
      </c>
      <c r="B8" s="10" t="s">
        <v>41</v>
      </c>
      <c r="C8" s="4" t="s">
        <v>42</v>
      </c>
      <c r="D8" s="9" t="s">
        <v>43</v>
      </c>
      <c r="E8" s="9" t="s">
        <v>44</v>
      </c>
      <c r="F8" s="38">
        <v>45302</v>
      </c>
      <c r="G8" s="28">
        <v>0.5</v>
      </c>
      <c r="H8" s="46" t="s">
        <v>42</v>
      </c>
      <c r="I8" s="9" t="s">
        <v>43</v>
      </c>
      <c r="J8" s="28" t="s">
        <v>44</v>
      </c>
      <c r="K8" s="38">
        <v>45302</v>
      </c>
      <c r="L8" s="28">
        <v>0.54166666666666663</v>
      </c>
      <c r="M8" s="9" t="s">
        <v>75</v>
      </c>
      <c r="N8" s="4" t="s">
        <v>46</v>
      </c>
      <c r="O8" s="4" t="s">
        <v>47</v>
      </c>
      <c r="P8" s="4">
        <v>5500</v>
      </c>
      <c r="Q8" s="46" t="s">
        <v>69</v>
      </c>
      <c r="R8" s="28" t="s">
        <v>54</v>
      </c>
      <c r="S8" s="23">
        <v>150</v>
      </c>
      <c r="T8" s="23">
        <v>120</v>
      </c>
      <c r="U8" s="26">
        <f t="shared" si="0"/>
        <v>30</v>
      </c>
      <c r="V8" s="22">
        <f t="shared" si="1"/>
        <v>0.2</v>
      </c>
      <c r="W8" s="12">
        <v>9215170695</v>
      </c>
      <c r="X8" s="12" t="s">
        <v>76</v>
      </c>
      <c r="Y8" s="31">
        <v>2</v>
      </c>
      <c r="Z8" s="26"/>
      <c r="AA8" s="33" t="s">
        <v>51</v>
      </c>
      <c r="AB8" s="59">
        <f>P1_17[[#This Row],[PURCHASE '[€']]]/P1_17[[#This Row],[KM]]</f>
        <v>60</v>
      </c>
      <c r="AC8" s="59">
        <f>P1_17[[#This Row],[SALES '[€']]]/P1_17[[#This Row],[KM]]</f>
        <v>75</v>
      </c>
      <c r="AD8" s="24">
        <v>16</v>
      </c>
      <c r="AE8" s="24">
        <v>7</v>
      </c>
      <c r="AF8" s="24"/>
      <c r="AG8" s="24"/>
      <c r="AH8" s="12"/>
      <c r="AI8" s="12"/>
      <c r="AJ8" s="25"/>
      <c r="AK8" s="13"/>
      <c r="AL8" s="13" t="str">
        <f>IF(P1_17[[#This Row],[DELIVERY TIME]]="STORNO","CANCELLED","OK")</f>
        <v>OK</v>
      </c>
      <c r="AM8" s="13"/>
      <c r="AN8" s="13" t="str">
        <f>IF(RIGHT(P1_17[[#This Row],[CARRIER]],3)="-MF",921,"")</f>
        <v/>
      </c>
      <c r="AO8" s="37"/>
    </row>
    <row r="9" spans="1:41">
      <c r="A9" s="24">
        <f>WEEKNUM(P1_17[[#This Row],[LOADING DATE]],1)</f>
        <v>2</v>
      </c>
      <c r="B9" s="10" t="s">
        <v>41</v>
      </c>
      <c r="C9" s="4" t="s">
        <v>42</v>
      </c>
      <c r="D9" s="9" t="s">
        <v>43</v>
      </c>
      <c r="E9" s="9" t="s">
        <v>44</v>
      </c>
      <c r="F9" s="38">
        <v>45303</v>
      </c>
      <c r="G9" s="28">
        <v>0.5</v>
      </c>
      <c r="H9" s="46" t="s">
        <v>42</v>
      </c>
      <c r="I9" s="9" t="s">
        <v>43</v>
      </c>
      <c r="J9" s="28" t="s">
        <v>44</v>
      </c>
      <c r="K9" s="38">
        <v>45303</v>
      </c>
      <c r="L9" s="28">
        <v>0.54166666666666663</v>
      </c>
      <c r="M9" s="9" t="s">
        <v>77</v>
      </c>
      <c r="N9" s="4" t="s">
        <v>46</v>
      </c>
      <c r="O9" s="4" t="s">
        <v>47</v>
      </c>
      <c r="P9" s="4">
        <v>5500</v>
      </c>
      <c r="Q9" s="46" t="s">
        <v>69</v>
      </c>
      <c r="R9" s="28" t="s">
        <v>54</v>
      </c>
      <c r="S9" s="23">
        <v>75</v>
      </c>
      <c r="T9" s="23">
        <v>60</v>
      </c>
      <c r="U9" s="26">
        <f t="shared" si="0"/>
        <v>15</v>
      </c>
      <c r="V9" s="22">
        <f t="shared" si="1"/>
        <v>0.2</v>
      </c>
      <c r="W9" s="12">
        <v>9215170727</v>
      </c>
      <c r="X9" s="12" t="s">
        <v>78</v>
      </c>
      <c r="Y9" s="31">
        <v>2</v>
      </c>
      <c r="Z9" s="26"/>
      <c r="AA9" s="33" t="s">
        <v>51</v>
      </c>
      <c r="AB9" s="59">
        <f>P1_17[[#This Row],[PURCHASE '[€']]]/P1_17[[#This Row],[KM]]</f>
        <v>30</v>
      </c>
      <c r="AC9" s="59">
        <f>P1_17[[#This Row],[SALES '[€']]]/P1_17[[#This Row],[KM]]</f>
        <v>37.5</v>
      </c>
      <c r="AD9" s="24">
        <v>4</v>
      </c>
      <c r="AE9" s="24">
        <v>7</v>
      </c>
      <c r="AF9" s="24"/>
      <c r="AG9" s="24"/>
      <c r="AH9" s="12"/>
      <c r="AI9" s="12"/>
      <c r="AJ9" s="25"/>
      <c r="AK9" s="13"/>
      <c r="AL9" s="13" t="str">
        <f>IF(P1_17[[#This Row],[DELIVERY TIME]]="STORNO","CANCELLED","OK")</f>
        <v>OK</v>
      </c>
      <c r="AM9" s="13"/>
      <c r="AN9" s="13" t="str">
        <f>IF(RIGHT(P1_17[[#This Row],[CARRIER]],3)="-MF",921,"")</f>
        <v/>
      </c>
      <c r="AO9" s="37"/>
    </row>
    <row r="10" spans="1:41">
      <c r="A10" s="24">
        <f>WEEKNUM(P1_17[[#This Row],[LOADING DATE]],1)</f>
        <v>3</v>
      </c>
      <c r="B10" s="10" t="s">
        <v>41</v>
      </c>
      <c r="C10" s="4" t="s">
        <v>42</v>
      </c>
      <c r="D10" s="9" t="s">
        <v>43</v>
      </c>
      <c r="E10" s="9" t="s">
        <v>44</v>
      </c>
      <c r="F10" s="38">
        <v>45307</v>
      </c>
      <c r="G10" s="28">
        <v>0.5</v>
      </c>
      <c r="H10" s="46" t="s">
        <v>42</v>
      </c>
      <c r="I10" s="9" t="s">
        <v>43</v>
      </c>
      <c r="J10" s="28" t="s">
        <v>44</v>
      </c>
      <c r="K10" s="38">
        <v>45307</v>
      </c>
      <c r="L10" s="28">
        <v>0.54166666666666663</v>
      </c>
      <c r="M10" s="9" t="s">
        <v>79</v>
      </c>
      <c r="N10" s="4" t="s">
        <v>46</v>
      </c>
      <c r="O10" s="4" t="s">
        <v>47</v>
      </c>
      <c r="P10" s="4">
        <v>5500</v>
      </c>
      <c r="Q10" s="46" t="s">
        <v>48</v>
      </c>
      <c r="R10" s="28" t="s">
        <v>49</v>
      </c>
      <c r="S10" s="23">
        <v>150</v>
      </c>
      <c r="T10" s="23">
        <v>120</v>
      </c>
      <c r="U10" s="26">
        <f t="shared" si="0"/>
        <v>30</v>
      </c>
      <c r="V10" s="22">
        <f t="shared" si="1"/>
        <v>0.2</v>
      </c>
      <c r="W10" s="12">
        <v>9215170849</v>
      </c>
      <c r="X10" s="12" t="s">
        <v>80</v>
      </c>
      <c r="Y10" s="31">
        <v>2</v>
      </c>
      <c r="Z10" s="26"/>
      <c r="AA10" s="33" t="s">
        <v>51</v>
      </c>
      <c r="AB10" s="59">
        <f>P1_17[[#This Row],[PURCHASE '[€']]]/P1_17[[#This Row],[KM]]</f>
        <v>60</v>
      </c>
      <c r="AC10" s="59">
        <f>P1_17[[#This Row],[SALES '[€']]]/P1_17[[#This Row],[KM]]</f>
        <v>75</v>
      </c>
      <c r="AD10" s="24">
        <v>14</v>
      </c>
      <c r="AE10" s="24">
        <v>7</v>
      </c>
      <c r="AF10" s="24"/>
      <c r="AG10" s="24"/>
      <c r="AH10" s="12"/>
      <c r="AI10" s="12"/>
      <c r="AJ10" s="25"/>
      <c r="AK10" s="13"/>
      <c r="AL10" s="13" t="str">
        <f>IF(P1_17[[#This Row],[DELIVERY TIME]]="STORNO","CANCELLED","OK")</f>
        <v>OK</v>
      </c>
      <c r="AM10" s="13"/>
      <c r="AN10" s="13" t="str">
        <f>IF(RIGHT(P1_17[[#This Row],[CARRIER]],3)="-MF",921,"")</f>
        <v/>
      </c>
      <c r="AO10" s="37"/>
    </row>
    <row r="11" spans="1:41">
      <c r="A11" s="24">
        <f>WEEKNUM(P1_17[[#This Row],[LOADING DATE]],1)</f>
        <v>3</v>
      </c>
      <c r="B11" s="10" t="s">
        <v>41</v>
      </c>
      <c r="C11" s="4" t="s">
        <v>42</v>
      </c>
      <c r="D11" s="9" t="s">
        <v>43</v>
      </c>
      <c r="E11" s="9" t="s">
        <v>44</v>
      </c>
      <c r="F11" s="38">
        <v>45308</v>
      </c>
      <c r="G11" s="28">
        <v>0.5</v>
      </c>
      <c r="H11" s="46" t="s">
        <v>42</v>
      </c>
      <c r="I11" s="9" t="s">
        <v>43</v>
      </c>
      <c r="J11" s="28" t="s">
        <v>44</v>
      </c>
      <c r="K11" s="38">
        <v>45308</v>
      </c>
      <c r="L11" s="28">
        <v>0.54166666666666663</v>
      </c>
      <c r="M11" s="9" t="s">
        <v>81</v>
      </c>
      <c r="N11" s="4" t="s">
        <v>46</v>
      </c>
      <c r="O11" s="4" t="s">
        <v>47</v>
      </c>
      <c r="P11" s="4">
        <v>5500</v>
      </c>
      <c r="Q11" s="46" t="s">
        <v>69</v>
      </c>
      <c r="R11" s="28" t="s">
        <v>54</v>
      </c>
      <c r="S11" s="23">
        <v>75</v>
      </c>
      <c r="T11" s="23">
        <v>60</v>
      </c>
      <c r="U11" s="26">
        <f t="shared" si="0"/>
        <v>15</v>
      </c>
      <c r="V11" s="22">
        <f t="shared" si="1"/>
        <v>0.2</v>
      </c>
      <c r="W11" s="12">
        <v>9215170888</v>
      </c>
      <c r="X11" s="12" t="s">
        <v>82</v>
      </c>
      <c r="Y11" s="31">
        <v>2</v>
      </c>
      <c r="Z11" s="26"/>
      <c r="AA11" s="33" t="s">
        <v>51</v>
      </c>
      <c r="AB11" s="59">
        <f>P1_17[[#This Row],[PURCHASE '[€']]]/P1_17[[#This Row],[KM]]</f>
        <v>30</v>
      </c>
      <c r="AC11" s="59">
        <f>P1_17[[#This Row],[SALES '[€']]]/P1_17[[#This Row],[KM]]</f>
        <v>37.5</v>
      </c>
      <c r="AD11" s="24">
        <v>6</v>
      </c>
      <c r="AE11" s="24">
        <v>7</v>
      </c>
      <c r="AF11" s="24"/>
      <c r="AG11" s="24"/>
      <c r="AH11" s="12"/>
      <c r="AI11" s="12"/>
      <c r="AJ11" s="25"/>
      <c r="AK11" s="13"/>
      <c r="AL11" s="13" t="str">
        <f>IF(P1_17[[#This Row],[DELIVERY TIME]]="STORNO","CANCELLED","OK")</f>
        <v>OK</v>
      </c>
      <c r="AM11" s="13"/>
      <c r="AN11" s="13" t="str">
        <f>IF(RIGHT(P1_17[[#This Row],[CARRIER]],3)="-MF",921,"")</f>
        <v/>
      </c>
      <c r="AO11" s="37"/>
    </row>
    <row r="12" spans="1:41">
      <c r="A12" s="24">
        <f>WEEKNUM(P1_17[[#This Row],[LOADING DATE]],1)</f>
        <v>3</v>
      </c>
      <c r="B12" s="10" t="s">
        <v>41</v>
      </c>
      <c r="C12" s="4" t="s">
        <v>42</v>
      </c>
      <c r="D12" s="9" t="s">
        <v>43</v>
      </c>
      <c r="E12" s="9" t="s">
        <v>44</v>
      </c>
      <c r="F12" s="38">
        <v>45310</v>
      </c>
      <c r="G12" s="28">
        <v>0.5</v>
      </c>
      <c r="H12" s="46" t="s">
        <v>42</v>
      </c>
      <c r="I12" s="9" t="s">
        <v>43</v>
      </c>
      <c r="J12" s="28" t="s">
        <v>44</v>
      </c>
      <c r="K12" s="38">
        <v>45310</v>
      </c>
      <c r="L12" s="28">
        <v>0.54166666666666663</v>
      </c>
      <c r="M12" s="9" t="s">
        <v>83</v>
      </c>
      <c r="N12" s="4" t="s">
        <v>46</v>
      </c>
      <c r="O12" s="4" t="s">
        <v>47</v>
      </c>
      <c r="P12" s="4">
        <v>5500</v>
      </c>
      <c r="Q12" s="46" t="s">
        <v>69</v>
      </c>
      <c r="R12" s="28" t="s">
        <v>54</v>
      </c>
      <c r="S12" s="23">
        <v>150</v>
      </c>
      <c r="T12" s="23">
        <v>120</v>
      </c>
      <c r="U12" s="26">
        <f t="shared" si="0"/>
        <v>30</v>
      </c>
      <c r="V12" s="22">
        <f t="shared" si="1"/>
        <v>0.2</v>
      </c>
      <c r="W12" s="12">
        <v>9215171016</v>
      </c>
      <c r="X12" s="12" t="s">
        <v>84</v>
      </c>
      <c r="Y12" s="31">
        <v>2</v>
      </c>
      <c r="Z12" s="26"/>
      <c r="AA12" s="33" t="s">
        <v>51</v>
      </c>
      <c r="AB12" s="59">
        <f>P1_17[[#This Row],[PURCHASE '[€']]]/P1_17[[#This Row],[KM]]</f>
        <v>60</v>
      </c>
      <c r="AC12" s="59">
        <f>P1_17[[#This Row],[SALES '[€']]]/P1_17[[#This Row],[KM]]</f>
        <v>75</v>
      </c>
      <c r="AD12" s="24">
        <v>17</v>
      </c>
      <c r="AE12" s="24">
        <v>7</v>
      </c>
      <c r="AF12" s="24"/>
      <c r="AG12" s="24"/>
      <c r="AH12" s="12"/>
      <c r="AI12" s="12"/>
      <c r="AJ12" s="25"/>
      <c r="AK12" s="13"/>
      <c r="AL12" s="13" t="str">
        <f>IF(P1_17[[#This Row],[DELIVERY TIME]]="STORNO","CANCELLED","OK")</f>
        <v>OK</v>
      </c>
      <c r="AM12" s="13"/>
      <c r="AN12" s="13" t="str">
        <f>IF(RIGHT(P1_17[[#This Row],[CARRIER]],3)="-MF",921,"")</f>
        <v/>
      </c>
      <c r="AO12" s="37"/>
    </row>
    <row r="13" spans="1:41">
      <c r="A13" s="24">
        <f>WEEKNUM(P1_17[[#This Row],[LOADING DATE]],1)</f>
        <v>5</v>
      </c>
      <c r="B13" s="10">
        <v>90921482</v>
      </c>
      <c r="C13" s="4" t="s">
        <v>42</v>
      </c>
      <c r="D13" s="9" t="s">
        <v>43</v>
      </c>
      <c r="E13" s="9" t="s">
        <v>85</v>
      </c>
      <c r="F13" s="38">
        <v>45322</v>
      </c>
      <c r="G13" s="28">
        <v>0.41666666666666669</v>
      </c>
      <c r="H13" s="46" t="s">
        <v>42</v>
      </c>
      <c r="I13" s="9" t="s">
        <v>43</v>
      </c>
      <c r="J13" s="28" t="s">
        <v>86</v>
      </c>
      <c r="K13" s="38">
        <v>45322</v>
      </c>
      <c r="L13" s="28">
        <v>0.45833333333333331</v>
      </c>
      <c r="M13" s="25" t="s">
        <v>87</v>
      </c>
      <c r="N13" s="24" t="s">
        <v>46</v>
      </c>
      <c r="O13" s="24" t="s">
        <v>47</v>
      </c>
      <c r="P13" s="24">
        <v>5000</v>
      </c>
      <c r="Q13" s="38" t="s">
        <v>88</v>
      </c>
      <c r="R13" s="32" t="s">
        <v>89</v>
      </c>
      <c r="S13" s="23">
        <v>90</v>
      </c>
      <c r="T13" s="23">
        <v>90</v>
      </c>
      <c r="U13" s="26">
        <f t="shared" si="0"/>
        <v>0</v>
      </c>
      <c r="V13" s="22">
        <f t="shared" si="1"/>
        <v>0</v>
      </c>
      <c r="W13" s="12">
        <v>9215171463</v>
      </c>
      <c r="X13" s="12" t="s">
        <v>90</v>
      </c>
      <c r="Y13" s="31">
        <v>16</v>
      </c>
      <c r="Z13" s="26"/>
      <c r="AA13" s="33" t="s">
        <v>51</v>
      </c>
      <c r="AB13" s="59">
        <f>P1_17[[#This Row],[PURCHASE '[€']]]/P1_17[[#This Row],[KM]]</f>
        <v>5.625</v>
      </c>
      <c r="AC13" s="59">
        <f>P1_17[[#This Row],[SALES '[€']]]/P1_17[[#This Row],[KM]]</f>
        <v>5.625</v>
      </c>
      <c r="AD13" s="24">
        <v>18</v>
      </c>
      <c r="AE13" s="24">
        <v>7</v>
      </c>
      <c r="AF13" s="24"/>
      <c r="AG13" s="24"/>
      <c r="AH13" s="12"/>
      <c r="AI13" s="12"/>
      <c r="AJ13" s="25"/>
      <c r="AK13" s="13"/>
      <c r="AL13" s="13" t="str">
        <f>IF(P1_17[[#This Row],[DELIVERY TIME]]="STORNO","CANCELLED","OK")</f>
        <v>OK</v>
      </c>
      <c r="AM13" s="13"/>
      <c r="AN13" s="13" t="str">
        <f>IF(RIGHT(P1_17[[#This Row],[CARRIER]],3)="-MF",921,"")</f>
        <v/>
      </c>
      <c r="AO13" s="37"/>
    </row>
    <row r="14" spans="1:41">
      <c r="A14" s="24">
        <f>WEEKNUM(P1_17[[#This Row],[LOADING DATE]],1)</f>
        <v>5</v>
      </c>
      <c r="B14" s="10" t="s">
        <v>56</v>
      </c>
      <c r="C14" s="4" t="s">
        <v>57</v>
      </c>
      <c r="D14" s="9">
        <v>36</v>
      </c>
      <c r="E14" s="4" t="s">
        <v>58</v>
      </c>
      <c r="F14" s="38">
        <v>45323</v>
      </c>
      <c r="G14" s="28">
        <v>0.5</v>
      </c>
      <c r="H14" s="4" t="s">
        <v>42</v>
      </c>
      <c r="I14" s="9" t="s">
        <v>43</v>
      </c>
      <c r="J14" s="4" t="s">
        <v>44</v>
      </c>
      <c r="K14" s="38">
        <v>45327</v>
      </c>
      <c r="L14" s="28">
        <v>0.39583333333333331</v>
      </c>
      <c r="M14" s="25" t="s">
        <v>91</v>
      </c>
      <c r="N14" s="24" t="s">
        <v>60</v>
      </c>
      <c r="O14" s="24" t="s">
        <v>61</v>
      </c>
      <c r="P14" s="24">
        <v>500</v>
      </c>
      <c r="Q14" s="54" t="s">
        <v>72</v>
      </c>
      <c r="R14" s="32" t="s">
        <v>73</v>
      </c>
      <c r="S14" s="23">
        <v>328.8</v>
      </c>
      <c r="T14" s="23">
        <v>300</v>
      </c>
      <c r="U14" s="26">
        <f t="shared" si="0"/>
        <v>28.800000000000011</v>
      </c>
      <c r="V14" s="22">
        <f t="shared" si="1"/>
        <v>8.7591240875912441E-2</v>
      </c>
      <c r="W14" s="12">
        <v>9215171357</v>
      </c>
      <c r="X14" s="12" t="s">
        <v>92</v>
      </c>
      <c r="Y14" s="31">
        <v>1027</v>
      </c>
      <c r="Z14" s="26"/>
      <c r="AA14" s="33" t="s">
        <v>93</v>
      </c>
      <c r="AB14" s="59">
        <f>P1_17[[#This Row],[PURCHASE '[€']]]/P1_17[[#This Row],[KM]]</f>
        <v>0.29211295034079843</v>
      </c>
      <c r="AC14" s="59">
        <f>P1_17[[#This Row],[SALES '[€']]]/P1_17[[#This Row],[KM]]</f>
        <v>0.32015579357351509</v>
      </c>
      <c r="AD14" s="24">
        <v>1</v>
      </c>
      <c r="AE14" s="24">
        <v>1.3</v>
      </c>
      <c r="AF14" s="24"/>
      <c r="AG14" s="24"/>
      <c r="AH14" s="12"/>
      <c r="AI14" s="12"/>
      <c r="AJ14" s="25"/>
      <c r="AK14" s="13"/>
      <c r="AL14" s="13" t="str">
        <f>IF(P1_17[[#This Row],[DELIVERY TIME]]="STORNO","CANCELLED","OK")</f>
        <v>OK</v>
      </c>
      <c r="AM14" s="13"/>
      <c r="AN14" s="13" t="str">
        <f>IF(RIGHT(P1_17[[#This Row],[CARRIER]],3)="-MF",921,"")</f>
        <v/>
      </c>
      <c r="AO14" s="37"/>
    </row>
  </sheetData>
  <phoneticPr fontId="6" type="noConversion"/>
  <conditionalFormatting sqref="V1">
    <cfRule type="cellIs" dxfId="126" priority="503" stopIfTrue="1" operator="lessThanOrEqual">
      <formula>0</formula>
    </cfRule>
  </conditionalFormatting>
  <conditionalFormatting sqref="X2:Y1048576">
    <cfRule type="cellIs" dxfId="125" priority="13" operator="lessThan">
      <formula>0</formula>
    </cfRule>
  </conditionalFormatting>
  <conditionalFormatting sqref="AG2:AG1048576">
    <cfRule type="duplicateValues" dxfId="124" priority="4850"/>
    <cfRule type="duplicateValues" dxfId="123" priority="4851"/>
    <cfRule type="duplicateValues" dxfId="122" priority="4852"/>
    <cfRule type="duplicateValues" dxfId="121" priority="4853"/>
    <cfRule type="duplicateValues" dxfId="120" priority="4854"/>
  </conditionalFormatting>
  <conditionalFormatting sqref="AG2:AJ1048576">
    <cfRule type="duplicateValues" dxfId="119" priority="4865"/>
  </conditionalFormatting>
  <conditionalFormatting sqref="AH2:AH1048576">
    <cfRule type="duplicateValues" dxfId="118" priority="4868"/>
    <cfRule type="duplicateValues" dxfId="117" priority="4869"/>
    <cfRule type="duplicateValues" dxfId="116" priority="4870"/>
    <cfRule type="duplicateValues" dxfId="115" priority="4871"/>
    <cfRule type="duplicateValues" dxfId="114" priority="4872"/>
  </conditionalFormatting>
  <conditionalFormatting sqref="AI2:AJ1048576">
    <cfRule type="duplicateValues" dxfId="113" priority="4883"/>
    <cfRule type="duplicateValues" dxfId="112" priority="4884"/>
    <cfRule type="duplicateValues" dxfId="111" priority="4885"/>
    <cfRule type="duplicateValues" dxfId="110" priority="4886"/>
    <cfRule type="duplicateValues" dxfId="109" priority="4887"/>
  </conditionalFormatting>
  <dataValidations count="3">
    <dataValidation type="textLength" operator="equal" allowBlank="1" showInputMessage="1" showErrorMessage="1" sqref="I1" xr:uid="{A1F0918B-270A-4A79-B88D-95686A1695A3}">
      <formula1>2</formula1>
    </dataValidation>
    <dataValidation type="whole" operator="greaterThan" allowBlank="1" showInputMessage="1" showErrorMessage="1" sqref="Y1" xr:uid="{B54E2EBF-ADBD-49F4-9AB6-95190978C2CD}">
      <formula1>0</formula1>
    </dataValidation>
    <dataValidation type="list" allowBlank="1" showInputMessage="1" showErrorMessage="1" sqref="AJ1 J15:K1048576 Q15:Q1048576 AA15:AA1048576 AB2:AC1048576" xr:uid="{CC3EAF8E-4123-4D23-B02B-9D99EA0B3A68}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"/>
  <sheetViews>
    <sheetView tabSelected="1" topLeftCell="R1" zoomScale="85" zoomScaleNormal="85" workbookViewId="0">
      <selection activeCell="K22" sqref="K22"/>
    </sheetView>
  </sheetViews>
  <sheetFormatPr defaultRowHeight="15"/>
  <cols>
    <col min="1" max="1" width="7.5703125" style="5" customWidth="1"/>
    <col min="2" max="2" width="15" bestFit="1" customWidth="1"/>
    <col min="3" max="3" width="9.7109375" customWidth="1"/>
    <col min="4" max="4" width="6.7109375" style="29" customWidth="1"/>
    <col min="5" max="5" width="24.7109375" style="30" bestFit="1" customWidth="1"/>
    <col min="6" max="6" width="12.28515625" customWidth="1"/>
    <col min="7" max="7" width="10.28515625" style="3" customWidth="1"/>
    <col min="8" max="8" width="7.7109375" customWidth="1"/>
    <col min="9" max="9" width="9.85546875" customWidth="1"/>
    <col min="10" max="10" width="16" style="35" customWidth="1"/>
    <col min="11" max="11" width="15.5703125" bestFit="1" customWidth="1"/>
    <col min="12" max="12" width="8.140625" customWidth="1"/>
    <col min="13" max="13" width="22.85546875" customWidth="1"/>
    <col min="14" max="14" width="14.42578125" bestFit="1" customWidth="1"/>
    <col min="15" max="15" width="13.28515625" bestFit="1" customWidth="1"/>
    <col min="16" max="16" width="10.140625" style="3" customWidth="1"/>
    <col min="17" max="17" width="28.85546875" bestFit="1" customWidth="1"/>
    <col min="18" max="18" width="28.42578125" bestFit="1" customWidth="1"/>
    <col min="19" max="19" width="17.5703125" bestFit="1" customWidth="1"/>
    <col min="20" max="20" width="10.28515625" bestFit="1" customWidth="1"/>
    <col min="21" max="21" width="10.85546875" bestFit="1" customWidth="1"/>
    <col min="22" max="22" width="9.140625" style="1" customWidth="1"/>
    <col min="23" max="23" width="44.5703125" style="40" bestFit="1" customWidth="1"/>
    <col min="24" max="24" width="12.42578125" style="2" bestFit="1" customWidth="1"/>
    <col min="25" max="25" width="10.5703125" style="2" customWidth="1"/>
    <col min="26" max="26" width="13.28515625" bestFit="1" customWidth="1"/>
    <col min="27" max="27" width="17.28515625" bestFit="1" customWidth="1"/>
    <col min="28" max="28" width="17.28515625" style="27" customWidth="1"/>
    <col min="29" max="29" width="17.140625" style="27" bestFit="1" customWidth="1"/>
    <col min="30" max="30" width="17.85546875" style="27" bestFit="1" customWidth="1"/>
    <col min="31" max="31" width="10.28515625" bestFit="1" customWidth="1"/>
    <col min="32" max="32" width="31.85546875" hidden="1" customWidth="1"/>
    <col min="33" max="33" width="33.28515625" hidden="1" customWidth="1"/>
    <col min="34" max="34" width="23.42578125" hidden="1" customWidth="1"/>
    <col min="35" max="35" width="25.5703125" hidden="1" customWidth="1"/>
    <col min="36" max="36" width="11" hidden="1" customWidth="1"/>
    <col min="37" max="37" width="9.140625" hidden="1" customWidth="1"/>
    <col min="38" max="41" width="9.140625" customWidth="1"/>
  </cols>
  <sheetData>
    <row r="1" spans="1:41" s="14" customFormat="1" ht="33.75">
      <c r="A1" s="15" t="s">
        <v>0</v>
      </c>
      <c r="B1" s="7" t="s">
        <v>1</v>
      </c>
      <c r="C1" s="16" t="s">
        <v>2</v>
      </c>
      <c r="D1" s="18" t="s">
        <v>3</v>
      </c>
      <c r="E1" s="7" t="s">
        <v>4</v>
      </c>
      <c r="F1" s="16" t="s">
        <v>5</v>
      </c>
      <c r="G1" s="17" t="s">
        <v>6</v>
      </c>
      <c r="H1" s="16" t="s">
        <v>7</v>
      </c>
      <c r="I1" s="18" t="s">
        <v>8</v>
      </c>
      <c r="J1" s="34" t="s">
        <v>9</v>
      </c>
      <c r="K1" s="16" t="s">
        <v>10</v>
      </c>
      <c r="L1" s="1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9" t="s">
        <v>21</v>
      </c>
      <c r="W1" s="39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20" t="s">
        <v>27</v>
      </c>
      <c r="AC1" s="20" t="s">
        <v>28</v>
      </c>
      <c r="AD1" s="45" t="s">
        <v>29</v>
      </c>
      <c r="AE1" s="45" t="s">
        <v>30</v>
      </c>
      <c r="AF1" s="45" t="s">
        <v>31</v>
      </c>
      <c r="AG1" s="45" t="s">
        <v>32</v>
      </c>
      <c r="AH1" s="45" t="s">
        <v>33</v>
      </c>
      <c r="AI1" s="45" t="s">
        <v>34</v>
      </c>
      <c r="AJ1" s="45" t="s">
        <v>35</v>
      </c>
      <c r="AK1" s="45" t="s">
        <v>36</v>
      </c>
      <c r="AL1" s="45" t="s">
        <v>37</v>
      </c>
      <c r="AM1" s="48" t="s">
        <v>38</v>
      </c>
      <c r="AN1" s="8" t="s">
        <v>39</v>
      </c>
      <c r="AO1" s="8" t="s">
        <v>40</v>
      </c>
    </row>
    <row r="2" spans="1:41">
      <c r="A2" s="4">
        <f>WEEKNUM(P1_1[[#This Row],[LOADING DATE]])</f>
        <v>1</v>
      </c>
      <c r="B2" s="10" t="s">
        <v>94</v>
      </c>
      <c r="C2" s="4" t="s">
        <v>42</v>
      </c>
      <c r="D2" s="9" t="s">
        <v>43</v>
      </c>
      <c r="E2" s="53" t="s">
        <v>44</v>
      </c>
      <c r="F2" s="46">
        <v>45294</v>
      </c>
      <c r="G2" s="28">
        <v>0.33333333333333331</v>
      </c>
      <c r="H2" s="28" t="s">
        <v>95</v>
      </c>
      <c r="I2" s="9" t="s">
        <v>96</v>
      </c>
      <c r="J2" s="50" t="s">
        <v>97</v>
      </c>
      <c r="K2" s="46">
        <v>45296</v>
      </c>
      <c r="L2" s="28">
        <v>0.5</v>
      </c>
      <c r="M2" s="47">
        <v>3682605076822</v>
      </c>
      <c r="N2" s="4" t="s">
        <v>98</v>
      </c>
      <c r="O2" s="4" t="s">
        <v>99</v>
      </c>
      <c r="P2" s="4">
        <v>650</v>
      </c>
      <c r="Q2" s="51" t="s">
        <v>100</v>
      </c>
      <c r="R2" s="51" t="s">
        <v>101</v>
      </c>
      <c r="S2" s="11">
        <v>812.5</v>
      </c>
      <c r="T2" s="11">
        <v>750</v>
      </c>
      <c r="U2" s="6">
        <f t="shared" ref="U2:U7" si="0">S2-T2</f>
        <v>62.5</v>
      </c>
      <c r="V2" s="41">
        <f t="shared" ref="V2:V7" si="1">U2/S2</f>
        <v>7.6923076923076927E-2</v>
      </c>
      <c r="W2" s="49" t="s">
        <v>102</v>
      </c>
      <c r="X2" s="42" t="s">
        <v>103</v>
      </c>
      <c r="Y2" s="52">
        <v>2007</v>
      </c>
      <c r="Z2" s="41"/>
      <c r="AA2" s="4" t="s">
        <v>51</v>
      </c>
      <c r="AB2" s="11">
        <f>P1_1[[#This Row],[PURCHASE '[€']]]/P1_1[[#This Row],[KM]]</f>
        <v>0.37369207772795215</v>
      </c>
      <c r="AC2" s="11">
        <f>P1_1[[#This Row],[SALES '[€']]]/P1_1[[#This Row],[KM]]</f>
        <v>0.40483308420528152</v>
      </c>
      <c r="AD2" s="4">
        <v>6</v>
      </c>
      <c r="AE2" s="4">
        <v>4</v>
      </c>
      <c r="AF2" s="4"/>
      <c r="AG2" s="42"/>
      <c r="AH2" s="42"/>
      <c r="AI2" s="9"/>
      <c r="AJ2" s="9"/>
      <c r="AK2" s="43"/>
      <c r="AL2" s="43" t="str">
        <f>IF(P1_1[[#This Row],[DELIVERY TIME]]="STORNO","CANCELLED","OK")</f>
        <v>OK</v>
      </c>
      <c r="AM2" s="5"/>
      <c r="AN2" s="5" t="str">
        <f>IF(RIGHT(P1_1[[#This Row],[CARRIER]],3)="-MF",921,"")</f>
        <v/>
      </c>
      <c r="AO2" s="5"/>
    </row>
    <row r="3" spans="1:41">
      <c r="A3" s="4">
        <f>WEEKNUM(P1_1[[#This Row],[LOADING DATE]])</f>
        <v>2</v>
      </c>
      <c r="B3" s="10" t="s">
        <v>94</v>
      </c>
      <c r="C3" s="4" t="s">
        <v>42</v>
      </c>
      <c r="D3" s="9" t="s">
        <v>43</v>
      </c>
      <c r="E3" s="53" t="s">
        <v>44</v>
      </c>
      <c r="F3" s="46">
        <v>45301</v>
      </c>
      <c r="G3" s="28">
        <v>0.33333333333333331</v>
      </c>
      <c r="H3" s="28" t="s">
        <v>95</v>
      </c>
      <c r="I3" s="9" t="s">
        <v>96</v>
      </c>
      <c r="J3" s="50" t="s">
        <v>97</v>
      </c>
      <c r="K3" s="46">
        <v>45303</v>
      </c>
      <c r="L3" s="28">
        <v>0.5</v>
      </c>
      <c r="M3" s="47">
        <v>3682605077226</v>
      </c>
      <c r="N3" s="4" t="s">
        <v>98</v>
      </c>
      <c r="O3" s="4" t="s">
        <v>99</v>
      </c>
      <c r="P3" s="4">
        <v>650</v>
      </c>
      <c r="Q3" s="51" t="s">
        <v>104</v>
      </c>
      <c r="R3" s="51" t="s">
        <v>101</v>
      </c>
      <c r="S3" s="11">
        <v>812.5</v>
      </c>
      <c r="T3" s="11">
        <v>750</v>
      </c>
      <c r="U3" s="6">
        <f t="shared" si="0"/>
        <v>62.5</v>
      </c>
      <c r="V3" s="41">
        <f t="shared" si="1"/>
        <v>7.6923076923076927E-2</v>
      </c>
      <c r="W3" s="49" t="s">
        <v>105</v>
      </c>
      <c r="X3" s="42" t="s">
        <v>106</v>
      </c>
      <c r="Y3" s="52">
        <v>2007</v>
      </c>
      <c r="Z3" s="41"/>
      <c r="AA3" s="4" t="s">
        <v>51</v>
      </c>
      <c r="AB3" s="11">
        <f>P1_1[[#This Row],[PURCHASE '[€']]]/P1_1[[#This Row],[KM]]</f>
        <v>0.37369207772795215</v>
      </c>
      <c r="AC3" s="11">
        <f>P1_1[[#This Row],[SALES '[€']]]/P1_1[[#This Row],[KM]]</f>
        <v>0.40483308420528152</v>
      </c>
      <c r="AD3" s="4">
        <v>6</v>
      </c>
      <c r="AE3" s="4">
        <v>4</v>
      </c>
      <c r="AF3" s="4"/>
      <c r="AG3" s="42"/>
      <c r="AH3" s="42"/>
      <c r="AI3" s="9"/>
      <c r="AJ3" s="9"/>
      <c r="AK3" s="43"/>
      <c r="AL3" s="43" t="str">
        <f>IF(P1_1[[#This Row],[DELIVERY TIME]]="STORNO","CANCELLED","OK")</f>
        <v>OK</v>
      </c>
      <c r="AM3" s="5"/>
      <c r="AN3" s="5" t="str">
        <f>IF(RIGHT(P1_1[[#This Row],[CARRIER]],3)="-MF",921,"")</f>
        <v/>
      </c>
      <c r="AO3" s="5"/>
    </row>
    <row r="4" spans="1:41">
      <c r="A4" s="24">
        <f>WEEKNUM(P1_1[[#This Row],[LOADING DATE]])</f>
        <v>3</v>
      </c>
      <c r="B4" s="10" t="s">
        <v>94</v>
      </c>
      <c r="C4" s="4" t="s">
        <v>42</v>
      </c>
      <c r="D4" s="9" t="s">
        <v>43</v>
      </c>
      <c r="E4" s="53" t="s">
        <v>44</v>
      </c>
      <c r="F4" s="46">
        <v>45307</v>
      </c>
      <c r="G4" s="28">
        <v>0.83333333333333337</v>
      </c>
      <c r="H4" s="28" t="s">
        <v>107</v>
      </c>
      <c r="I4" s="9" t="s">
        <v>96</v>
      </c>
      <c r="J4" s="50" t="s">
        <v>108</v>
      </c>
      <c r="K4" s="46">
        <v>45309</v>
      </c>
      <c r="L4" s="28">
        <v>0.25</v>
      </c>
      <c r="M4" s="47"/>
      <c r="N4" s="4" t="s">
        <v>98</v>
      </c>
      <c r="O4" s="4" t="s">
        <v>99</v>
      </c>
      <c r="P4" s="4">
        <v>650</v>
      </c>
      <c r="Q4" s="51" t="s">
        <v>100</v>
      </c>
      <c r="R4" s="51" t="s">
        <v>101</v>
      </c>
      <c r="S4" s="23">
        <v>460</v>
      </c>
      <c r="T4" s="23">
        <v>410</v>
      </c>
      <c r="U4" s="26">
        <f t="shared" si="0"/>
        <v>50</v>
      </c>
      <c r="V4" s="22">
        <f t="shared" si="1"/>
        <v>0.10869565217391304</v>
      </c>
      <c r="W4" s="67" t="s">
        <v>109</v>
      </c>
      <c r="X4" s="12" t="s">
        <v>110</v>
      </c>
      <c r="Y4" s="68">
        <v>757</v>
      </c>
      <c r="Z4" s="22"/>
      <c r="AA4" s="24" t="s">
        <v>51</v>
      </c>
      <c r="AB4" s="23">
        <f>P1_1[[#This Row],[PURCHASE '[€']]]/P1_1[[#This Row],[KM]]</f>
        <v>0.54161162483487446</v>
      </c>
      <c r="AC4" s="23">
        <f>P1_1[[#This Row],[SALES '[€']]]/P1_1[[#This Row],[KM]]</f>
        <v>0.607661822985469</v>
      </c>
      <c r="AD4" s="24">
        <v>6</v>
      </c>
      <c r="AE4" s="24">
        <v>4</v>
      </c>
      <c r="AF4" s="24"/>
      <c r="AG4" s="12"/>
      <c r="AH4" s="12"/>
      <c r="AI4" s="25"/>
      <c r="AJ4" s="25"/>
      <c r="AK4" s="13"/>
      <c r="AL4" s="13" t="str">
        <f>IF(P1_1[[#This Row],[DELIVERY TIME]]="STORNO","CANCELLED","OK")</f>
        <v>OK</v>
      </c>
      <c r="AM4" s="5"/>
      <c r="AN4" s="5" t="str">
        <f>IF(RIGHT(P1_1[[#This Row],[CARRIER]],3)="-MF",921,"")</f>
        <v/>
      </c>
      <c r="AO4" s="5"/>
    </row>
    <row r="5" spans="1:41">
      <c r="A5" s="24">
        <f>WEEKNUM(P1_1[[#This Row],[LOADING DATE]])</f>
        <v>3</v>
      </c>
      <c r="B5" s="10" t="s">
        <v>94</v>
      </c>
      <c r="C5" s="4" t="s">
        <v>95</v>
      </c>
      <c r="D5" s="9" t="s">
        <v>96</v>
      </c>
      <c r="E5" s="53" t="s">
        <v>97</v>
      </c>
      <c r="F5" s="46">
        <v>45311</v>
      </c>
      <c r="G5" s="28">
        <v>0.54166666666666663</v>
      </c>
      <c r="H5" s="28" t="s">
        <v>42</v>
      </c>
      <c r="I5" s="9" t="s">
        <v>43</v>
      </c>
      <c r="J5" s="50" t="s">
        <v>44</v>
      </c>
      <c r="K5" s="46">
        <v>45313</v>
      </c>
      <c r="L5" s="28">
        <v>0.25</v>
      </c>
      <c r="M5" s="47">
        <v>3682605078151</v>
      </c>
      <c r="N5" s="4" t="s">
        <v>98</v>
      </c>
      <c r="O5" s="4" t="s">
        <v>111</v>
      </c>
      <c r="P5" s="4">
        <v>150</v>
      </c>
      <c r="Q5" s="51" t="s">
        <v>112</v>
      </c>
      <c r="R5" s="51" t="s">
        <v>113</v>
      </c>
      <c r="S5" s="23">
        <v>590</v>
      </c>
      <c r="T5" s="23">
        <v>500</v>
      </c>
      <c r="U5" s="26">
        <f t="shared" si="0"/>
        <v>90</v>
      </c>
      <c r="V5" s="22">
        <f t="shared" si="1"/>
        <v>0.15254237288135594</v>
      </c>
      <c r="W5" s="67">
        <v>9215171031</v>
      </c>
      <c r="X5" s="12" t="s">
        <v>114</v>
      </c>
      <c r="Y5" s="68">
        <v>1073</v>
      </c>
      <c r="Z5" s="22"/>
      <c r="AA5" s="24" t="s">
        <v>51</v>
      </c>
      <c r="AB5" s="23">
        <f>P1_1[[#This Row],[PURCHASE '[€']]]/P1_1[[#This Row],[KM]]</f>
        <v>0.46598322460391428</v>
      </c>
      <c r="AC5" s="23">
        <f>P1_1[[#This Row],[SALES '[€']]]/P1_1[[#This Row],[KM]]</f>
        <v>0.54986020503261879</v>
      </c>
      <c r="AD5" s="24">
        <v>1</v>
      </c>
      <c r="AE5" s="24">
        <v>0.4</v>
      </c>
      <c r="AF5" s="24"/>
      <c r="AG5" s="12"/>
      <c r="AH5" s="12"/>
      <c r="AI5" s="25"/>
      <c r="AJ5" s="25"/>
      <c r="AK5" s="13"/>
      <c r="AL5" s="13" t="str">
        <f>IF(P1_1[[#This Row],[DELIVERY TIME]]="STORNO","CANCELLED","OK")</f>
        <v>OK</v>
      </c>
      <c r="AM5" s="5"/>
      <c r="AN5" s="5" t="str">
        <f>IF(RIGHT(P1_1[[#This Row],[CARRIER]],3)="-MF",921,"")</f>
        <v/>
      </c>
      <c r="AO5" s="5"/>
    </row>
    <row r="6" spans="1:41">
      <c r="A6" s="24">
        <f>WEEKNUM(P1_1[[#This Row],[LOADING DATE]])</f>
        <v>4</v>
      </c>
      <c r="B6" s="10" t="s">
        <v>94</v>
      </c>
      <c r="C6" s="4" t="s">
        <v>42</v>
      </c>
      <c r="D6" s="9" t="s">
        <v>43</v>
      </c>
      <c r="E6" s="53" t="s">
        <v>44</v>
      </c>
      <c r="F6" s="46">
        <v>45314</v>
      </c>
      <c r="G6" s="28">
        <v>0.33333333333333331</v>
      </c>
      <c r="H6" s="28" t="s">
        <v>95</v>
      </c>
      <c r="I6" s="9" t="s">
        <v>96</v>
      </c>
      <c r="J6" s="50" t="s">
        <v>97</v>
      </c>
      <c r="K6" s="46">
        <v>45316</v>
      </c>
      <c r="L6" s="28">
        <v>0.5</v>
      </c>
      <c r="M6" s="47">
        <v>3682605078246</v>
      </c>
      <c r="N6" s="4" t="s">
        <v>98</v>
      </c>
      <c r="O6" s="4" t="s">
        <v>99</v>
      </c>
      <c r="P6" s="4">
        <v>650</v>
      </c>
      <c r="Q6" s="51" t="s">
        <v>115</v>
      </c>
      <c r="R6" s="51" t="s">
        <v>101</v>
      </c>
      <c r="S6" s="11">
        <v>812.5</v>
      </c>
      <c r="T6" s="11">
        <v>750</v>
      </c>
      <c r="U6" s="26">
        <f t="shared" si="0"/>
        <v>62.5</v>
      </c>
      <c r="V6" s="22">
        <f t="shared" si="1"/>
        <v>7.6923076923076927E-2</v>
      </c>
      <c r="W6" s="67" t="s">
        <v>116</v>
      </c>
      <c r="X6" s="12" t="s">
        <v>117</v>
      </c>
      <c r="Y6" s="68">
        <v>2007</v>
      </c>
      <c r="Z6" s="22"/>
      <c r="AA6" s="24" t="s">
        <v>51</v>
      </c>
      <c r="AB6" s="23">
        <f>P1_1[[#This Row],[PURCHASE '[€']]]/P1_1[[#This Row],[KM]]</f>
        <v>0.37369207772795215</v>
      </c>
      <c r="AC6" s="23">
        <f>P1_1[[#This Row],[SALES '[€']]]/P1_1[[#This Row],[KM]]</f>
        <v>0.40483308420528152</v>
      </c>
      <c r="AD6" s="24">
        <v>6</v>
      </c>
      <c r="AE6" s="24">
        <v>4</v>
      </c>
      <c r="AF6" s="24"/>
      <c r="AG6" s="12"/>
      <c r="AH6" s="12"/>
      <c r="AI6" s="25"/>
      <c r="AJ6" s="25"/>
      <c r="AK6" s="13"/>
      <c r="AL6" s="13" t="str">
        <f>IF(P1_1[[#This Row],[DELIVERY TIME]]="STORNO","CANCELLED","OK")</f>
        <v>OK</v>
      </c>
      <c r="AM6" s="5"/>
      <c r="AN6" s="5" t="str">
        <f>IF(RIGHT(P1_1[[#This Row],[CARRIER]],3)="-MF",921,"")</f>
        <v/>
      </c>
      <c r="AO6" s="5"/>
    </row>
    <row r="7" spans="1:41">
      <c r="A7" s="24">
        <f>WEEKNUM(P1_1[[#This Row],[LOADING DATE]])</f>
        <v>4</v>
      </c>
      <c r="B7" s="10" t="s">
        <v>94</v>
      </c>
      <c r="C7" s="24" t="s">
        <v>42</v>
      </c>
      <c r="D7" s="25" t="s">
        <v>43</v>
      </c>
      <c r="E7" s="53" t="s">
        <v>44</v>
      </c>
      <c r="F7" s="38">
        <v>45313</v>
      </c>
      <c r="G7" s="28">
        <v>0.625</v>
      </c>
      <c r="H7" s="32" t="s">
        <v>42</v>
      </c>
      <c r="I7" s="25" t="s">
        <v>118</v>
      </c>
      <c r="J7" s="69" t="s">
        <v>119</v>
      </c>
      <c r="K7" s="38">
        <v>45315</v>
      </c>
      <c r="L7" s="32">
        <v>0.375</v>
      </c>
      <c r="M7" s="32"/>
      <c r="N7" s="4" t="s">
        <v>60</v>
      </c>
      <c r="O7" s="4" t="s">
        <v>61</v>
      </c>
      <c r="P7" s="4">
        <v>500</v>
      </c>
      <c r="Q7" s="70" t="s">
        <v>120</v>
      </c>
      <c r="R7" s="51" t="s">
        <v>121</v>
      </c>
      <c r="S7" s="11">
        <v>300</v>
      </c>
      <c r="T7" s="23">
        <v>140</v>
      </c>
      <c r="U7" s="26">
        <f t="shared" si="0"/>
        <v>160</v>
      </c>
      <c r="V7" s="22">
        <f t="shared" si="1"/>
        <v>0.53333333333333333</v>
      </c>
      <c r="W7" s="67">
        <v>9215171109</v>
      </c>
      <c r="X7" s="12" t="s">
        <v>122</v>
      </c>
      <c r="Y7" s="68">
        <v>449</v>
      </c>
      <c r="Z7" s="22"/>
      <c r="AA7" s="24" t="s">
        <v>51</v>
      </c>
      <c r="AB7" s="23">
        <f>P1_1[[#This Row],[PURCHASE '[€']]]/P1_1[[#This Row],[KM]]</f>
        <v>0.31180400890868598</v>
      </c>
      <c r="AC7" s="23">
        <f>P1_1[[#This Row],[SALES '[€']]]/P1_1[[#This Row],[KM]]</f>
        <v>0.66815144766146994</v>
      </c>
      <c r="AD7" s="24">
        <v>5</v>
      </c>
      <c r="AE7" s="24">
        <v>2</v>
      </c>
      <c r="AF7" s="24"/>
      <c r="AG7" s="12"/>
      <c r="AH7" s="12"/>
      <c r="AI7" s="25"/>
      <c r="AJ7" s="25"/>
      <c r="AK7" s="13"/>
      <c r="AL7" s="13" t="str">
        <f>IF(P1_1[[#This Row],[DELIVERY TIME]]="STORNO","CANCELLED","OK")</f>
        <v>OK</v>
      </c>
      <c r="AM7" s="5"/>
      <c r="AN7" s="5" t="str">
        <f>IF(RIGHT(P1_1[[#This Row],[CARRIER]],3)="-MF",921,"")</f>
        <v/>
      </c>
      <c r="AO7" s="5"/>
    </row>
    <row r="8" spans="1:41">
      <c r="A8" s="24">
        <f>WEEKNUM(P1_1[[#This Row],[LOADING DATE]])</f>
        <v>5</v>
      </c>
      <c r="B8" s="10" t="s">
        <v>94</v>
      </c>
      <c r="C8" s="4" t="s">
        <v>42</v>
      </c>
      <c r="D8" s="9" t="s">
        <v>43</v>
      </c>
      <c r="E8" s="53" t="s">
        <v>44</v>
      </c>
      <c r="F8" s="46">
        <v>45322</v>
      </c>
      <c r="G8" s="28">
        <v>0.33333333333333331</v>
      </c>
      <c r="H8" s="28" t="s">
        <v>95</v>
      </c>
      <c r="I8" s="9" t="s">
        <v>96</v>
      </c>
      <c r="J8" s="50" t="s">
        <v>97</v>
      </c>
      <c r="K8" s="46">
        <v>45324</v>
      </c>
      <c r="L8" s="28">
        <v>0.5</v>
      </c>
      <c r="M8" s="47">
        <v>3682605078785</v>
      </c>
      <c r="N8" s="4" t="s">
        <v>98</v>
      </c>
      <c r="O8" s="4" t="s">
        <v>99</v>
      </c>
      <c r="P8" s="4">
        <v>650</v>
      </c>
      <c r="Q8" s="51" t="s">
        <v>104</v>
      </c>
      <c r="R8" s="51" t="s">
        <v>101</v>
      </c>
      <c r="S8" s="11">
        <v>812.5</v>
      </c>
      <c r="T8" s="11">
        <v>750</v>
      </c>
      <c r="U8" s="26">
        <f>S8-T8</f>
        <v>62.5</v>
      </c>
      <c r="V8" s="22">
        <f>U8/S8</f>
        <v>7.6923076923076927E-2</v>
      </c>
      <c r="W8" s="67" t="s">
        <v>123</v>
      </c>
      <c r="X8" s="12" t="s">
        <v>124</v>
      </c>
      <c r="Y8" s="68">
        <v>2007</v>
      </c>
      <c r="Z8" s="22"/>
      <c r="AA8" s="24" t="s">
        <v>93</v>
      </c>
      <c r="AB8" s="23">
        <f>P1_1[[#This Row],[PURCHASE '[€']]]/P1_1[[#This Row],[KM]]</f>
        <v>0.37369207772795215</v>
      </c>
      <c r="AC8" s="23">
        <f>P1_1[[#This Row],[SALES '[€']]]/P1_1[[#This Row],[KM]]</f>
        <v>0.40483308420528152</v>
      </c>
      <c r="AD8" s="24">
        <v>6</v>
      </c>
      <c r="AE8" s="24">
        <v>4</v>
      </c>
      <c r="AF8" s="24"/>
      <c r="AG8" s="12"/>
      <c r="AH8" s="12"/>
      <c r="AI8" s="25"/>
      <c r="AJ8" s="25"/>
      <c r="AK8" s="13"/>
      <c r="AL8" s="13" t="str">
        <f>IF(P1_1[[#This Row],[DELIVERY TIME]]="STORNO","CANCELLED","OK")</f>
        <v>OK</v>
      </c>
      <c r="AM8" s="5"/>
      <c r="AN8" s="5" t="str">
        <f>IF(RIGHT(P1_1[[#This Row],[CARRIER]],3)="-MF",921,"")</f>
        <v/>
      </c>
      <c r="AO8" s="5"/>
    </row>
    <row r="9" spans="1:41">
      <c r="A9" s="4">
        <v>5</v>
      </c>
      <c r="B9" s="10" t="s">
        <v>94</v>
      </c>
      <c r="C9" s="4" t="s">
        <v>42</v>
      </c>
      <c r="D9" s="9" t="s">
        <v>43</v>
      </c>
      <c r="E9" s="53" t="s">
        <v>44</v>
      </c>
      <c r="F9" s="57">
        <v>45324</v>
      </c>
      <c r="G9" s="28">
        <v>0.5</v>
      </c>
      <c r="H9" s="28" t="s">
        <v>42</v>
      </c>
      <c r="I9" s="9" t="s">
        <v>125</v>
      </c>
      <c r="J9" s="50" t="s">
        <v>126</v>
      </c>
      <c r="K9" s="57">
        <v>45324</v>
      </c>
      <c r="L9" s="28">
        <v>0.58333333333333337</v>
      </c>
      <c r="M9" s="28"/>
      <c r="N9" s="4" t="s">
        <v>98</v>
      </c>
      <c r="O9" s="4" t="s">
        <v>99</v>
      </c>
      <c r="P9" s="4">
        <v>1100</v>
      </c>
      <c r="Q9" s="51" t="s">
        <v>53</v>
      </c>
      <c r="R9" s="51" t="s">
        <v>54</v>
      </c>
      <c r="S9" s="11">
        <v>160</v>
      </c>
      <c r="T9" s="11">
        <v>130</v>
      </c>
      <c r="U9" s="6">
        <f>S9-T9</f>
        <v>30</v>
      </c>
      <c r="V9" s="41">
        <f>U9/S9</f>
        <v>0.1875</v>
      </c>
      <c r="W9" s="49" t="s">
        <v>127</v>
      </c>
      <c r="X9" s="42" t="s">
        <v>128</v>
      </c>
      <c r="Y9" s="52">
        <v>108</v>
      </c>
      <c r="Z9" s="41"/>
      <c r="AA9" s="4" t="s">
        <v>93</v>
      </c>
      <c r="AB9" s="11">
        <f>P1_1[[#This Row],[PURCHASE '[€']]]/P1_1[[#This Row],[KM]]</f>
        <v>1.2037037037037037</v>
      </c>
      <c r="AC9" s="11">
        <f>P1_1[[#This Row],[SALES '[€']]]/P1_1[[#This Row],[KM]]</f>
        <v>1.4814814814814814</v>
      </c>
      <c r="AD9" s="4">
        <v>5</v>
      </c>
      <c r="AE9" s="4">
        <v>4.8</v>
      </c>
      <c r="AF9" s="4"/>
      <c r="AG9" s="42"/>
      <c r="AH9" s="42"/>
      <c r="AI9" s="9"/>
      <c r="AJ9" s="9"/>
      <c r="AK9" s="43"/>
      <c r="AL9" s="43" t="str">
        <f>IF(P1_1[[#This Row],[DELIVERY TIME]]="STORNO","CANCELLED","OK")</f>
        <v>OK</v>
      </c>
      <c r="AM9" s="5"/>
      <c r="AN9" s="5" t="str">
        <f>IF(RIGHT(P1_1[[#This Row],[CARRIER]],3)="-MF",921,"")</f>
        <v/>
      </c>
      <c r="AO9" s="5"/>
    </row>
    <row r="10" spans="1:41">
      <c r="A10" s="4">
        <f>WEEKNUM(P1_1[[#This Row],[LOADING DATE]])</f>
        <v>6</v>
      </c>
      <c r="B10" s="10" t="s">
        <v>94</v>
      </c>
      <c r="C10" s="4" t="s">
        <v>42</v>
      </c>
      <c r="D10" s="9" t="s">
        <v>43</v>
      </c>
      <c r="E10" s="53" t="s">
        <v>44</v>
      </c>
      <c r="F10" s="46">
        <v>45328</v>
      </c>
      <c r="G10" s="28">
        <v>0.83333333333333337</v>
      </c>
      <c r="H10" s="28" t="s">
        <v>107</v>
      </c>
      <c r="I10" s="9" t="s">
        <v>96</v>
      </c>
      <c r="J10" s="50" t="s">
        <v>108</v>
      </c>
      <c r="K10" s="46">
        <v>45330</v>
      </c>
      <c r="L10" s="28">
        <v>0.5</v>
      </c>
      <c r="M10" s="47"/>
      <c r="N10" s="4" t="s">
        <v>98</v>
      </c>
      <c r="O10" s="4" t="s">
        <v>99</v>
      </c>
      <c r="P10" s="4">
        <v>650</v>
      </c>
      <c r="Q10" s="51" t="s">
        <v>129</v>
      </c>
      <c r="R10" s="51" t="s">
        <v>101</v>
      </c>
      <c r="S10" s="23">
        <v>460</v>
      </c>
      <c r="T10" s="23">
        <v>410</v>
      </c>
      <c r="U10" s="26">
        <f>S10-T10</f>
        <v>50</v>
      </c>
      <c r="V10" s="22">
        <f>U10/S10</f>
        <v>0.10869565217391304</v>
      </c>
      <c r="W10" s="67" t="s">
        <v>130</v>
      </c>
      <c r="X10" s="12" t="s">
        <v>131</v>
      </c>
      <c r="Y10" s="68">
        <v>757</v>
      </c>
      <c r="Z10" s="22"/>
      <c r="AA10" s="24" t="s">
        <v>51</v>
      </c>
      <c r="AB10" s="23">
        <f>P1_1[[#This Row],[PURCHASE '[€']]]/P1_1[[#This Row],[KM]]</f>
        <v>0.54161162483487446</v>
      </c>
      <c r="AC10" s="23">
        <f>P1_1[[#This Row],[SALES '[€']]]/P1_1[[#This Row],[KM]]</f>
        <v>0.607661822985469</v>
      </c>
      <c r="AD10" s="24">
        <v>6</v>
      </c>
      <c r="AE10" s="24">
        <v>4</v>
      </c>
      <c r="AF10" s="24"/>
      <c r="AG10" s="12"/>
      <c r="AH10" s="12"/>
      <c r="AI10" s="25"/>
      <c r="AJ10" s="25"/>
      <c r="AK10" s="13"/>
      <c r="AL10" s="13" t="str">
        <f>IF(P1_1[[#This Row],[DELIVERY TIME]]="STORNO","CANCELLED","OK")</f>
        <v>OK</v>
      </c>
      <c r="AM10" s="5"/>
      <c r="AN10" s="5" t="str">
        <f>IF(RIGHT(P1_1[[#This Row],[CARRIER]],3)="-MF",921,"")</f>
        <v/>
      </c>
      <c r="AO10" s="5"/>
    </row>
    <row r="11" spans="1:41">
      <c r="A11" s="88">
        <v>6</v>
      </c>
      <c r="B11" s="89" t="s">
        <v>94</v>
      </c>
      <c r="C11" s="90" t="s">
        <v>42</v>
      </c>
      <c r="D11" s="91" t="s">
        <v>43</v>
      </c>
      <c r="E11" s="92" t="s">
        <v>44</v>
      </c>
      <c r="F11" s="93">
        <v>45331</v>
      </c>
      <c r="G11" s="94">
        <v>0.5</v>
      </c>
      <c r="H11" s="94" t="s">
        <v>42</v>
      </c>
      <c r="I11" s="91" t="s">
        <v>125</v>
      </c>
      <c r="J11" s="95" t="s">
        <v>126</v>
      </c>
      <c r="K11" s="93">
        <v>45331</v>
      </c>
      <c r="L11" s="94">
        <v>0.58333333333333337</v>
      </c>
      <c r="M11" s="94"/>
      <c r="N11" s="73" t="s">
        <v>98</v>
      </c>
      <c r="O11" s="74" t="s">
        <v>99</v>
      </c>
      <c r="P11" s="73">
        <v>1100</v>
      </c>
      <c r="Q11" s="76" t="s">
        <v>53</v>
      </c>
      <c r="R11" s="76" t="s">
        <v>54</v>
      </c>
      <c r="S11" s="77">
        <v>160</v>
      </c>
      <c r="T11" s="77">
        <v>130</v>
      </c>
      <c r="U11" s="78">
        <f>S11-T11</f>
        <v>30</v>
      </c>
      <c r="V11" s="79">
        <f>U11/S11</f>
        <v>0.1875</v>
      </c>
      <c r="W11" s="72" t="s">
        <v>132</v>
      </c>
      <c r="X11" s="80" t="s">
        <v>133</v>
      </c>
      <c r="Y11" s="81">
        <v>108</v>
      </c>
      <c r="Z11" s="79"/>
      <c r="AA11" s="74" t="s">
        <v>93</v>
      </c>
      <c r="AB11" s="77">
        <f>P1_1[[#This Row],[PURCHASE '[€']]]/P1_1[[#This Row],[KM]]</f>
        <v>1.2037037037037037</v>
      </c>
      <c r="AC11" s="77">
        <f>P1_1[[#This Row],[SALES '[€']]]/P1_1[[#This Row],[KM]]</f>
        <v>1.4814814814814814</v>
      </c>
      <c r="AD11" s="74">
        <v>5</v>
      </c>
      <c r="AE11" s="73">
        <v>4.8</v>
      </c>
      <c r="AF11" s="73"/>
      <c r="AG11" s="82"/>
      <c r="AH11" s="82"/>
      <c r="AI11" s="75"/>
      <c r="AJ11" s="75"/>
      <c r="AK11" s="83"/>
      <c r="AL11" s="84" t="str">
        <f>IF(P1_1[[#This Row],[DELIVERY TIME]]="STORNO","CANCELLED","OK")</f>
        <v>OK</v>
      </c>
      <c r="AM11" s="85"/>
      <c r="AN11" s="86" t="str">
        <f>IF(RIGHT(P1_1[[#This Row],[CARRIER]],3)="-MF",921,"")</f>
        <v/>
      </c>
      <c r="AO11" s="85"/>
    </row>
    <row r="15" spans="1:41">
      <c r="F15" s="87"/>
    </row>
    <row r="17" spans="23:23">
      <c r="W17" s="72"/>
    </row>
  </sheetData>
  <phoneticPr fontId="6" type="noConversion"/>
  <conditionalFormatting sqref="V1">
    <cfRule type="cellIs" dxfId="62" priority="2858" stopIfTrue="1" operator="lessThanOrEqual">
      <formula>0</formula>
    </cfRule>
  </conditionalFormatting>
  <conditionalFormatting sqref="W2:X1048576">
    <cfRule type="cellIs" dxfId="61" priority="6" operator="lessThan">
      <formula>0</formula>
    </cfRule>
  </conditionalFormatting>
  <conditionalFormatting sqref="AF2:AF1048576">
    <cfRule type="duplicateValues" dxfId="60" priority="4890"/>
    <cfRule type="duplicateValues" dxfId="59" priority="4891"/>
    <cfRule type="duplicateValues" dxfId="58" priority="4892"/>
    <cfRule type="duplicateValues" dxfId="57" priority="4893"/>
    <cfRule type="duplicateValues" dxfId="56" priority="4894"/>
  </conditionalFormatting>
  <conditionalFormatting sqref="AF2:AJ1048576">
    <cfRule type="duplicateValues" dxfId="55" priority="4900"/>
  </conditionalFormatting>
  <conditionalFormatting sqref="AG2:AG1048576">
    <cfRule type="duplicateValues" dxfId="54" priority="4902"/>
    <cfRule type="duplicateValues" dxfId="53" priority="4903"/>
    <cfRule type="duplicateValues" dxfId="52" priority="4904"/>
    <cfRule type="duplicateValues" dxfId="51" priority="4905"/>
    <cfRule type="duplicateValues" dxfId="50" priority="4906"/>
  </conditionalFormatting>
  <conditionalFormatting sqref="AH2:AJ1048576">
    <cfRule type="duplicateValues" dxfId="49" priority="4912"/>
    <cfRule type="duplicateValues" dxfId="48" priority="4913"/>
    <cfRule type="duplicateValues" dxfId="47" priority="4914"/>
    <cfRule type="duplicateValues" dxfId="46" priority="4915"/>
    <cfRule type="duplicateValues" dxfId="45" priority="4916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AF23EA87D0B43AD30C4ED8A7DFCBB" ma:contentTypeVersion="6" ma:contentTypeDescription="Create a new document." ma:contentTypeScope="" ma:versionID="b6ee5b539ca1b0555b8ef5b8fe7bf288">
  <xsd:schema xmlns:xsd="http://www.w3.org/2001/XMLSchema" xmlns:xs="http://www.w3.org/2001/XMLSchema" xmlns:p="http://schemas.microsoft.com/office/2006/metadata/properties" xmlns:ns2="3c8e3865-767b-4764-b698-82b419ada07a" xmlns:ns3="b5a14f68-bfae-4c5f-bab0-54bc0a7ff4b6" xmlns:ns4="a9921ce0-7a1f-431e-8865-ede2d13d0df2" xmlns:ns5="172a39f2-39da-409a-9cb8-00866e20cf9f" targetNamespace="http://schemas.microsoft.com/office/2006/metadata/properties" ma:root="true" ma:fieldsID="588da99522ba3017fea2f2c30c55e15f" ns2:_="" ns3:_="" ns4:_="" ns5:_="">
    <xsd:import namespace="3c8e3865-767b-4764-b698-82b419ada07a"/>
    <xsd:import namespace="b5a14f68-bfae-4c5f-bab0-54bc0a7ff4b6"/>
    <xsd:import namespace="a9921ce0-7a1f-431e-8865-ede2d13d0df2"/>
    <xsd:import namespace="172a39f2-39da-409a-9cb8-00866e20cf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4:lcf76f155ced4ddcb4097134ff3c332f" minOccurs="0"/>
                <xsd:element ref="ns5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e3865-767b-4764-b698-82b419ada0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14f68-bfae-4c5f-bab0-54bc0a7ff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21ce0-7a1f-431e-8865-ede2d13d0df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cec1cc2-5b8e-42fe-ad3b-746beff28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a39f2-39da-409a-9cb8-00866e20cf9f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aa1565dc-b7e3-4ab1-bb97-7f20f417d3e4}" ma:internalName="TaxCatchAll" ma:showField="CatchAllData" ma:web="172a39f2-39da-409a-9cb8-00866e20cf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5a14f68-bfae-4c5f-bab0-54bc0a7ff4b6" xsi:nil="true"/>
    <lcf76f155ced4ddcb4097134ff3c332f xmlns="a9921ce0-7a1f-431e-8865-ede2d13d0df2">
      <Terms xmlns="http://schemas.microsoft.com/office/infopath/2007/PartnerControls"/>
    </lcf76f155ced4ddcb4097134ff3c332f>
    <TaxCatchAll xmlns="172a39f2-39da-409a-9cb8-00866e20cf9f" xsi:nil="true"/>
    <SharedWithUsers xmlns="3c8e3865-767b-4764-b698-82b419ada07a">
      <UserInfo>
        <DisplayName>Dzerenga, Radoslav</DisplayName>
        <AccountId>367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28EE3CD-CE07-434E-B1B0-63FFECDED603}"/>
</file>

<file path=customXml/itemProps2.xml><?xml version="1.0" encoding="utf-8"?>
<ds:datastoreItem xmlns:ds="http://schemas.openxmlformats.org/officeDocument/2006/customXml" ds:itemID="{CD7D4DF3-B1A9-4806-A378-FF96F631BAF2}"/>
</file>

<file path=customXml/itemProps3.xml><?xml version="1.0" encoding="utf-8"?>
<ds:datastoreItem xmlns:ds="http://schemas.openxmlformats.org/officeDocument/2006/customXml" ds:itemID="{215D5750-DFCB-4DB2-8EEF-0128A89288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 Nemcik</dc:creator>
  <cp:keywords/>
  <dc:description/>
  <cp:lastModifiedBy>Dzerenga, Radoslav</cp:lastModifiedBy>
  <cp:revision/>
  <dcterms:created xsi:type="dcterms:W3CDTF">2015-06-05T18:19:34Z</dcterms:created>
  <dcterms:modified xsi:type="dcterms:W3CDTF">2024-02-08T14:35:20Z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0x0101007D1AF23EA87D0B43AD30C4ED8A7DFCBB</vt:lpwstr>
  </property>
  <property fmtid="{D5CDD505-2E9C-101B-9397-08002B2CF9AE}" pid="3" name="MediaServiceImageTags">
    <vt:lpwstr/>
  </property>
  <property fmtid="{D5CDD505-2E9C-101B-9397-08002B2CF9AE}" pid="4" name="Order">
    <vt:r8>1505500</vt:r8>
  </property>
</Properties>
</file>