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customProperty3.bin" ContentType="application/vnd.openxmlformats-officedocument.spreadsheetml.customProperty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ento_zošit" defaultThemeVersion="124226"/>
  <mc:AlternateContent xmlns:mc="http://schemas.openxmlformats.org/markup-compatibility/2006">
    <mc:Choice Requires="x15">
      <x15ac:absPath xmlns:x15ac="http://schemas.microsoft.com/office/spreadsheetml/2010/11/ac" url="https://cevalogisticsoffice365.sharepoint.com/sites/ovlkosice/Shared Documents/Produktivita/plachty 2024/"/>
    </mc:Choice>
  </mc:AlternateContent>
  <xr:revisionPtr revIDLastSave="4010" documentId="8_{2314CECB-3CEC-4F8C-8FE8-FAF464C5CAD5}" xr6:coauthVersionLast="47" xr6:coauthVersionMax="47" xr10:uidLastSave="{B12A2072-ADC8-4ABE-8147-A52B3FB987EA}"/>
  <bookViews>
    <workbookView xWindow="-110" yWindow="-110" windowWidth="19420" windowHeight="10300" firstSheet="1" xr2:uid="{00000000-000D-0000-FFFF-FFFF00000000}"/>
  </bookViews>
  <sheets>
    <sheet name="WHP" sheetId="30" r:id="rId1"/>
    <sheet name="STIGA" sheetId="29" r:id="rId2"/>
    <sheet name="INE" sheetId="21" r:id="rId3"/>
  </sheets>
  <externalReferences>
    <externalReference r:id="rId4"/>
    <externalReference r:id="rId5"/>
  </externalReferences>
  <definedNames>
    <definedName name="_xlnm._FilterDatabase" localSheetId="2" hidden="1">INE!#REF!</definedName>
    <definedName name="_xlnm._FilterDatabase" localSheetId="1" hidden="1">STIGA!#REF!</definedName>
    <definedName name="_xlnm._FilterDatabase" localSheetId="0" hidden="1">WHP!#REF!</definedName>
    <definedName name="K">[1]Sheet2!$A$2:$A$4</definedName>
    <definedName name="Sklad">[2]Sheet2!$A$2:$A$3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9" i="21" l="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S66" i="29"/>
  <c r="U158" i="21"/>
  <c r="V158" i="21" s="1"/>
  <c r="AL158" i="21"/>
  <c r="AN158" i="21"/>
  <c r="U157" i="21"/>
  <c r="V157" i="21" s="1"/>
  <c r="AL157" i="21"/>
  <c r="AN157" i="21"/>
  <c r="U156" i="21"/>
  <c r="V156" i="21" s="1"/>
  <c r="AL156" i="21"/>
  <c r="AN156" i="21"/>
  <c r="U155" i="21"/>
  <c r="V155" i="21" s="1"/>
  <c r="AL155" i="21"/>
  <c r="AN155" i="21"/>
  <c r="U154" i="21"/>
  <c r="V154" i="21" s="1"/>
  <c r="AL154" i="21"/>
  <c r="AN154" i="21"/>
  <c r="U153" i="21"/>
  <c r="V153" i="21" s="1"/>
  <c r="AL153" i="21"/>
  <c r="AN153" i="21"/>
  <c r="U152" i="21"/>
  <c r="V152" i="21" s="1"/>
  <c r="AL152" i="21"/>
  <c r="AN152" i="21"/>
  <c r="U151" i="21"/>
  <c r="V151" i="21" s="1"/>
  <c r="AL151" i="21"/>
  <c r="AN151" i="21"/>
  <c r="U150" i="21"/>
  <c r="V150" i="21" s="1"/>
  <c r="AL150" i="21"/>
  <c r="AN150" i="21"/>
  <c r="U149" i="21"/>
  <c r="V149" i="21" s="1"/>
  <c r="AL149" i="21"/>
  <c r="AN149" i="21"/>
  <c r="U148" i="21"/>
  <c r="V148" i="21" s="1"/>
  <c r="AL148" i="21"/>
  <c r="AN148" i="21"/>
  <c r="U147" i="21"/>
  <c r="V147" i="21" s="1"/>
  <c r="AL147" i="21"/>
  <c r="AN147" i="21"/>
  <c r="U146" i="21"/>
  <c r="V146" i="21" s="1"/>
  <c r="AL146" i="21"/>
  <c r="AN146" i="21"/>
  <c r="U145" i="21"/>
  <c r="V145" i="21" s="1"/>
  <c r="AL145" i="21"/>
  <c r="AN145" i="21"/>
  <c r="U144" i="21"/>
  <c r="V144" i="21" s="1"/>
  <c r="AL144" i="21"/>
  <c r="AN144" i="21"/>
  <c r="A66" i="29"/>
  <c r="U66" i="29"/>
  <c r="V66" i="29"/>
  <c r="AB66" i="29"/>
  <c r="AC66" i="29"/>
  <c r="AL66" i="29"/>
  <c r="AN66" i="29"/>
  <c r="U143" i="21"/>
  <c r="V143" i="21" s="1"/>
  <c r="AL143" i="21"/>
  <c r="AN143" i="21"/>
  <c r="S65" i="29"/>
  <c r="U65" i="29" s="1"/>
  <c r="V65" i="29" s="1"/>
  <c r="S64" i="29"/>
  <c r="A65" i="29"/>
  <c r="AB65" i="29"/>
  <c r="AL65" i="29"/>
  <c r="AN65" i="29"/>
  <c r="A64" i="29"/>
  <c r="U64" i="29"/>
  <c r="V64" i="29" s="1"/>
  <c r="AB64" i="29"/>
  <c r="AC64" i="29"/>
  <c r="AL64" i="29"/>
  <c r="AN64" i="29"/>
  <c r="A113" i="30"/>
  <c r="U113" i="30"/>
  <c r="V113" i="30" s="1"/>
  <c r="AB113" i="30"/>
  <c r="AC113" i="30"/>
  <c r="AL113" i="30"/>
  <c r="AN113" i="30"/>
  <c r="U129" i="21"/>
  <c r="V129" i="21" s="1"/>
  <c r="AL129" i="21"/>
  <c r="AN129" i="21"/>
  <c r="A63" i="29"/>
  <c r="U63" i="29"/>
  <c r="V63" i="29" s="1"/>
  <c r="AB63" i="29"/>
  <c r="AC63" i="29"/>
  <c r="AL63" i="29"/>
  <c r="AN63" i="29"/>
  <c r="S123" i="21"/>
  <c r="U123" i="21"/>
  <c r="V123" i="21" s="1"/>
  <c r="AL123" i="21"/>
  <c r="AN123" i="21"/>
  <c r="A62" i="29"/>
  <c r="U62" i="29"/>
  <c r="V62" i="29" s="1"/>
  <c r="AB62" i="29"/>
  <c r="AC62" i="29"/>
  <c r="AL62" i="29"/>
  <c r="AN62" i="29"/>
  <c r="A103" i="30"/>
  <c r="U103" i="30"/>
  <c r="V103" i="30" s="1"/>
  <c r="AB103" i="30"/>
  <c r="AC103" i="30"/>
  <c r="AL103" i="30"/>
  <c r="AN103" i="30"/>
  <c r="A121" i="30"/>
  <c r="U121" i="30"/>
  <c r="V121" i="30" s="1"/>
  <c r="AB121" i="30"/>
  <c r="AC121" i="30"/>
  <c r="AL121" i="30"/>
  <c r="AN121" i="30"/>
  <c r="A122" i="30"/>
  <c r="U122" i="30"/>
  <c r="V122" i="30" s="1"/>
  <c r="AB122" i="30"/>
  <c r="AC122" i="30"/>
  <c r="AL122" i="30"/>
  <c r="AN122" i="30"/>
  <c r="A125" i="30"/>
  <c r="U125" i="30"/>
  <c r="V125" i="30" s="1"/>
  <c r="AB125" i="30"/>
  <c r="AC125" i="30"/>
  <c r="AL125" i="30"/>
  <c r="AN125" i="30"/>
  <c r="A124" i="30"/>
  <c r="U124" i="30"/>
  <c r="V124" i="30" s="1"/>
  <c r="AB124" i="30"/>
  <c r="AC124" i="30"/>
  <c r="AL124" i="30"/>
  <c r="AN124" i="30"/>
  <c r="A61" i="29"/>
  <c r="U61" i="29"/>
  <c r="V61" i="29" s="1"/>
  <c r="AB61" i="29"/>
  <c r="AC61" i="29"/>
  <c r="AL61" i="29"/>
  <c r="AN61" i="29"/>
  <c r="AC65" i="29" l="1"/>
  <c r="A60" i="29"/>
  <c r="U60" i="29"/>
  <c r="V60" i="29" s="1"/>
  <c r="AB60" i="29"/>
  <c r="AC60" i="29"/>
  <c r="AL60" i="29"/>
  <c r="AN60" i="29"/>
  <c r="U139" i="21"/>
  <c r="V139" i="21" s="1"/>
  <c r="AL139" i="21"/>
  <c r="AN139" i="21"/>
  <c r="A112" i="30" l="1"/>
  <c r="U112" i="30"/>
  <c r="V112" i="30" s="1"/>
  <c r="AB112" i="30"/>
  <c r="AC112" i="30"/>
  <c r="AL112" i="30"/>
  <c r="AN112" i="30"/>
  <c r="A132" i="21"/>
  <c r="A133" i="21"/>
  <c r="A134" i="21"/>
  <c r="A135" i="21"/>
  <c r="A136" i="21"/>
  <c r="A137" i="21"/>
  <c r="A138" i="21"/>
  <c r="A89" i="30"/>
  <c r="U89" i="30"/>
  <c r="V89" i="30" s="1"/>
  <c r="AB89" i="30"/>
  <c r="AC89" i="30"/>
  <c r="AL89" i="30"/>
  <c r="AN89" i="30"/>
  <c r="U132" i="21"/>
  <c r="V132" i="21" s="1"/>
  <c r="AL132" i="21"/>
  <c r="AN132" i="21"/>
  <c r="U133" i="21"/>
  <c r="V133" i="21" s="1"/>
  <c r="AL133" i="21"/>
  <c r="AN133" i="21"/>
  <c r="U134" i="21"/>
  <c r="V134" i="21" s="1"/>
  <c r="AL134" i="21"/>
  <c r="AN134" i="21"/>
  <c r="U135" i="21"/>
  <c r="V135" i="21" s="1"/>
  <c r="AL135" i="21"/>
  <c r="AN135" i="21"/>
  <c r="U136" i="21"/>
  <c r="V136" i="21" s="1"/>
  <c r="AL136" i="21"/>
  <c r="AN136" i="21"/>
  <c r="U137" i="21"/>
  <c r="V137" i="21" s="1"/>
  <c r="AL137" i="21"/>
  <c r="AN137" i="21"/>
  <c r="U138" i="21"/>
  <c r="V138" i="21" s="1"/>
  <c r="AL138" i="21"/>
  <c r="AN138" i="21"/>
  <c r="A130" i="21" l="1"/>
  <c r="A131" i="21"/>
  <c r="A123" i="30"/>
  <c r="U123" i="30"/>
  <c r="V123" i="30" s="1"/>
  <c r="AB123" i="30"/>
  <c r="AC123" i="30"/>
  <c r="AL123" i="30"/>
  <c r="AN123" i="30"/>
  <c r="A59" i="29"/>
  <c r="U59" i="29"/>
  <c r="V59" i="29" s="1"/>
  <c r="AB59" i="29"/>
  <c r="AC59" i="29"/>
  <c r="AL59" i="29"/>
  <c r="AN59" i="29"/>
  <c r="A58" i="29"/>
  <c r="U58" i="29"/>
  <c r="V58" i="29" s="1"/>
  <c r="AB58" i="29"/>
  <c r="AC58" i="29"/>
  <c r="AL58" i="29"/>
  <c r="AN58" i="29"/>
  <c r="S126" i="21"/>
  <c r="S125" i="21"/>
  <c r="S124" i="21"/>
  <c r="S122" i="21"/>
  <c r="S121" i="21"/>
  <c r="A119" i="30"/>
  <c r="U119" i="30"/>
  <c r="V119" i="30" s="1"/>
  <c r="AB119" i="30"/>
  <c r="AC119" i="30"/>
  <c r="AL119" i="30"/>
  <c r="AN119" i="30"/>
  <c r="A57" i="29"/>
  <c r="U57" i="29"/>
  <c r="V57" i="29" s="1"/>
  <c r="AB57" i="29"/>
  <c r="AC57" i="29"/>
  <c r="AL57" i="29"/>
  <c r="AN57" i="29"/>
  <c r="U142" i="21"/>
  <c r="V142" i="21" s="1"/>
  <c r="AL142" i="21"/>
  <c r="AN142" i="21"/>
  <c r="U141" i="21"/>
  <c r="V141" i="21" s="1"/>
  <c r="AL141" i="21"/>
  <c r="AN141" i="21"/>
  <c r="U140" i="21"/>
  <c r="V140" i="21" s="1"/>
  <c r="AL140" i="21"/>
  <c r="AN140" i="21"/>
  <c r="U131" i="21"/>
  <c r="V131" i="21" s="1"/>
  <c r="AL131" i="21"/>
  <c r="AN131" i="21"/>
  <c r="A96" i="30" l="1"/>
  <c r="U96" i="30"/>
  <c r="V96" i="30" s="1"/>
  <c r="AB96" i="30"/>
  <c r="AC96" i="30"/>
  <c r="AL96" i="30"/>
  <c r="AN96" i="30"/>
  <c r="S84" i="30"/>
  <c r="U84" i="30" s="1"/>
  <c r="V84" i="30" s="1"/>
  <c r="AN84" i="30"/>
  <c r="AL84" i="30"/>
  <c r="AB84" i="30"/>
  <c r="A84" i="30"/>
  <c r="S94" i="30"/>
  <c r="AB99" i="21"/>
  <c r="AC99" i="21"/>
  <c r="AB100" i="21"/>
  <c r="AC100" i="21"/>
  <c r="AB101" i="21"/>
  <c r="AC101" i="21"/>
  <c r="AB102" i="21"/>
  <c r="AC102" i="21"/>
  <c r="AB103" i="21"/>
  <c r="AC103" i="21"/>
  <c r="AB104" i="21"/>
  <c r="AC104" i="21"/>
  <c r="AB105" i="21"/>
  <c r="AC105" i="21"/>
  <c r="AB106" i="21"/>
  <c r="AC106" i="21"/>
  <c r="AB107" i="21"/>
  <c r="AC107" i="21"/>
  <c r="AB108" i="21"/>
  <c r="AC108" i="21"/>
  <c r="AB109" i="21"/>
  <c r="AC109" i="21"/>
  <c r="AB110" i="21"/>
  <c r="AC110" i="21"/>
  <c r="AB111" i="21"/>
  <c r="AC111" i="21"/>
  <c r="AB112" i="21"/>
  <c r="AC112" i="21"/>
  <c r="AB113" i="21"/>
  <c r="AC113" i="21"/>
  <c r="AB114" i="21"/>
  <c r="AC114" i="21"/>
  <c r="AB115" i="21"/>
  <c r="AC115" i="21"/>
  <c r="AB116" i="21"/>
  <c r="AC116" i="21"/>
  <c r="AB117" i="21"/>
  <c r="AB118" i="21"/>
  <c r="AB119" i="21"/>
  <c r="AB120" i="21"/>
  <c r="AB121" i="21"/>
  <c r="AC121" i="21"/>
  <c r="AB122" i="21"/>
  <c r="AC122" i="21"/>
  <c r="AB124" i="21"/>
  <c r="AC124" i="21"/>
  <c r="AB125" i="21"/>
  <c r="AC125" i="21"/>
  <c r="AB126" i="21"/>
  <c r="AC126" i="21"/>
  <c r="AB127" i="21"/>
  <c r="AC127" i="21"/>
  <c r="AB128" i="21"/>
  <c r="AC128" i="21"/>
  <c r="AB130" i="21"/>
  <c r="AC130" i="21"/>
  <c r="A55" i="29"/>
  <c r="U55" i="29"/>
  <c r="V55" i="29" s="1"/>
  <c r="AB55" i="29"/>
  <c r="AC55" i="29"/>
  <c r="AL55" i="29"/>
  <c r="AN55" i="29"/>
  <c r="AC84" i="30" l="1"/>
  <c r="S56" i="29"/>
  <c r="S120" i="21" l="1"/>
  <c r="AC120" i="21" s="1"/>
  <c r="S119" i="21"/>
  <c r="AC119" i="21" s="1"/>
  <c r="S118" i="21"/>
  <c r="AC118" i="21" s="1"/>
  <c r="S117" i="21"/>
  <c r="AC117" i="21" s="1"/>
  <c r="A56" i="29" l="1"/>
  <c r="U56" i="29"/>
  <c r="V56" i="29" s="1"/>
  <c r="AB56" i="29"/>
  <c r="AC56" i="29"/>
  <c r="AL56" i="29"/>
  <c r="AN56" i="29"/>
  <c r="AN78" i="30"/>
  <c r="AL78" i="30"/>
  <c r="AC78" i="30"/>
  <c r="AB78" i="30"/>
  <c r="U78" i="30"/>
  <c r="V78" i="30" s="1"/>
  <c r="A78" i="30"/>
  <c r="AB54" i="29"/>
  <c r="A125" i="21" l="1"/>
  <c r="A126" i="21"/>
  <c r="A127" i="21"/>
  <c r="A128" i="21"/>
  <c r="A99" i="21"/>
  <c r="A100" i="21"/>
  <c r="A101" i="21"/>
  <c r="A102" i="21"/>
  <c r="A103" i="21"/>
  <c r="A104" i="21"/>
  <c r="A105" i="21"/>
  <c r="A106" i="21"/>
  <c r="A107" i="21"/>
  <c r="A108" i="21"/>
  <c r="A109" i="21"/>
  <c r="A88" i="30"/>
  <c r="U88" i="30"/>
  <c r="V88" i="30" s="1"/>
  <c r="AB88" i="30"/>
  <c r="AC88" i="30"/>
  <c r="AL88" i="30"/>
  <c r="AN88" i="30"/>
  <c r="AN118" i="30" l="1"/>
  <c r="AL118" i="30"/>
  <c r="AC118" i="30"/>
  <c r="AB118" i="30"/>
  <c r="U118" i="30"/>
  <c r="V118" i="30" s="1"/>
  <c r="A118" i="30"/>
  <c r="A107" i="30"/>
  <c r="U107" i="30"/>
  <c r="V107" i="30" s="1"/>
  <c r="AB107" i="30"/>
  <c r="AC107" i="30"/>
  <c r="AL107" i="30"/>
  <c r="AN107" i="30"/>
  <c r="A54" i="29"/>
  <c r="U54" i="29"/>
  <c r="V54" i="29" s="1"/>
  <c r="AC54" i="29"/>
  <c r="AL54" i="29"/>
  <c r="AN54" i="29"/>
  <c r="S51" i="29"/>
  <c r="A108" i="30"/>
  <c r="U108" i="30"/>
  <c r="V108" i="30" s="1"/>
  <c r="AB108" i="30"/>
  <c r="AC108" i="30"/>
  <c r="AL108" i="30"/>
  <c r="AN108" i="30"/>
  <c r="A109" i="30"/>
  <c r="U109" i="30"/>
  <c r="V109" i="30" s="1"/>
  <c r="AB109" i="30"/>
  <c r="AC109" i="30"/>
  <c r="AL109" i="30"/>
  <c r="AN109" i="30"/>
  <c r="A110" i="30"/>
  <c r="U110" i="30"/>
  <c r="V110" i="30" s="1"/>
  <c r="AB110" i="30"/>
  <c r="AC110" i="30"/>
  <c r="AL110" i="30"/>
  <c r="AN110" i="30"/>
  <c r="A111" i="30"/>
  <c r="U111" i="30"/>
  <c r="V111" i="30" s="1"/>
  <c r="AB111" i="30"/>
  <c r="AC111" i="30"/>
  <c r="AL111" i="30"/>
  <c r="AN111" i="30"/>
  <c r="A114" i="30"/>
  <c r="U114" i="30"/>
  <c r="V114" i="30" s="1"/>
  <c r="AB114" i="30"/>
  <c r="AC114" i="30"/>
  <c r="AL114" i="30"/>
  <c r="AN114" i="30"/>
  <c r="A115" i="30"/>
  <c r="U115" i="30"/>
  <c r="V115" i="30" s="1"/>
  <c r="AB115" i="30"/>
  <c r="AC115" i="30"/>
  <c r="AL115" i="30"/>
  <c r="AN115" i="30"/>
  <c r="A116" i="30"/>
  <c r="U116" i="30"/>
  <c r="V116" i="30" s="1"/>
  <c r="AB116" i="30"/>
  <c r="AC116" i="30"/>
  <c r="AL116" i="30"/>
  <c r="AN116" i="30"/>
  <c r="A117" i="30"/>
  <c r="U117" i="30"/>
  <c r="V117" i="30" s="1"/>
  <c r="AB117" i="30"/>
  <c r="AC117" i="30"/>
  <c r="AL117" i="30"/>
  <c r="AN117" i="30"/>
  <c r="A120" i="30"/>
  <c r="U120" i="30"/>
  <c r="V120" i="30" s="1"/>
  <c r="AB120" i="30"/>
  <c r="AC120" i="30"/>
  <c r="AL120" i="30"/>
  <c r="AN120" i="30"/>
  <c r="A53" i="29"/>
  <c r="U53" i="29"/>
  <c r="V53" i="29" s="1"/>
  <c r="AB53" i="29"/>
  <c r="AC53" i="29"/>
  <c r="AL53" i="29"/>
  <c r="AN53" i="29"/>
  <c r="A52" i="29"/>
  <c r="U52" i="29"/>
  <c r="V52" i="29" s="1"/>
  <c r="AB52" i="29"/>
  <c r="AC52" i="29"/>
  <c r="AL52" i="29"/>
  <c r="AN52" i="29"/>
  <c r="A110" i="21" l="1"/>
  <c r="A111" i="21"/>
  <c r="A112" i="21"/>
  <c r="A113" i="21"/>
  <c r="A114" i="21"/>
  <c r="A115" i="21"/>
  <c r="A116" i="21"/>
  <c r="U111" i="21"/>
  <c r="V111" i="21" s="1"/>
  <c r="AL111" i="21"/>
  <c r="AN111" i="21"/>
  <c r="U112" i="21"/>
  <c r="V112" i="21" s="1"/>
  <c r="AL112" i="21"/>
  <c r="AN112" i="21"/>
  <c r="U113" i="21"/>
  <c r="V113" i="21" s="1"/>
  <c r="AL113" i="21"/>
  <c r="AN113" i="21"/>
  <c r="U114" i="21"/>
  <c r="V114" i="21" s="1"/>
  <c r="AL114" i="21"/>
  <c r="AN114" i="21"/>
  <c r="U115" i="21"/>
  <c r="V115" i="21" s="1"/>
  <c r="AL115" i="21"/>
  <c r="AN115" i="21"/>
  <c r="U116" i="21"/>
  <c r="V116" i="21" s="1"/>
  <c r="AL116" i="21"/>
  <c r="AN116" i="21"/>
  <c r="U130" i="21" l="1"/>
  <c r="V130" i="21" s="1"/>
  <c r="AL130" i="21"/>
  <c r="AN130" i="21"/>
  <c r="A51" i="29"/>
  <c r="U51" i="29"/>
  <c r="V51" i="29" s="1"/>
  <c r="AB51" i="29"/>
  <c r="AC51" i="29"/>
  <c r="AL51" i="29"/>
  <c r="AN51" i="29"/>
  <c r="A50" i="29"/>
  <c r="U50" i="29"/>
  <c r="V50" i="29" s="1"/>
  <c r="AB50" i="29"/>
  <c r="AC50" i="29"/>
  <c r="AL50" i="29"/>
  <c r="AN50" i="29"/>
  <c r="A49" i="29"/>
  <c r="U49" i="29"/>
  <c r="V49" i="29" s="1"/>
  <c r="AB49" i="29"/>
  <c r="AC49" i="29"/>
  <c r="AL49" i="29"/>
  <c r="AN49" i="29"/>
  <c r="A102" i="30"/>
  <c r="U102" i="30"/>
  <c r="V102" i="30" s="1"/>
  <c r="AB102" i="30"/>
  <c r="AC102" i="30"/>
  <c r="AL102" i="30"/>
  <c r="AN102" i="30"/>
  <c r="A48" i="29"/>
  <c r="U48" i="29"/>
  <c r="V48" i="29" s="1"/>
  <c r="AB48" i="29"/>
  <c r="AC48" i="29"/>
  <c r="AL48" i="29"/>
  <c r="AN48" i="29"/>
  <c r="A47" i="29"/>
  <c r="U47" i="29"/>
  <c r="V47" i="29" s="1"/>
  <c r="AB47" i="29"/>
  <c r="AC47" i="29"/>
  <c r="AL47" i="29"/>
  <c r="AN47" i="29"/>
  <c r="U127" i="21"/>
  <c r="V127" i="21" s="1"/>
  <c r="AL127" i="21"/>
  <c r="AN127" i="21"/>
  <c r="U125" i="21"/>
  <c r="V125" i="21" s="1"/>
  <c r="AL125" i="21"/>
  <c r="AN125" i="21"/>
  <c r="A94" i="30"/>
  <c r="U94" i="30"/>
  <c r="V94" i="30" s="1"/>
  <c r="AB94" i="30"/>
  <c r="AC94" i="30"/>
  <c r="AL94" i="30"/>
  <c r="AN94" i="30"/>
  <c r="A41" i="29"/>
  <c r="U41" i="29"/>
  <c r="V41" i="29" s="1"/>
  <c r="AB41" i="29"/>
  <c r="AC41" i="29"/>
  <c r="AL41" i="29"/>
  <c r="AN41" i="29"/>
  <c r="U110" i="21"/>
  <c r="V110" i="21" s="1"/>
  <c r="AL110" i="21"/>
  <c r="AN110" i="21"/>
  <c r="U100" i="21" l="1"/>
  <c r="V100" i="21" s="1"/>
  <c r="AL100" i="21"/>
  <c r="AN100" i="21"/>
  <c r="U101" i="21"/>
  <c r="V101" i="21" s="1"/>
  <c r="AL101" i="21"/>
  <c r="AN101" i="21"/>
  <c r="U102" i="21"/>
  <c r="V102" i="21" s="1"/>
  <c r="AL102" i="21"/>
  <c r="AN102" i="21"/>
  <c r="S39" i="29"/>
  <c r="U99" i="21" l="1"/>
  <c r="V99" i="21" s="1"/>
  <c r="AL99" i="21"/>
  <c r="AN99" i="21"/>
  <c r="A101" i="30"/>
  <c r="U101" i="30"/>
  <c r="V101" i="30" s="1"/>
  <c r="AB101" i="30"/>
  <c r="AC101" i="30"/>
  <c r="AL101" i="30"/>
  <c r="AN101" i="30"/>
  <c r="A46" i="29"/>
  <c r="U46" i="29"/>
  <c r="V46" i="29" s="1"/>
  <c r="AB46" i="29"/>
  <c r="AC46" i="29"/>
  <c r="AL46" i="29"/>
  <c r="AN46" i="29"/>
  <c r="A45" i="29"/>
  <c r="U45" i="29"/>
  <c r="V45" i="29" s="1"/>
  <c r="AB45" i="29"/>
  <c r="AC45" i="29"/>
  <c r="AL45" i="29"/>
  <c r="AN45" i="29"/>
  <c r="A44" i="29"/>
  <c r="U44" i="29"/>
  <c r="V44" i="29" s="1"/>
  <c r="AB44" i="29"/>
  <c r="AC44" i="29"/>
  <c r="AL44" i="29"/>
  <c r="AN44" i="29"/>
  <c r="A43" i="29"/>
  <c r="U43" i="29"/>
  <c r="V43" i="29" s="1"/>
  <c r="AB43" i="29"/>
  <c r="AC43" i="29"/>
  <c r="AL43" i="29"/>
  <c r="AN43" i="29"/>
  <c r="A100" i="30"/>
  <c r="U100" i="30"/>
  <c r="V100" i="30" s="1"/>
  <c r="AB100" i="30"/>
  <c r="AC100" i="30"/>
  <c r="AL100" i="30"/>
  <c r="AN100" i="30"/>
  <c r="A104" i="30"/>
  <c r="U104" i="30"/>
  <c r="V104" i="30" s="1"/>
  <c r="AB104" i="30"/>
  <c r="AC104" i="30"/>
  <c r="AL104" i="30"/>
  <c r="AN104" i="30"/>
  <c r="A105" i="30"/>
  <c r="U105" i="30"/>
  <c r="V105" i="30" s="1"/>
  <c r="AB105" i="30"/>
  <c r="AC105" i="30"/>
  <c r="AL105" i="30"/>
  <c r="AN105" i="30"/>
  <c r="A106" i="30"/>
  <c r="U106" i="30"/>
  <c r="V106" i="30" s="1"/>
  <c r="AB106" i="30"/>
  <c r="AC106" i="30"/>
  <c r="AL106" i="30"/>
  <c r="AN106" i="30"/>
  <c r="S77" i="30" l="1"/>
  <c r="S40" i="29"/>
  <c r="A40" i="29"/>
  <c r="U40" i="29"/>
  <c r="V40" i="29" s="1"/>
  <c r="AB40" i="29"/>
  <c r="AC40" i="29"/>
  <c r="AL40" i="29"/>
  <c r="AN40" i="29"/>
  <c r="AB83" i="21" l="1"/>
  <c r="AC83" i="21"/>
  <c r="AB84" i="21"/>
  <c r="AC84" i="21"/>
  <c r="AB85" i="21"/>
  <c r="AC85" i="21"/>
  <c r="AB86" i="21"/>
  <c r="AC86" i="21"/>
  <c r="AB87" i="21"/>
  <c r="AC87" i="21"/>
  <c r="AB88" i="21"/>
  <c r="AC88" i="21"/>
  <c r="AB89" i="21"/>
  <c r="AC89" i="21"/>
  <c r="AB90" i="21"/>
  <c r="AC90" i="21"/>
  <c r="AB91" i="21"/>
  <c r="AC91" i="21"/>
  <c r="AB92" i="21"/>
  <c r="AC92" i="21"/>
  <c r="AB93" i="21"/>
  <c r="AC93" i="21"/>
  <c r="AB94" i="21"/>
  <c r="AC94" i="21"/>
  <c r="AB95" i="21"/>
  <c r="AC95" i="21"/>
  <c r="AB96" i="21"/>
  <c r="AC96" i="21"/>
  <c r="AB97" i="21"/>
  <c r="AC97" i="21"/>
  <c r="AB98" i="21"/>
  <c r="AC98" i="21"/>
  <c r="A42" i="29"/>
  <c r="U42" i="29"/>
  <c r="V42" i="29" s="1"/>
  <c r="AB42" i="29"/>
  <c r="AC42" i="29"/>
  <c r="AL42" i="29"/>
  <c r="AN42" i="29"/>
  <c r="T98" i="30"/>
  <c r="S98" i="30"/>
  <c r="T76" i="30"/>
  <c r="S76" i="30"/>
  <c r="S95" i="30"/>
  <c r="S90" i="30"/>
  <c r="S85" i="30"/>
  <c r="S82" i="30"/>
  <c r="S74" i="30"/>
  <c r="U107" i="21"/>
  <c r="V107" i="21" s="1"/>
  <c r="AL107" i="21"/>
  <c r="AN107" i="21"/>
  <c r="A39" i="29" l="1"/>
  <c r="U39" i="29"/>
  <c r="V39" i="29" s="1"/>
  <c r="AB39" i="29"/>
  <c r="AC39" i="29"/>
  <c r="AL39" i="29"/>
  <c r="AN39" i="29"/>
  <c r="S38" i="29"/>
  <c r="U38" i="29" s="1"/>
  <c r="V38" i="29" s="1"/>
  <c r="A38" i="29"/>
  <c r="AB38" i="29"/>
  <c r="AL38" i="29"/>
  <c r="AN38" i="29"/>
  <c r="U104" i="21"/>
  <c r="V104" i="21" s="1"/>
  <c r="AL104" i="21"/>
  <c r="AN104" i="21"/>
  <c r="U105" i="21"/>
  <c r="V105" i="21" s="1"/>
  <c r="AL105" i="21"/>
  <c r="AN105" i="21"/>
  <c r="U106" i="21"/>
  <c r="V106" i="21" s="1"/>
  <c r="AL106" i="21"/>
  <c r="AN106" i="21"/>
  <c r="U108" i="21"/>
  <c r="V108" i="21" s="1"/>
  <c r="AL108" i="21"/>
  <c r="AN108" i="21"/>
  <c r="U109" i="21"/>
  <c r="V109" i="21" s="1"/>
  <c r="AL109" i="21"/>
  <c r="AN109" i="21"/>
  <c r="AC38" i="29" l="1"/>
  <c r="U83" i="21"/>
  <c r="V83" i="21" s="1"/>
  <c r="AL83" i="21"/>
  <c r="AN83" i="21"/>
  <c r="A37" i="29"/>
  <c r="U37" i="29"/>
  <c r="V37" i="29" s="1"/>
  <c r="AB37" i="29"/>
  <c r="AC37" i="29"/>
  <c r="AL37" i="29"/>
  <c r="AN37" i="29"/>
  <c r="A36" i="29"/>
  <c r="U36" i="29"/>
  <c r="V36" i="29" s="1"/>
  <c r="AB36" i="29"/>
  <c r="AC36" i="29"/>
  <c r="AL36" i="29"/>
  <c r="AN36" i="29"/>
  <c r="A35" i="29"/>
  <c r="U35" i="29"/>
  <c r="V35" i="29" s="1"/>
  <c r="AB35" i="29"/>
  <c r="AC35" i="29"/>
  <c r="AL35" i="29"/>
  <c r="AN35" i="29"/>
  <c r="A72" i="30"/>
  <c r="U72" i="30"/>
  <c r="V72" i="30" s="1"/>
  <c r="AB72" i="30"/>
  <c r="AC72" i="30"/>
  <c r="AL72" i="30"/>
  <c r="AN72" i="30"/>
  <c r="A97" i="30"/>
  <c r="U97" i="30"/>
  <c r="V97" i="30" s="1"/>
  <c r="AB97" i="30"/>
  <c r="AC97" i="30"/>
  <c r="AL97" i="30"/>
  <c r="AN97" i="30"/>
  <c r="A98" i="30"/>
  <c r="U98" i="30"/>
  <c r="V98" i="30" s="1"/>
  <c r="AB98" i="30"/>
  <c r="AC98" i="30"/>
  <c r="AL98" i="30"/>
  <c r="AN98" i="30"/>
  <c r="A99" i="30"/>
  <c r="U99" i="30"/>
  <c r="V99" i="30" s="1"/>
  <c r="AB99" i="30"/>
  <c r="AC99" i="30"/>
  <c r="AL99" i="30"/>
  <c r="AN99" i="30"/>
  <c r="S34" i="29"/>
  <c r="U34" i="29" s="1"/>
  <c r="V34" i="29" s="1"/>
  <c r="A34" i="29"/>
  <c r="AB34" i="29"/>
  <c r="AL34" i="29"/>
  <c r="AN34" i="29"/>
  <c r="T67" i="30"/>
  <c r="S67" i="30"/>
  <c r="S59" i="30"/>
  <c r="S54" i="30"/>
  <c r="AC34" i="29" l="1"/>
  <c r="A83" i="30"/>
  <c r="U83" i="30"/>
  <c r="V83" i="30" s="1"/>
  <c r="AB83" i="30"/>
  <c r="AC83" i="30"/>
  <c r="AL83" i="30"/>
  <c r="AN83" i="30"/>
  <c r="S62" i="30"/>
  <c r="A97" i="21"/>
  <c r="A98" i="21"/>
  <c r="A117" i="21"/>
  <c r="A118" i="21"/>
  <c r="A119" i="21"/>
  <c r="A120" i="21"/>
  <c r="A121" i="21"/>
  <c r="A122" i="21"/>
  <c r="A124" i="21"/>
  <c r="U128" i="21"/>
  <c r="V128" i="21" s="1"/>
  <c r="AL128" i="21"/>
  <c r="AN128" i="21"/>
  <c r="U126" i="21"/>
  <c r="V126" i="21" s="1"/>
  <c r="AL126" i="21"/>
  <c r="AN126" i="21"/>
  <c r="U124" i="21"/>
  <c r="V124" i="21" s="1"/>
  <c r="AL124" i="21"/>
  <c r="AN124" i="21"/>
  <c r="U122" i="21"/>
  <c r="V122" i="21" s="1"/>
  <c r="AL122" i="21"/>
  <c r="AN122" i="21"/>
  <c r="U121" i="21"/>
  <c r="V121" i="21" s="1"/>
  <c r="AL121" i="21"/>
  <c r="AN121" i="21"/>
  <c r="U120" i="21"/>
  <c r="V120" i="21" s="1"/>
  <c r="AL120" i="21"/>
  <c r="AN120" i="21"/>
  <c r="U119" i="21"/>
  <c r="V119" i="21" s="1"/>
  <c r="AL119" i="21"/>
  <c r="AN119" i="21"/>
  <c r="U118" i="21"/>
  <c r="V118" i="21" s="1"/>
  <c r="AL118" i="21"/>
  <c r="AN118" i="21"/>
  <c r="U117" i="21"/>
  <c r="V117" i="21" s="1"/>
  <c r="AL117" i="21"/>
  <c r="AN117" i="21"/>
  <c r="U97" i="21"/>
  <c r="V97" i="21" s="1"/>
  <c r="AL97" i="21"/>
  <c r="AN97" i="21"/>
  <c r="A51" i="30"/>
  <c r="U51" i="30"/>
  <c r="V51" i="30" s="1"/>
  <c r="AB51" i="30"/>
  <c r="AC51" i="30"/>
  <c r="AL51" i="30"/>
  <c r="AN51" i="30"/>
  <c r="A33" i="29"/>
  <c r="U33" i="29"/>
  <c r="V33" i="29" s="1"/>
  <c r="AB33" i="29"/>
  <c r="AC33" i="29"/>
  <c r="AL33" i="29"/>
  <c r="AN33" i="29"/>
  <c r="A90" i="30" l="1"/>
  <c r="U90" i="30"/>
  <c r="V90" i="30" s="1"/>
  <c r="AB90" i="30"/>
  <c r="AC90" i="30"/>
  <c r="AL90" i="30"/>
  <c r="AN90" i="30"/>
  <c r="A91" i="30"/>
  <c r="U91" i="30"/>
  <c r="V91" i="30" s="1"/>
  <c r="AB91" i="30"/>
  <c r="AC91" i="30"/>
  <c r="AL91" i="30"/>
  <c r="AN91" i="30"/>
  <c r="A92" i="30"/>
  <c r="U92" i="30"/>
  <c r="V92" i="30" s="1"/>
  <c r="AB92" i="30"/>
  <c r="AC92" i="30"/>
  <c r="AL92" i="30"/>
  <c r="AN92" i="30"/>
  <c r="A93" i="30"/>
  <c r="U93" i="30"/>
  <c r="V93" i="30" s="1"/>
  <c r="AB93" i="30"/>
  <c r="AC93" i="30"/>
  <c r="AL93" i="30"/>
  <c r="AN93" i="30"/>
  <c r="A95" i="30"/>
  <c r="U95" i="30"/>
  <c r="V95" i="30" s="1"/>
  <c r="AB95" i="30"/>
  <c r="AC95" i="30"/>
  <c r="AL95" i="30"/>
  <c r="AN95" i="30"/>
  <c r="A85" i="30"/>
  <c r="U85" i="30"/>
  <c r="V85" i="30" s="1"/>
  <c r="AB85" i="30"/>
  <c r="AC85" i="30"/>
  <c r="AL85" i="30"/>
  <c r="AN85" i="30"/>
  <c r="A79" i="30"/>
  <c r="U79" i="30"/>
  <c r="V79" i="30" s="1"/>
  <c r="AB79" i="30"/>
  <c r="AC79" i="30"/>
  <c r="AL79" i="30"/>
  <c r="AN79" i="30"/>
  <c r="A80" i="30"/>
  <c r="U80" i="30"/>
  <c r="V80" i="30" s="1"/>
  <c r="AB80" i="30"/>
  <c r="AC80" i="30"/>
  <c r="AL80" i="30"/>
  <c r="AN80" i="30"/>
  <c r="A81" i="30"/>
  <c r="U81" i="30"/>
  <c r="V81" i="30" s="1"/>
  <c r="AB81" i="30"/>
  <c r="AC81" i="30"/>
  <c r="AL81" i="30"/>
  <c r="AN81" i="30"/>
  <c r="A82" i="30"/>
  <c r="U82" i="30"/>
  <c r="V82" i="30" s="1"/>
  <c r="AB82" i="30"/>
  <c r="AC82" i="30"/>
  <c r="AL82" i="30"/>
  <c r="AN82" i="30"/>
  <c r="A75" i="30"/>
  <c r="U75" i="30"/>
  <c r="V75" i="30" s="1"/>
  <c r="AB75" i="30"/>
  <c r="AC75" i="30"/>
  <c r="AL75" i="30"/>
  <c r="AN75" i="30"/>
  <c r="A76" i="30"/>
  <c r="U76" i="30"/>
  <c r="V76" i="30" s="1"/>
  <c r="AB76" i="30"/>
  <c r="AC76" i="30"/>
  <c r="AL76" i="30"/>
  <c r="AN76" i="30"/>
  <c r="A77" i="30"/>
  <c r="U77" i="30"/>
  <c r="V77" i="30" s="1"/>
  <c r="AB77" i="30"/>
  <c r="AC77" i="30"/>
  <c r="AL77" i="30"/>
  <c r="AN77" i="30"/>
  <c r="A87" i="30"/>
  <c r="U87" i="30"/>
  <c r="V87" i="30" s="1"/>
  <c r="AB87" i="30"/>
  <c r="AC87" i="30"/>
  <c r="AL87" i="30"/>
  <c r="AN87" i="30"/>
  <c r="S81" i="21"/>
  <c r="S80" i="21"/>
  <c r="A32" i="29"/>
  <c r="U32" i="29"/>
  <c r="V32" i="29" s="1"/>
  <c r="AB32" i="29"/>
  <c r="AC32" i="29"/>
  <c r="AL32" i="29"/>
  <c r="AN32" i="29"/>
  <c r="A52" i="30"/>
  <c r="U52" i="30"/>
  <c r="V52" i="30" s="1"/>
  <c r="AB52" i="30"/>
  <c r="AC52" i="30"/>
  <c r="AL52" i="30"/>
  <c r="AN52" i="30"/>
  <c r="A53" i="30"/>
  <c r="U53" i="30"/>
  <c r="V53" i="30" s="1"/>
  <c r="AB53" i="30"/>
  <c r="AC53" i="30"/>
  <c r="AL53" i="30"/>
  <c r="AN53" i="30"/>
  <c r="V103" i="21"/>
  <c r="AL103" i="21"/>
  <c r="AN103" i="21"/>
  <c r="U98" i="21"/>
  <c r="V98" i="21" s="1"/>
  <c r="AL98" i="21"/>
  <c r="AN98" i="2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8" i="30"/>
  <c r="A33" i="30"/>
  <c r="A34" i="30"/>
  <c r="A35" i="30"/>
  <c r="A36" i="30"/>
  <c r="A37" i="30"/>
  <c r="A39" i="30"/>
  <c r="A40" i="30"/>
  <c r="A41" i="30"/>
  <c r="A42" i="30"/>
  <c r="A43" i="30"/>
  <c r="A44" i="30"/>
  <c r="A58" i="30"/>
  <c r="A45" i="30"/>
  <c r="A46" i="30"/>
  <c r="A47" i="30"/>
  <c r="A48" i="30"/>
  <c r="A49" i="30"/>
  <c r="A50" i="30"/>
  <c r="A54" i="30"/>
  <c r="A55" i="30"/>
  <c r="A61" i="30"/>
  <c r="A59" i="30"/>
  <c r="A60" i="30"/>
  <c r="A62" i="30"/>
  <c r="A63" i="30"/>
  <c r="A64" i="30"/>
  <c r="A65" i="30"/>
  <c r="A66" i="30"/>
  <c r="A67" i="30"/>
  <c r="A68" i="30"/>
  <c r="A69" i="30"/>
  <c r="A70" i="30"/>
  <c r="A56" i="30"/>
  <c r="A57" i="30"/>
  <c r="A71" i="30"/>
  <c r="A73" i="30"/>
  <c r="A74" i="30"/>
  <c r="A86" i="30"/>
  <c r="U3" i="30"/>
  <c r="V3" i="30" s="1"/>
  <c r="U5" i="30"/>
  <c r="V5" i="30" s="1"/>
  <c r="U9" i="30"/>
  <c r="V9" i="30" s="1"/>
  <c r="U13" i="30"/>
  <c r="V13" i="30" s="1"/>
  <c r="U14" i="30"/>
  <c r="V14" i="30" s="1"/>
  <c r="U21" i="30"/>
  <c r="V21" i="30" s="1"/>
  <c r="U25" i="30"/>
  <c r="V25" i="30" s="1"/>
  <c r="U27" i="30"/>
  <c r="V27" i="30" s="1"/>
  <c r="U30" i="30"/>
  <c r="V30" i="30" s="1"/>
  <c r="U31" i="30"/>
  <c r="V31" i="30" s="1"/>
  <c r="U32" i="30"/>
  <c r="V32" i="30" s="1"/>
  <c r="U38" i="30"/>
  <c r="V38" i="30" s="1"/>
  <c r="U34" i="30"/>
  <c r="V34" i="30" s="1"/>
  <c r="U35" i="30"/>
  <c r="V35" i="30" s="1"/>
  <c r="U36" i="30"/>
  <c r="V36" i="30" s="1"/>
  <c r="U37" i="30"/>
  <c r="V37" i="30" s="1"/>
  <c r="U39" i="30"/>
  <c r="V39" i="30" s="1"/>
  <c r="U40" i="30"/>
  <c r="V40" i="30" s="1"/>
  <c r="U41" i="30"/>
  <c r="V41" i="30" s="1"/>
  <c r="U43" i="30"/>
  <c r="V43" i="30" s="1"/>
  <c r="U44" i="30"/>
  <c r="V44" i="30" s="1"/>
  <c r="U58" i="30"/>
  <c r="V58" i="30" s="1"/>
  <c r="U45" i="30"/>
  <c r="V45" i="30" s="1"/>
  <c r="U46" i="30"/>
  <c r="V46" i="30" s="1"/>
  <c r="U47" i="30"/>
  <c r="V47" i="30" s="1"/>
  <c r="U48" i="30"/>
  <c r="V48" i="30" s="1"/>
  <c r="U49" i="30"/>
  <c r="V49" i="30" s="1"/>
  <c r="U50" i="30"/>
  <c r="V50" i="30" s="1"/>
  <c r="U54" i="30"/>
  <c r="V54" i="30" s="1"/>
  <c r="U55" i="30"/>
  <c r="V55" i="30" s="1"/>
  <c r="U61" i="30"/>
  <c r="V61" i="30" s="1"/>
  <c r="U59" i="30"/>
  <c r="V59" i="30" s="1"/>
  <c r="U60" i="30"/>
  <c r="V60" i="30" s="1"/>
  <c r="U62" i="30"/>
  <c r="V62" i="30" s="1"/>
  <c r="U63" i="30"/>
  <c r="V63" i="30" s="1"/>
  <c r="U64" i="30"/>
  <c r="V64" i="30" s="1"/>
  <c r="U65" i="30"/>
  <c r="V65" i="30" s="1"/>
  <c r="U66" i="30"/>
  <c r="V66" i="30" s="1"/>
  <c r="U67" i="30"/>
  <c r="V67" i="30" s="1"/>
  <c r="U68" i="30"/>
  <c r="V68" i="30" s="1"/>
  <c r="U69" i="30"/>
  <c r="V69" i="30" s="1"/>
  <c r="U70" i="30"/>
  <c r="V70" i="30" s="1"/>
  <c r="U56" i="30"/>
  <c r="V56" i="30" s="1"/>
  <c r="U57" i="30"/>
  <c r="V57" i="30" s="1"/>
  <c r="U71" i="30"/>
  <c r="V71" i="30" s="1"/>
  <c r="U73" i="30"/>
  <c r="V73" i="30" s="1"/>
  <c r="U74" i="30"/>
  <c r="V74" i="30" s="1"/>
  <c r="U86" i="30"/>
  <c r="V86" i="30" s="1"/>
  <c r="AB3" i="30"/>
  <c r="AB4" i="30"/>
  <c r="AB5" i="30"/>
  <c r="AB6" i="30"/>
  <c r="AB7" i="30"/>
  <c r="AB8" i="30"/>
  <c r="AB9" i="30"/>
  <c r="AB10" i="30"/>
  <c r="AB11" i="30"/>
  <c r="AB12" i="30"/>
  <c r="AB13" i="30"/>
  <c r="AB14" i="30"/>
  <c r="AB15" i="30"/>
  <c r="AB16" i="30"/>
  <c r="AB17" i="30"/>
  <c r="AB20" i="30"/>
  <c r="AB21" i="30"/>
  <c r="AB22" i="30"/>
  <c r="AB24" i="30"/>
  <c r="AB25" i="30"/>
  <c r="AB27" i="30"/>
  <c r="AB28" i="30"/>
  <c r="AB29" i="30"/>
  <c r="AB30" i="30"/>
  <c r="AB31" i="30"/>
  <c r="AB32" i="30"/>
  <c r="AB38" i="30"/>
  <c r="AB33" i="30"/>
  <c r="AB34" i="30"/>
  <c r="AB35" i="30"/>
  <c r="AB36" i="30"/>
  <c r="AB37" i="30"/>
  <c r="AB39" i="30"/>
  <c r="AB40" i="30"/>
  <c r="AB41" i="30"/>
  <c r="AB43" i="30"/>
  <c r="AB44" i="30"/>
  <c r="AB58" i="30"/>
  <c r="AB45" i="30"/>
  <c r="AB46" i="30"/>
  <c r="AB47" i="30"/>
  <c r="AB48" i="30"/>
  <c r="AB49" i="30"/>
  <c r="AB50" i="30"/>
  <c r="AB54" i="30"/>
  <c r="AB55" i="30"/>
  <c r="AB61" i="30"/>
  <c r="AB59" i="30"/>
  <c r="AB60" i="30"/>
  <c r="AB62" i="30"/>
  <c r="AB63" i="30"/>
  <c r="AB64" i="30"/>
  <c r="AB65" i="30"/>
  <c r="AB66" i="30"/>
  <c r="AB67" i="30"/>
  <c r="AB68" i="30"/>
  <c r="AB69" i="30"/>
  <c r="AB70" i="30"/>
  <c r="AB56" i="30"/>
  <c r="AB57" i="30"/>
  <c r="AB71" i="30"/>
  <c r="AB73" i="30"/>
  <c r="AB74" i="30"/>
  <c r="AB86" i="30"/>
  <c r="AC3" i="30"/>
  <c r="AC5" i="30"/>
  <c r="AC9" i="30"/>
  <c r="AC13" i="30"/>
  <c r="AC14" i="30"/>
  <c r="AC21" i="30"/>
  <c r="AC25" i="30"/>
  <c r="AC27" i="30"/>
  <c r="AC30" i="30"/>
  <c r="AC31" i="30"/>
  <c r="AC32" i="30"/>
  <c r="AC38" i="30"/>
  <c r="AC34" i="30"/>
  <c r="AC35" i="30"/>
  <c r="AC36" i="30"/>
  <c r="AC37" i="30"/>
  <c r="AC39" i="30"/>
  <c r="AC40" i="30"/>
  <c r="AC41" i="30"/>
  <c r="AC43" i="30"/>
  <c r="AC44" i="30"/>
  <c r="AC58" i="30"/>
  <c r="AC45" i="30"/>
  <c r="AC46" i="30"/>
  <c r="AC47" i="30"/>
  <c r="AC48" i="30"/>
  <c r="AC49" i="30"/>
  <c r="AC50" i="30"/>
  <c r="AC54" i="30"/>
  <c r="AC55" i="30"/>
  <c r="AC61" i="30"/>
  <c r="AC59" i="30"/>
  <c r="AC60" i="30"/>
  <c r="AC62" i="30"/>
  <c r="AC63" i="30"/>
  <c r="AC64" i="30"/>
  <c r="AC65" i="30"/>
  <c r="AC66" i="30"/>
  <c r="AC67" i="30"/>
  <c r="AC68" i="30"/>
  <c r="AC69" i="30"/>
  <c r="AC70" i="30"/>
  <c r="AC56" i="30"/>
  <c r="AC57" i="30"/>
  <c r="AC71" i="30"/>
  <c r="AC73" i="30"/>
  <c r="AC74" i="30"/>
  <c r="AC86" i="30"/>
  <c r="AL3" i="30"/>
  <c r="AL4" i="30"/>
  <c r="AL5" i="30"/>
  <c r="AL6" i="30"/>
  <c r="AL7" i="30"/>
  <c r="AL8" i="30"/>
  <c r="AL9" i="30"/>
  <c r="AL10" i="30"/>
  <c r="AL11" i="30"/>
  <c r="AL12" i="30"/>
  <c r="AL13" i="30"/>
  <c r="AL14" i="30"/>
  <c r="AL15" i="30"/>
  <c r="AL16" i="30"/>
  <c r="AL17" i="30"/>
  <c r="AL18" i="30"/>
  <c r="AL19" i="30"/>
  <c r="AL20" i="30"/>
  <c r="AL21" i="30"/>
  <c r="AL22" i="30"/>
  <c r="AL23" i="30"/>
  <c r="AL24" i="30"/>
  <c r="AL25" i="30"/>
  <c r="AL26" i="30"/>
  <c r="AL27" i="30"/>
  <c r="AL28" i="30"/>
  <c r="AL29" i="30"/>
  <c r="AL30" i="30"/>
  <c r="AL31" i="30"/>
  <c r="AL32" i="30"/>
  <c r="AL38" i="30"/>
  <c r="AL33" i="30"/>
  <c r="AL34" i="30"/>
  <c r="AL35" i="30"/>
  <c r="AL36" i="30"/>
  <c r="AL37" i="30"/>
  <c r="AL39" i="30"/>
  <c r="AL40" i="30"/>
  <c r="AL41" i="30"/>
  <c r="AL42" i="30"/>
  <c r="AL43" i="30"/>
  <c r="AL44" i="30"/>
  <c r="AL58" i="30"/>
  <c r="AL45" i="30"/>
  <c r="AL46" i="30"/>
  <c r="AL47" i="30"/>
  <c r="AL48" i="30"/>
  <c r="AL49" i="30"/>
  <c r="AL50" i="30"/>
  <c r="AL54" i="30"/>
  <c r="AL55" i="30"/>
  <c r="AL61" i="30"/>
  <c r="AL59" i="30"/>
  <c r="AL60" i="30"/>
  <c r="AL62" i="30"/>
  <c r="AL63" i="30"/>
  <c r="AL64" i="30"/>
  <c r="AL65" i="30"/>
  <c r="AL66" i="30"/>
  <c r="AL67" i="30"/>
  <c r="AL68" i="30"/>
  <c r="AL69" i="30"/>
  <c r="AL70" i="30"/>
  <c r="AL56" i="30"/>
  <c r="AL57" i="30"/>
  <c r="AL71" i="30"/>
  <c r="AL73" i="30"/>
  <c r="AL74" i="30"/>
  <c r="AL86" i="30"/>
  <c r="AN3" i="30"/>
  <c r="AN4" i="30"/>
  <c r="AN5" i="30"/>
  <c r="AN6" i="30"/>
  <c r="AN7" i="30"/>
  <c r="AN8" i="30"/>
  <c r="AN9" i="30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2" i="30"/>
  <c r="AN23" i="30"/>
  <c r="AN24" i="30"/>
  <c r="AN25" i="30"/>
  <c r="AN26" i="30"/>
  <c r="AN27" i="30"/>
  <c r="AN28" i="30"/>
  <c r="AN29" i="30"/>
  <c r="AN30" i="30"/>
  <c r="AN31" i="30"/>
  <c r="AN32" i="30"/>
  <c r="AN38" i="30"/>
  <c r="AN33" i="30"/>
  <c r="AN34" i="30"/>
  <c r="AN35" i="30"/>
  <c r="AN36" i="30"/>
  <c r="AN37" i="30"/>
  <c r="AN39" i="30"/>
  <c r="AN40" i="30"/>
  <c r="AN41" i="30"/>
  <c r="AN42" i="30"/>
  <c r="AN43" i="30"/>
  <c r="AN44" i="30"/>
  <c r="AN58" i="30"/>
  <c r="AN45" i="30"/>
  <c r="AN46" i="30"/>
  <c r="AN47" i="30"/>
  <c r="AN48" i="30"/>
  <c r="AN49" i="30"/>
  <c r="AN50" i="30"/>
  <c r="AN54" i="30"/>
  <c r="AN55" i="30"/>
  <c r="AN61" i="30"/>
  <c r="AN59" i="30"/>
  <c r="AN60" i="30"/>
  <c r="AN62" i="30"/>
  <c r="AN63" i="30"/>
  <c r="AN64" i="30"/>
  <c r="AN65" i="30"/>
  <c r="AN66" i="30"/>
  <c r="AN67" i="30"/>
  <c r="AN68" i="30"/>
  <c r="AN69" i="30"/>
  <c r="AN70" i="30"/>
  <c r="AN56" i="30"/>
  <c r="AN57" i="30"/>
  <c r="AN71" i="30"/>
  <c r="AN73" i="30"/>
  <c r="AN74" i="30"/>
  <c r="AN86" i="30"/>
  <c r="T42" i="30"/>
  <c r="AB42" i="30" s="1"/>
  <c r="AC42" i="30"/>
  <c r="AC33" i="30"/>
  <c r="AC29" i="30"/>
  <c r="S28" i="30"/>
  <c r="U28" i="30" s="1"/>
  <c r="V28" i="30" s="1"/>
  <c r="T26" i="30"/>
  <c r="AB26" i="30" s="1"/>
  <c r="S26" i="30"/>
  <c r="AC26" i="30" s="1"/>
  <c r="S24" i="30"/>
  <c r="AC24" i="30" s="1"/>
  <c r="T23" i="30"/>
  <c r="AB23" i="30" s="1"/>
  <c r="S23" i="30"/>
  <c r="AC23" i="30" s="1"/>
  <c r="S22" i="30"/>
  <c r="U22" i="30" s="1"/>
  <c r="V22" i="30" s="1"/>
  <c r="S20" i="30"/>
  <c r="U20" i="30" s="1"/>
  <c r="V20" i="30" s="1"/>
  <c r="T19" i="30"/>
  <c r="AB19" i="30" s="1"/>
  <c r="S19" i="30"/>
  <c r="T18" i="30"/>
  <c r="AB18" i="30" s="1"/>
  <c r="S18" i="30"/>
  <c r="AC18" i="30" s="1"/>
  <c r="S17" i="30"/>
  <c r="AC17" i="30" s="1"/>
  <c r="U16" i="30"/>
  <c r="V16" i="30" s="1"/>
  <c r="S15" i="30"/>
  <c r="AC15" i="30" s="1"/>
  <c r="S12" i="30"/>
  <c r="U12" i="30" s="1"/>
  <c r="V12" i="30" s="1"/>
  <c r="AC11" i="30"/>
  <c r="S10" i="30"/>
  <c r="U10" i="30" s="1"/>
  <c r="V10" i="30" s="1"/>
  <c r="S8" i="30"/>
  <c r="AC8" i="30" s="1"/>
  <c r="S7" i="30"/>
  <c r="AC7" i="30" s="1"/>
  <c r="S6" i="30"/>
  <c r="U6" i="30" s="1"/>
  <c r="V6" i="30" s="1"/>
  <c r="U4" i="30"/>
  <c r="V4" i="30" s="1"/>
  <c r="S2" i="30"/>
  <c r="U19" i="30" l="1"/>
  <c r="V19" i="30" s="1"/>
  <c r="AC28" i="30"/>
  <c r="U26" i="30"/>
  <c r="V26" i="30" s="1"/>
  <c r="AC12" i="30"/>
  <c r="AC10" i="30"/>
  <c r="AC20" i="30"/>
  <c r="AC19" i="30"/>
  <c r="AC4" i="30"/>
  <c r="U11" i="30"/>
  <c r="V11" i="30" s="1"/>
  <c r="U18" i="30"/>
  <c r="V18" i="30" s="1"/>
  <c r="U29" i="30"/>
  <c r="V29" i="30" s="1"/>
  <c r="AC22" i="30"/>
  <c r="AC6" i="30"/>
  <c r="U42" i="30"/>
  <c r="V42" i="30" s="1"/>
  <c r="U33" i="30"/>
  <c r="V33" i="30" s="1"/>
  <c r="U17" i="30"/>
  <c r="V17" i="30" s="1"/>
  <c r="U8" i="30"/>
  <c r="V8" i="30" s="1"/>
  <c r="U24" i="30"/>
  <c r="V24" i="30" s="1"/>
  <c r="AC16" i="30"/>
  <c r="U23" i="30"/>
  <c r="V23" i="30" s="1"/>
  <c r="U15" i="30"/>
  <c r="V15" i="30" s="1"/>
  <c r="U7" i="30"/>
  <c r="V7" i="30" s="1"/>
  <c r="A2" i="29" l="1"/>
  <c r="U2" i="29"/>
  <c r="V2" i="29" s="1"/>
  <c r="AB2" i="29"/>
  <c r="AC2" i="29"/>
  <c r="AL2" i="29"/>
  <c r="AN2" i="29"/>
  <c r="A3" i="29"/>
  <c r="U3" i="29"/>
  <c r="V3" i="29" s="1"/>
  <c r="AB3" i="29"/>
  <c r="AC3" i="29"/>
  <c r="AL3" i="29"/>
  <c r="AN3" i="29"/>
  <c r="A4" i="29"/>
  <c r="S4" i="29"/>
  <c r="U4" i="29" s="1"/>
  <c r="V4" i="29" s="1"/>
  <c r="AB4" i="29"/>
  <c r="AL4" i="29"/>
  <c r="AN4" i="29"/>
  <c r="A5" i="29"/>
  <c r="S5" i="29"/>
  <c r="U5" i="29" s="1"/>
  <c r="V5" i="29" s="1"/>
  <c r="AB5" i="29"/>
  <c r="AL5" i="29"/>
  <c r="AN5" i="29"/>
  <c r="A6" i="29"/>
  <c r="U6" i="29"/>
  <c r="V6" i="29" s="1"/>
  <c r="AB6" i="29"/>
  <c r="AC6" i="29"/>
  <c r="AL6" i="29"/>
  <c r="AN6" i="29"/>
  <c r="A7" i="29"/>
  <c r="U7" i="29"/>
  <c r="V7" i="29" s="1"/>
  <c r="AB7" i="29"/>
  <c r="AC7" i="29"/>
  <c r="AL7" i="29"/>
  <c r="AN7" i="29"/>
  <c r="A8" i="29"/>
  <c r="S8" i="29"/>
  <c r="U8" i="29" s="1"/>
  <c r="V8" i="29" s="1"/>
  <c r="AB8" i="29"/>
  <c r="AL8" i="29"/>
  <c r="AN8" i="29"/>
  <c r="A9" i="29"/>
  <c r="S9" i="29"/>
  <c r="U9" i="29" s="1"/>
  <c r="V9" i="29" s="1"/>
  <c r="AB9" i="29"/>
  <c r="AL9" i="29"/>
  <c r="AN9" i="29"/>
  <c r="A10" i="29"/>
  <c r="S10" i="29"/>
  <c r="U10" i="29" s="1"/>
  <c r="V10" i="29" s="1"/>
  <c r="AB10" i="29"/>
  <c r="AL10" i="29"/>
  <c r="AN10" i="29"/>
  <c r="A11" i="29"/>
  <c r="U11" i="29"/>
  <c r="V11" i="29" s="1"/>
  <c r="AB11" i="29"/>
  <c r="AC11" i="29"/>
  <c r="AL11" i="29"/>
  <c r="AN11" i="29"/>
  <c r="A12" i="29"/>
  <c r="U12" i="29"/>
  <c r="V12" i="29" s="1"/>
  <c r="AB12" i="29"/>
  <c r="AC12" i="29"/>
  <c r="AL12" i="29"/>
  <c r="AN12" i="29"/>
  <c r="A13" i="29"/>
  <c r="S13" i="29"/>
  <c r="U13" i="29" s="1"/>
  <c r="V13" i="29" s="1"/>
  <c r="AB13" i="29"/>
  <c r="AL13" i="29"/>
  <c r="AN13" i="29"/>
  <c r="A14" i="29"/>
  <c r="S14" i="29"/>
  <c r="U14" i="29" s="1"/>
  <c r="V14" i="29" s="1"/>
  <c r="AB14" i="29"/>
  <c r="AL14" i="29"/>
  <c r="AN14" i="29"/>
  <c r="A15" i="29"/>
  <c r="S15" i="29"/>
  <c r="U15" i="29" s="1"/>
  <c r="V15" i="29" s="1"/>
  <c r="AB15" i="29"/>
  <c r="AL15" i="29"/>
  <c r="AN15" i="29"/>
  <c r="A16" i="29"/>
  <c r="U16" i="29"/>
  <c r="V16" i="29" s="1"/>
  <c r="AB16" i="29"/>
  <c r="AC16" i="29"/>
  <c r="AL16" i="29"/>
  <c r="AN16" i="29"/>
  <c r="A17" i="29"/>
  <c r="S17" i="29"/>
  <c r="AC17" i="29" s="1"/>
  <c r="AB17" i="29"/>
  <c r="AL17" i="29"/>
  <c r="AN17" i="29"/>
  <c r="A18" i="29"/>
  <c r="U18" i="29"/>
  <c r="V18" i="29" s="1"/>
  <c r="AB18" i="29"/>
  <c r="AC18" i="29"/>
  <c r="AL18" i="29"/>
  <c r="AN18" i="29"/>
  <c r="A19" i="29"/>
  <c r="U19" i="29"/>
  <c r="V19" i="29" s="1"/>
  <c r="AB19" i="29"/>
  <c r="AC19" i="29"/>
  <c r="AL19" i="29"/>
  <c r="AN19" i="29"/>
  <c r="A20" i="29"/>
  <c r="U20" i="29"/>
  <c r="V20" i="29" s="1"/>
  <c r="AB20" i="29"/>
  <c r="AC20" i="29"/>
  <c r="AL20" i="29"/>
  <c r="AN20" i="29"/>
  <c r="A21" i="29"/>
  <c r="S21" i="29"/>
  <c r="U21" i="29" s="1"/>
  <c r="V21" i="29" s="1"/>
  <c r="AB21" i="29"/>
  <c r="AL21" i="29"/>
  <c r="AN21" i="29"/>
  <c r="A22" i="29"/>
  <c r="S22" i="29"/>
  <c r="U22" i="29" s="1"/>
  <c r="V22" i="29" s="1"/>
  <c r="AB22" i="29"/>
  <c r="AL22" i="29"/>
  <c r="AN22" i="29"/>
  <c r="A23" i="29"/>
  <c r="U23" i="29"/>
  <c r="V23" i="29" s="1"/>
  <c r="AB23" i="29"/>
  <c r="AC23" i="29"/>
  <c r="AL23" i="29"/>
  <c r="AN23" i="29"/>
  <c r="A24" i="29"/>
  <c r="S24" i="29"/>
  <c r="U24" i="29" s="1"/>
  <c r="V24" i="29" s="1"/>
  <c r="AB24" i="29"/>
  <c r="AL24" i="29"/>
  <c r="AN24" i="29"/>
  <c r="A25" i="29"/>
  <c r="U25" i="29"/>
  <c r="V25" i="29" s="1"/>
  <c r="AB25" i="29"/>
  <c r="AC25" i="29"/>
  <c r="AL25" i="29"/>
  <c r="AN25" i="29"/>
  <c r="A26" i="29"/>
  <c r="U26" i="29"/>
  <c r="V26" i="29" s="1"/>
  <c r="AB26" i="29"/>
  <c r="AC26" i="29"/>
  <c r="AL26" i="29"/>
  <c r="AN26" i="29"/>
  <c r="A27" i="29"/>
  <c r="U27" i="29"/>
  <c r="V27" i="29" s="1"/>
  <c r="AB27" i="29"/>
  <c r="AC27" i="29"/>
  <c r="AL27" i="29"/>
  <c r="AN27" i="29"/>
  <c r="A28" i="29"/>
  <c r="S28" i="29"/>
  <c r="U28" i="29" s="1"/>
  <c r="V28" i="29" s="1"/>
  <c r="AB28" i="29"/>
  <c r="AL28" i="29"/>
  <c r="AN28" i="29"/>
  <c r="A29" i="29"/>
  <c r="U29" i="29"/>
  <c r="V29" i="29" s="1"/>
  <c r="AB29" i="29"/>
  <c r="AC29" i="29"/>
  <c r="AL29" i="29"/>
  <c r="AN29" i="29"/>
  <c r="A30" i="29"/>
  <c r="S30" i="29"/>
  <c r="AC30" i="29" s="1"/>
  <c r="AB30" i="29"/>
  <c r="AL30" i="29"/>
  <c r="AN30" i="29"/>
  <c r="A31" i="29"/>
  <c r="S31" i="29"/>
  <c r="AC31" i="29" s="1"/>
  <c r="AB31" i="29"/>
  <c r="AL31" i="29"/>
  <c r="AN31" i="29"/>
  <c r="S82" i="21"/>
  <c r="S79" i="21"/>
  <c r="S74" i="21"/>
  <c r="S77" i="21"/>
  <c r="S76" i="21"/>
  <c r="S75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13" i="21"/>
  <c r="A2" i="21"/>
  <c r="A3" i="21"/>
  <c r="A4" i="21"/>
  <c r="A5" i="21"/>
  <c r="A6" i="21"/>
  <c r="A7" i="21"/>
  <c r="A8" i="21"/>
  <c r="A9" i="21"/>
  <c r="A10" i="21"/>
  <c r="A11" i="21"/>
  <c r="A12" i="21"/>
  <c r="AC13" i="29" l="1"/>
  <c r="AC15" i="29"/>
  <c r="AC9" i="29"/>
  <c r="U17" i="29"/>
  <c r="V17" i="29" s="1"/>
  <c r="AC10" i="29"/>
  <c r="U31" i="29"/>
  <c r="V31" i="29" s="1"/>
  <c r="AC24" i="29"/>
  <c r="AC8" i="29"/>
  <c r="U30" i="29"/>
  <c r="V30" i="29" s="1"/>
  <c r="AC28" i="29"/>
  <c r="AC14" i="29"/>
  <c r="AC22" i="29"/>
  <c r="AC21" i="29"/>
  <c r="AC5" i="29"/>
  <c r="AC4" i="29"/>
  <c r="S78" i="21"/>
  <c r="S73" i="21"/>
  <c r="S72" i="21"/>
  <c r="AC67" i="21"/>
  <c r="AC66" i="21"/>
  <c r="AC65" i="21"/>
  <c r="AC64" i="21"/>
  <c r="AC63" i="21"/>
  <c r="AC62" i="21"/>
  <c r="AC61" i="21"/>
  <c r="AC60" i="21"/>
  <c r="AC59" i="21"/>
  <c r="AC58" i="21"/>
  <c r="AC57" i="21"/>
  <c r="AC56" i="21"/>
  <c r="AC55" i="21"/>
  <c r="AC54" i="21"/>
  <c r="AN84" i="21" l="1"/>
  <c r="AL84" i="21"/>
  <c r="U84" i="21"/>
  <c r="V84" i="21" s="1"/>
  <c r="AN85" i="21"/>
  <c r="AL85" i="21"/>
  <c r="U85" i="21"/>
  <c r="V85" i="21" s="1"/>
  <c r="AN86" i="21"/>
  <c r="AL86" i="21"/>
  <c r="U86" i="21"/>
  <c r="V86" i="21" s="1"/>
  <c r="AN87" i="21"/>
  <c r="AL87" i="21"/>
  <c r="U87" i="21"/>
  <c r="V87" i="21" s="1"/>
  <c r="AN88" i="21"/>
  <c r="AL88" i="21"/>
  <c r="U88" i="21"/>
  <c r="V88" i="21" s="1"/>
  <c r="AN89" i="21"/>
  <c r="AL89" i="21"/>
  <c r="U89" i="21"/>
  <c r="V89" i="21" s="1"/>
  <c r="AN90" i="21"/>
  <c r="AL90" i="21"/>
  <c r="U90" i="21"/>
  <c r="V90" i="21" s="1"/>
  <c r="AN91" i="21"/>
  <c r="AL91" i="21"/>
  <c r="U91" i="21"/>
  <c r="V91" i="21" s="1"/>
  <c r="AN92" i="21"/>
  <c r="AL92" i="21"/>
  <c r="U92" i="21"/>
  <c r="V92" i="21" s="1"/>
  <c r="AN93" i="21"/>
  <c r="AL93" i="21"/>
  <c r="U93" i="21"/>
  <c r="V93" i="21" s="1"/>
  <c r="AC72" i="21"/>
  <c r="AC73" i="21"/>
  <c r="AC74" i="21"/>
  <c r="AC75" i="21"/>
  <c r="AC76" i="21"/>
  <c r="AC77" i="21"/>
  <c r="AC78" i="21"/>
  <c r="AC79" i="21"/>
  <c r="AC80" i="21"/>
  <c r="AC81" i="21"/>
  <c r="AC82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U96" i="21" l="1"/>
  <c r="V96" i="21" s="1"/>
  <c r="AL96" i="21"/>
  <c r="AN96" i="21"/>
  <c r="U94" i="21"/>
  <c r="V94" i="21" s="1"/>
  <c r="U95" i="21"/>
  <c r="V95" i="21" s="1"/>
  <c r="AL94" i="21"/>
  <c r="AL95" i="21"/>
  <c r="AN94" i="21"/>
  <c r="AN95" i="21"/>
  <c r="S69" i="21" l="1"/>
  <c r="AC69" i="21" s="1"/>
  <c r="S71" i="21"/>
  <c r="AC71" i="21" s="1"/>
  <c r="S70" i="21"/>
  <c r="AC70" i="21" s="1"/>
  <c r="U69" i="21" l="1"/>
  <c r="V69" i="21" s="1"/>
  <c r="U70" i="21"/>
  <c r="V70" i="21" s="1"/>
  <c r="U71" i="21"/>
  <c r="V71" i="21" s="1"/>
  <c r="U72" i="21"/>
  <c r="V72" i="21" s="1"/>
  <c r="U73" i="21"/>
  <c r="V73" i="21" s="1"/>
  <c r="U74" i="21"/>
  <c r="V74" i="21" s="1"/>
  <c r="U75" i="21"/>
  <c r="V75" i="21" s="1"/>
  <c r="U76" i="21"/>
  <c r="V76" i="21" s="1"/>
  <c r="U77" i="21"/>
  <c r="V77" i="21" s="1"/>
  <c r="U78" i="21"/>
  <c r="V78" i="21" s="1"/>
  <c r="U79" i="21"/>
  <c r="V79" i="21" s="1"/>
  <c r="U80" i="21"/>
  <c r="V80" i="21" s="1"/>
  <c r="U81" i="21"/>
  <c r="V81" i="21" s="1"/>
  <c r="U82" i="21"/>
  <c r="V82" i="21" s="1"/>
  <c r="AL69" i="21"/>
  <c r="AL70" i="21"/>
  <c r="AL71" i="21"/>
  <c r="AL72" i="21"/>
  <c r="AL73" i="21"/>
  <c r="AL74" i="21"/>
  <c r="AL75" i="21"/>
  <c r="AL76" i="21"/>
  <c r="AL77" i="21"/>
  <c r="AL78" i="21"/>
  <c r="AL79" i="21"/>
  <c r="AL80" i="21"/>
  <c r="AL81" i="21"/>
  <c r="AL82" i="21"/>
  <c r="AN69" i="21"/>
  <c r="AN70" i="21"/>
  <c r="AN71" i="21"/>
  <c r="AN72" i="21"/>
  <c r="AN73" i="21"/>
  <c r="AN74" i="21"/>
  <c r="AN75" i="21"/>
  <c r="AN76" i="21"/>
  <c r="AN77" i="21"/>
  <c r="AN78" i="21"/>
  <c r="AN79" i="21"/>
  <c r="AN80" i="21"/>
  <c r="AN81" i="21"/>
  <c r="AN82" i="21"/>
  <c r="AC68" i="21" l="1"/>
  <c r="AC36" i="21"/>
  <c r="AB68" i="21"/>
  <c r="U68" i="21"/>
  <c r="V68" i="21" s="1"/>
  <c r="AL68" i="21"/>
  <c r="AN68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U54" i="21"/>
  <c r="V54" i="21" s="1"/>
  <c r="AL54" i="21"/>
  <c r="AN54" i="21"/>
  <c r="U55" i="21"/>
  <c r="V55" i="21" s="1"/>
  <c r="AL55" i="21"/>
  <c r="AN55" i="21"/>
  <c r="U56" i="21"/>
  <c r="V56" i="21" s="1"/>
  <c r="AL56" i="21"/>
  <c r="AN56" i="21"/>
  <c r="U57" i="21"/>
  <c r="V57" i="21" s="1"/>
  <c r="AL57" i="21"/>
  <c r="AN57" i="21"/>
  <c r="U58" i="21"/>
  <c r="V58" i="21" s="1"/>
  <c r="AL58" i="21"/>
  <c r="AN58" i="21"/>
  <c r="U59" i="21"/>
  <c r="V59" i="21" s="1"/>
  <c r="AL59" i="21"/>
  <c r="AN59" i="21"/>
  <c r="U60" i="21"/>
  <c r="V60" i="21" s="1"/>
  <c r="AL60" i="21"/>
  <c r="AN60" i="21"/>
  <c r="U61" i="21"/>
  <c r="V61" i="21" s="1"/>
  <c r="AL61" i="21"/>
  <c r="AN61" i="21"/>
  <c r="U62" i="21"/>
  <c r="V62" i="21" s="1"/>
  <c r="AL62" i="21"/>
  <c r="AN62" i="21"/>
  <c r="U63" i="21"/>
  <c r="V63" i="21" s="1"/>
  <c r="AL63" i="21"/>
  <c r="AN63" i="21"/>
  <c r="U64" i="21"/>
  <c r="V64" i="21" s="1"/>
  <c r="AL64" i="21"/>
  <c r="AN64" i="21"/>
  <c r="U37" i="21" l="1"/>
  <c r="V37" i="21" s="1"/>
  <c r="AL37" i="21"/>
  <c r="AN37" i="21"/>
  <c r="S38" i="21"/>
  <c r="U38" i="21" s="1"/>
  <c r="V38" i="21" s="1"/>
  <c r="S39" i="21"/>
  <c r="U39" i="21" s="1"/>
  <c r="V39" i="21" s="1"/>
  <c r="S40" i="21"/>
  <c r="U40" i="21" s="1"/>
  <c r="V40" i="21" s="1"/>
  <c r="S41" i="21"/>
  <c r="U41" i="21" s="1"/>
  <c r="V41" i="21" s="1"/>
  <c r="S42" i="21"/>
  <c r="S43" i="21"/>
  <c r="S44" i="21"/>
  <c r="S45" i="21"/>
  <c r="S46" i="21"/>
  <c r="S47" i="21"/>
  <c r="AC47" i="21" s="1"/>
  <c r="S48" i="21"/>
  <c r="S49" i="21"/>
  <c r="S50" i="21"/>
  <c r="S51" i="21"/>
  <c r="S52" i="21"/>
  <c r="S53" i="21"/>
  <c r="AL44" i="21"/>
  <c r="AN44" i="21"/>
  <c r="AL38" i="21"/>
  <c r="AN38" i="21"/>
  <c r="AL39" i="21"/>
  <c r="AN39" i="21"/>
  <c r="AL40" i="21"/>
  <c r="AN40" i="21"/>
  <c r="AL41" i="21"/>
  <c r="AN41" i="21"/>
  <c r="AL42" i="21"/>
  <c r="AN42" i="21"/>
  <c r="AL43" i="21"/>
  <c r="AN43" i="21"/>
  <c r="AL45" i="21"/>
  <c r="AN45" i="21"/>
  <c r="AL46" i="21"/>
  <c r="AN46" i="21"/>
  <c r="AL47" i="21"/>
  <c r="AN47" i="21"/>
  <c r="AL48" i="21"/>
  <c r="AN48" i="21"/>
  <c r="AL49" i="21"/>
  <c r="AN49" i="21"/>
  <c r="AL50" i="21"/>
  <c r="AN50" i="21"/>
  <c r="AL51" i="21"/>
  <c r="AN51" i="21"/>
  <c r="AL52" i="21"/>
  <c r="AN52" i="21"/>
  <c r="AL53" i="21"/>
  <c r="AN53" i="21"/>
  <c r="U36" i="21"/>
  <c r="V36" i="21" s="1"/>
  <c r="AL36" i="21"/>
  <c r="AN36" i="21"/>
  <c r="U47" i="21" l="1"/>
  <c r="V47" i="21" s="1"/>
  <c r="U48" i="21"/>
  <c r="V48" i="21" s="1"/>
  <c r="AC48" i="21"/>
  <c r="U50" i="21"/>
  <c r="V50" i="21" s="1"/>
  <c r="AC50" i="21"/>
  <c r="U49" i="21"/>
  <c r="V49" i="21" s="1"/>
  <c r="AC49" i="21"/>
  <c r="U45" i="21"/>
  <c r="V45" i="21" s="1"/>
  <c r="AC45" i="21"/>
  <c r="U42" i="21"/>
  <c r="V42" i="21" s="1"/>
  <c r="AC42" i="21"/>
  <c r="U46" i="21"/>
  <c r="V46" i="21" s="1"/>
  <c r="AC46" i="21"/>
  <c r="U52" i="21"/>
  <c r="V52" i="21" s="1"/>
  <c r="AC52" i="21"/>
  <c r="U44" i="21"/>
  <c r="V44" i="21" s="1"/>
  <c r="AC44" i="21"/>
  <c r="U53" i="21"/>
  <c r="V53" i="21" s="1"/>
  <c r="AC53" i="21"/>
  <c r="U51" i="21"/>
  <c r="V51" i="21" s="1"/>
  <c r="AC51" i="21"/>
  <c r="U43" i="21"/>
  <c r="V43" i="21" s="1"/>
  <c r="AC43" i="21"/>
  <c r="U65" i="21"/>
  <c r="V65" i="21" s="1"/>
  <c r="AL65" i="21"/>
  <c r="AN65" i="21"/>
  <c r="U66" i="21"/>
  <c r="V66" i="21" s="1"/>
  <c r="AL66" i="21"/>
  <c r="AN66" i="21"/>
  <c r="U27" i="21" l="1"/>
  <c r="V27" i="21" s="1"/>
  <c r="AL27" i="21"/>
  <c r="AN27" i="21"/>
  <c r="U35" i="21"/>
  <c r="V35" i="21" s="1"/>
  <c r="AL35" i="21"/>
  <c r="AN35" i="21"/>
  <c r="U26" i="21" l="1"/>
  <c r="V26" i="21" s="1"/>
  <c r="AL26" i="21"/>
  <c r="AN26" i="21"/>
  <c r="U28" i="21" l="1"/>
  <c r="V28" i="21" s="1"/>
  <c r="AL28" i="21"/>
  <c r="AN28" i="21"/>
  <c r="U29" i="21"/>
  <c r="V29" i="21" s="1"/>
  <c r="AL29" i="21"/>
  <c r="AN29" i="21"/>
  <c r="U30" i="21"/>
  <c r="V30" i="21" s="1"/>
  <c r="AL30" i="21"/>
  <c r="AN30" i="21"/>
  <c r="U31" i="21"/>
  <c r="V31" i="21" s="1"/>
  <c r="AL31" i="21"/>
  <c r="AN31" i="21"/>
  <c r="U67" i="21" l="1"/>
  <c r="V67" i="21" s="1"/>
  <c r="AL67" i="21"/>
  <c r="AN67" i="21"/>
  <c r="U34" i="21"/>
  <c r="V34" i="21" s="1"/>
  <c r="AL34" i="21"/>
  <c r="AN34" i="21"/>
  <c r="U33" i="21"/>
  <c r="V33" i="21" s="1"/>
  <c r="AL33" i="21"/>
  <c r="AN33" i="21"/>
  <c r="U32" i="21"/>
  <c r="V32" i="21" s="1"/>
  <c r="AL32" i="21"/>
  <c r="AN32" i="21"/>
  <c r="U13" i="21" l="1"/>
  <c r="V13" i="21" s="1"/>
  <c r="AL13" i="21"/>
  <c r="AN13" i="21"/>
  <c r="S25" i="21"/>
  <c r="U25" i="21" s="1"/>
  <c r="V25" i="21" s="1"/>
  <c r="S24" i="21"/>
  <c r="U24" i="21" s="1"/>
  <c r="V24" i="21" s="1"/>
  <c r="S23" i="21"/>
  <c r="U23" i="21" s="1"/>
  <c r="V23" i="21" s="1"/>
  <c r="S22" i="21"/>
  <c r="U22" i="21" s="1"/>
  <c r="V22" i="21" s="1"/>
  <c r="S21" i="21"/>
  <c r="U21" i="21" s="1"/>
  <c r="V21" i="21" s="1"/>
  <c r="S20" i="21"/>
  <c r="U20" i="21" s="1"/>
  <c r="V20" i="21" s="1"/>
  <c r="S19" i="21"/>
  <c r="U19" i="21" s="1"/>
  <c r="V19" i="21" s="1"/>
  <c r="S18" i="21"/>
  <c r="U18" i="21" s="1"/>
  <c r="V18" i="21" s="1"/>
  <c r="S17" i="21"/>
  <c r="U17" i="21" s="1"/>
  <c r="V17" i="21" s="1"/>
  <c r="S16" i="21"/>
  <c r="U16" i="21" s="1"/>
  <c r="V16" i="21" s="1"/>
  <c r="S15" i="21"/>
  <c r="U15" i="21" s="1"/>
  <c r="V15" i="21" s="1"/>
  <c r="S14" i="21"/>
  <c r="U14" i="21" s="1"/>
  <c r="V14" i="21" s="1"/>
  <c r="AL25" i="21"/>
  <c r="AN25" i="21"/>
  <c r="AL24" i="21"/>
  <c r="AN24" i="21"/>
  <c r="AL23" i="21"/>
  <c r="AN23" i="21"/>
  <c r="AL22" i="21"/>
  <c r="AN22" i="21"/>
  <c r="AL21" i="21"/>
  <c r="AN21" i="21"/>
  <c r="AL20" i="21"/>
  <c r="AN20" i="21"/>
  <c r="AL19" i="21"/>
  <c r="AN19" i="21"/>
  <c r="AL18" i="21"/>
  <c r="AN18" i="21"/>
  <c r="AL17" i="21"/>
  <c r="AN17" i="21"/>
  <c r="AL16" i="21"/>
  <c r="AN16" i="21"/>
  <c r="AL15" i="21"/>
  <c r="AN15" i="21"/>
  <c r="AL14" i="21"/>
  <c r="AN14" i="21"/>
  <c r="S8" i="21"/>
  <c r="S7" i="21"/>
  <c r="S6" i="21"/>
  <c r="S5" i="21"/>
  <c r="S4" i="21"/>
  <c r="S2" i="21" l="1"/>
  <c r="S3" i="21"/>
  <c r="U11" i="21" l="1"/>
  <c r="V11" i="21" s="1"/>
  <c r="AL11" i="21"/>
  <c r="AN11" i="21"/>
  <c r="U12" i="21"/>
  <c r="V12" i="21" s="1"/>
  <c r="AL12" i="21"/>
  <c r="AN12" i="21"/>
  <c r="AB2" i="21" l="1"/>
  <c r="AB3" i="21"/>
  <c r="AB4" i="21"/>
  <c r="AB5" i="21"/>
  <c r="AB6" i="21"/>
  <c r="AB7" i="21"/>
  <c r="AB8" i="21"/>
  <c r="AB9" i="21"/>
  <c r="AB10" i="21"/>
  <c r="U9" i="21"/>
  <c r="V9" i="21" s="1"/>
  <c r="AL9" i="21"/>
  <c r="AN9" i="21"/>
  <c r="U10" i="21" l="1"/>
  <c r="V10" i="21" s="1"/>
  <c r="AL10" i="21"/>
  <c r="AN10" i="21"/>
  <c r="U8" i="21"/>
  <c r="V8" i="21" s="1"/>
  <c r="AL8" i="21"/>
  <c r="AN8" i="21"/>
  <c r="U7" i="21"/>
  <c r="V7" i="21" s="1"/>
  <c r="AL7" i="21"/>
  <c r="AN7" i="21"/>
  <c r="U6" i="21"/>
  <c r="V6" i="21" s="1"/>
  <c r="AL6" i="21"/>
  <c r="AN6" i="21"/>
  <c r="U5" i="21"/>
  <c r="V5" i="21" s="1"/>
  <c r="AL5" i="21"/>
  <c r="AN5" i="21"/>
  <c r="U4" i="21"/>
  <c r="V4" i="21" s="1"/>
  <c r="AL4" i="21"/>
  <c r="AN4" i="21"/>
  <c r="U3" i="21"/>
  <c r="V3" i="21" s="1"/>
  <c r="AL3" i="21"/>
  <c r="AN3" i="21"/>
  <c r="U2" i="21"/>
  <c r="V2" i="21" s="1"/>
  <c r="AL2" i="21"/>
  <c r="AN2" i="21"/>
  <c r="AN2" i="30" l="1"/>
  <c r="AL2" i="30"/>
  <c r="AB2" i="30"/>
  <c r="AC2" i="30"/>
  <c r="U2" i="30"/>
  <c r="V2" i="30" s="1"/>
  <c r="A2" i="30"/>
</calcChain>
</file>

<file path=xl/sharedStrings.xml><?xml version="1.0" encoding="utf-8"?>
<sst xmlns="http://schemas.openxmlformats.org/spreadsheetml/2006/main" count="4707" uniqueCount="973">
  <si>
    <t>WEEK</t>
  </si>
  <si>
    <t>CLIENT</t>
  </si>
  <si>
    <t>LOADING CTR</t>
  </si>
  <si>
    <t>LOADING ZIP</t>
  </si>
  <si>
    <t>LOADING CITY</t>
  </si>
  <si>
    <t>LOADING DATE</t>
  </si>
  <si>
    <t>LOADING TIME</t>
  </si>
  <si>
    <t>DELIVERY CTR</t>
  </si>
  <si>
    <t>DELIVERY ZIP</t>
  </si>
  <si>
    <t>DELIVERY CITY</t>
  </si>
  <si>
    <t>DELIVERY DATE</t>
  </si>
  <si>
    <t>DELIVERY TIME</t>
  </si>
  <si>
    <t>BOOKING REFERENCE</t>
  </si>
  <si>
    <t>TRUCK TYPE</t>
  </si>
  <si>
    <t>LTL / FTL</t>
  </si>
  <si>
    <t>GROSS WEIGHT [KG]</t>
  </si>
  <si>
    <t>TRUCK PLATES</t>
  </si>
  <si>
    <t>CARRIER</t>
  </si>
  <si>
    <t>SALES [€]</t>
  </si>
  <si>
    <t>PURCHASE [€]</t>
  </si>
  <si>
    <t>MARGIN [€]</t>
  </si>
  <si>
    <t>MARGIN [%]</t>
  </si>
  <si>
    <t>CF</t>
  </si>
  <si>
    <t>VF</t>
  </si>
  <si>
    <t>KM</t>
  </si>
  <si>
    <t>REMARK</t>
  </si>
  <si>
    <t>PIC</t>
  </si>
  <si>
    <t>PURCHASE [€/KM]</t>
  </si>
  <si>
    <t>SALES [€/KM]</t>
  </si>
  <si>
    <t>COLLI [KS]</t>
  </si>
  <si>
    <t>LDM</t>
  </si>
  <si>
    <t>DEMURRAGE COST / CLIENT</t>
  </si>
  <si>
    <t>DEMURRAGE COST / HAULIER</t>
  </si>
  <si>
    <t>CLIENT PENALTIES</t>
  </si>
  <si>
    <t xml:space="preserve"> HAULIER PENALTIES</t>
  </si>
  <si>
    <t>NC/R</t>
  </si>
  <si>
    <t># LOADINGS</t>
  </si>
  <si>
    <t>START STATUS</t>
  </si>
  <si>
    <t># UNLOADINGS</t>
  </si>
  <si>
    <t>STOP STATUS</t>
  </si>
  <si>
    <t>TRAILER PLATES</t>
  </si>
  <si>
    <t>82WHIRLPOOL</t>
  </si>
  <si>
    <t>SK</t>
  </si>
  <si>
    <t>05</t>
  </si>
  <si>
    <t>POPRAD</t>
  </si>
  <si>
    <t>F</t>
  </si>
  <si>
    <t>77</t>
  </si>
  <si>
    <t>MITRY MORY</t>
  </si>
  <si>
    <t>storno</t>
  </si>
  <si>
    <t>mega</t>
  </si>
  <si>
    <t>DD</t>
  </si>
  <si>
    <t>KU</t>
  </si>
  <si>
    <t>I</t>
  </si>
  <si>
    <t>29</t>
  </si>
  <si>
    <t>PIACENZA</t>
  </si>
  <si>
    <t>RPL</t>
  </si>
  <si>
    <t>rebooking</t>
  </si>
  <si>
    <t>06SIVON-SK</t>
  </si>
  <si>
    <t>T9212071118</t>
  </si>
  <si>
    <t>38</t>
  </si>
  <si>
    <t>SATOLAS ET BONCE</t>
  </si>
  <si>
    <t>180ks</t>
  </si>
  <si>
    <t>SN664DZ/SN079YF</t>
  </si>
  <si>
    <t>05MHTRANSPORT-SK</t>
  </si>
  <si>
    <t>T9212071105</t>
  </si>
  <si>
    <t>13</t>
  </si>
  <si>
    <t>FOS SUR MER</t>
  </si>
  <si>
    <t>B299PKR/BH80PKR</t>
  </si>
  <si>
    <t>41PANKARPATHIA-SV</t>
  </si>
  <si>
    <t>T9212070738</t>
  </si>
  <si>
    <t>62</t>
  </si>
  <si>
    <t>ANGRES</t>
  </si>
  <si>
    <t>LM640DU/LM972YH</t>
  </si>
  <si>
    <t>03LUKRI-SK-MF</t>
  </si>
  <si>
    <t>T9212070740</t>
  </si>
  <si>
    <t>41</t>
  </si>
  <si>
    <t>MER</t>
  </si>
  <si>
    <t>B305PKR/BH17GSH</t>
  </si>
  <si>
    <t>T9212070741</t>
  </si>
  <si>
    <t>SN892EB/SN840YE</t>
  </si>
  <si>
    <t>T9212071106</t>
  </si>
  <si>
    <t>B</t>
  </si>
  <si>
    <t>18</t>
  </si>
  <si>
    <t>HUMBEEK</t>
  </si>
  <si>
    <t>6Z94665/7Z03165</t>
  </si>
  <si>
    <t>11VSPED-SK</t>
  </si>
  <si>
    <t>T9212071119</t>
  </si>
  <si>
    <t>HENIN BEAUMONT</t>
  </si>
  <si>
    <t>ROUROY</t>
  </si>
  <si>
    <t>PP996EX/PP845YH</t>
  </si>
  <si>
    <t>05TRANSGOLD-MF</t>
  </si>
  <si>
    <t>T9212071300</t>
  </si>
  <si>
    <t>PO-PP=82 km</t>
  </si>
  <si>
    <t>SAINT-GEORGES D'ESPERANCHE</t>
  </si>
  <si>
    <t>6Z94269/6Z71158</t>
  </si>
  <si>
    <t>T9212071153</t>
  </si>
  <si>
    <t>6E2 4365 / 6E3 1884</t>
  </si>
  <si>
    <t>13CEELOGISTICS</t>
  </si>
  <si>
    <t>T9212071195</t>
  </si>
  <si>
    <t>GRAVESON</t>
  </si>
  <si>
    <t>meskanie na vykladku</t>
  </si>
  <si>
    <t>6Z94667/6Z78233</t>
  </si>
  <si>
    <t>T9212071154</t>
  </si>
  <si>
    <t>WGM1869G + WGM9500P</t>
  </si>
  <si>
    <t>01ZUMALTA-SK</t>
  </si>
  <si>
    <t>T9212071248</t>
  </si>
  <si>
    <t>mzbikowski@zumalta.com</t>
  </si>
  <si>
    <t>7E0 5923/5E9 5689</t>
  </si>
  <si>
    <t>T9212071196</t>
  </si>
  <si>
    <t>SAINT QUENTIN FALLAVIER</t>
  </si>
  <si>
    <t>SN198DF/SN446YG</t>
  </si>
  <si>
    <t>T9212071107</t>
  </si>
  <si>
    <t>7E2 6934/7E1 9384</t>
  </si>
  <si>
    <t>T9212071270</t>
  </si>
  <si>
    <t>6Z94667/6Z69575</t>
  </si>
  <si>
    <t>T9212071155</t>
  </si>
  <si>
    <t xml:space="preserve">6Z9 3871//6Z7 8257 </t>
  </si>
  <si>
    <t>T9212071156</t>
  </si>
  <si>
    <t>SL084CF/SL074YE</t>
  </si>
  <si>
    <t>06STRACHAN</t>
  </si>
  <si>
    <t>T9212071314</t>
  </si>
  <si>
    <t>67</t>
  </si>
  <si>
    <t>HOLTZHEIM</t>
  </si>
  <si>
    <t>114ks</t>
  </si>
  <si>
    <t>7Z49740/6Z71151</t>
  </si>
  <si>
    <t>T9212071273</t>
  </si>
  <si>
    <t>TP</t>
  </si>
  <si>
    <t>nalozi 11,01</t>
  </si>
  <si>
    <t>WGM3457F // PY1764Y</t>
  </si>
  <si>
    <t>02INTERLOGIS-SK</t>
  </si>
  <si>
    <t>T9212071272</t>
  </si>
  <si>
    <t>j.nowak@interlogis.eu</t>
  </si>
  <si>
    <t>6Z94667/7Z03084</t>
  </si>
  <si>
    <t>T9212071275</t>
  </si>
  <si>
    <t>TOURNAN EN BRIE</t>
  </si>
  <si>
    <t>6E2 4368 / 6E1 9401</t>
  </si>
  <si>
    <t>T9212071376</t>
  </si>
  <si>
    <t>NO391BY/NO267YE</t>
  </si>
  <si>
    <t>02VLCAK-SVK</t>
  </si>
  <si>
    <t>T9212071194</t>
  </si>
  <si>
    <t>6Z9 3871//6Z7 1151</t>
  </si>
  <si>
    <t>T9212071276</t>
  </si>
  <si>
    <t>59</t>
  </si>
  <si>
    <t>LAUWIN PLANQUE</t>
  </si>
  <si>
    <t>SL308CI, SL005YE</t>
  </si>
  <si>
    <t>T9212071428</t>
  </si>
  <si>
    <t>T9212071500</t>
  </si>
  <si>
    <t>51EUROTEAM-SK</t>
  </si>
  <si>
    <t>T9212071402</t>
  </si>
  <si>
    <t>180ks, meskanie na vykladku DS - St. laurent de Mure</t>
  </si>
  <si>
    <t>SN179DA/SN840YE</t>
  </si>
  <si>
    <t>T9212071434</t>
  </si>
  <si>
    <t>PP884DP/PP556YG</t>
  </si>
  <si>
    <t>05LVTRANS</t>
  </si>
  <si>
    <t xml:space="preserve">CJ21PNA  / CJ22PNA </t>
  </si>
  <si>
    <t>T9212071407</t>
  </si>
  <si>
    <t>SN198DF/SN466YG</t>
  </si>
  <si>
    <t>T9212071435</t>
  </si>
  <si>
    <t>08</t>
  </si>
  <si>
    <t xml:space="preserve">MM 93 PAC / MM 98 PAC </t>
  </si>
  <si>
    <t>T9212071436</t>
  </si>
  <si>
    <t>T9212071467</t>
  </si>
  <si>
    <t>6Z94667/6Z71158</t>
  </si>
  <si>
    <t>T9212071462</t>
  </si>
  <si>
    <t>SL748CE/SL667YE</t>
  </si>
  <si>
    <t>T9212071565</t>
  </si>
  <si>
    <t xml:space="preserve">SJ 21 DUK / SJ 22 DUK </t>
  </si>
  <si>
    <t>T9212071469</t>
  </si>
  <si>
    <t>PP962DV/PP570YG</t>
  </si>
  <si>
    <t>05TRANSGOLD</t>
  </si>
  <si>
    <t>T9212071510</t>
  </si>
  <si>
    <t>BT538IH/SN613YE</t>
  </si>
  <si>
    <t>T9212071472</t>
  </si>
  <si>
    <t>SL706BY/SL049YE</t>
  </si>
  <si>
    <t>T9212071408</t>
  </si>
  <si>
    <t>NL</t>
  </si>
  <si>
    <t>50</t>
  </si>
  <si>
    <t>TILBURG</t>
  </si>
  <si>
    <t>177ks</t>
  </si>
  <si>
    <t xml:space="preserve">6Z9 4667//6Z6 2289 </t>
  </si>
  <si>
    <t>T9212071568</t>
  </si>
  <si>
    <t>,</t>
  </si>
  <si>
    <t>dofakturovat 100 eur druha vykladka</t>
  </si>
  <si>
    <t>6Z94269/6Z78193</t>
  </si>
  <si>
    <t>T9212071580</t>
  </si>
  <si>
    <t>SM 08 LAL / SM 18 LAL</t>
  </si>
  <si>
    <t>T9212071592</t>
  </si>
  <si>
    <t xml:space="preserve">6Z9 4175//6Z7 8195 </t>
  </si>
  <si>
    <t>T9212071636</t>
  </si>
  <si>
    <t>T9212071639</t>
  </si>
  <si>
    <t xml:space="preserve">SM14TRM/SM85TRM </t>
  </si>
  <si>
    <t>T9212071570</t>
  </si>
  <si>
    <t xml:space="preserve">PP778EA/PP785YG </t>
  </si>
  <si>
    <t>T9212071731</t>
  </si>
  <si>
    <t>6Z94175/6Z51843</t>
  </si>
  <si>
    <t>T9212071900</t>
  </si>
  <si>
    <t>9215170946/T9212071647</t>
  </si>
  <si>
    <t>D</t>
  </si>
  <si>
    <t>32</t>
  </si>
  <si>
    <t>BUNDE</t>
  </si>
  <si>
    <t xml:space="preserve">SL131CE, SL905YE </t>
  </si>
  <si>
    <t>T9212071873</t>
  </si>
  <si>
    <t>SL382BN/SL886YE</t>
  </si>
  <si>
    <t>T9212071857</t>
  </si>
  <si>
    <t>NEPOTVRDENE</t>
  </si>
  <si>
    <t>AA224BA/NR180YU</t>
  </si>
  <si>
    <t>94MKTRANSPORT-MF</t>
  </si>
  <si>
    <t>T9212071874</t>
  </si>
  <si>
    <t>PD</t>
  </si>
  <si>
    <t>91</t>
  </si>
  <si>
    <t>VILLABE</t>
  </si>
  <si>
    <t>SN 664 DZ / SN 079 YF</t>
  </si>
  <si>
    <t>T9212071648</t>
  </si>
  <si>
    <t>180ks meskanie na vykladku, strajk</t>
  </si>
  <si>
    <t>6Z94669/7Z03089</t>
  </si>
  <si>
    <t>T9212071665</t>
  </si>
  <si>
    <t xml:space="preserve">SO391BB/SO953YB  </t>
  </si>
  <si>
    <t>07BUSINESSPARTNER</t>
  </si>
  <si>
    <t>T9212071667</t>
  </si>
  <si>
    <t>SL286CF/SL256YE</t>
  </si>
  <si>
    <t>06BONREG-SK</t>
  </si>
  <si>
    <t>T9212071569</t>
  </si>
  <si>
    <r>
      <t xml:space="preserve">180ks </t>
    </r>
    <r>
      <rPr>
        <b/>
        <sz val="10"/>
        <color rgb="FFFF0000"/>
        <rFont val="Calibri"/>
        <family val="2"/>
        <scheme val="minor"/>
      </rPr>
      <t xml:space="preserve"> POSUNUT NAKLADKU NA 10:00</t>
    </r>
  </si>
  <si>
    <t>LM586DM/LM593YG</t>
  </si>
  <si>
    <t>T9212071872</t>
  </si>
  <si>
    <t>SN467DZ/SN471YG</t>
  </si>
  <si>
    <t>T9212071875</t>
  </si>
  <si>
    <t>MESKANie na vykladku, PORUCHA</t>
  </si>
  <si>
    <t>6Z94669/6Z78231</t>
  </si>
  <si>
    <t>T9212071663</t>
  </si>
  <si>
    <t>SN 198 DF/SN 466 YG</t>
  </si>
  <si>
    <t>T9212071877</t>
  </si>
  <si>
    <t>SB31MIK/SB30MIK</t>
  </si>
  <si>
    <t>T9212071791</t>
  </si>
  <si>
    <t>T9212071896</t>
  </si>
  <si>
    <t>MM10SES/MM74SES</t>
  </si>
  <si>
    <t>T9212071792</t>
  </si>
  <si>
    <t>okno bolo na 17:00</t>
  </si>
  <si>
    <t>MM02MDT/MM03MDT</t>
  </si>
  <si>
    <t>T9212071793</t>
  </si>
  <si>
    <t xml:space="preserve">6Z94269//6Z7 1151 </t>
  </si>
  <si>
    <t>T9212071897</t>
  </si>
  <si>
    <t>SM1SPT/SM17SPT</t>
  </si>
  <si>
    <t>T9212071794</t>
  </si>
  <si>
    <t>ZH884CF/ZH496YE</t>
  </si>
  <si>
    <t>96GENARALTRUCKING</t>
  </si>
  <si>
    <t>T9212071734</t>
  </si>
  <si>
    <t>Rouroy</t>
  </si>
  <si>
    <t xml:space="preserve">PP996EX/PP845YH </t>
  </si>
  <si>
    <t>T9212072000</t>
  </si>
  <si>
    <t xml:space="preserve">6Z94665//6Z5 1843 </t>
  </si>
  <si>
    <t>T9212071898</t>
  </si>
  <si>
    <t>AA224GN/PP448YI</t>
  </si>
  <si>
    <t>T9212071901</t>
  </si>
  <si>
    <t>PP350ET/PP654YH</t>
  </si>
  <si>
    <t>05BOOMSNACKS</t>
  </si>
  <si>
    <t>T9212072013</t>
  </si>
  <si>
    <t>T9212072269</t>
  </si>
  <si>
    <t>dopravca zrusil</t>
  </si>
  <si>
    <t>MM02TAS/MM03TAS</t>
  </si>
  <si>
    <t>T9212072079</t>
  </si>
  <si>
    <t>180ks, meskanie na vykladku, policajn akontrola</t>
  </si>
  <si>
    <t>6Z94269/7Z03086</t>
  </si>
  <si>
    <t>T9212072178</t>
  </si>
  <si>
    <t>ВС0483ЕХ ВС0202ХІ</t>
  </si>
  <si>
    <t>07SLOVTRANSAVTO</t>
  </si>
  <si>
    <t>T9212072009</t>
  </si>
  <si>
    <t>E</t>
  </si>
  <si>
    <t>19</t>
  </si>
  <si>
    <t>ALOVERA</t>
  </si>
  <si>
    <t>BH11WAA/BH99SCV</t>
  </si>
  <si>
    <t>41PROLOG-SK</t>
  </si>
  <si>
    <t>T9212072277</t>
  </si>
  <si>
    <t>T9212072082</t>
  </si>
  <si>
    <t>T9212072067</t>
  </si>
  <si>
    <t>SN280DF/SN988YE</t>
  </si>
  <si>
    <t>T9212072069</t>
  </si>
  <si>
    <t>MHMHTV8/SN915YE</t>
  </si>
  <si>
    <t>T9212072071</t>
  </si>
  <si>
    <t>VILVOORDE</t>
  </si>
  <si>
    <t>9Z94269/6Z78231</t>
  </si>
  <si>
    <t>T9212072179</t>
  </si>
  <si>
    <t>180ks, ROUROY</t>
  </si>
  <si>
    <t>MT270FM, SL769YD</t>
  </si>
  <si>
    <t>T9212072317</t>
  </si>
  <si>
    <t>SL162CC,SL072YE</t>
  </si>
  <si>
    <t>T9212072066</t>
  </si>
  <si>
    <t xml:space="preserve">SL960CB/SL067YF </t>
  </si>
  <si>
    <t>T9212072267</t>
  </si>
  <si>
    <t>euroteam zrusil</t>
  </si>
  <si>
    <t>7E1 6127/7E1 9346</t>
  </si>
  <si>
    <t>T9212072326</t>
  </si>
  <si>
    <t>T9212072085</t>
  </si>
  <si>
    <t>150ks, presunute v den nakladky</t>
  </si>
  <si>
    <t xml:space="preserve">6Z94667//6Z78259 </t>
  </si>
  <si>
    <t>T9212072295</t>
  </si>
  <si>
    <t>BRIVE LA GAILLARDE</t>
  </si>
  <si>
    <t>106kspresunute v den nakladky</t>
  </si>
  <si>
    <t>9C41336/7C01733</t>
  </si>
  <si>
    <t>39APALOGISTIK-SVK</t>
  </si>
  <si>
    <t>T9212072382</t>
  </si>
  <si>
    <t>BC0124MM/BC0124TT</t>
  </si>
  <si>
    <t>T9212072268</t>
  </si>
  <si>
    <t>T9212072421</t>
  </si>
  <si>
    <t>RUROY</t>
  </si>
  <si>
    <t xml:space="preserve">TT059GI/TT684YL </t>
  </si>
  <si>
    <t>91BOBO-SK-MF</t>
  </si>
  <si>
    <t>T9212072422</t>
  </si>
  <si>
    <t>BC0127MM/ BC0127TT</t>
  </si>
  <si>
    <t>T9212072272</t>
  </si>
  <si>
    <t>T9212072300</t>
  </si>
  <si>
    <t>BT807FE/BL607YP</t>
  </si>
  <si>
    <t>82ELASTOPTR-SK-MF</t>
  </si>
  <si>
    <t>T9212072273</t>
  </si>
  <si>
    <t xml:space="preserve">B </t>
  </si>
  <si>
    <t>T9212072318</t>
  </si>
  <si>
    <t>T9212072301</t>
  </si>
  <si>
    <t xml:space="preserve">6Z94269//6Z71159     </t>
  </si>
  <si>
    <t>T9212072370</t>
  </si>
  <si>
    <t>nalozi 15.02.</t>
  </si>
  <si>
    <t>T9212072371</t>
  </si>
  <si>
    <t>27</t>
  </si>
  <si>
    <t>BOURGTHEROULDE INFREVILLE</t>
  </si>
  <si>
    <t>T9212072372</t>
  </si>
  <si>
    <t>T9212072436</t>
  </si>
  <si>
    <t>T9212072502</t>
  </si>
  <si>
    <t>vsped</t>
  </si>
  <si>
    <t>T9212072434</t>
  </si>
  <si>
    <t>90</t>
  </si>
  <si>
    <t>LOZORNO</t>
  </si>
  <si>
    <t>06BIZUBLUBOMIR</t>
  </si>
  <si>
    <t>T9212072441</t>
  </si>
  <si>
    <t>T9212072503</t>
  </si>
  <si>
    <t>01CLERMONT-SK</t>
  </si>
  <si>
    <t>T9212072444</t>
  </si>
  <si>
    <t>dbryl@hespon.com</t>
  </si>
  <si>
    <t>hanzelka</t>
  </si>
  <si>
    <t>06</t>
  </si>
  <si>
    <t>CARROS</t>
  </si>
  <si>
    <t>T9212072514</t>
  </si>
  <si>
    <t>02OSTRANSPORT</t>
  </si>
  <si>
    <t>T9212072442</t>
  </si>
  <si>
    <t>T9212072515</t>
  </si>
  <si>
    <t>?</t>
  </si>
  <si>
    <t>05GGPSLOVAKIA</t>
  </si>
  <si>
    <t>76</t>
  </si>
  <si>
    <t>GRAND QUEVILLY</t>
  </si>
  <si>
    <t>LTL</t>
  </si>
  <si>
    <t>T9212071160</t>
  </si>
  <si>
    <t>57</t>
  </si>
  <si>
    <t>LEMUD</t>
  </si>
  <si>
    <t>17pal. 8,5lm, 6350kg</t>
  </si>
  <si>
    <t>ZM287CU/ZM188YF</t>
  </si>
  <si>
    <t>95DEMAR</t>
  </si>
  <si>
    <t>T9212071268</t>
  </si>
  <si>
    <t>FTL</t>
  </si>
  <si>
    <t>T9212071666</t>
  </si>
  <si>
    <t>7Z49369/6Z78192</t>
  </si>
  <si>
    <t>T9212071193</t>
  </si>
  <si>
    <t>LT</t>
  </si>
  <si>
    <t>35</t>
  </si>
  <si>
    <t>PANEVEZYS</t>
  </si>
  <si>
    <t xml:space="preserve">KZO383/OJ745 </t>
  </si>
  <si>
    <t>52BALTIC-SK</t>
  </si>
  <si>
    <t>T9212071228</t>
  </si>
  <si>
    <t>giedrius@baltictransline.lt</t>
  </si>
  <si>
    <t>GR</t>
  </si>
  <si>
    <t>SINDOS</t>
  </si>
  <si>
    <t>S1BEN05 / SLU2VN3</t>
  </si>
  <si>
    <t>42BENSKI-SK</t>
  </si>
  <si>
    <t>T9212071230</t>
  </si>
  <si>
    <t>k.krawczyk@benski.pl</t>
  </si>
  <si>
    <t>03</t>
  </si>
  <si>
    <t>VARENNES-SUR-ALLIER</t>
  </si>
  <si>
    <t>6Z94175/6Z71153</t>
  </si>
  <si>
    <t>T9212071234</t>
  </si>
  <si>
    <t>64</t>
  </si>
  <si>
    <t>SERRES CASTET</t>
  </si>
  <si>
    <t>6Z94665/6Z71157</t>
  </si>
  <si>
    <t>T9212071269</t>
  </si>
  <si>
    <t>45</t>
  </si>
  <si>
    <t>SAINT CYR EN VAL</t>
  </si>
  <si>
    <t>8,7lm</t>
  </si>
  <si>
    <t>T9212071457</t>
  </si>
  <si>
    <t>85</t>
  </si>
  <si>
    <t>LES HERBIERS</t>
  </si>
  <si>
    <t>E-240111-01119</t>
  </si>
  <si>
    <t>1 pal. 1032 kg</t>
  </si>
  <si>
    <t xml:space="preserve">2TH 7792   </t>
  </si>
  <si>
    <t>71POSPIECH-SK</t>
  </si>
  <si>
    <t>T9212071340</t>
  </si>
  <si>
    <t>E-240111-01118</t>
  </si>
  <si>
    <t>PP783ED/PP893YG</t>
  </si>
  <si>
    <t>T9212071366</t>
  </si>
  <si>
    <t>6Z94175/6762289</t>
  </si>
  <si>
    <t>T9212071363</t>
  </si>
  <si>
    <t>6Z93624/6Z51842</t>
  </si>
  <si>
    <t>T9212071452</t>
  </si>
  <si>
    <t>PP619FI PP216YI</t>
  </si>
  <si>
    <t>T9212071444</t>
  </si>
  <si>
    <t>31</t>
  </si>
  <si>
    <t>LOC. NAVOLE' GORGO AL MONTICANO</t>
  </si>
  <si>
    <t>E-240111-01092</t>
  </si>
  <si>
    <t>KE149LA/KE222YO</t>
  </si>
  <si>
    <t>04HAKK-SK</t>
  </si>
  <si>
    <t>T9212071441</t>
  </si>
  <si>
    <t>contact@hakk-transport.com</t>
  </si>
  <si>
    <t>SL157CF, SL429YE</t>
  </si>
  <si>
    <t>T9212071458</t>
  </si>
  <si>
    <t>PANEVEZYS+KAUNAS</t>
  </si>
  <si>
    <t>H-240115-01146</t>
  </si>
  <si>
    <t>RT</t>
  </si>
  <si>
    <t>RZ825CU/RZ739AP</t>
  </si>
  <si>
    <t>93LDLOGIS-SK</t>
  </si>
  <si>
    <t>9215170831/9215170832/9215170833</t>
  </si>
  <si>
    <t>T9212071552</t>
  </si>
  <si>
    <t>viktoria.fedorova@ldlogistic.sk</t>
  </si>
  <si>
    <t>81</t>
  </si>
  <si>
    <t>LAGRAVE</t>
  </si>
  <si>
    <t>meskanie na vykladku, STRAJK</t>
  </si>
  <si>
    <t>6Z93624/671152</t>
  </si>
  <si>
    <t>T9212071579</t>
  </si>
  <si>
    <t>E-240116-01169</t>
  </si>
  <si>
    <t>17pal. 10lm,15t</t>
  </si>
  <si>
    <t>ZM159CX/ZM439YF</t>
  </si>
  <si>
    <t>95PKP-SVK</t>
  </si>
  <si>
    <t>T9212071578</t>
  </si>
  <si>
    <t>PP847FG PP174YI</t>
  </si>
  <si>
    <t>T9212071621</t>
  </si>
  <si>
    <t>PP197EX PP802YH</t>
  </si>
  <si>
    <t>T9212071622</t>
  </si>
  <si>
    <t xml:space="preserve">6Z9 3871//6Z5 1842 </t>
  </si>
  <si>
    <t>T9212071597</t>
  </si>
  <si>
    <t>61</t>
  </si>
  <si>
    <t>ARGENTAN</t>
  </si>
  <si>
    <t>PP783ED PP893YG</t>
  </si>
  <si>
    <t>T9212071623</t>
  </si>
  <si>
    <t>4pal, 2lm, 1500kg</t>
  </si>
  <si>
    <t>1TI 0477</t>
  </si>
  <si>
    <t>T9212071596</t>
  </si>
  <si>
    <t xml:space="preserve">steiger@special-delivery.cz </t>
  </si>
  <si>
    <t>GENT</t>
  </si>
  <si>
    <t>8pal., 3,6lm, 2,2t</t>
  </si>
  <si>
    <t>ZM050CB/ZM255YD</t>
  </si>
  <si>
    <t>T9212071633</t>
  </si>
  <si>
    <t>ATHENY</t>
  </si>
  <si>
    <t>ВН 1255 КК/ВН 0782 ЕЕ</t>
  </si>
  <si>
    <t>27GEORGIEVI-SK</t>
  </si>
  <si>
    <t>T9212071650</t>
  </si>
  <si>
    <t>l.bachev@georgievitrans.com</t>
  </si>
  <si>
    <t>SL497BZ,SL942YD</t>
  </si>
  <si>
    <t>T9212071657</t>
  </si>
  <si>
    <t>TR</t>
  </si>
  <si>
    <t>34</t>
  </si>
  <si>
    <t>TUZLA/ISTANBUL</t>
  </si>
  <si>
    <t xml:space="preserve">16 SRB 04 / 16 AVY 742 </t>
  </si>
  <si>
    <t>35KEYDEPOLAMA-SK</t>
  </si>
  <si>
    <t>T9212071719</t>
  </si>
  <si>
    <t>ceyhun@keylogistics.com.tr</t>
  </si>
  <si>
    <t xml:space="preserve">7Z4 9173//6Z7 1153 </t>
  </si>
  <si>
    <t>T9212071774</t>
  </si>
  <si>
    <t>9C6 9102/9C7 9018</t>
  </si>
  <si>
    <t>T9212071783</t>
  </si>
  <si>
    <t>E-240123-01300</t>
  </si>
  <si>
    <t>SBI 7741A</t>
  </si>
  <si>
    <t>00IMPERIO-SK</t>
  </si>
  <si>
    <t>T9212071829</t>
  </si>
  <si>
    <t>p.grzebalski@royalimpero.pl</t>
  </si>
  <si>
    <t>H-240129-01386</t>
  </si>
  <si>
    <t>KK154BS/KK393YD</t>
  </si>
  <si>
    <t>9215171204/9215171205</t>
  </si>
  <si>
    <t>T9212071871</t>
  </si>
  <si>
    <t>TT257GN/TT521YN</t>
  </si>
  <si>
    <t>91BOBO-SK</t>
  </si>
  <si>
    <t>T9212071946</t>
  </si>
  <si>
    <t>51</t>
  </si>
  <si>
    <t>REIMS</t>
  </si>
  <si>
    <t>SL091CI/SL201YE</t>
  </si>
  <si>
    <t>T9212072136</t>
  </si>
  <si>
    <t>T9212071971</t>
  </si>
  <si>
    <t>SL157CF, SL429YF</t>
  </si>
  <si>
    <t>T9212072137</t>
  </si>
  <si>
    <t>T9212071972</t>
  </si>
  <si>
    <t>SL</t>
  </si>
  <si>
    <t>42</t>
  </si>
  <si>
    <t>NAKLO</t>
  </si>
  <si>
    <t>KE474OE/KE067YR</t>
  </si>
  <si>
    <t>04SITRANS</t>
  </si>
  <si>
    <t>T9212071916</t>
  </si>
  <si>
    <t>6794269/7Z03179</t>
  </si>
  <si>
    <t>T9212071948</t>
  </si>
  <si>
    <t>17</t>
  </si>
  <si>
    <t>SEMUSSAC</t>
  </si>
  <si>
    <t>9C2 2948/7C3 6077</t>
  </si>
  <si>
    <t>T9212072126</t>
  </si>
  <si>
    <t xml:space="preserve">6Z9 4669//6Z7 8193 </t>
  </si>
  <si>
    <t>D-240131-01467</t>
  </si>
  <si>
    <t>1pal,, 0,4lm, 440kg</t>
  </si>
  <si>
    <t>VT476CT</t>
  </si>
  <si>
    <t>09TECHNOEXPRES</t>
  </si>
  <si>
    <t>T9212072133</t>
  </si>
  <si>
    <t xml:space="preserve">info@techno-expres-transport.sk </t>
  </si>
  <si>
    <t>9C6 9188/8C9 7710</t>
  </si>
  <si>
    <t>T9212072074</t>
  </si>
  <si>
    <t>A</t>
  </si>
  <si>
    <t>40</t>
  </si>
  <si>
    <t>TRAUN</t>
  </si>
  <si>
    <t>PO047IP/PO923YK</t>
  </si>
  <si>
    <t>08CROSSTRANS-SK</t>
  </si>
  <si>
    <t>T9212072060</t>
  </si>
  <si>
    <t>PO831IP/PO559YI</t>
  </si>
  <si>
    <t>T9212072061</t>
  </si>
  <si>
    <t>PO789IG/PO725YJ</t>
  </si>
  <si>
    <t>T9212072062</t>
  </si>
  <si>
    <t>T9212072064</t>
  </si>
  <si>
    <t>16ASS373/16AKR409</t>
  </si>
  <si>
    <t>T9212072138</t>
  </si>
  <si>
    <t>SLU8PP5 / SLUFU99</t>
  </si>
  <si>
    <t>T9212072175</t>
  </si>
  <si>
    <t>12pal, 6lm, 3400kg</t>
  </si>
  <si>
    <t>T9212072264</t>
  </si>
  <si>
    <t>5pal, 2,4lm, 1,6t</t>
  </si>
  <si>
    <t>T9212072324</t>
  </si>
  <si>
    <t xml:space="preserve">6Z94175//6Z51843 </t>
  </si>
  <si>
    <t>T9212072265</t>
  </si>
  <si>
    <t>33</t>
  </si>
  <si>
    <t>PETROVCE</t>
  </si>
  <si>
    <t>KE406LU/KE814YO</t>
  </si>
  <si>
    <t>T9212072182</t>
  </si>
  <si>
    <t>meskanie</t>
  </si>
  <si>
    <t>MBRK2000/MB2000RK</t>
  </si>
  <si>
    <t>T9212072185</t>
  </si>
  <si>
    <t>44</t>
  </si>
  <si>
    <t>ERBRAY</t>
  </si>
  <si>
    <t xml:space="preserve">8C97643/9C79164 </t>
  </si>
  <si>
    <t>T9212072270</t>
  </si>
  <si>
    <t>14pal, 7lm, 4600kg</t>
  </si>
  <si>
    <t>T9212072323</t>
  </si>
  <si>
    <t>12</t>
  </si>
  <si>
    <t>STE RADEGONDE</t>
  </si>
  <si>
    <t>9C6 9188/9C7 9018</t>
  </si>
  <si>
    <t>T9212072320</t>
  </si>
  <si>
    <t>D-240212-01691</t>
  </si>
  <si>
    <t>1pal, 300kg</t>
  </si>
  <si>
    <t>7E04814/5E66215</t>
  </si>
  <si>
    <t>T9212072338</t>
  </si>
  <si>
    <t>STE MENEHOULD</t>
  </si>
  <si>
    <t>T9212072417</t>
  </si>
  <si>
    <t>E-240208-01641</t>
  </si>
  <si>
    <t>van</t>
  </si>
  <si>
    <t>RDE81158</t>
  </si>
  <si>
    <t>63PKLOGISTICS-SK</t>
  </si>
  <si>
    <t>T9212072365</t>
  </si>
  <si>
    <t>k.rybka@pklogistics.pl</t>
  </si>
  <si>
    <t>T9212072429</t>
  </si>
  <si>
    <t>E-240212-01693</t>
  </si>
  <si>
    <t>1pal.,0,4lm,687kg</t>
  </si>
  <si>
    <t>ZV064ER</t>
  </si>
  <si>
    <t>96SAMO-SK</t>
  </si>
  <si>
    <t>T9212072486</t>
  </si>
  <si>
    <t xml:space="preserve">trans@autodopravasamo.sk  </t>
  </si>
  <si>
    <t xml:space="preserve">31 </t>
  </si>
  <si>
    <t>CASTELFRANCO + CAMPIGO</t>
  </si>
  <si>
    <t>D-240212-01704</t>
  </si>
  <si>
    <t>3 pal. 1,5lm, 1200kg</t>
  </si>
  <si>
    <t>ADR</t>
  </si>
  <si>
    <t>DWR4183M</t>
  </si>
  <si>
    <t>9215171864/9215171865</t>
  </si>
  <si>
    <t>T9212072490</t>
  </si>
  <si>
    <t>piotrginter5@gmail.com</t>
  </si>
  <si>
    <t>HR</t>
  </si>
  <si>
    <t>52</t>
  </si>
  <si>
    <t>BUJE</t>
  </si>
  <si>
    <t>2pal, 1000kg</t>
  </si>
  <si>
    <t>KE307MH/KE822YR</t>
  </si>
  <si>
    <t>T9212072516</t>
  </si>
  <si>
    <t>8C7643/7C96551</t>
  </si>
  <si>
    <t>T9212072518</t>
  </si>
  <si>
    <t>TT405GS/TT658YM</t>
  </si>
  <si>
    <t>LES HERBIERS+ST PIERRE D EXIDEUIL</t>
  </si>
  <si>
    <t>E-240213-01730</t>
  </si>
  <si>
    <t>PP642ED/PP804YG</t>
  </si>
  <si>
    <t>9215171921/9215171922</t>
  </si>
  <si>
    <t>76SASAUTOSYS-SK</t>
  </si>
  <si>
    <t>94</t>
  </si>
  <si>
    <t>NITRA</t>
  </si>
  <si>
    <t>15</t>
  </si>
  <si>
    <t>VOGELSDORF</t>
  </si>
  <si>
    <t>BT216EZ/BL607YP</t>
  </si>
  <si>
    <t>9215170375; 9215170377</t>
  </si>
  <si>
    <t>T9212071139</t>
  </si>
  <si>
    <t>9215170376; 9215170378</t>
  </si>
  <si>
    <t>T9212071140</t>
  </si>
  <si>
    <t>NR652LV/NR793YS</t>
  </si>
  <si>
    <t>94TRANSEXPRES435E</t>
  </si>
  <si>
    <t>9215170385/9215170386</t>
  </si>
  <si>
    <t>T9212071145</t>
  </si>
  <si>
    <t>9215170388/9215170389</t>
  </si>
  <si>
    <t>T9212071149</t>
  </si>
  <si>
    <t>NR698LP/NR980YV</t>
  </si>
  <si>
    <t>9215170392/9215170393</t>
  </si>
  <si>
    <t>T9212071150</t>
  </si>
  <si>
    <t>NR859JY/NR879YR</t>
  </si>
  <si>
    <t>9215170393/9215170395</t>
  </si>
  <si>
    <t>T9212071151</t>
  </si>
  <si>
    <t>9215170396/9215170397</t>
  </si>
  <si>
    <t>T9212071152</t>
  </si>
  <si>
    <t>74FAURECIADE-SVK</t>
  </si>
  <si>
    <t>98</t>
  </si>
  <si>
    <t>LUCENEC</t>
  </si>
  <si>
    <t>CZ</t>
  </si>
  <si>
    <t>Plzen</t>
  </si>
  <si>
    <t>meskanie na vykladku - porucha</t>
  </si>
  <si>
    <t>LC981CC / LC149YG</t>
  </si>
  <si>
    <t>98TRANSSILV-SVK</t>
  </si>
  <si>
    <t>9215170121/9215170122</t>
  </si>
  <si>
    <t>T9212070912</t>
  </si>
  <si>
    <t xml:space="preserve">37FAURECIA-SK </t>
  </si>
  <si>
    <t>H</t>
  </si>
  <si>
    <t>10</t>
  </si>
  <si>
    <t>BUDAPEST</t>
  </si>
  <si>
    <t>04</t>
  </si>
  <si>
    <t>Kosice</t>
  </si>
  <si>
    <t>KE167KV/KE131YO</t>
  </si>
  <si>
    <t>04RSTRANS-SK</t>
  </si>
  <si>
    <t>T9212071047</t>
  </si>
  <si>
    <t>SC 737 GX, LC 874 YG</t>
  </si>
  <si>
    <t>9215170379/9215170380</t>
  </si>
  <si>
    <t>T9212071141</t>
  </si>
  <si>
    <t>LC149DS / LC021YH</t>
  </si>
  <si>
    <t>9215170381/9215170382</t>
  </si>
  <si>
    <t>T9212071142</t>
  </si>
  <si>
    <t>85LEAR-921</t>
  </si>
  <si>
    <t>GB</t>
  </si>
  <si>
    <t>CV</t>
  </si>
  <si>
    <t>Coventry</t>
  </si>
  <si>
    <t>MR0000871</t>
  </si>
  <si>
    <t>23pal., 1761kg</t>
  </si>
  <si>
    <t>NR053KU/NR718YS</t>
  </si>
  <si>
    <t>94ZOBORTRANS-SK</t>
  </si>
  <si>
    <t>T9212071238</t>
  </si>
  <si>
    <t>NR698LP/NR890YV</t>
  </si>
  <si>
    <t>9215170510/9215170511</t>
  </si>
  <si>
    <t>T9212071264</t>
  </si>
  <si>
    <t>9215170539/9215170541</t>
  </si>
  <si>
    <t>T9212071298</t>
  </si>
  <si>
    <t xml:space="preserve">NR012MP/NR323YS    </t>
  </si>
  <si>
    <t>9215170542/9215170543</t>
  </si>
  <si>
    <t>T9212071297</t>
  </si>
  <si>
    <t xml:space="preserve">            NR607IL/NR024YV              </t>
  </si>
  <si>
    <t>9215170544/9215170545</t>
  </si>
  <si>
    <t>T9212071299</t>
  </si>
  <si>
    <t>9215170603/9215170602</t>
  </si>
  <si>
    <t>T9212071353</t>
  </si>
  <si>
    <t>9215170606/9215170601</t>
  </si>
  <si>
    <t>T9212071357</t>
  </si>
  <si>
    <t>NR 209 LE, NR118 YV</t>
  </si>
  <si>
    <t>9215170607/9215170611</t>
  </si>
  <si>
    <t>T9212071359</t>
  </si>
  <si>
    <t>NR012MP/NR323YS</t>
  </si>
  <si>
    <t>9215170653/9215170654</t>
  </si>
  <si>
    <t>T9212071393</t>
  </si>
  <si>
    <t>NR607IL/NR024YV</t>
  </si>
  <si>
    <t>9215170653/9215170656</t>
  </si>
  <si>
    <t>T9212071394</t>
  </si>
  <si>
    <t>9215170686; 9215170687</t>
  </si>
  <si>
    <t>T9212071420</t>
  </si>
  <si>
    <t>9215170675/9215170676</t>
  </si>
  <si>
    <t>T9212071409</t>
  </si>
  <si>
    <t>9215170680/9215170681</t>
  </si>
  <si>
    <t>T9212071413</t>
  </si>
  <si>
    <t>ST</t>
  </si>
  <si>
    <t xml:space="preserve">4SA 2272 // OR 09 PP, </t>
  </si>
  <si>
    <t>18EWVALSCARGOCARE</t>
  </si>
  <si>
    <t>T9212071313</t>
  </si>
  <si>
    <t>monika.duskova@cz.ewals.com</t>
  </si>
  <si>
    <t>WGM0176G/WGM4944P</t>
  </si>
  <si>
    <t>21PITRANS-SK</t>
  </si>
  <si>
    <t>T9212071385</t>
  </si>
  <si>
    <t>pi-trans@o2.pl</t>
  </si>
  <si>
    <t>SC737GX/LC874YG</t>
  </si>
  <si>
    <t>9215170547/9215170548</t>
  </si>
  <si>
    <t>T9212071301</t>
  </si>
  <si>
    <t>SC737GX / LC498YG</t>
  </si>
  <si>
    <t>92151706589/9215170659</t>
  </si>
  <si>
    <t>T9212071396</t>
  </si>
  <si>
    <t>LC981CC/LC498YG</t>
  </si>
  <si>
    <t>9215170660/9215170661</t>
  </si>
  <si>
    <t>T9212071397</t>
  </si>
  <si>
    <t>AA826FP/LC047YH</t>
  </si>
  <si>
    <t>9215170730/9215170731</t>
  </si>
  <si>
    <t>T9212071463</t>
  </si>
  <si>
    <t>standard</t>
  </si>
  <si>
    <t>KE039KS/KE829YM</t>
  </si>
  <si>
    <t>T9212071265</t>
  </si>
  <si>
    <t>KE122KV/KE136YO</t>
  </si>
  <si>
    <t>T9212071266</t>
  </si>
  <si>
    <t>SURBOURG</t>
  </si>
  <si>
    <t>termo</t>
  </si>
  <si>
    <t>7IBC, 3pal., 8870kg</t>
  </si>
  <si>
    <t>KE337LK/ KE41 YR</t>
  </si>
  <si>
    <t>04THOMASSLUIS-SK</t>
  </si>
  <si>
    <t>T9212071267</t>
  </si>
  <si>
    <t>05IMMERGAS-SVK</t>
  </si>
  <si>
    <t>Madrid</t>
  </si>
  <si>
    <t>6Z9 3624//6Z7 8194</t>
  </si>
  <si>
    <t>T9212071381</t>
  </si>
  <si>
    <t>66</t>
  </si>
  <si>
    <t>KIRKEL</t>
  </si>
  <si>
    <t>SL435BR/SL002YE</t>
  </si>
  <si>
    <t>T9212071399</t>
  </si>
  <si>
    <t>M20004130</t>
  </si>
  <si>
    <t>44pal., 3400kg, 9lm</t>
  </si>
  <si>
    <t>NR321IV/NR586YS</t>
  </si>
  <si>
    <t>T9212071474</t>
  </si>
  <si>
    <t>meskanie na nakladku, PV</t>
  </si>
  <si>
    <t>BT695DX/BL607YP</t>
  </si>
  <si>
    <t>9215170699; 9215170700</t>
  </si>
  <si>
    <t>T9212071431</t>
  </si>
  <si>
    <t>9215170732/9215170733</t>
  </si>
  <si>
    <t>T9212071464</t>
  </si>
  <si>
    <t xml:space="preserve">NR012MP/NR323YS   </t>
  </si>
  <si>
    <t>9215170734/9215170736</t>
  </si>
  <si>
    <t>T9212071465</t>
  </si>
  <si>
    <t>9215170702; 9215170703</t>
  </si>
  <si>
    <t>T9212071433</t>
  </si>
  <si>
    <t>9215170763/9215170764</t>
  </si>
  <si>
    <t>T9212071485</t>
  </si>
  <si>
    <t>9215170767/9215170768</t>
  </si>
  <si>
    <t>T9212071487</t>
  </si>
  <si>
    <t>9215170779; 9215170780</t>
  </si>
  <si>
    <t>T9212071501</t>
  </si>
  <si>
    <t>9215170837/9215170838</t>
  </si>
  <si>
    <t>T9212071558</t>
  </si>
  <si>
    <t>259683139/259683128</t>
  </si>
  <si>
    <t>T9212071559</t>
  </si>
  <si>
    <t>9215170843; 9215170844</t>
  </si>
  <si>
    <t>T9212071561</t>
  </si>
  <si>
    <t>9215170873/9215170874</t>
  </si>
  <si>
    <t>T9212071585</t>
  </si>
  <si>
    <t>vykladka skor</t>
  </si>
  <si>
    <t>9215170876/9215170877</t>
  </si>
  <si>
    <t>T9212071587</t>
  </si>
  <si>
    <t>9215170846; 9215170847</t>
  </si>
  <si>
    <t>T9212071562</t>
  </si>
  <si>
    <t>9215170893/9215170894</t>
  </si>
  <si>
    <t>T9212071599</t>
  </si>
  <si>
    <t>ZH102BU/ZH878YD</t>
  </si>
  <si>
    <t>9215170770/9215170771</t>
  </si>
  <si>
    <t>T9212071488</t>
  </si>
  <si>
    <t>9215170895/9215170896</t>
  </si>
  <si>
    <t>T9212071600</t>
  </si>
  <si>
    <t>9215170781/9215170782</t>
  </si>
  <si>
    <t>T9212071502</t>
  </si>
  <si>
    <t>LC151CP / LC318YE</t>
  </si>
  <si>
    <t>9215170783/9215170784</t>
  </si>
  <si>
    <t>T9212071509</t>
  </si>
  <si>
    <t>AA702FP / LC438YG</t>
  </si>
  <si>
    <t>9215170791/9215170792</t>
  </si>
  <si>
    <t>T9212071511</t>
  </si>
  <si>
    <t>LC981CC / LC498YG</t>
  </si>
  <si>
    <t>9215170841/9215170842</t>
  </si>
  <si>
    <t>T9212071560</t>
  </si>
  <si>
    <t>LC436DX / LC295YG</t>
  </si>
  <si>
    <t>9215170845/9215170848</t>
  </si>
  <si>
    <t>T9212071563</t>
  </si>
  <si>
    <t>SC737GX / LC874YG</t>
  </si>
  <si>
    <t>9215170882/9215170884</t>
  </si>
  <si>
    <t>T9212071593</t>
  </si>
  <si>
    <t>9215170885/9215170887</t>
  </si>
  <si>
    <t>T9212071594</t>
  </si>
  <si>
    <t>LC050CV/LC284YF</t>
  </si>
  <si>
    <t>9215170927/9215170928</t>
  </si>
  <si>
    <t>T9212071631</t>
  </si>
  <si>
    <t>9215170929/9215170930</t>
  </si>
  <si>
    <t>T9212071632</t>
  </si>
  <si>
    <t>9215170958/9215170959</t>
  </si>
  <si>
    <t>T9212071655</t>
  </si>
  <si>
    <t>LC151CP/LC278YP</t>
  </si>
  <si>
    <t>9215170960/9215170961</t>
  </si>
  <si>
    <t>T9212071656</t>
  </si>
  <si>
    <t>T9212071400</t>
  </si>
  <si>
    <t>T9212071401</t>
  </si>
  <si>
    <t>5IBC, 5pal., 5400 kg</t>
  </si>
  <si>
    <t>AA758BL</t>
  </si>
  <si>
    <t>T9212071557</t>
  </si>
  <si>
    <t>SL803BN/SL021YE</t>
  </si>
  <si>
    <t>06JDJTRANS</t>
  </si>
  <si>
    <t>T9212071507</t>
  </si>
  <si>
    <t>jdjtrans.doprava@gmail.com</t>
  </si>
  <si>
    <t>BT807FE/BL557YR</t>
  </si>
  <si>
    <t>9215170966; 259703582</t>
  </si>
  <si>
    <t>T9212071664</t>
  </si>
  <si>
    <t>9215170954/9215170955</t>
  </si>
  <si>
    <t>T9212071653</t>
  </si>
  <si>
    <t>9215170956/9215170957</t>
  </si>
  <si>
    <t>T9212071654</t>
  </si>
  <si>
    <t>9215171041/9215171042</t>
  </si>
  <si>
    <t>T9212071728</t>
  </si>
  <si>
    <t>9215171043/9215171044</t>
  </si>
  <si>
    <t>T9212071729</t>
  </si>
  <si>
    <t>9215171099; 9215171100</t>
  </si>
  <si>
    <t>T9212071780</t>
  </si>
  <si>
    <t>9215171086/9215171087</t>
  </si>
  <si>
    <t>T9212071771</t>
  </si>
  <si>
    <t>9215171089/9215171090</t>
  </si>
  <si>
    <t>T9212071773</t>
  </si>
  <si>
    <t>9215171092/9215171094</t>
  </si>
  <si>
    <t>T9212071775</t>
  </si>
  <si>
    <t>ZH 117BU/ZH 877YD</t>
  </si>
  <si>
    <t>9215171053/9215171055</t>
  </si>
  <si>
    <t>T9212071735</t>
  </si>
  <si>
    <t>9215171097/9215171095</t>
  </si>
  <si>
    <t>T9212071779</t>
  </si>
  <si>
    <t>9215171200; 9215171201</t>
  </si>
  <si>
    <t>T9212071868</t>
  </si>
  <si>
    <t>9215171180/9215171181</t>
  </si>
  <si>
    <t>T9212071851</t>
  </si>
  <si>
    <t>9215171182/9215171183</t>
  </si>
  <si>
    <t>T9212071852</t>
  </si>
  <si>
    <t>PL</t>
  </si>
  <si>
    <t>82</t>
  </si>
  <si>
    <t>STARE POLE</t>
  </si>
  <si>
    <t>PZ1F32 // PO3Y163</t>
  </si>
  <si>
    <t>65WIECZOREK-SK</t>
  </si>
  <si>
    <t>T9212071918</t>
  </si>
  <si>
    <t>m.dwornikowski@droader.com</t>
  </si>
  <si>
    <t>LC383DX / LC947YG</t>
  </si>
  <si>
    <t>9215171032/9215171033</t>
  </si>
  <si>
    <t>T9212071722</t>
  </si>
  <si>
    <t>9215171034/9215171035</t>
  </si>
  <si>
    <t>T9212071723</t>
  </si>
  <si>
    <t>LC878CY / LC646YF</t>
  </si>
  <si>
    <t>9215171036/9215171037</t>
  </si>
  <si>
    <t>T9212071724</t>
  </si>
  <si>
    <t>9215171107/9215171108</t>
  </si>
  <si>
    <t>T9212071786</t>
  </si>
  <si>
    <t>9215171110/9215171111</t>
  </si>
  <si>
    <t>T9212071787</t>
  </si>
  <si>
    <t>LC448DN/LC010YH</t>
  </si>
  <si>
    <t>9215171112/9215171113</t>
  </si>
  <si>
    <t>T9212071788</t>
  </si>
  <si>
    <t>9215171184/9215171185</t>
  </si>
  <si>
    <t>T9212071853</t>
  </si>
  <si>
    <t>9215171186/9215171187</t>
  </si>
  <si>
    <t>T9212071854</t>
  </si>
  <si>
    <t>LC040CZ/LC555YF</t>
  </si>
  <si>
    <t>9215171188/9215171189</t>
  </si>
  <si>
    <t>T9212071855</t>
  </si>
  <si>
    <t>9215171190/9215171191</t>
  </si>
  <si>
    <t>T9212071856</t>
  </si>
  <si>
    <t>KE647KS/KE149YM</t>
  </si>
  <si>
    <t>T9212071658</t>
  </si>
  <si>
    <t>KE682MU/KE459YM</t>
  </si>
  <si>
    <t>T9212071659</t>
  </si>
  <si>
    <t xml:space="preserve">04 </t>
  </si>
  <si>
    <t>4IBC, 1 pal, 4630kg</t>
  </si>
  <si>
    <t>KE730NY/ KE698YR</t>
  </si>
  <si>
    <t>T9212071662</t>
  </si>
  <si>
    <t>KE682MU/KE459YN</t>
  </si>
  <si>
    <t>T9212071909</t>
  </si>
  <si>
    <t>5IBC, 2 pal., 6066 kg</t>
  </si>
  <si>
    <t>AA 758 BL + KE 602 YO</t>
  </si>
  <si>
    <t>T9212071912</t>
  </si>
  <si>
    <t>VSR0431893</t>
  </si>
  <si>
    <t xml:space="preserve">21pal, 4,2 lm, </t>
  </si>
  <si>
    <t>NR622HD/NR219YM</t>
  </si>
  <si>
    <t>T9212072099</t>
  </si>
  <si>
    <t xml:space="preserve">KE763JR/KE043YO </t>
  </si>
  <si>
    <t>T9212072105</t>
  </si>
  <si>
    <t>KE925NM/KE088YR</t>
  </si>
  <si>
    <t>T9212072107</t>
  </si>
  <si>
    <t>T9212072111</t>
  </si>
  <si>
    <t>nebude</t>
  </si>
  <si>
    <t>LC151CP/LC278YF</t>
  </si>
  <si>
    <t>9215171276/9215171279</t>
  </si>
  <si>
    <t>T9212071939</t>
  </si>
  <si>
    <t>9215171284/9215171285</t>
  </si>
  <si>
    <t>T9212071943</t>
  </si>
  <si>
    <t>9215171345/9215171346</t>
  </si>
  <si>
    <t>T9212072002</t>
  </si>
  <si>
    <t>LV383DX/LC947YG</t>
  </si>
  <si>
    <t>9215171439/9215171440</t>
  </si>
  <si>
    <t>T9212072092</t>
  </si>
  <si>
    <t>9215171441/9215171442</t>
  </si>
  <si>
    <t>T9212072093</t>
  </si>
  <si>
    <t>LC787CY/LC295YG</t>
  </si>
  <si>
    <t>9215171445/9215171446</t>
  </si>
  <si>
    <t>T9212072097</t>
  </si>
  <si>
    <t>28</t>
  </si>
  <si>
    <t>7Z46369/Z71157</t>
  </si>
  <si>
    <t>T9212072139</t>
  </si>
  <si>
    <t>LC383DX/LC947YG</t>
  </si>
  <si>
    <t>9215171543/9215171545</t>
  </si>
  <si>
    <t>T9212072198</t>
  </si>
  <si>
    <t>9215171603/9215171604</t>
  </si>
  <si>
    <t>T9212072256</t>
  </si>
  <si>
    <t>LC885DO/LC647YG</t>
  </si>
  <si>
    <t>9215171605/9215171606</t>
  </si>
  <si>
    <t>T9212072258</t>
  </si>
  <si>
    <t>AA862FP/LC047YH</t>
  </si>
  <si>
    <t>9215171644/9215171645</t>
  </si>
  <si>
    <t>T9212072291</t>
  </si>
  <si>
    <t>9215171646/9215171647</t>
  </si>
  <si>
    <t>T9212072292</t>
  </si>
  <si>
    <t>LC436DX/LC295YG</t>
  </si>
  <si>
    <t>9215171648/9215171649</t>
  </si>
  <si>
    <t>T9212072293</t>
  </si>
  <si>
    <t xml:space="preserve">NR859JY/NR879YR </t>
  </si>
  <si>
    <t>9215171655/9215171656</t>
  </si>
  <si>
    <t>T9212072297</t>
  </si>
  <si>
    <t>9215171657/9215171658</t>
  </si>
  <si>
    <t>T9212072298</t>
  </si>
  <si>
    <t>9215171665/9215171666</t>
  </si>
  <si>
    <t>T9212072315</t>
  </si>
  <si>
    <t>9215171676/9215171677</t>
  </si>
  <si>
    <t>T9212072316</t>
  </si>
  <si>
    <t>NR859JY/ NR879YR</t>
  </si>
  <si>
    <t>9215171853/9215171854</t>
  </si>
  <si>
    <t>T9212072481</t>
  </si>
  <si>
    <t>NR607IL/ NR024YV</t>
  </si>
  <si>
    <t>9215171856/9215171855</t>
  </si>
  <si>
    <t>T9212072482</t>
  </si>
  <si>
    <t>AA575HF/NR415YR</t>
  </si>
  <si>
    <t>9215171881/9215171882</t>
  </si>
  <si>
    <t>T9212072505</t>
  </si>
  <si>
    <t>NR698LP/ NR980YV</t>
  </si>
  <si>
    <t>9215171857/9215171858</t>
  </si>
  <si>
    <t>T9212072483</t>
  </si>
  <si>
    <t>259756147/259756147</t>
  </si>
  <si>
    <t>T9212072484</t>
  </si>
  <si>
    <t>NR012 MP/NR323YS</t>
  </si>
  <si>
    <t>BT596BY/PO873YM</t>
  </si>
  <si>
    <t>HELPOL EKO FLEET</t>
  </si>
  <si>
    <t>9215171889; 9215171890</t>
  </si>
  <si>
    <t>T9212072510</t>
  </si>
  <si>
    <t xml:space="preserve">NR 607 IL , NR 024 YV </t>
  </si>
  <si>
    <t>KMI80L6 // KMI20E4</t>
  </si>
  <si>
    <t>T9212072513</t>
  </si>
  <si>
    <t xml:space="preserve"> m.dwornikowski@droader.com </t>
  </si>
  <si>
    <t>MI263FP/MI006YI</t>
  </si>
  <si>
    <t>07JLNLOGISTICS-SK</t>
  </si>
  <si>
    <t>T9212072152</t>
  </si>
  <si>
    <t>info@jlnlogistics.sk</t>
  </si>
  <si>
    <t>SL470CI/SL631YE</t>
  </si>
  <si>
    <t>T9212072334</t>
  </si>
  <si>
    <t>9215171803/9215171804</t>
  </si>
  <si>
    <t>T9212072430</t>
  </si>
  <si>
    <t>9215171805/9215171806</t>
  </si>
  <si>
    <t>T9212072431</t>
  </si>
  <si>
    <t>9215171807/9215171808</t>
  </si>
  <si>
    <t>T9212072432</t>
  </si>
  <si>
    <t>9215171809/9215171810</t>
  </si>
  <si>
    <t>T9212072433</t>
  </si>
  <si>
    <t>9215171874/9215171877</t>
  </si>
  <si>
    <t>T9212072499</t>
  </si>
  <si>
    <t>KEZMAROK</t>
  </si>
  <si>
    <t>BUEHL</t>
  </si>
  <si>
    <t xml:space="preserve"> 03LUKRI-SK-MF</t>
  </si>
  <si>
    <t>9215171798/9215171801</t>
  </si>
  <si>
    <t>T9212072428</t>
  </si>
  <si>
    <t xml:space="preserve">KE039KS/KE829YM </t>
  </si>
  <si>
    <t>T9212072335</t>
  </si>
  <si>
    <t>T9212072336</t>
  </si>
  <si>
    <t>04STERN</t>
  </si>
  <si>
    <t>89</t>
  </si>
  <si>
    <t>NEU-ULM</t>
  </si>
  <si>
    <t>VSR0439829</t>
  </si>
  <si>
    <t xml:space="preserve">21pal, 4,5 lm, </t>
  </si>
  <si>
    <t>T9212072524</t>
  </si>
  <si>
    <t>BT695DX/BL557YR</t>
  </si>
  <si>
    <t>SO116BC/SO276YC</t>
  </si>
  <si>
    <t>07BUSINESS-SK-MF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</si>
</sst>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* #,##0.00\ &quot;€&quot;_-;\-* #,##0.00\ &quot;€&quot;_-;_-* &quot;-&quot;??\ &quot;€&quot;_-;_-@_-"/>
    <numFmt numFmtId="164" formatCode="0.0&quot; &quot;%"/>
    <numFmt numFmtId="165" formatCode="dd/mm/yy"/>
    <numFmt numFmtId="166" formatCode="0.000"/>
    <numFmt numFmtId="167" formatCode="[$-F400]h:mm:ss\ AM/PM"/>
    <numFmt numFmtId="168" formatCode="0.0"/>
    <numFmt numFmtId="169" formatCode="dd/mm/yyyy"/>
    <numFmt numFmtId="170" formatCode="m/d/yyyy"/>
    <numFmt numFmtId="171" formatCode="_-* #,##0.00\ [$€-1]_-;\-* #,##0.00\ [$€-1]_-;_-* &quot;-&quot;??\ [$€-1]_-;_-@_-"/>
  </numFmts>
  <fonts count="4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0"/>
      <name val="Arial"/>
      <family val="2"/>
      <charset val="178"/>
    </font>
    <font>
      <sz val="9"/>
      <color theme="1"/>
      <name val="Verdana"/>
      <family val="2"/>
      <charset val="238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color rgb="FF000000"/>
      <name val="Calibri"/>
      <family val="2"/>
    </font>
    <font>
      <b/>
      <sz val="10"/>
      <color rgb="FFFFFF00"/>
      <name val="Calibri"/>
      <family val="2"/>
      <charset val="238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charset val="238"/>
      <scheme val="minor"/>
    </font>
    <font>
      <b/>
      <sz val="8"/>
      <color rgb="FFFFFF0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1"/>
      <name val="Arial"/>
      <family val="2"/>
      <charset val="238"/>
    </font>
    <font>
      <b/>
      <sz val="11"/>
      <color rgb="FFFF0000"/>
      <name val="Arial"/>
      <family val="2"/>
      <charset val="238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b/>
      <sz val="1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</font>
  </fonts>
  <fills count="6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0070C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DF9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A6B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8">
    <xf numFmtId="0" fontId="0" fillId="0" borderId="0"/>
    <xf numFmtId="0" fontId="4" fillId="0" borderId="0"/>
    <xf numFmtId="4" fontId="5" fillId="2" borderId="1" applyNumberFormat="0" applyProtection="0">
      <alignment horizontal="left" vertical="center" indent="1"/>
    </xf>
    <xf numFmtId="0" fontId="6" fillId="0" borderId="0"/>
    <xf numFmtId="9" fontId="4" fillId="0" borderId="0" applyFont="0" applyFill="0" applyBorder="0" applyAlignment="0" applyProtection="0"/>
    <xf numFmtId="0" fontId="7" fillId="0" borderId="0"/>
    <xf numFmtId="0" fontId="6" fillId="0" borderId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3" fillId="8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8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" fontId="5" fillId="19" borderId="1" applyNumberFormat="0" applyProtection="0">
      <alignment vertical="center"/>
    </xf>
    <xf numFmtId="4" fontId="14" fillId="20" borderId="1" applyNumberFormat="0" applyProtection="0">
      <alignment vertical="center"/>
    </xf>
    <xf numFmtId="4" fontId="5" fillId="20" borderId="1" applyNumberFormat="0" applyProtection="0">
      <alignment horizontal="left" vertical="center" indent="1"/>
    </xf>
    <xf numFmtId="0" fontId="15" fillId="19" borderId="3" applyNumberFormat="0" applyProtection="0">
      <alignment horizontal="left" vertical="top" indent="1"/>
    </xf>
    <xf numFmtId="4" fontId="5" fillId="21" borderId="1" applyNumberFormat="0" applyProtection="0">
      <alignment horizontal="right" vertical="center"/>
    </xf>
    <xf numFmtId="4" fontId="5" fillId="22" borderId="1" applyNumberFormat="0" applyProtection="0">
      <alignment horizontal="right" vertical="center"/>
    </xf>
    <xf numFmtId="4" fontId="5" fillId="23" borderId="4" applyNumberFormat="0" applyProtection="0">
      <alignment horizontal="right" vertical="center"/>
    </xf>
    <xf numFmtId="4" fontId="5" fillId="24" borderId="1" applyNumberFormat="0" applyProtection="0">
      <alignment horizontal="right" vertical="center"/>
    </xf>
    <xf numFmtId="4" fontId="5" fillId="25" borderId="1" applyNumberFormat="0" applyProtection="0">
      <alignment horizontal="right" vertical="center"/>
    </xf>
    <xf numFmtId="4" fontId="5" fillId="26" borderId="1" applyNumberFormat="0" applyProtection="0">
      <alignment horizontal="right" vertical="center"/>
    </xf>
    <xf numFmtId="4" fontId="5" fillId="27" borderId="1" applyNumberFormat="0" applyProtection="0">
      <alignment horizontal="right" vertical="center"/>
    </xf>
    <xf numFmtId="4" fontId="5" fillId="28" borderId="1" applyNumberFormat="0" applyProtection="0">
      <alignment horizontal="right" vertical="center"/>
    </xf>
    <xf numFmtId="4" fontId="5" fillId="29" borderId="1" applyNumberFormat="0" applyProtection="0">
      <alignment horizontal="right" vertical="center"/>
    </xf>
    <xf numFmtId="4" fontId="5" fillId="30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5" fillId="32" borderId="1" applyNumberFormat="0" applyProtection="0">
      <alignment horizontal="right" vertical="center"/>
    </xf>
    <xf numFmtId="4" fontId="5" fillId="33" borderId="4" applyNumberFormat="0" applyProtection="0">
      <alignment horizontal="left" vertical="center" indent="1"/>
    </xf>
    <xf numFmtId="4" fontId="5" fillId="32" borderId="4" applyNumberFormat="0" applyProtection="0">
      <alignment horizontal="left" vertical="center" indent="1"/>
    </xf>
    <xf numFmtId="0" fontId="5" fillId="34" borderId="1" applyNumberFormat="0" applyProtection="0">
      <alignment horizontal="left" vertical="center" indent="1"/>
    </xf>
    <xf numFmtId="0" fontId="5" fillId="31" borderId="3" applyNumberFormat="0" applyProtection="0">
      <alignment horizontal="left" vertical="top" indent="1"/>
    </xf>
    <xf numFmtId="0" fontId="5" fillId="35" borderId="1" applyNumberFormat="0" applyProtection="0">
      <alignment horizontal="left" vertical="center" indent="1"/>
    </xf>
    <xf numFmtId="0" fontId="5" fillId="32" borderId="3" applyNumberFormat="0" applyProtection="0">
      <alignment horizontal="left" vertical="top" indent="1"/>
    </xf>
    <xf numFmtId="0" fontId="5" fillId="36" borderId="1" applyNumberFormat="0" applyProtection="0">
      <alignment horizontal="left" vertical="center" indent="1"/>
    </xf>
    <xf numFmtId="0" fontId="5" fillId="36" borderId="3" applyNumberFormat="0" applyProtection="0">
      <alignment horizontal="left" vertical="top" indent="1"/>
    </xf>
    <xf numFmtId="0" fontId="5" fillId="33" borderId="1" applyNumberFormat="0" applyProtection="0">
      <alignment horizontal="left" vertical="center" indent="1"/>
    </xf>
    <xf numFmtId="0" fontId="5" fillId="33" borderId="3" applyNumberFormat="0" applyProtection="0">
      <alignment horizontal="left" vertical="top" indent="1"/>
    </xf>
    <xf numFmtId="0" fontId="5" fillId="37" borderId="5" applyNumberFormat="0">
      <protection locked="0"/>
    </xf>
    <xf numFmtId="0" fontId="11" fillId="31" borderId="6" applyBorder="0"/>
    <xf numFmtId="4" fontId="16" fillId="38" borderId="3" applyNumberFormat="0" applyProtection="0">
      <alignment vertical="center"/>
    </xf>
    <xf numFmtId="4" fontId="14" fillId="39" borderId="2" applyNumberFormat="0" applyProtection="0">
      <alignment vertical="center"/>
    </xf>
    <xf numFmtId="4" fontId="16" fillId="34" borderId="3" applyNumberFormat="0" applyProtection="0">
      <alignment horizontal="left" vertical="center" indent="1"/>
    </xf>
    <xf numFmtId="0" fontId="16" fillId="38" borderId="3" applyNumberFormat="0" applyProtection="0">
      <alignment horizontal="left" vertical="top" indent="1"/>
    </xf>
    <xf numFmtId="4" fontId="5" fillId="0" borderId="1" applyNumberFormat="0" applyProtection="0">
      <alignment horizontal="right" vertical="center"/>
    </xf>
    <xf numFmtId="4" fontId="14" fillId="40" borderId="1" applyNumberFormat="0" applyProtection="0">
      <alignment horizontal="right" vertical="center"/>
    </xf>
    <xf numFmtId="4" fontId="5" fillId="2" borderId="1" applyNumberFormat="0" applyProtection="0">
      <alignment horizontal="left" vertical="center" indent="1"/>
    </xf>
    <xf numFmtId="0" fontId="16" fillId="32" borderId="3" applyNumberFormat="0" applyProtection="0">
      <alignment horizontal="left" vertical="top" indent="1"/>
    </xf>
    <xf numFmtId="4" fontId="17" fillId="41" borderId="4" applyNumberFormat="0" applyProtection="0">
      <alignment horizontal="left" vertical="center" indent="1"/>
    </xf>
    <xf numFmtId="0" fontId="5" fillId="42" borderId="2"/>
    <xf numFmtId="4" fontId="18" fillId="37" borderId="1" applyNumberFormat="0" applyProtection="0">
      <alignment horizontal="right" vertical="center"/>
    </xf>
    <xf numFmtId="0" fontId="19" fillId="0" borderId="0" applyNumberFormat="0" applyFill="0" applyBorder="0" applyAlignment="0" applyProtection="0"/>
    <xf numFmtId="0" fontId="20" fillId="0" borderId="0"/>
    <xf numFmtId="0" fontId="21" fillId="0" borderId="0"/>
    <xf numFmtId="0" fontId="22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3" fillId="0" borderId="0"/>
    <xf numFmtId="0" fontId="24" fillId="0" borderId="0" applyNumberFormat="0" applyFill="0" applyBorder="0" applyAlignment="0" applyProtection="0"/>
    <xf numFmtId="0" fontId="3" fillId="44" borderId="9" applyNumberFormat="0" applyFont="0" applyAlignment="0" applyProtection="0"/>
    <xf numFmtId="0" fontId="25" fillId="43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1" fillId="0" borderId="0"/>
    <xf numFmtId="0" fontId="1" fillId="44" borderId="9" applyNumberFormat="0" applyFont="0" applyAlignment="0" applyProtection="0"/>
    <xf numFmtId="0" fontId="1" fillId="0" borderId="0"/>
    <xf numFmtId="9" fontId="4" fillId="0" borderId="0" applyFont="0" applyFill="0" applyBorder="0" applyAlignment="0" applyProtection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1" fillId="0" borderId="0"/>
    <xf numFmtId="0" fontId="6" fillId="0" borderId="0"/>
    <xf numFmtId="0" fontId="26" fillId="0" borderId="0"/>
    <xf numFmtId="9" fontId="3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5" fillId="0" borderId="0"/>
    <xf numFmtId="0" fontId="29" fillId="0" borderId="0" applyNumberFormat="0" applyFill="0" applyBorder="0" applyAlignment="0" applyProtection="0"/>
  </cellStyleXfs>
  <cellXfs count="238">
    <xf numFmtId="0" fontId="0" fillId="0" borderId="0" xfId="0"/>
    <xf numFmtId="0" fontId="8" fillId="0" borderId="0" xfId="0" applyFont="1"/>
    <xf numFmtId="14" fontId="8" fillId="0" borderId="0" xfId="0" applyNumberFormat="1" applyFont="1"/>
    <xf numFmtId="164" fontId="8" fillId="0" borderId="0" xfId="0" applyNumberFormat="1" applyFont="1"/>
    <xf numFmtId="49" fontId="8" fillId="0" borderId="0" xfId="0" applyNumberFormat="1" applyFont="1"/>
    <xf numFmtId="165" fontId="8" fillId="0" borderId="0" xfId="0" applyNumberFormat="1" applyFont="1"/>
    <xf numFmtId="166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3" borderId="2" xfId="0" applyFont="1" applyFill="1" applyBorder="1"/>
    <xf numFmtId="14" fontId="10" fillId="3" borderId="2" xfId="0" applyNumberFormat="1" applyFont="1" applyFill="1" applyBorder="1"/>
    <xf numFmtId="49" fontId="10" fillId="3" borderId="2" xfId="0" applyNumberFormat="1" applyFont="1" applyFill="1" applyBorder="1"/>
    <xf numFmtId="165" fontId="10" fillId="3" borderId="2" xfId="0" applyNumberFormat="1" applyFont="1" applyFill="1" applyBorder="1"/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center"/>
    </xf>
    <xf numFmtId="1" fontId="8" fillId="0" borderId="0" xfId="0" applyNumberFormat="1" applyFont="1"/>
    <xf numFmtId="1" fontId="10" fillId="3" borderId="2" xfId="0" applyNumberFormat="1" applyFont="1" applyFill="1" applyBorder="1"/>
    <xf numFmtId="167" fontId="8" fillId="0" borderId="0" xfId="0" applyNumberFormat="1" applyFont="1"/>
    <xf numFmtId="0" fontId="8" fillId="0" borderId="8" xfId="0" applyFont="1" applyBorder="1"/>
    <xf numFmtId="49" fontId="0" fillId="0" borderId="0" xfId="0" applyNumberFormat="1"/>
    <xf numFmtId="2" fontId="0" fillId="0" borderId="0" xfId="0" applyNumberFormat="1"/>
    <xf numFmtId="1" fontId="8" fillId="0" borderId="8" xfId="0" applyNumberFormat="1" applyFont="1" applyBorder="1"/>
    <xf numFmtId="2" fontId="8" fillId="0" borderId="8" xfId="0" applyNumberFormat="1" applyFont="1" applyBorder="1"/>
    <xf numFmtId="0" fontId="8" fillId="46" borderId="8" xfId="0" applyFont="1" applyFill="1" applyBorder="1"/>
    <xf numFmtId="49" fontId="8" fillId="46" borderId="8" xfId="0" applyNumberFormat="1" applyFont="1" applyFill="1" applyBorder="1"/>
    <xf numFmtId="167" fontId="8" fillId="46" borderId="8" xfId="0" applyNumberFormat="1" applyFont="1" applyFill="1" applyBorder="1"/>
    <xf numFmtId="49" fontId="8" fillId="46" borderId="8" xfId="0" applyNumberFormat="1" applyFont="1" applyFill="1" applyBorder="1" applyAlignment="1">
      <alignment horizontal="center"/>
    </xf>
    <xf numFmtId="14" fontId="28" fillId="46" borderId="8" xfId="0" applyNumberFormat="1" applyFont="1" applyFill="1" applyBorder="1"/>
    <xf numFmtId="167" fontId="28" fillId="46" borderId="8" xfId="0" applyNumberFormat="1" applyFont="1" applyFill="1" applyBorder="1"/>
    <xf numFmtId="1" fontId="0" fillId="0" borderId="0" xfId="0" applyNumberFormat="1"/>
    <xf numFmtId="9" fontId="0" fillId="0" borderId="0" xfId="86" applyFont="1"/>
    <xf numFmtId="0" fontId="8" fillId="45" borderId="8" xfId="0" applyFont="1" applyFill="1" applyBorder="1"/>
    <xf numFmtId="2" fontId="8" fillId="46" borderId="8" xfId="0" applyNumberFormat="1" applyFont="1" applyFill="1" applyBorder="1"/>
    <xf numFmtId="9" fontId="10" fillId="3" borderId="2" xfId="86" applyFont="1" applyFill="1" applyBorder="1"/>
    <xf numFmtId="166" fontId="10" fillId="3" borderId="11" xfId="0" applyNumberFormat="1" applyFont="1" applyFill="1" applyBorder="1"/>
    <xf numFmtId="166" fontId="10" fillId="3" borderId="12" xfId="0" applyNumberFormat="1" applyFont="1" applyFill="1" applyBorder="1"/>
    <xf numFmtId="0" fontId="9" fillId="0" borderId="8" xfId="0" applyFont="1" applyBorder="1"/>
    <xf numFmtId="49" fontId="9" fillId="0" borderId="8" xfId="0" applyNumberFormat="1" applyFont="1" applyBorder="1"/>
    <xf numFmtId="165" fontId="9" fillId="0" borderId="8" xfId="0" applyNumberFormat="1" applyFont="1" applyBorder="1"/>
    <xf numFmtId="1" fontId="9" fillId="0" borderId="8" xfId="0" applyNumberFormat="1" applyFont="1" applyBorder="1"/>
    <xf numFmtId="166" fontId="33" fillId="3" borderId="7" xfId="0" applyNumberFormat="1" applyFont="1" applyFill="1" applyBorder="1"/>
    <xf numFmtId="166" fontId="33" fillId="3" borderId="12" xfId="0" applyNumberFormat="1" applyFont="1" applyFill="1" applyBorder="1"/>
    <xf numFmtId="0" fontId="9" fillId="45" borderId="8" xfId="0" applyFont="1" applyFill="1" applyBorder="1" applyAlignment="1">
      <alignment horizontal="center"/>
    </xf>
    <xf numFmtId="0" fontId="9" fillId="45" borderId="8" xfId="0" applyFont="1" applyFill="1" applyBorder="1"/>
    <xf numFmtId="0" fontId="33" fillId="3" borderId="11" xfId="0" applyFont="1" applyFill="1" applyBorder="1" applyAlignment="1">
      <alignment wrapText="1"/>
    </xf>
    <xf numFmtId="14" fontId="33" fillId="3" borderId="11" xfId="0" applyNumberFormat="1" applyFont="1" applyFill="1" applyBorder="1" applyAlignment="1">
      <alignment wrapText="1"/>
    </xf>
    <xf numFmtId="49" fontId="33" fillId="3" borderId="11" xfId="0" applyNumberFormat="1" applyFont="1" applyFill="1" applyBorder="1" applyAlignment="1">
      <alignment wrapText="1"/>
    </xf>
    <xf numFmtId="165" fontId="33" fillId="3" borderId="11" xfId="0" applyNumberFormat="1" applyFont="1" applyFill="1" applyBorder="1" applyAlignment="1">
      <alignment wrapText="1"/>
    </xf>
    <xf numFmtId="167" fontId="33" fillId="3" borderId="11" xfId="0" applyNumberFormat="1" applyFont="1" applyFill="1" applyBorder="1" applyAlignment="1">
      <alignment wrapText="1"/>
    </xf>
    <xf numFmtId="0" fontId="33" fillId="3" borderId="11" xfId="0" applyFont="1" applyFill="1" applyBorder="1" applyAlignment="1">
      <alignment horizontal="left" wrapText="1"/>
    </xf>
    <xf numFmtId="0" fontId="33" fillId="3" borderId="11" xfId="0" applyFont="1" applyFill="1" applyBorder="1" applyAlignment="1">
      <alignment horizontal="center" wrapText="1"/>
    </xf>
    <xf numFmtId="164" fontId="33" fillId="3" borderId="11" xfId="0" applyNumberFormat="1" applyFont="1" applyFill="1" applyBorder="1" applyAlignment="1">
      <alignment wrapText="1"/>
    </xf>
    <xf numFmtId="166" fontId="33" fillId="3" borderId="11" xfId="0" applyNumberFormat="1" applyFont="1" applyFill="1" applyBorder="1" applyAlignment="1">
      <alignment wrapText="1"/>
    </xf>
    <xf numFmtId="168" fontId="33" fillId="3" borderId="11" xfId="0" applyNumberFormat="1" applyFont="1" applyFill="1" applyBorder="1" applyAlignment="1">
      <alignment wrapText="1"/>
    </xf>
    <xf numFmtId="1" fontId="33" fillId="3" borderId="11" xfId="0" applyNumberFormat="1" applyFont="1" applyFill="1" applyBorder="1" applyAlignment="1">
      <alignment wrapText="1"/>
    </xf>
    <xf numFmtId="166" fontId="33" fillId="3" borderId="12" xfId="0" applyNumberFormat="1" applyFont="1" applyFill="1" applyBorder="1" applyAlignment="1">
      <alignment wrapText="1"/>
    </xf>
    <xf numFmtId="1" fontId="33" fillId="3" borderId="13" xfId="0" applyNumberFormat="1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/>
    </xf>
    <xf numFmtId="167" fontId="9" fillId="0" borderId="8" xfId="0" applyNumberFormat="1" applyFont="1" applyBorder="1"/>
    <xf numFmtId="0" fontId="29" fillId="0" borderId="8" xfId="127" applyBorder="1"/>
    <xf numFmtId="9" fontId="8" fillId="0" borderId="8" xfId="86" applyFont="1" applyBorder="1"/>
    <xf numFmtId="14" fontId="8" fillId="46" borderId="8" xfId="0" applyNumberFormat="1" applyFont="1" applyFill="1" applyBorder="1"/>
    <xf numFmtId="14" fontId="8" fillId="46" borderId="10" xfId="0" applyNumberFormat="1" applyFont="1" applyFill="1" applyBorder="1"/>
    <xf numFmtId="0" fontId="9" fillId="0" borderId="8" xfId="0" applyFont="1" applyBorder="1" applyAlignment="1">
      <alignment horizontal="center"/>
    </xf>
    <xf numFmtId="0" fontId="28" fillId="46" borderId="8" xfId="0" applyFont="1" applyFill="1" applyBorder="1" applyAlignment="1">
      <alignment horizontal="center"/>
    </xf>
    <xf numFmtId="0" fontId="8" fillId="49" borderId="8" xfId="0" applyFont="1" applyFill="1" applyBorder="1"/>
    <xf numFmtId="0" fontId="29" fillId="0" borderId="8" xfId="127" applyNumberFormat="1" applyBorder="1"/>
    <xf numFmtId="0" fontId="37" fillId="0" borderId="8" xfId="0" applyFont="1" applyBorder="1"/>
    <xf numFmtId="0" fontId="9" fillId="51" borderId="8" xfId="0" applyFont="1" applyFill="1" applyBorder="1"/>
    <xf numFmtId="166" fontId="32" fillId="47" borderId="8" xfId="0" applyNumberFormat="1" applyFont="1" applyFill="1" applyBorder="1"/>
    <xf numFmtId="168" fontId="9" fillId="0" borderId="8" xfId="0" applyNumberFormat="1" applyFont="1" applyBorder="1"/>
    <xf numFmtId="164" fontId="9" fillId="0" borderId="8" xfId="0" applyNumberFormat="1" applyFont="1" applyBorder="1"/>
    <xf numFmtId="166" fontId="9" fillId="0" borderId="8" xfId="0" applyNumberFormat="1" applyFont="1" applyBorder="1"/>
    <xf numFmtId="1" fontId="9" fillId="0" borderId="8" xfId="0" applyNumberFormat="1" applyFont="1" applyBorder="1" applyAlignment="1">
      <alignment horizontal="left"/>
    </xf>
    <xf numFmtId="0" fontId="8" fillId="0" borderId="2" xfId="0" applyFont="1" applyBorder="1"/>
    <xf numFmtId="1" fontId="33" fillId="3" borderId="2" xfId="0" applyNumberFormat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14" fontId="33" fillId="3" borderId="2" xfId="0" applyNumberFormat="1" applyFont="1" applyFill="1" applyBorder="1" applyAlignment="1">
      <alignment horizontal="center" vertical="center"/>
    </xf>
    <xf numFmtId="49" fontId="33" fillId="3" borderId="2" xfId="0" applyNumberFormat="1" applyFont="1" applyFill="1" applyBorder="1" applyAlignment="1">
      <alignment horizontal="center" vertical="center"/>
    </xf>
    <xf numFmtId="167" fontId="33" fillId="3" borderId="2" xfId="0" applyNumberFormat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left" vertical="top"/>
    </xf>
    <xf numFmtId="164" fontId="33" fillId="3" borderId="2" xfId="0" applyNumberFormat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left" vertical="center"/>
    </xf>
    <xf numFmtId="166" fontId="33" fillId="3" borderId="2" xfId="0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 wrapText="1"/>
    </xf>
    <xf numFmtId="165" fontId="8" fillId="0" borderId="8" xfId="0" applyNumberFormat="1" applyFont="1" applyBorder="1"/>
    <xf numFmtId="167" fontId="8" fillId="0" borderId="8" xfId="0" applyNumberFormat="1" applyFont="1" applyBorder="1"/>
    <xf numFmtId="0" fontId="8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1" fontId="9" fillId="45" borderId="8" xfId="0" applyNumberFormat="1" applyFont="1" applyFill="1" applyBorder="1" applyAlignment="1">
      <alignment horizontal="left"/>
    </xf>
    <xf numFmtId="0" fontId="0" fillId="0" borderId="2" xfId="0" applyBorder="1"/>
    <xf numFmtId="1" fontId="9" fillId="0" borderId="2" xfId="0" applyNumberFormat="1" applyFont="1" applyBorder="1"/>
    <xf numFmtId="0" fontId="9" fillId="0" borderId="2" xfId="0" applyFont="1" applyBorder="1"/>
    <xf numFmtId="0" fontId="32" fillId="47" borderId="2" xfId="0" applyFont="1" applyFill="1" applyBorder="1"/>
    <xf numFmtId="0" fontId="9" fillId="54" borderId="8" xfId="0" applyFont="1" applyFill="1" applyBorder="1"/>
    <xf numFmtId="0" fontId="0" fillId="55" borderId="2" xfId="0" applyFill="1" applyBorder="1"/>
    <xf numFmtId="1" fontId="8" fillId="46" borderId="8" xfId="0" applyNumberFormat="1" applyFont="1" applyFill="1" applyBorder="1"/>
    <xf numFmtId="0" fontId="8" fillId="48" borderId="8" xfId="0" applyFont="1" applyFill="1" applyBorder="1"/>
    <xf numFmtId="9" fontId="9" fillId="0" borderId="2" xfId="0" applyNumberFormat="1" applyFont="1" applyBorder="1"/>
    <xf numFmtId="14" fontId="34" fillId="0" borderId="2" xfId="0" applyNumberFormat="1" applyFont="1" applyBorder="1"/>
    <xf numFmtId="14" fontId="36" fillId="0" borderId="2" xfId="0" applyNumberFormat="1" applyFont="1" applyBorder="1"/>
    <xf numFmtId="0" fontId="8" fillId="0" borderId="2" xfId="0" applyFont="1" applyBorder="1" applyAlignment="1">
      <alignment horizontal="center"/>
    </xf>
    <xf numFmtId="167" fontId="34" fillId="49" borderId="2" xfId="0" applyNumberFormat="1" applyFont="1" applyFill="1" applyBorder="1"/>
    <xf numFmtId="0" fontId="34" fillId="49" borderId="2" xfId="0" applyFont="1" applyFill="1" applyBorder="1" applyAlignment="1">
      <alignment horizontal="left"/>
    </xf>
    <xf numFmtId="0" fontId="9" fillId="54" borderId="2" xfId="0" applyFont="1" applyFill="1" applyBorder="1"/>
    <xf numFmtId="0" fontId="36" fillId="0" borderId="8" xfId="0" applyFont="1" applyBorder="1"/>
    <xf numFmtId="0" fontId="9" fillId="0" borderId="2" xfId="127" applyNumberFormat="1" applyFont="1" applyBorder="1"/>
    <xf numFmtId="169" fontId="9" fillId="0" borderId="8" xfId="0" applyNumberFormat="1" applyFont="1" applyBorder="1"/>
    <xf numFmtId="0" fontId="9" fillId="0" borderId="8" xfId="0" applyFont="1" applyBorder="1" applyAlignment="1">
      <alignment horizontal="right"/>
    </xf>
    <xf numFmtId="0" fontId="9" fillId="0" borderId="8" xfId="127" applyNumberFormat="1" applyFont="1" applyBorder="1"/>
    <xf numFmtId="0" fontId="9" fillId="0" borderId="0" xfId="0" applyFont="1"/>
    <xf numFmtId="168" fontId="9" fillId="0" borderId="2" xfId="0" applyNumberFormat="1" applyFont="1" applyBorder="1"/>
    <xf numFmtId="164" fontId="9" fillId="0" borderId="2" xfId="0" applyNumberFormat="1" applyFont="1" applyBorder="1"/>
    <xf numFmtId="0" fontId="34" fillId="0" borderId="8" xfId="0" applyFont="1" applyBorder="1" applyAlignment="1">
      <alignment horizontal="center"/>
    </xf>
    <xf numFmtId="0" fontId="8" fillId="56" borderId="8" xfId="0" applyFont="1" applyFill="1" applyBorder="1"/>
    <xf numFmtId="0" fontId="9" fillId="56" borderId="8" xfId="0" applyFont="1" applyFill="1" applyBorder="1"/>
    <xf numFmtId="0" fontId="9" fillId="53" borderId="8" xfId="0" applyFont="1" applyFill="1" applyBorder="1"/>
    <xf numFmtId="0" fontId="8" fillId="51" borderId="8" xfId="0" applyFont="1" applyFill="1" applyBorder="1"/>
    <xf numFmtId="0" fontId="9" fillId="50" borderId="8" xfId="0" applyFont="1" applyFill="1" applyBorder="1"/>
    <xf numFmtId="0" fontId="8" fillId="54" borderId="8" xfId="0" applyFont="1" applyFill="1" applyBorder="1"/>
    <xf numFmtId="167" fontId="36" fillId="0" borderId="8" xfId="0" applyNumberFormat="1" applyFont="1" applyBorder="1"/>
    <xf numFmtId="2" fontId="39" fillId="46" borderId="8" xfId="0" applyNumberFormat="1" applyFont="1" applyFill="1" applyBorder="1"/>
    <xf numFmtId="0" fontId="8" fillId="58" borderId="8" xfId="0" applyFont="1" applyFill="1" applyBorder="1"/>
    <xf numFmtId="0" fontId="9" fillId="0" borderId="8" xfId="127" applyFont="1" applyBorder="1"/>
    <xf numFmtId="1" fontId="9" fillId="52" borderId="8" xfId="0" applyNumberFormat="1" applyFont="1" applyFill="1" applyBorder="1" applyAlignment="1">
      <alignment horizontal="left"/>
    </xf>
    <xf numFmtId="170" fontId="9" fillId="0" borderId="8" xfId="0" applyNumberFormat="1" applyFont="1" applyBorder="1"/>
    <xf numFmtId="49" fontId="9" fillId="0" borderId="8" xfId="0" applyNumberFormat="1" applyFont="1" applyBorder="1" applyAlignment="1">
      <alignment horizontal="center" vertical="center"/>
    </xf>
    <xf numFmtId="14" fontId="34" fillId="0" borderId="8" xfId="0" applyNumberFormat="1" applyFont="1" applyBorder="1"/>
    <xf numFmtId="167" fontId="34" fillId="49" borderId="8" xfId="0" applyNumberFormat="1" applyFont="1" applyFill="1" applyBorder="1"/>
    <xf numFmtId="170" fontId="34" fillId="49" borderId="8" xfId="0" applyNumberFormat="1" applyFont="1" applyFill="1" applyBorder="1" applyAlignment="1">
      <alignment horizontal="center" vertical="center"/>
    </xf>
    <xf numFmtId="49" fontId="34" fillId="49" borderId="8" xfId="0" applyNumberFormat="1" applyFont="1" applyFill="1" applyBorder="1" applyAlignment="1">
      <alignment horizontal="center" vertical="center"/>
    </xf>
    <xf numFmtId="0" fontId="34" fillId="49" borderId="8" xfId="0" applyFont="1" applyFill="1" applyBorder="1"/>
    <xf numFmtId="167" fontId="36" fillId="49" borderId="8" xfId="0" applyNumberFormat="1" applyFont="1" applyFill="1" applyBorder="1"/>
    <xf numFmtId="0" fontId="40" fillId="0" borderId="8" xfId="0" applyFont="1" applyBorder="1" applyAlignment="1">
      <alignment horizontal="right"/>
    </xf>
    <xf numFmtId="0" fontId="34" fillId="49" borderId="8" xfId="0" applyFont="1" applyFill="1" applyBorder="1" applyAlignment="1">
      <alignment horizontal="left"/>
    </xf>
    <xf numFmtId="0" fontId="9" fillId="57" borderId="8" xfId="0" applyFont="1" applyFill="1" applyBorder="1" applyAlignment="1">
      <alignment horizontal="left"/>
    </xf>
    <xf numFmtId="171" fontId="32" fillId="59" borderId="2" xfId="0" applyNumberFormat="1" applyFont="1" applyFill="1" applyBorder="1"/>
    <xf numFmtId="171" fontId="9" fillId="0" borderId="8" xfId="0" applyNumberFormat="1" applyFont="1" applyBorder="1"/>
    <xf numFmtId="0" fontId="8" fillId="45" borderId="8" xfId="0" applyFont="1" applyFill="1" applyBorder="1" applyAlignment="1">
      <alignment horizontal="center"/>
    </xf>
    <xf numFmtId="0" fontId="9" fillId="55" borderId="8" xfId="0" applyFont="1" applyFill="1" applyBorder="1" applyAlignment="1">
      <alignment horizontal="left"/>
    </xf>
    <xf numFmtId="14" fontId="37" fillId="0" borderId="8" xfId="0" applyNumberFormat="1" applyFont="1" applyBorder="1"/>
    <xf numFmtId="171" fontId="8" fillId="57" borderId="8" xfId="0" applyNumberFormat="1" applyFont="1" applyFill="1" applyBorder="1"/>
    <xf numFmtId="171" fontId="9" fillId="57" borderId="8" xfId="0" applyNumberFormat="1" applyFont="1" applyFill="1" applyBorder="1"/>
    <xf numFmtId="0" fontId="9" fillId="60" borderId="8" xfId="0" applyFont="1" applyFill="1" applyBorder="1"/>
    <xf numFmtId="0" fontId="34" fillId="49" borderId="0" xfId="0" applyFont="1" applyFill="1" applyAlignment="1">
      <alignment horizontal="left"/>
    </xf>
    <xf numFmtId="170" fontId="8" fillId="0" borderId="8" xfId="0" applyNumberFormat="1" applyFont="1" applyBorder="1"/>
    <xf numFmtId="49" fontId="8" fillId="0" borderId="8" xfId="0" applyNumberFormat="1" applyFont="1" applyBorder="1" applyAlignment="1">
      <alignment horizontal="center" vertical="center"/>
    </xf>
    <xf numFmtId="167" fontId="37" fillId="49" borderId="8" xfId="0" applyNumberFormat="1" applyFont="1" applyFill="1" applyBorder="1"/>
    <xf numFmtId="0" fontId="37" fillId="49" borderId="2" xfId="0" applyFont="1" applyFill="1" applyBorder="1"/>
    <xf numFmtId="0" fontId="40" fillId="61" borderId="8" xfId="0" applyFont="1" applyFill="1" applyBorder="1" applyAlignment="1">
      <alignment horizontal="right"/>
    </xf>
    <xf numFmtId="0" fontId="9" fillId="0" borderId="14" xfId="0" applyFont="1" applyBorder="1"/>
    <xf numFmtId="171" fontId="8" fillId="0" borderId="8" xfId="0" applyNumberFormat="1" applyFont="1" applyBorder="1"/>
    <xf numFmtId="167" fontId="34" fillId="50" borderId="8" xfId="0" applyNumberFormat="1" applyFont="1" applyFill="1" applyBorder="1"/>
    <xf numFmtId="171" fontId="32" fillId="59" borderId="8" xfId="0" applyNumberFormat="1" applyFont="1" applyFill="1" applyBorder="1"/>
    <xf numFmtId="170" fontId="9" fillId="0" borderId="2" xfId="0" applyNumberFormat="1" applyFont="1" applyBorder="1"/>
    <xf numFmtId="49" fontId="9" fillId="0" borderId="2" xfId="0" applyNumberFormat="1" applyFont="1" applyBorder="1" applyAlignment="1">
      <alignment horizontal="center" vertical="center"/>
    </xf>
    <xf numFmtId="170" fontId="34" fillId="49" borderId="2" xfId="0" applyNumberFormat="1" applyFont="1" applyFill="1" applyBorder="1" applyAlignment="1">
      <alignment horizontal="center" vertical="center"/>
    </xf>
    <xf numFmtId="49" fontId="34" fillId="49" borderId="2" xfId="0" applyNumberFormat="1" applyFont="1" applyFill="1" applyBorder="1" applyAlignment="1">
      <alignment horizontal="center" vertical="center"/>
    </xf>
    <xf numFmtId="0" fontId="34" fillId="49" borderId="2" xfId="0" applyFont="1" applyFill="1" applyBorder="1"/>
    <xf numFmtId="0" fontId="40" fillId="0" borderId="2" xfId="0" applyFont="1" applyBorder="1" applyAlignment="1">
      <alignment horizontal="right"/>
    </xf>
    <xf numFmtId="171" fontId="8" fillId="57" borderId="2" xfId="0" applyNumberFormat="1" applyFont="1" applyFill="1" applyBorder="1"/>
    <xf numFmtId="171" fontId="9" fillId="0" borderId="2" xfId="0" applyNumberFormat="1" applyFont="1" applyBorder="1"/>
    <xf numFmtId="0" fontId="9" fillId="52" borderId="2" xfId="0" applyFont="1" applyFill="1" applyBorder="1"/>
    <xf numFmtId="171" fontId="9" fillId="57" borderId="2" xfId="0" applyNumberFormat="1" applyFont="1" applyFill="1" applyBorder="1"/>
    <xf numFmtId="170" fontId="8" fillId="0" borderId="2" xfId="0" applyNumberFormat="1" applyFont="1" applyBorder="1"/>
    <xf numFmtId="49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20" fontId="0" fillId="0" borderId="2" xfId="0" applyNumberFormat="1" applyBorder="1"/>
    <xf numFmtId="171" fontId="8" fillId="0" borderId="2" xfId="0" applyNumberFormat="1" applyFont="1" applyBorder="1"/>
    <xf numFmtId="167" fontId="39" fillId="49" borderId="2" xfId="0" applyNumberFormat="1" applyFont="1" applyFill="1" applyBorder="1"/>
    <xf numFmtId="167" fontId="36" fillId="49" borderId="2" xfId="0" applyNumberFormat="1" applyFont="1" applyFill="1" applyBorder="1"/>
    <xf numFmtId="0" fontId="41" fillId="0" borderId="8" xfId="0" applyFont="1" applyBorder="1" applyAlignment="1">
      <alignment horizontal="right"/>
    </xf>
    <xf numFmtId="0" fontId="9" fillId="0" borderId="8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29" fillId="0" borderId="8" xfId="127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" fontId="9" fillId="0" borderId="8" xfId="0" applyNumberFormat="1" applyFont="1" applyBorder="1" applyAlignment="1">
      <alignment horizontal="left" vertical="top"/>
    </xf>
    <xf numFmtId="9" fontId="9" fillId="0" borderId="8" xfId="0" applyNumberFormat="1" applyFont="1" applyBorder="1"/>
    <xf numFmtId="0" fontId="32" fillId="47" borderId="8" xfId="0" applyFont="1" applyFill="1" applyBorder="1"/>
    <xf numFmtId="0" fontId="8" fillId="0" borderId="0" xfId="0" applyFont="1" applyAlignment="1">
      <alignment horizontal="right"/>
    </xf>
    <xf numFmtId="0" fontId="9" fillId="0" borderId="2" xfId="0" applyFont="1" applyBorder="1" applyAlignment="1">
      <alignment horizontal="right"/>
    </xf>
    <xf numFmtId="14" fontId="39" fillId="0" borderId="2" xfId="0" applyNumberFormat="1" applyFont="1" applyBorder="1"/>
    <xf numFmtId="0" fontId="37" fillId="49" borderId="8" xfId="0" applyFont="1" applyFill="1" applyBorder="1"/>
    <xf numFmtId="0" fontId="8" fillId="0" borderId="8" xfId="0" applyFont="1" applyBorder="1" applyAlignment="1">
      <alignment horizontal="right"/>
    </xf>
    <xf numFmtId="0" fontId="9" fillId="0" borderId="0" xfId="0" applyFont="1" applyAlignment="1">
      <alignment horizontal="right"/>
    </xf>
    <xf numFmtId="167" fontId="9" fillId="0" borderId="2" xfId="0" applyNumberFormat="1" applyFont="1" applyBorder="1" applyAlignment="1">
      <alignment horizontal="center"/>
    </xf>
    <xf numFmtId="167" fontId="37" fillId="0" borderId="2" xfId="0" applyNumberFormat="1" applyFont="1" applyBorder="1"/>
    <xf numFmtId="0" fontId="8" fillId="52" borderId="8" xfId="0" applyFont="1" applyFill="1" applyBorder="1"/>
    <xf numFmtId="0" fontId="9" fillId="55" borderId="2" xfId="0" applyFont="1" applyFill="1" applyBorder="1" applyAlignment="1">
      <alignment horizontal="left"/>
    </xf>
    <xf numFmtId="0" fontId="9" fillId="62" borderId="2" xfId="0" applyFont="1" applyFill="1" applyBorder="1" applyAlignment="1">
      <alignment horizontal="left"/>
    </xf>
    <xf numFmtId="0" fontId="43" fillId="63" borderId="8" xfId="0" applyFont="1" applyFill="1" applyBorder="1"/>
    <xf numFmtId="1" fontId="39" fillId="46" borderId="8" xfId="0" applyNumberFormat="1" applyFont="1" applyFill="1" applyBorder="1"/>
    <xf numFmtId="1" fontId="9" fillId="54" borderId="8" xfId="0" applyNumberFormat="1" applyFont="1" applyFill="1" applyBorder="1" applyAlignment="1">
      <alignment horizontal="left"/>
    </xf>
    <xf numFmtId="167" fontId="37" fillId="0" borderId="2" xfId="0" applyNumberFormat="1" applyFont="1" applyBorder="1" applyAlignment="1">
      <alignment horizontal="center"/>
    </xf>
    <xf numFmtId="0" fontId="8" fillId="54" borderId="2" xfId="0" applyFont="1" applyFill="1" applyBorder="1"/>
    <xf numFmtId="0" fontId="29" fillId="0" borderId="0" xfId="127"/>
    <xf numFmtId="0" fontId="9" fillId="46" borderId="8" xfId="0" applyFont="1" applyFill="1" applyBorder="1"/>
    <xf numFmtId="0" fontId="36" fillId="0" borderId="2" xfId="0" applyFont="1" applyBorder="1"/>
    <xf numFmtId="0" fontId="1" fillId="0" borderId="0" xfId="0" applyFont="1"/>
    <xf numFmtId="167" fontId="37" fillId="0" borderId="8" xfId="0" applyNumberFormat="1" applyFont="1" applyBorder="1" applyAlignment="1">
      <alignment horizontal="center"/>
    </xf>
    <xf numFmtId="0" fontId="9" fillId="50" borderId="2" xfId="0" applyFont="1" applyFill="1" applyBorder="1"/>
    <xf numFmtId="0" fontId="8" fillId="55" borderId="2" xfId="0" applyFont="1" applyFill="1" applyBorder="1"/>
    <xf numFmtId="0" fontId="34" fillId="0" borderId="8" xfId="0" applyFont="1" applyBorder="1"/>
    <xf numFmtId="0" fontId="44" fillId="64" borderId="8" xfId="0" applyFont="1" applyFill="1" applyBorder="1"/>
    <xf numFmtId="0" fontId="9" fillId="45" borderId="2" xfId="0" applyFont="1" applyFill="1" applyBorder="1" applyAlignment="1">
      <alignment horizontal="center"/>
    </xf>
    <xf numFmtId="167" fontId="9" fillId="0" borderId="8" xfId="0" applyNumberFormat="1" applyFont="1" applyBorder="1" applyAlignment="1">
      <alignment horizontal="left"/>
    </xf>
    <xf numFmtId="11" fontId="8" fillId="0" borderId="8" xfId="0" applyNumberFormat="1" applyFont="1" applyBorder="1"/>
    <xf numFmtId="0" fontId="28" fillId="45" borderId="8" xfId="0" applyFont="1" applyFill="1" applyBorder="1" applyAlignment="1">
      <alignment horizontal="center"/>
    </xf>
    <xf numFmtId="14" fontId="8" fillId="56" borderId="10" xfId="0" applyNumberFormat="1" applyFont="1" applyFill="1" applyBorder="1"/>
    <xf numFmtId="0" fontId="45" fillId="0" borderId="8" xfId="0" applyFont="1" applyBorder="1"/>
    <xf numFmtId="171" fontId="45" fillId="0" borderId="8" xfId="0" applyNumberFormat="1" applyFont="1" applyBorder="1"/>
    <xf numFmtId="1" fontId="45" fillId="0" borderId="8" xfId="0" applyNumberFormat="1" applyFont="1" applyBorder="1" applyAlignment="1">
      <alignment horizontal="left" vertical="top"/>
    </xf>
    <xf numFmtId="0" fontId="45" fillId="0" borderId="8" xfId="0" applyFont="1" applyBorder="1" applyAlignment="1">
      <alignment horizontal="right"/>
    </xf>
    <xf numFmtId="0" fontId="45" fillId="0" borderId="8" xfId="0" applyFont="1" applyBorder="1" applyAlignment="1">
      <alignment horizontal="center" vertical="center"/>
    </xf>
    <xf numFmtId="1" fontId="45" fillId="0" borderId="8" xfId="0" applyNumberFormat="1" applyFont="1" applyBorder="1"/>
    <xf numFmtId="171" fontId="46" fillId="59" borderId="8" xfId="0" applyNumberFormat="1" applyFont="1" applyFill="1" applyBorder="1"/>
    <xf numFmtId="9" fontId="45" fillId="0" borderId="8" xfId="0" applyNumberFormat="1" applyFont="1" applyBorder="1"/>
    <xf numFmtId="0" fontId="46" fillId="47" borderId="8" xfId="0" applyFont="1" applyFill="1" applyBorder="1"/>
    <xf numFmtId="0" fontId="45" fillId="45" borderId="8" xfId="0" applyFont="1" applyFill="1" applyBorder="1" applyAlignment="1">
      <alignment horizontal="center"/>
    </xf>
    <xf numFmtId="0" fontId="45" fillId="45" borderId="8" xfId="0" applyFont="1" applyFill="1" applyBorder="1"/>
    <xf numFmtId="167" fontId="34" fillId="0" borderId="8" xfId="0" applyNumberFormat="1" applyFont="1" applyBorder="1"/>
    <xf numFmtId="0" fontId="9" fillId="52" borderId="8" xfId="0" applyFont="1" applyFill="1" applyBorder="1"/>
    <xf numFmtId="2" fontId="8" fillId="50" borderId="8" xfId="0" applyNumberFormat="1" applyFont="1" applyFill="1" applyBorder="1"/>
    <xf numFmtId="0" fontId="9" fillId="64" borderId="8" xfId="0" applyFont="1" applyFill="1" applyBorder="1"/>
    <xf numFmtId="0" fontId="36" fillId="45" borderId="2" xfId="0" applyFont="1" applyFill="1" applyBorder="1" applyAlignment="1">
      <alignment horizontal="center"/>
    </xf>
    <xf numFmtId="0" fontId="8" fillId="54" borderId="8" xfId="0" applyFont="1" applyFill="1" applyBorder="1" applyAlignment="1">
      <alignment horizontal="left"/>
    </xf>
    <xf numFmtId="14" fontId="36" fillId="0" borderId="8" xfId="0" applyNumberFormat="1" applyFont="1" applyBorder="1"/>
    <xf numFmtId="169" fontId="45" fillId="0" borderId="8" xfId="0" applyNumberFormat="1" applyFont="1" applyBorder="1"/>
    <xf numFmtId="49" fontId="45" fillId="0" borderId="8" xfId="0" applyNumberFormat="1" applyFont="1" applyBorder="1"/>
    <xf numFmtId="165" fontId="45" fillId="0" borderId="8" xfId="0" applyNumberFormat="1" applyFont="1" applyBorder="1"/>
    <xf numFmtId="167" fontId="45" fillId="0" borderId="8" xfId="0" applyNumberFormat="1" applyFont="1" applyBorder="1"/>
    <xf numFmtId="166" fontId="46" fillId="47" borderId="8" xfId="0" applyNumberFormat="1" applyFont="1" applyFill="1" applyBorder="1"/>
    <xf numFmtId="168" fontId="45" fillId="0" borderId="8" xfId="0" applyNumberFormat="1" applyFont="1" applyBorder="1"/>
    <xf numFmtId="164" fontId="45" fillId="0" borderId="8" xfId="0" applyNumberFormat="1" applyFont="1" applyBorder="1"/>
    <xf numFmtId="166" fontId="45" fillId="0" borderId="8" xfId="0" applyNumberFormat="1" applyFont="1" applyBorder="1"/>
    <xf numFmtId="167" fontId="45" fillId="54" borderId="8" xfId="0" applyNumberFormat="1" applyFont="1" applyFill="1" applyBorder="1" applyAlignment="1">
      <alignment horizontal="left"/>
    </xf>
    <xf numFmtId="1" fontId="8" fillId="45" borderId="8" xfId="0" applyNumberFormat="1" applyFont="1" applyFill="1" applyBorder="1" applyAlignment="1">
      <alignment horizontal="left"/>
    </xf>
    <xf numFmtId="0" fontId="9" fillId="54" borderId="8" xfId="0" applyFont="1" applyFill="1" applyBorder="1" applyAlignment="1">
      <alignment horizontal="center"/>
    </xf>
  </cellXfs>
  <cellStyles count="128">
    <cellStyle name="1991-" xfId="92" xr:uid="{95B6DED8-ADAC-46B3-B028-7EE9E8D7902E}"/>
    <cellStyle name="Accent1 - 20%" xfId="7" xr:uid="{00000000-0005-0000-0000-000000000000}"/>
    <cellStyle name="Accent1 - 40%" xfId="8" xr:uid="{00000000-0005-0000-0000-000001000000}"/>
    <cellStyle name="Accent1 - 60%" xfId="9" xr:uid="{00000000-0005-0000-0000-000002000000}"/>
    <cellStyle name="Accent2 - 20%" xfId="10" xr:uid="{00000000-0005-0000-0000-000003000000}"/>
    <cellStyle name="Accent2 - 40%" xfId="11" xr:uid="{00000000-0005-0000-0000-000004000000}"/>
    <cellStyle name="Accent2 - 60%" xfId="12" xr:uid="{00000000-0005-0000-0000-000005000000}"/>
    <cellStyle name="Accent3 - 20%" xfId="13" xr:uid="{00000000-0005-0000-0000-000006000000}"/>
    <cellStyle name="Accent3 - 40%" xfId="14" xr:uid="{00000000-0005-0000-0000-000007000000}"/>
    <cellStyle name="Accent3 - 60%" xfId="15" xr:uid="{00000000-0005-0000-0000-000008000000}"/>
    <cellStyle name="Accent4 - 20%" xfId="16" xr:uid="{00000000-0005-0000-0000-000009000000}"/>
    <cellStyle name="Accent4 - 40%" xfId="17" xr:uid="{00000000-0005-0000-0000-00000A000000}"/>
    <cellStyle name="Accent4 - 60%" xfId="18" xr:uid="{00000000-0005-0000-0000-00000B000000}"/>
    <cellStyle name="Accent5 - 20%" xfId="19" xr:uid="{00000000-0005-0000-0000-00000C000000}"/>
    <cellStyle name="Accent5 - 40%" xfId="20" xr:uid="{00000000-0005-0000-0000-00000D000000}"/>
    <cellStyle name="Accent5 - 60%" xfId="21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Currency 5" xfId="109" xr:uid="{195D37A7-21CF-4A3C-9358-78C3857F18DC}"/>
    <cellStyle name="Currency 5 2" xfId="110" xr:uid="{F0CAFC69-8A63-46BC-A801-76343A835F7F}"/>
    <cellStyle name="Currency 5 2 2" xfId="111" xr:uid="{602CCBC6-278E-4C51-B05C-3323DA5950A3}"/>
    <cellStyle name="Currency 5 2 2 2" xfId="112" xr:uid="{6042D824-CA2B-4AF6-A306-B7AF6ABD3283}"/>
    <cellStyle name="Currency 5 2 2 2 2" xfId="113" xr:uid="{C45640F6-67DF-4166-9104-FB12522142CC}"/>
    <cellStyle name="Currency 5 2 2 3" xfId="114" xr:uid="{F65C7579-E71A-41FF-A2DE-117BA46ABFB6}"/>
    <cellStyle name="Currency 5 2 3" xfId="115" xr:uid="{BCD8CC45-5E74-4DE4-99A0-3639E1A125BA}"/>
    <cellStyle name="Currency 5 2 3 2" xfId="116" xr:uid="{A2AE4908-659F-4F31-8ECE-B145D2391ABE}"/>
    <cellStyle name="Currency 5 2 4" xfId="117" xr:uid="{88F5D78E-6202-498A-8C84-04AA6892BBDA}"/>
    <cellStyle name="Currency 5 3" xfId="118" xr:uid="{2A1E9B26-E5B4-448D-83C7-CBE3D583B5D2}"/>
    <cellStyle name="Currency 5 3 2" xfId="119" xr:uid="{BC516FF7-053C-4008-A4BB-0B244809A6A7}"/>
    <cellStyle name="Currency 5 3 2 2" xfId="120" xr:uid="{B572C014-EF0B-4BF6-A2E7-4407F94A44C7}"/>
    <cellStyle name="Currency 5 3 3" xfId="121" xr:uid="{04FFFE02-D7D9-44B5-832A-8409453BEC80}"/>
    <cellStyle name="Currency 5 4" xfId="122" xr:uid="{7EBA390D-A402-4C7B-83F9-099E35C13372}"/>
    <cellStyle name="Currency 5 4 2" xfId="123" xr:uid="{5CCCB4B6-002F-4A6E-A532-71E3926F8ED5}"/>
    <cellStyle name="Currency 5 5" xfId="124" xr:uid="{4789087D-73DC-4DB8-97DD-350700D2CFBE}"/>
    <cellStyle name="Excel Built-in Excel Built-in Excel Built-in Excel Built-in Excel Built-in Excel Built-in Excel Built-in Excel Built-in Excel Built-in Excel Built-in Excel Built-in Excel Built-in Excel Built-in Excel Built-in Exc" xfId="89" xr:uid="{00000000-0005-0000-0000-000012000000}"/>
    <cellStyle name="Hyperlink" xfId="127" xr:uid="{00000000-000B-0000-0000-000008000000}"/>
    <cellStyle name="Neutral 2" xfId="76" xr:uid="{00000000-0005-0000-0000-000013000000}"/>
    <cellStyle name="Normal 10" xfId="126" xr:uid="{B8511542-A865-4877-9F2A-EC70B5365368}"/>
    <cellStyle name="Normal 114" xfId="69" xr:uid="{00000000-0005-0000-0000-000014000000}"/>
    <cellStyle name="Normal 2" xfId="1" xr:uid="{00000000-0005-0000-0000-000015000000}"/>
    <cellStyle name="Normal 2 10 2" xfId="90" xr:uid="{00000000-0005-0000-0000-000016000000}"/>
    <cellStyle name="Normal 2 2" xfId="88" xr:uid="{00000000-0005-0000-0000-000017000000}"/>
    <cellStyle name="Normal 2 2 2" xfId="94" xr:uid="{A870DFB8-25BF-4B94-ACAC-A2B447195170}"/>
    <cellStyle name="Normal 2 3" xfId="95" xr:uid="{59607E9B-0607-44F8-A5DB-3929613A8281}"/>
    <cellStyle name="Normal 3" xfId="3" xr:uid="{00000000-0005-0000-0000-000018000000}"/>
    <cellStyle name="Normal 3 2" xfId="5" xr:uid="{00000000-0005-0000-0000-000019000000}"/>
    <cellStyle name="Normal 3 2 2" xfId="78" xr:uid="{00000000-0005-0000-0000-00001A000000}"/>
    <cellStyle name="Normal 3 2 2 2" xfId="106" xr:uid="{3D23FFC6-9B54-499F-9C2A-E4ADBB50B096}"/>
    <cellStyle name="Normal 3 2 2 3" xfId="100" xr:uid="{EEB31275-2B22-4A3F-A6AE-A6A809D097AD}"/>
    <cellStyle name="Normal 3 2 3" xfId="103" xr:uid="{0CF69A5B-039B-4F4A-8327-B9A7F4B1A1B3}"/>
    <cellStyle name="Normal 3 2 4" xfId="97" xr:uid="{B5F83B3F-BEBA-420E-A61A-AE2D850AE51E}"/>
    <cellStyle name="Normal 4" xfId="25" xr:uid="{00000000-0005-0000-0000-00001B000000}"/>
    <cellStyle name="Normal 4 2" xfId="79" xr:uid="{00000000-0005-0000-0000-00001C000000}"/>
    <cellStyle name="Normal 4 2 2" xfId="107" xr:uid="{F4D404BC-4A46-4E44-B6F1-2A101A38CE7F}"/>
    <cellStyle name="Normal 4 2 3" xfId="101" xr:uid="{27F17FA3-14D4-474E-960D-016A8E033EA6}"/>
    <cellStyle name="Normal 4 3" xfId="104" xr:uid="{49BE9118-4671-471C-A583-837BE4B34011}"/>
    <cellStyle name="Normal 4 4" xfId="98" xr:uid="{E6D5FB40-F956-4357-AC8B-1497FA32C985}"/>
    <cellStyle name="Normal 5" xfId="70" xr:uid="{00000000-0005-0000-0000-00001D000000}"/>
    <cellStyle name="Normal 5 2" xfId="81" xr:uid="{00000000-0005-0000-0000-00001E000000}"/>
    <cellStyle name="Normal 5 3" xfId="93" xr:uid="{DEC38C79-BE3D-4AFF-BF4B-AD16A53AF95D}"/>
    <cellStyle name="Normal 6" xfId="71" xr:uid="{00000000-0005-0000-0000-00001F000000}"/>
    <cellStyle name="Normal 6 2" xfId="82" xr:uid="{00000000-0005-0000-0000-000020000000}"/>
    <cellStyle name="Normal 7" xfId="72" xr:uid="{00000000-0005-0000-0000-000021000000}"/>
    <cellStyle name="Normal 8" xfId="73" xr:uid="{00000000-0005-0000-0000-000022000000}"/>
    <cellStyle name="Normal 8 2" xfId="83" xr:uid="{00000000-0005-0000-0000-000023000000}"/>
    <cellStyle name="Normal 9" xfId="77" xr:uid="{00000000-0005-0000-0000-000024000000}"/>
    <cellStyle name="Normal 9 2" xfId="85" xr:uid="{00000000-0005-0000-0000-000025000000}"/>
    <cellStyle name="Normálna" xfId="0" builtinId="0"/>
    <cellStyle name="normálne 2" xfId="6" xr:uid="{00000000-0005-0000-0000-000027000000}"/>
    <cellStyle name="normálne 2 2" xfId="91" xr:uid="{00000000-0005-0000-0000-000028000000}"/>
    <cellStyle name="Note 2" xfId="75" xr:uid="{00000000-0005-0000-0000-000029000000}"/>
    <cellStyle name="Note 2 2" xfId="84" xr:uid="{00000000-0005-0000-0000-00002A000000}"/>
    <cellStyle name="Percent 2" xfId="4" xr:uid="{00000000-0005-0000-0000-00002B000000}"/>
    <cellStyle name="Percent 3" xfId="26" xr:uid="{00000000-0005-0000-0000-00002C000000}"/>
    <cellStyle name="Percent 3 2" xfId="80" xr:uid="{00000000-0005-0000-0000-00002D000000}"/>
    <cellStyle name="Percent 3 2 2" xfId="108" xr:uid="{28DABB1D-57B1-401F-8E42-7D87B7112BA6}"/>
    <cellStyle name="Percent 3 2 3" xfId="102" xr:uid="{0D5AF0F9-ABBB-4F70-B7B4-413EA0B823C6}"/>
    <cellStyle name="Percent 3 3" xfId="105" xr:uid="{D9315D14-CBAC-4216-A157-EFD68F3924DE}"/>
    <cellStyle name="Percent 3 4" xfId="99" xr:uid="{A743383C-F12F-4120-9537-7EA26825A02E}"/>
    <cellStyle name="Percent 4" xfId="96" xr:uid="{E78090DE-C5BA-4643-AE7B-65A43E713E6E}"/>
    <cellStyle name="Percentá" xfId="86" builtinId="5"/>
    <cellStyle name="Percentá 2" xfId="125" xr:uid="{B3AE51FD-07DF-4811-91A6-1D6589A4A353}"/>
    <cellStyle name="SAPBEXaggData" xfId="27" xr:uid="{00000000-0005-0000-0000-00002F000000}"/>
    <cellStyle name="SAPBEXaggDataEmph" xfId="28" xr:uid="{00000000-0005-0000-0000-000030000000}"/>
    <cellStyle name="SAPBEXaggItem" xfId="29" xr:uid="{00000000-0005-0000-0000-000031000000}"/>
    <cellStyle name="SAPBEXaggItemX" xfId="30" xr:uid="{00000000-0005-0000-0000-000032000000}"/>
    <cellStyle name="SAPBEXexcBad7" xfId="31" xr:uid="{00000000-0005-0000-0000-000033000000}"/>
    <cellStyle name="SAPBEXexcBad8" xfId="32" xr:uid="{00000000-0005-0000-0000-000034000000}"/>
    <cellStyle name="SAPBEXexcBad9" xfId="33" xr:uid="{00000000-0005-0000-0000-000035000000}"/>
    <cellStyle name="SAPBEXexcCritical4" xfId="34" xr:uid="{00000000-0005-0000-0000-000036000000}"/>
    <cellStyle name="SAPBEXexcCritical5" xfId="35" xr:uid="{00000000-0005-0000-0000-000037000000}"/>
    <cellStyle name="SAPBEXexcCritical6" xfId="36" xr:uid="{00000000-0005-0000-0000-000038000000}"/>
    <cellStyle name="SAPBEXexcGood1" xfId="37" xr:uid="{00000000-0005-0000-0000-000039000000}"/>
    <cellStyle name="SAPBEXexcGood2" xfId="38" xr:uid="{00000000-0005-0000-0000-00003A000000}"/>
    <cellStyle name="SAPBEXexcGood3" xfId="39" xr:uid="{00000000-0005-0000-0000-00003B000000}"/>
    <cellStyle name="SAPBEXfilterDrill" xfId="40" xr:uid="{00000000-0005-0000-0000-00003C000000}"/>
    <cellStyle name="SAPBEXfilterItem" xfId="41" xr:uid="{00000000-0005-0000-0000-00003D000000}"/>
    <cellStyle name="SAPBEXfilterText" xfId="42" xr:uid="{00000000-0005-0000-0000-00003E000000}"/>
    <cellStyle name="SAPBEXformats" xfId="43" xr:uid="{00000000-0005-0000-0000-00003F000000}"/>
    <cellStyle name="SAPBEXheaderItem" xfId="44" xr:uid="{00000000-0005-0000-0000-000040000000}"/>
    <cellStyle name="SAPBEXheaderText" xfId="45" xr:uid="{00000000-0005-0000-0000-000041000000}"/>
    <cellStyle name="SAPBEXHLevel0" xfId="46" xr:uid="{00000000-0005-0000-0000-000042000000}"/>
    <cellStyle name="SAPBEXHLevel0X" xfId="47" xr:uid="{00000000-0005-0000-0000-000043000000}"/>
    <cellStyle name="SAPBEXHLevel1" xfId="48" xr:uid="{00000000-0005-0000-0000-000044000000}"/>
    <cellStyle name="SAPBEXHLevel1X" xfId="49" xr:uid="{00000000-0005-0000-0000-000045000000}"/>
    <cellStyle name="SAPBEXHLevel2" xfId="50" xr:uid="{00000000-0005-0000-0000-000046000000}"/>
    <cellStyle name="SAPBEXHLevel2X" xfId="51" xr:uid="{00000000-0005-0000-0000-000047000000}"/>
    <cellStyle name="SAPBEXHLevel3" xfId="52" xr:uid="{00000000-0005-0000-0000-000048000000}"/>
    <cellStyle name="SAPBEXHLevel3X" xfId="53" xr:uid="{00000000-0005-0000-0000-000049000000}"/>
    <cellStyle name="SAPBEXchaText" xfId="2" xr:uid="{00000000-0005-0000-0000-00004A000000}"/>
    <cellStyle name="SAPBEXinputData" xfId="54" xr:uid="{00000000-0005-0000-0000-00004B000000}"/>
    <cellStyle name="SAPBEXItemHeader" xfId="55" xr:uid="{00000000-0005-0000-0000-00004C000000}"/>
    <cellStyle name="SAPBEXresData" xfId="56" xr:uid="{00000000-0005-0000-0000-00004D000000}"/>
    <cellStyle name="SAPBEXresDataEmph" xfId="57" xr:uid="{00000000-0005-0000-0000-00004E000000}"/>
    <cellStyle name="SAPBEXresItem" xfId="58" xr:uid="{00000000-0005-0000-0000-00004F000000}"/>
    <cellStyle name="SAPBEXresItemX" xfId="59" xr:uid="{00000000-0005-0000-0000-000050000000}"/>
    <cellStyle name="SAPBEXstdData" xfId="60" xr:uid="{00000000-0005-0000-0000-000051000000}"/>
    <cellStyle name="SAPBEXstdDataEmph" xfId="61" xr:uid="{00000000-0005-0000-0000-000052000000}"/>
    <cellStyle name="SAPBEXstdItem" xfId="62" xr:uid="{00000000-0005-0000-0000-000053000000}"/>
    <cellStyle name="SAPBEXstdItemX" xfId="63" xr:uid="{00000000-0005-0000-0000-000054000000}"/>
    <cellStyle name="SAPBEXtitle" xfId="64" xr:uid="{00000000-0005-0000-0000-000055000000}"/>
    <cellStyle name="SAPBEXunassignedItem" xfId="65" xr:uid="{00000000-0005-0000-0000-000056000000}"/>
    <cellStyle name="SAPBEXundefined" xfId="66" xr:uid="{00000000-0005-0000-0000-000057000000}"/>
    <cellStyle name="Sheet Title" xfId="67" xr:uid="{00000000-0005-0000-0000-000058000000}"/>
    <cellStyle name="Style 1" xfId="68" xr:uid="{00000000-0005-0000-0000-000059000000}"/>
    <cellStyle name="TableStyleLight1" xfId="87" xr:uid="{00000000-0005-0000-0000-00005A000000}"/>
    <cellStyle name="Title 2" xfId="74" xr:uid="{00000000-0005-0000-0000-00005B000000}"/>
  </cellStyles>
  <dxfs count="2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0.000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&quot; &quot;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&quot; &quot;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[$-F400]h:mm:ss\ AM/PM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7" formatCode="[$-F400]h:mm:ss\ AM/PM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9" formatCode="d/m/yyyy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9" formatCode="d/m/yyyy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9" formatCode="d/m/yyyy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family val="2"/>
        <charset val="238"/>
        <scheme val="minor"/>
      </font>
      <numFmt numFmtId="166" formatCode="0.000"/>
      <fill>
        <patternFill patternType="solid">
          <fgColor indexed="64"/>
          <bgColor rgb="FF0070C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&quot; &quot;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_-* #,##0.00\ [$€-1]_-;\-* #,##0.00\ [$€-1]_-;_-* &quot;-&quot;??\ [$€-1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71" formatCode="_-* #,##0.00\ [$€-1]_-;\-* #,##0.00\ [$€-1]_-;_-* &quot;-&quot;??\ [$€-1]_-;_-@_-"/>
      <fill>
        <patternFill patternType="solid">
          <fgColor rgb="FF000000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67" formatCode="[$-F400]h:mm:ss\ AM/PM"/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numFmt numFmtId="167" formatCode="[$-F400]h:mm:ss\ AM/PM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70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[$-F400]h:mm:ss\ AM/PM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0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none">
          <fgColor indexed="64"/>
          <bgColor rgb="FF0070C0"/>
        </patternFill>
      </fill>
    </dxf>
    <dxf>
      <font>
        <b/>
        <i val="0"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FFFF00"/>
      </font>
      <fill>
        <patternFill>
          <bgColor theme="3"/>
        </patternFill>
      </fill>
    </dxf>
  </dxfs>
  <tableStyles count="2" defaultTableStyle="TableStyleMedium9" defaultPivotStyle="PivotStyleLight16">
    <tableStyle name="Table Style 1" pivot="0" count="1" xr9:uid="{00000000-0011-0000-FFFF-FFFF00000000}">
      <tableStyleElement type="headerRow" dxfId="209"/>
    </tableStyle>
    <tableStyle name="Table Style 2" pivot="0" count="1" xr9:uid="{AF845783-6EB0-4208-BEBD-E031E3282B22}">
      <tableStyleElement type="wholeTable" dxfId="208"/>
    </tableStyle>
  </tableStyles>
  <colors>
    <mruColors>
      <color rgb="FFF4A6B1"/>
      <color rgb="FFFCFDF9"/>
      <color rgb="FFDDDDDD"/>
      <color rgb="FFFF66FF"/>
      <color rgb="FFCC66FF"/>
      <color rgb="FFF4F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F001550\Desktop\Loading%2520windows%252016.3.2016%25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F001550\Desktop\Loading%2520windows%2520-%2520denna%2520nahla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árok1"/>
      <sheetName val="Sheet2"/>
      <sheetName val="Sheet3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FE63E2-1D6F-42E2-8D9E-D2EA1EA33527}" name="plachta3434" displayName="plachta3434" ref="A1:AO125" totalsRowShown="0" headerRowDxfId="206" dataDxfId="205" totalsRowDxfId="204">
  <autoFilter ref="A1:AO125" xr:uid="{34AA6E5A-9F81-4000-92BA-4EF621D9EF44}"/>
  <tableColumns count="41">
    <tableColumn id="1" xr3:uid="{5B78415E-A34B-47BE-9F92-83BFEB938B79}" name="WEEK" dataDxfId="203">
      <calculatedColumnFormula>WEEKNUM(plachta3434[[#This Row],[LOADING DATE]],21)</calculatedColumnFormula>
    </tableColumn>
    <tableColumn id="2" xr3:uid="{6E7542BA-C8B0-47DE-AE75-1ECFD01B0C1D}" name="CLIENT" dataDxfId="201" totalsRowDxfId="202"/>
    <tableColumn id="3" xr3:uid="{8C945639-E7FB-4CB2-8840-5A8E1B336EDD}" name="LOADING CTR" dataDxfId="199" totalsRowDxfId="200"/>
    <tableColumn id="4" xr3:uid="{120F5BCC-3CE3-4929-92C5-8034FA49D2B5}" name="LOADING ZIP" dataDxfId="197" totalsRowDxfId="198"/>
    <tableColumn id="5" xr3:uid="{109A05E9-F296-4A50-96B7-2B36E0FC4426}" name="LOADING CITY" dataDxfId="195" totalsRowDxfId="196"/>
    <tableColumn id="6" xr3:uid="{5FC4A44E-3163-4720-9AF0-CCAB3FA8E15E}" name="LOADING DATE" dataDxfId="193" totalsRowDxfId="194"/>
    <tableColumn id="27" xr3:uid="{E9236E22-D8CF-4114-A046-B3534DD79A71}" name="LOADING TIME" dataDxfId="191" totalsRowDxfId="192"/>
    <tableColumn id="7" xr3:uid="{E5ADE4DA-0F2F-4FAB-996C-B283FCC6B081}" name="DELIVERY CTR" dataDxfId="189" totalsRowDxfId="190"/>
    <tableColumn id="8" xr3:uid="{A9E8E605-7D16-4080-AB40-0E834EA170B6}" name="DELIVERY ZIP" dataDxfId="187" totalsRowDxfId="188"/>
    <tableColumn id="9" xr3:uid="{623B5CA1-DF97-4D0F-992C-D9C6CA17DBBE}" name="DELIVERY CITY" dataDxfId="186"/>
    <tableColumn id="10" xr3:uid="{BA270140-9EC4-4F26-9828-DBA0BA2EA51E}" name="DELIVERY DATE" dataDxfId="184" totalsRowDxfId="185"/>
    <tableColumn id="28" xr3:uid="{C38225BA-F2AB-4EE3-89F6-2A95200FDBA4}" name="DELIVERY TIME" dataDxfId="182" totalsRowDxfId="183"/>
    <tableColumn id="29" xr3:uid="{813C149D-F93B-4604-9EF3-367CC6DE94AE}" name="BOOKING REFERENCE" dataDxfId="181"/>
    <tableColumn id="11" xr3:uid="{EF957396-826B-4503-B216-BBD3574BBD3C}" name="TRUCK TYPE" dataDxfId="179" totalsRowDxfId="180"/>
    <tableColumn id="12" xr3:uid="{C092E3E3-EEE0-4986-A66C-C22CB37AC4D7}" name="LTL / FTL" dataDxfId="177" totalsRowDxfId="178"/>
    <tableColumn id="13" xr3:uid="{1690B4E6-13A8-41CD-A07A-1A0B8542CFA5}" name="GROSS WEIGHT [KG]" dataDxfId="175" totalsRowDxfId="176"/>
    <tableColumn id="14" xr3:uid="{1E4D8FC6-21CC-453D-AF1B-748B50B62D9B}" name="TRUCK PLATES" dataDxfId="174"/>
    <tableColumn id="15" xr3:uid="{9FF51C95-6EA0-4199-B228-7F690EBEE3D7}" name="CARRIER" dataDxfId="172" totalsRowDxfId="173"/>
    <tableColumn id="16" xr3:uid="{E13DE7FD-165C-415F-B6D4-4A3E76306984}" name="SALES [€]" dataDxfId="170" totalsRowDxfId="171"/>
    <tableColumn id="17" xr3:uid="{B8046C5D-F9BD-400B-AA9E-7DBBA983898C}" name="PURCHASE [€]" dataDxfId="168" totalsRowDxfId="169"/>
    <tableColumn id="18" xr3:uid="{30D82B81-E6A0-4C81-A1EE-AC1F5D339817}" name="MARGIN [€]" dataDxfId="166" totalsRowDxfId="167">
      <calculatedColumnFormula>plachta3434[[#This Row],[SALES '[€']]]-plachta3434[[#This Row],[PURCHASE '[€']]]</calculatedColumnFormula>
    </tableColumn>
    <tableColumn id="19" xr3:uid="{2D58D53F-CC2D-4470-AA0F-4C004AB5E895}" name="MARGIN [%]" dataDxfId="164" totalsRowDxfId="165">
      <calculatedColumnFormula>plachta3434[[#This Row],[MARGIN '[€']]]/plachta3434[[#This Row],[SALES '[€']]]</calculatedColumnFormula>
    </tableColumn>
    <tableColumn id="20" xr3:uid="{B963FFFA-2842-4489-AED7-DA73B1E37E5A}" name="CF" dataDxfId="163"/>
    <tableColumn id="21" xr3:uid="{70363DC3-63DE-483E-8F06-3194F829192C}" name="VF" dataDxfId="162"/>
    <tableColumn id="22" xr3:uid="{9C384045-7F2E-453C-97FE-3B8852D41219}" name="KM" dataDxfId="160" totalsRowDxfId="161"/>
    <tableColumn id="24" xr3:uid="{5966CED4-3F4D-41EE-99A5-85B301D1AD14}" name="REMARK" dataDxfId="158" totalsRowDxfId="159"/>
    <tableColumn id="23" xr3:uid="{7885ACA3-7386-43B8-8EFA-1D33C74AB413}" name="PIC" dataDxfId="156" totalsRowDxfId="157"/>
    <tableColumn id="25" xr3:uid="{9F00DE0D-53F7-4F9A-A3EE-DE636BB98170}" name="PURCHASE [€/KM]" dataDxfId="154" totalsRowDxfId="155">
      <calculatedColumnFormula>plachta3434[[#This Row],[PURCHASE '[€']]]/plachta3434[[#This Row],[KM]]</calculatedColumnFormula>
    </tableColumn>
    <tableColumn id="26" xr3:uid="{0587E34B-03A8-43FC-B9E9-0841024B6111}" name="SALES [€/KM]" dataDxfId="152" totalsRowDxfId="153">
      <calculatedColumnFormula>plachta3434[[#This Row],[SALES '[€']]]/plachta3434[[#This Row],[KM]]</calculatedColumnFormula>
    </tableColumn>
    <tableColumn id="30" xr3:uid="{B8AED4ED-96ED-4702-87A0-83326C67E0DE}" name="COLLI [KS]" dataDxfId="150" totalsRowDxfId="151"/>
    <tableColumn id="31" xr3:uid="{B9CB1F5F-994F-4C2F-ACA6-086C6A44B378}" name="LDM" dataDxfId="148" totalsRowDxfId="149"/>
    <tableColumn id="32" xr3:uid="{D24C6335-3034-437C-A725-3705A796A0B7}" name="DEMURRAGE COST / CLIENT" dataDxfId="146" totalsRowDxfId="147"/>
    <tableColumn id="33" xr3:uid="{6FDB782B-2EFD-4F4E-92F9-BBA984B8A89A}" name="DEMURRAGE COST / HAULIER" dataDxfId="144" totalsRowDxfId="145"/>
    <tableColumn id="34" xr3:uid="{79ED69E0-342F-4713-AB00-C6983CA3F3DB}" name="CLIENT PENALTIES" dataDxfId="142" totalsRowDxfId="143"/>
    <tableColumn id="35" xr3:uid="{9CE342C0-40D9-4C16-9991-903604CA6B04}" name=" HAULIER PENALTIES" dataDxfId="140" totalsRowDxfId="141"/>
    <tableColumn id="36" xr3:uid="{6B304167-A9CA-4947-B805-38AD3B0F88E0}" name="NC/R" dataDxfId="138" totalsRowDxfId="139"/>
    <tableColumn id="37" xr3:uid="{9F9610F0-BC69-447F-9FA4-97D6A0CB8045}" name="# LOADINGS" dataDxfId="136" totalsRowDxfId="137"/>
    <tableColumn id="38" xr3:uid="{8B908E9E-8696-4523-A783-246E550D4188}" name="START STATUS" dataDxfId="135">
      <calculatedColumnFormula>IF(plachta3434[[#This Row],[DELIVERY TIME]]="STORNO",IF(plachta3434[[#This Row],[CARRIER]]="NEPOTVRDENE","REFUSED","CANCELLED"),"OK")</calculatedColumnFormula>
    </tableColumn>
    <tableColumn id="39" xr3:uid="{3D01B87F-267C-42BA-9818-D6C91933D356}" name="# UNLOADINGS" dataDxfId="133" totalsRowDxfId="134"/>
    <tableColumn id="40" xr3:uid="{6BFD8D1B-6875-46BE-9EA5-E6B5F2A937C8}" name="STOP STATUS" dataDxfId="131" totalsRowDxfId="132">
      <calculatedColumnFormula>IF(RIGHT(plachta3434[[#This Row],[CARRIER]],3)="-MF",921,"")</calculatedColumnFormula>
    </tableColumn>
    <tableColumn id="41" xr3:uid="{0124992A-91F9-458E-8680-6D5E9E92DF11}" name="TRAILER PLATES" dataDxfId="129" totalsRowDxfId="13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22" displayName="Table22" ref="A1:AO66" totalsRowShown="0" headerRowDxfId="127" dataDxfId="126" headerRowBorderDxfId="124" tableBorderDxfId="125">
  <autoFilter ref="A1:AO66" xr:uid="{00000000-000C-0000-FFFF-FFFF02000000}"/>
  <tableColumns count="41">
    <tableColumn id="1" xr3:uid="{00000000-0010-0000-0200-000001000000}" name="WEEK" dataDxfId="123">
      <calculatedColumnFormula>WEEKNUM(F2,21)</calculatedColumnFormula>
    </tableColumn>
    <tableColumn id="2" xr3:uid="{00000000-0010-0000-0200-000002000000}" name="CLIENT" dataDxfId="122"/>
    <tableColumn id="3" xr3:uid="{00000000-0010-0000-0200-000003000000}" name="LOADING CTR" dataDxfId="121"/>
    <tableColumn id="4" xr3:uid="{00000000-0010-0000-0200-000004000000}" name="LOADING ZIP" dataDxfId="120"/>
    <tableColumn id="5" xr3:uid="{00000000-0010-0000-0200-000005000000}" name="LOADING CITY" dataDxfId="119"/>
    <tableColumn id="6" xr3:uid="{00000000-0010-0000-0200-000006000000}" name="LOADING DATE" dataDxfId="118"/>
    <tableColumn id="7" xr3:uid="{00000000-0010-0000-0200-000007000000}" name="LOADING TIME" dataDxfId="117"/>
    <tableColumn id="8" xr3:uid="{00000000-0010-0000-0200-000008000000}" name="DELIVERY CTR" dataDxfId="116"/>
    <tableColumn id="9" xr3:uid="{00000000-0010-0000-0200-000009000000}" name="DELIVERY ZIP" dataDxfId="115"/>
    <tableColumn id="10" xr3:uid="{00000000-0010-0000-0200-00000A000000}" name="DELIVERY CITY" dataDxfId="114"/>
    <tableColumn id="11" xr3:uid="{00000000-0010-0000-0200-00000B000000}" name="DELIVERY DATE" dataDxfId="113"/>
    <tableColumn id="12" xr3:uid="{00000000-0010-0000-0200-00000C000000}" name="DELIVERY TIME" dataDxfId="112"/>
    <tableColumn id="13" xr3:uid="{00000000-0010-0000-0200-00000D000000}" name="BOOKING REFERENCE" dataDxfId="111"/>
    <tableColumn id="14" xr3:uid="{00000000-0010-0000-0200-00000E000000}" name="TRUCK TYPE" dataDxfId="110"/>
    <tableColumn id="15" xr3:uid="{00000000-0010-0000-0200-00000F000000}" name="LTL / FTL" dataDxfId="109"/>
    <tableColumn id="16" xr3:uid="{00000000-0010-0000-0200-000010000000}" name="GROSS WEIGHT [KG]" dataDxfId="108"/>
    <tableColumn id="17" xr3:uid="{00000000-0010-0000-0200-000011000000}" name="TRUCK PLATES" dataDxfId="107"/>
    <tableColumn id="18" xr3:uid="{00000000-0010-0000-0200-000012000000}" name="CARRIER" dataDxfId="106"/>
    <tableColumn id="19" xr3:uid="{00000000-0010-0000-0200-000013000000}" name="SALES [€]" dataDxfId="105"/>
    <tableColumn id="20" xr3:uid="{00000000-0010-0000-0200-000014000000}" name="PURCHASE [€]" dataDxfId="104"/>
    <tableColumn id="21" xr3:uid="{00000000-0010-0000-0200-000015000000}" name="MARGIN [€]" dataDxfId="103">
      <calculatedColumnFormula>Table22[[#This Row],[SALES '[€']]]-Table22[[#This Row],[PURCHASE '[€']]]</calculatedColumnFormula>
    </tableColumn>
    <tableColumn id="22" xr3:uid="{00000000-0010-0000-0200-000016000000}" name="MARGIN [%]" dataDxfId="102">
      <calculatedColumnFormula>Table22[[#This Row],[MARGIN '[€']]]/Table22[[#This Row],[SALES '[€']]]</calculatedColumnFormula>
    </tableColumn>
    <tableColumn id="23" xr3:uid="{00000000-0010-0000-0200-000017000000}" name="CF" dataDxfId="101"/>
    <tableColumn id="24" xr3:uid="{00000000-0010-0000-0200-000018000000}" name="VF" dataDxfId="100"/>
    <tableColumn id="25" xr3:uid="{00000000-0010-0000-0200-000019000000}" name="KM" dataDxfId="99"/>
    <tableColumn id="26" xr3:uid="{00000000-0010-0000-0200-00001A000000}" name="REMARK" dataDxfId="98"/>
    <tableColumn id="27" xr3:uid="{00000000-0010-0000-0200-00001B000000}" name="PIC" dataDxfId="97"/>
    <tableColumn id="28" xr3:uid="{00000000-0010-0000-0200-00001C000000}" name="PURCHASE [€/KM]" dataDxfId="95" totalsRowDxfId="96">
      <calculatedColumnFormula>Table22[[#This Row],[PURCHASE '[€']]]/Table22[[#This Row],[KM]]</calculatedColumnFormula>
    </tableColumn>
    <tableColumn id="29" xr3:uid="{00000000-0010-0000-0200-00001D000000}" name="SALES [€/KM]" dataDxfId="93" totalsRowDxfId="94">
      <calculatedColumnFormula>S2/Y2</calculatedColumnFormula>
    </tableColumn>
    <tableColumn id="30" xr3:uid="{90A486CA-274C-4F81-85A7-7CC97EAC637A}" name="COLLI [KS]" dataDxfId="92"/>
    <tableColumn id="31" xr3:uid="{F3377C2B-7B08-4957-A1EA-6DCE71EABEDE}" name="LDM" dataDxfId="91"/>
    <tableColumn id="32" xr3:uid="{EE8AD152-0B3C-4B38-B519-98D2ADCA45AC}" name="DEMURRAGE COST / CLIENT" dataDxfId="90"/>
    <tableColumn id="33" xr3:uid="{3B719DC4-C7B0-4999-890B-354F2045A521}" name="DEMURRAGE COST / HAULIER" dataDxfId="89"/>
    <tableColumn id="34" xr3:uid="{1FF64448-BEF2-48BB-BC38-755852D02DDC}" name="CLIENT PENALTIES" dataDxfId="88"/>
    <tableColumn id="35" xr3:uid="{C0CADA37-8A9A-468D-A529-D7CFDEDD404F}" name=" HAULIER PENALTIES" dataDxfId="87"/>
    <tableColumn id="36" xr3:uid="{30ABE3B2-502F-4512-94AD-2B7F54A863DB}" name="NC/R" dataDxfId="86"/>
    <tableColumn id="37" xr3:uid="{8813B1D5-27A0-463E-81C8-2EABB3798BC0}" name="# LOADINGS" dataDxfId="85"/>
    <tableColumn id="38" xr3:uid="{340BA097-4E4D-4740-9A70-8436EA529DFE}" name="START STATUS" dataDxfId="84">
      <calculatedColumnFormula>IF(Table22[[#This Row],[DELIVERY TIME]]="STORNO","CANCELLED","OK")</calculatedColumnFormula>
    </tableColumn>
    <tableColumn id="39" xr3:uid="{2BA095E0-5CEA-4FE0-A4F1-A0754B361643}" name="# UNLOADINGS" dataDxfId="83"/>
    <tableColumn id="40" xr3:uid="{827A06FA-B095-4815-9185-DD1071BFC2FB}" name="STOP STATUS" dataDxfId="82">
      <calculatedColumnFormula>IF(RIGHT(Table22[[#This Row],[CARRIER]],3)="-MF",921,"")</calculatedColumnFormula>
    </tableColumn>
    <tableColumn id="41" xr3:uid="{7DB4F681-7174-4675-9B9B-F31DA308DD5C}" name="TRAILER PLATES" dataDxfId="81"/>
  </tableColumns>
  <tableStyleInfo name="Table Style 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lachta3434235" displayName="plachta3434235" ref="A1:AO158" totalsRowShown="0" headerRowDxfId="79" dataDxfId="78" totalsRowDxfId="77" headerRowBorderDxfId="76">
  <autoFilter ref="A1:AO158" xr:uid="{00000000-0009-0000-0100-000004000000}"/>
  <tableColumns count="41">
    <tableColumn id="1" xr3:uid="{00000000-0010-0000-0300-000001000000}" name="WEEK" dataDxfId="75"/>
    <tableColumn id="2" xr3:uid="{00000000-0010-0000-0300-000002000000}" name="CLIENT" dataDxfId="73" totalsRowDxfId="74"/>
    <tableColumn id="3" xr3:uid="{00000000-0010-0000-0300-000003000000}" name="LOADING CTR" dataDxfId="71" totalsRowDxfId="72"/>
    <tableColumn id="4" xr3:uid="{00000000-0010-0000-0300-000004000000}" name="LOADING ZIP" dataDxfId="69" totalsRowDxfId="70"/>
    <tableColumn id="5" xr3:uid="{00000000-0010-0000-0300-000005000000}" name="LOADING CITY" dataDxfId="67" totalsRowDxfId="68"/>
    <tableColumn id="6" xr3:uid="{00000000-0010-0000-0300-000006000000}" name="LOADING DATE" dataDxfId="65" totalsRowDxfId="66"/>
    <tableColumn id="27" xr3:uid="{00000000-0010-0000-0300-00001B000000}" name="LOADING TIME" dataDxfId="63" totalsRowDxfId="64"/>
    <tableColumn id="7" xr3:uid="{00000000-0010-0000-0300-000007000000}" name="DELIVERY CTR" dataDxfId="61" totalsRowDxfId="62"/>
    <tableColumn id="8" xr3:uid="{00000000-0010-0000-0300-000008000000}" name="DELIVERY ZIP" dataDxfId="59" totalsRowDxfId="60"/>
    <tableColumn id="9" xr3:uid="{00000000-0010-0000-0300-000009000000}" name="DELIVERY CITY" dataDxfId="58"/>
    <tableColumn id="10" xr3:uid="{00000000-0010-0000-0300-00000A000000}" name="DELIVERY DATE" dataDxfId="57"/>
    <tableColumn id="28" xr3:uid="{00000000-0010-0000-0300-00001C000000}" name="DELIVERY TIME" dataDxfId="56"/>
    <tableColumn id="29" xr3:uid="{00000000-0010-0000-0300-00001D000000}" name="BOOKING REFERENCE" dataDxfId="55"/>
    <tableColumn id="11" xr3:uid="{00000000-0010-0000-0300-00000B000000}" name="TRUCK TYPE" dataDxfId="53" totalsRowDxfId="54"/>
    <tableColumn id="12" xr3:uid="{00000000-0010-0000-0300-00000C000000}" name="LTL / FTL" dataDxfId="51" totalsRowDxfId="52"/>
    <tableColumn id="13" xr3:uid="{00000000-0010-0000-0300-00000D000000}" name="GROSS WEIGHT [KG]" dataDxfId="49" totalsRowDxfId="50"/>
    <tableColumn id="14" xr3:uid="{00000000-0010-0000-0300-00000E000000}" name="TRUCK PLATES" dataDxfId="48"/>
    <tableColumn id="15" xr3:uid="{00000000-0010-0000-0300-00000F000000}" name="CARRIER" dataDxfId="46" totalsRowDxfId="47"/>
    <tableColumn id="16" xr3:uid="{00000000-0010-0000-0300-000010000000}" name="SALES [€]" dataDxfId="44" totalsRowDxfId="45"/>
    <tableColumn id="17" xr3:uid="{00000000-0010-0000-0300-000011000000}" name="PURCHASE [€]" dataDxfId="42" totalsRowDxfId="43"/>
    <tableColumn id="18" xr3:uid="{00000000-0010-0000-0300-000012000000}" name="MARGIN [€]" dataDxfId="40" totalsRowDxfId="41">
      <calculatedColumnFormula>plachta3434235[[#This Row],[SALES '[€']]]-plachta3434235[[#This Row],[PURCHASE '[€']]]</calculatedColumnFormula>
    </tableColumn>
    <tableColumn id="19" xr3:uid="{00000000-0010-0000-0300-000013000000}" name="MARGIN [%]" dataDxfId="38" totalsRowDxfId="39">
      <calculatedColumnFormula>plachta3434235[[#This Row],[MARGIN '[€']]]/plachta3434235[[#This Row],[SALES '[€']]]</calculatedColumnFormula>
    </tableColumn>
    <tableColumn id="20" xr3:uid="{00000000-0010-0000-0300-000014000000}" name="CF" dataDxfId="36" totalsRowDxfId="37"/>
    <tableColumn id="21" xr3:uid="{00000000-0010-0000-0300-000015000000}" name="VF" dataDxfId="34" totalsRowDxfId="35"/>
    <tableColumn id="22" xr3:uid="{00000000-0010-0000-0300-000016000000}" name="KM" dataDxfId="32" totalsRowDxfId="33"/>
    <tableColumn id="24" xr3:uid="{00000000-0010-0000-0300-000018000000}" name="REMARK" dataDxfId="30" totalsRowDxfId="31"/>
    <tableColumn id="23" xr3:uid="{00000000-0010-0000-0300-000017000000}" name="PIC" dataDxfId="28" totalsRowDxfId="29"/>
    <tableColumn id="25" xr3:uid="{00000000-0010-0000-0300-000019000000}" name="PURCHASE [€/KM]" dataDxfId="26" totalsRowDxfId="27"/>
    <tableColumn id="26" xr3:uid="{00000000-0010-0000-0300-00001A000000}" name="SALES [€/KM]" dataDxfId="24" totalsRowDxfId="25"/>
    <tableColumn id="30" xr3:uid="{D0B2700F-29EF-4929-8CCB-DD309366D3A3}" name="COLLI [KS]" dataDxfId="22" totalsRowDxfId="23"/>
    <tableColumn id="31" xr3:uid="{01A5B11A-BB07-48C2-A81C-0DE78C26943F}" name="LDM" dataDxfId="20" totalsRowDxfId="21"/>
    <tableColumn id="32" xr3:uid="{B9D804CF-4DD7-4899-AA25-65519B8E8DD9}" name="DEMURRAGE COST / CLIENT" dataDxfId="18" totalsRowDxfId="19"/>
    <tableColumn id="33" xr3:uid="{AC6E2F71-540B-46C8-A51F-44C95EE23215}" name="DEMURRAGE COST / HAULIER" dataDxfId="16" totalsRowDxfId="17"/>
    <tableColumn id="34" xr3:uid="{148C976C-D11A-468A-B951-1DBAEED7B704}" name="CLIENT PENALTIES" dataDxfId="14" totalsRowDxfId="15"/>
    <tableColumn id="35" xr3:uid="{03D94A8F-1925-41AB-BF49-A124A4A5EA84}" name=" HAULIER PENALTIES" dataDxfId="12" totalsRowDxfId="13"/>
    <tableColumn id="36" xr3:uid="{D5CD0407-96C4-411E-87A6-A05FF27E4FB0}" name="NC/R" dataDxfId="10" totalsRowDxfId="11"/>
    <tableColumn id="37" xr3:uid="{BC6D812D-CE25-4A8D-9327-50141DE86883}" name="# LOADINGS" dataDxfId="8" totalsRowDxfId="9"/>
    <tableColumn id="38" xr3:uid="{0D128496-27C1-449B-B8C0-4016F460967C}" name="START STATUS" dataDxfId="6" totalsRowDxfId="7">
      <calculatedColumnFormula>IF(plachta3434235[[#This Row],[DELIVERY TIME]]="STORNO","CANCELLED","OK")</calculatedColumnFormula>
    </tableColumn>
    <tableColumn id="39" xr3:uid="{D3F954E6-1CD5-41A7-B24A-AF239457CA8D}" name="# UNLOADINGS" dataDxfId="4" totalsRowDxfId="5"/>
    <tableColumn id="40" xr3:uid="{45AF4759-D52C-4FED-B68F-13F579E68527}" name="STOP STATUS" dataDxfId="2" totalsRowDxfId="3">
      <calculatedColumnFormula>IF(RIGHT(plachta3434235[[#This Row],[CARRIER]],3)="-MF",921,"")</calculatedColumnFormula>
    </tableColumn>
    <tableColumn id="41" xr3:uid="{5F94AFDC-1E5F-45B6-92F3-AE26237F4EBE}" name="TRAILER PLATES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zbikowski@zumalta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eiger@special-delivery.cz" TargetMode="External"/><Relationship Id="rId13" Type="http://schemas.openxmlformats.org/officeDocument/2006/relationships/hyperlink" Target="mailto:piotrginter5@gmail.com" TargetMode="External"/><Relationship Id="rId3" Type="http://schemas.openxmlformats.org/officeDocument/2006/relationships/hyperlink" Target="mailto:viktoria.fedorova@ldlogistic.sk" TargetMode="External"/><Relationship Id="rId7" Type="http://schemas.openxmlformats.org/officeDocument/2006/relationships/hyperlink" Target="mailto:p.grzebalski@royalimpero.pl" TargetMode="External"/><Relationship Id="rId12" Type="http://schemas.openxmlformats.org/officeDocument/2006/relationships/hyperlink" Target="mailto:trans@autodopravasamo.sk" TargetMode="External"/><Relationship Id="rId2" Type="http://schemas.openxmlformats.org/officeDocument/2006/relationships/hyperlink" Target="mailto:l.bachev@georgievitrans.com" TargetMode="External"/><Relationship Id="rId16" Type="http://schemas.openxmlformats.org/officeDocument/2006/relationships/table" Target="../tables/table2.xml"/><Relationship Id="rId1" Type="http://schemas.openxmlformats.org/officeDocument/2006/relationships/hyperlink" Target="mailto:ceyhun@keylogistics.com.tr" TargetMode="External"/><Relationship Id="rId6" Type="http://schemas.openxmlformats.org/officeDocument/2006/relationships/hyperlink" Target="mailto:giedrius@baltictransline.lt" TargetMode="External"/><Relationship Id="rId11" Type="http://schemas.openxmlformats.org/officeDocument/2006/relationships/hyperlink" Target="mailto:k.rybka@pklogistics.pl" TargetMode="External"/><Relationship Id="rId5" Type="http://schemas.openxmlformats.org/officeDocument/2006/relationships/hyperlink" Target="mailto:k.krawczyk@benski.pl" TargetMode="External"/><Relationship Id="rId15" Type="http://schemas.openxmlformats.org/officeDocument/2006/relationships/customProperty" Target="../customProperty2.bin"/><Relationship Id="rId10" Type="http://schemas.openxmlformats.org/officeDocument/2006/relationships/hyperlink" Target="mailto:ceyhun@keylogistics.com.tr" TargetMode="External"/><Relationship Id="rId4" Type="http://schemas.openxmlformats.org/officeDocument/2006/relationships/hyperlink" Target="mailto:contact@hakk-transport.com" TargetMode="External"/><Relationship Id="rId9" Type="http://schemas.openxmlformats.org/officeDocument/2006/relationships/hyperlink" Target="mailto:info@techno-expres-transport.sk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jdjtrans.doprava@gmail.com" TargetMode="External"/><Relationship Id="rId7" Type="http://schemas.openxmlformats.org/officeDocument/2006/relationships/customProperty" Target="../customProperty3.bin"/><Relationship Id="rId2" Type="http://schemas.openxmlformats.org/officeDocument/2006/relationships/hyperlink" Target="mailto:pi-trans@o2.pl" TargetMode="External"/><Relationship Id="rId1" Type="http://schemas.openxmlformats.org/officeDocument/2006/relationships/hyperlink" Target="mailto:monika.duskova@cz.ewals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info@jlnlogistics.sk" TargetMode="External"/><Relationship Id="rId4" Type="http://schemas.openxmlformats.org/officeDocument/2006/relationships/hyperlink" Target="mailto:m.dwornikowski@droad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BAAC-E81C-4CCF-8023-5EF9D7873BD0}">
  <sheetPr codeName="Hárok1">
    <pageSetUpPr fitToPage="1"/>
  </sheetPr>
  <dimension ref="A1:AO125"/>
  <sheetViews>
    <sheetView tabSelected="1" topLeftCell="G1" zoomScaleNormal="106" workbookViewId="0">
      <pane ySplit="1" topLeftCell="E99" activePane="bottomLeft" state="frozen"/>
      <selection pane="bottomLeft" activeCell="Q105" sqref="Q105"/>
      <selection activeCell="Y278" sqref="Y278"/>
    </sheetView>
  </sheetViews>
  <sheetFormatPr defaultColWidth="9.42578125" defaultRowHeight="12.95"/>
  <cols>
    <col min="1" max="1" width="4" style="15" customWidth="1"/>
    <col min="2" max="2" width="12.5703125" style="1" customWidth="1"/>
    <col min="3" max="3" width="4.5703125" style="2" customWidth="1"/>
    <col min="4" max="4" width="5.42578125" style="4" customWidth="1"/>
    <col min="5" max="5" width="13.5703125" style="4" customWidth="1"/>
    <col min="6" max="6" width="10.5703125" style="2" customWidth="1"/>
    <col min="7" max="7" width="14.5703125" style="5" bestFit="1" customWidth="1"/>
    <col min="8" max="8" width="5.42578125" style="5" customWidth="1"/>
    <col min="9" max="9" width="5.42578125" style="2" customWidth="1"/>
    <col min="10" max="10" width="14.42578125" style="4" customWidth="1"/>
    <col min="11" max="11" width="10.5703125" style="2" customWidth="1"/>
    <col min="12" max="12" width="14.5703125" style="5" bestFit="1" customWidth="1"/>
    <col min="13" max="13" width="13.42578125" style="5" customWidth="1"/>
    <col min="14" max="14" width="9.42578125" style="8" customWidth="1"/>
    <col min="15" max="15" width="6.5703125" style="1" customWidth="1"/>
    <col min="16" max="16" width="21.42578125" style="1" customWidth="1"/>
    <col min="17" max="17" width="19.42578125" style="1" customWidth="1"/>
    <col min="18" max="18" width="17.5703125" style="7" customWidth="1"/>
    <col min="19" max="19" width="10.42578125" style="1" bestFit="1" customWidth="1"/>
    <col min="20" max="20" width="14" style="1" bestFit="1" customWidth="1"/>
    <col min="21" max="21" width="7" style="1" customWidth="1"/>
    <col min="22" max="22" width="8.5703125" style="1" customWidth="1"/>
    <col min="23" max="23" width="19.5703125" style="15" customWidth="1"/>
    <col min="24" max="24" width="14.5703125" style="1" customWidth="1"/>
    <col min="25" max="25" width="8.5703125" style="1" customWidth="1"/>
    <col min="26" max="26" width="27.42578125" style="1" customWidth="1"/>
    <col min="27" max="27" width="6" style="1" customWidth="1"/>
    <col min="28" max="28" width="9" style="1" customWidth="1"/>
    <col min="29" max="37" width="9.42578125" style="1"/>
    <col min="38" max="39" width="13.5703125" style="1" bestFit="1" customWidth="1"/>
    <col min="40" max="16384" width="9.42578125" style="1"/>
  </cols>
  <sheetData>
    <row r="1" spans="1:41">
      <c r="A1" s="16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  <c r="G1" s="12" t="s">
        <v>6</v>
      </c>
      <c r="H1" s="10" t="s">
        <v>7</v>
      </c>
      <c r="I1" s="11" t="s">
        <v>8</v>
      </c>
      <c r="J1" s="9" t="s">
        <v>9</v>
      </c>
      <c r="K1" s="10" t="s">
        <v>10</v>
      </c>
      <c r="L1" s="12" t="s">
        <v>11</v>
      </c>
      <c r="M1" s="13" t="s">
        <v>12</v>
      </c>
      <c r="N1" s="9" t="s">
        <v>13</v>
      </c>
      <c r="O1" s="9" t="s">
        <v>14</v>
      </c>
      <c r="P1" s="9" t="s">
        <v>15</v>
      </c>
      <c r="Q1" s="14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33" t="s">
        <v>21</v>
      </c>
      <c r="W1" s="16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34" t="s">
        <v>27</v>
      </c>
      <c r="AC1" s="35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1" t="s">
        <v>38</v>
      </c>
      <c r="AN1" s="41" t="s">
        <v>39</v>
      </c>
      <c r="AO1" s="41" t="s">
        <v>40</v>
      </c>
    </row>
    <row r="2" spans="1:41" ht="14.1">
      <c r="A2" s="21">
        <f>WEEKNUM(plachta3434[[#This Row],[LOADING DATE]],21)</f>
        <v>1</v>
      </c>
      <c r="B2" s="36" t="s">
        <v>41</v>
      </c>
      <c r="C2" s="125" t="s">
        <v>42</v>
      </c>
      <c r="D2" s="126" t="s">
        <v>43</v>
      </c>
      <c r="E2" s="36" t="s">
        <v>44</v>
      </c>
      <c r="F2" s="127">
        <v>45294</v>
      </c>
      <c r="G2" s="128">
        <v>0.79166666666666663</v>
      </c>
      <c r="H2" s="129" t="s">
        <v>45</v>
      </c>
      <c r="I2" s="130" t="s">
        <v>46</v>
      </c>
      <c r="J2" s="131" t="s">
        <v>47</v>
      </c>
      <c r="K2" s="127">
        <v>44934</v>
      </c>
      <c r="L2" s="132" t="s">
        <v>48</v>
      </c>
      <c r="M2" s="133">
        <v>1003052141</v>
      </c>
      <c r="N2" s="134" t="s">
        <v>49</v>
      </c>
      <c r="O2" s="135" t="s">
        <v>50</v>
      </c>
      <c r="P2" s="36"/>
      <c r="Q2" s="63"/>
      <c r="R2" s="36"/>
      <c r="S2" s="136">
        <f>2188+71</f>
        <v>2259</v>
      </c>
      <c r="T2" s="137"/>
      <c r="U2" s="92">
        <f>plachta3434[[#This Row],[SALES '[€']]]-plachta3434[[#This Row],[PURCHASE '[€']]]</f>
        <v>2259</v>
      </c>
      <c r="V2" s="98">
        <f>plachta3434[[#This Row],[MARGIN '[€']]]/plachta3434[[#This Row],[SALES '[€']]]</f>
        <v>1</v>
      </c>
      <c r="W2" s="172"/>
      <c r="X2" s="108"/>
      <c r="Y2" s="36">
        <v>1571</v>
      </c>
      <c r="Z2" s="173"/>
      <c r="AA2" s="36" t="s">
        <v>51</v>
      </c>
      <c r="AB2" s="93">
        <f>plachta3434[[#This Row],[PURCHASE '[€']]]/plachta3434[[#This Row],[KM]]</f>
        <v>0</v>
      </c>
      <c r="AC2" s="93">
        <f>plachta3434[[#This Row],[SALES '[€']]]/plachta3434[[#This Row],[KM]]</f>
        <v>1.4379376193507321</v>
      </c>
      <c r="AD2" s="93"/>
      <c r="AE2" s="93"/>
      <c r="AF2" s="93"/>
      <c r="AG2" s="93"/>
      <c r="AH2" s="93"/>
      <c r="AI2" s="93"/>
      <c r="AJ2" s="93"/>
      <c r="AK2" s="93"/>
      <c r="AL2" s="93" t="str">
        <f>IF(plachta3434[[#This Row],[DELIVERY TIME]]="STORNO",IF(plachta3434[[#This Row],[CARRIER]]="NEPOTVRDENE","REFUSED","CANCELLED"),"OK")</f>
        <v>CANCELLED</v>
      </c>
      <c r="AM2" s="93"/>
      <c r="AN2" s="93" t="str">
        <f>IF(RIGHT(plachta3434[[#This Row],[CARRIER]],3)="-MF",921,"")</f>
        <v/>
      </c>
      <c r="AO2" s="93"/>
    </row>
    <row r="3" spans="1:41" ht="14.1">
      <c r="A3" s="91">
        <f>WEEKNUM(plachta3434[[#This Row],[LOADING DATE]],21)</f>
        <v>1</v>
      </c>
      <c r="B3" s="36" t="s">
        <v>41</v>
      </c>
      <c r="C3" s="125" t="s">
        <v>42</v>
      </c>
      <c r="D3" s="126" t="s">
        <v>43</v>
      </c>
      <c r="E3" s="36" t="s">
        <v>44</v>
      </c>
      <c r="F3" s="127">
        <v>45295</v>
      </c>
      <c r="G3" s="128">
        <v>0.79166666666666663</v>
      </c>
      <c r="H3" s="129" t="s">
        <v>52</v>
      </c>
      <c r="I3" s="130" t="s">
        <v>53</v>
      </c>
      <c r="J3" s="131" t="s">
        <v>54</v>
      </c>
      <c r="K3" s="127">
        <v>45299</v>
      </c>
      <c r="L3" s="132" t="s">
        <v>48</v>
      </c>
      <c r="M3" s="133">
        <v>1003090415</v>
      </c>
      <c r="N3" s="134" t="s">
        <v>49</v>
      </c>
      <c r="O3" s="135" t="s">
        <v>55</v>
      </c>
      <c r="P3" s="36" t="s">
        <v>56</v>
      </c>
      <c r="Q3" s="87"/>
      <c r="R3" s="36" t="s">
        <v>57</v>
      </c>
      <c r="S3" s="136">
        <v>1336</v>
      </c>
      <c r="T3" s="137">
        <v>1300</v>
      </c>
      <c r="U3" s="92">
        <f>plachta3434[[#This Row],[SALES '[€']]]-plachta3434[[#This Row],[PURCHASE '[€']]]</f>
        <v>36</v>
      </c>
      <c r="V3" s="98">
        <f>plachta3434[[#This Row],[MARGIN '[€']]]/plachta3434[[#This Row],[SALES '[€']]]</f>
        <v>2.6946107784431138E-2</v>
      </c>
      <c r="W3" s="172">
        <v>9215170353</v>
      </c>
      <c r="X3" s="108" t="s">
        <v>58</v>
      </c>
      <c r="Y3" s="36">
        <v>1233</v>
      </c>
      <c r="Z3" s="173"/>
      <c r="AA3" s="36" t="s">
        <v>51</v>
      </c>
      <c r="AB3" s="93">
        <f>plachta3434[[#This Row],[PURCHASE '[€']]]/plachta3434[[#This Row],[KM]]</f>
        <v>1.0543390105433901</v>
      </c>
      <c r="AC3" s="93">
        <f>plachta3434[[#This Row],[SALES '[€']]]/plachta3434[[#This Row],[KM]]</f>
        <v>1.0835360908353608</v>
      </c>
      <c r="AD3" s="93"/>
      <c r="AE3" s="93"/>
      <c r="AF3" s="93"/>
      <c r="AG3" s="93"/>
      <c r="AH3" s="93"/>
      <c r="AI3" s="93"/>
      <c r="AJ3" s="93"/>
      <c r="AK3" s="93"/>
      <c r="AL3" s="93" t="str">
        <f>IF(plachta3434[[#This Row],[DELIVERY TIME]]="STORNO",IF(plachta3434[[#This Row],[CARRIER]]="NEPOTVRDENE","REFUSED","CANCELLED"),"OK")</f>
        <v>CANCELLED</v>
      </c>
      <c r="AM3" s="93"/>
      <c r="AN3" s="93" t="str">
        <f>IF(RIGHT(plachta3434[[#This Row],[CARRIER]],3)="-MF",921,"")</f>
        <v/>
      </c>
      <c r="AO3" s="93"/>
    </row>
    <row r="4" spans="1:41" ht="14.1">
      <c r="A4" s="91">
        <f>WEEKNUM(plachta3434[[#This Row],[LOADING DATE]],21)</f>
        <v>1</v>
      </c>
      <c r="B4" s="36" t="s">
        <v>41</v>
      </c>
      <c r="C4" s="125" t="s">
        <v>42</v>
      </c>
      <c r="D4" s="126" t="s">
        <v>43</v>
      </c>
      <c r="E4" s="36" t="s">
        <v>44</v>
      </c>
      <c r="F4" s="127">
        <v>45296</v>
      </c>
      <c r="G4" s="128">
        <v>0.79166666666666663</v>
      </c>
      <c r="H4" s="129" t="s">
        <v>45</v>
      </c>
      <c r="I4" s="130" t="s">
        <v>59</v>
      </c>
      <c r="J4" s="131" t="s">
        <v>60</v>
      </c>
      <c r="K4" s="127">
        <v>45301</v>
      </c>
      <c r="L4" s="128">
        <v>0.41666666666666669</v>
      </c>
      <c r="M4" s="133">
        <v>1003074003</v>
      </c>
      <c r="N4" s="134" t="s">
        <v>49</v>
      </c>
      <c r="O4" s="139" t="s">
        <v>50</v>
      </c>
      <c r="P4" s="36" t="s">
        <v>61</v>
      </c>
      <c r="Q4" s="63" t="s">
        <v>62</v>
      </c>
      <c r="R4" s="18" t="s">
        <v>63</v>
      </c>
      <c r="S4" s="160">
        <v>2356</v>
      </c>
      <c r="T4" s="137">
        <v>2225</v>
      </c>
      <c r="U4" s="92">
        <f>plachta3434[[#This Row],[SALES '[€']]]-plachta3434[[#This Row],[PURCHASE '[€']]]</f>
        <v>131</v>
      </c>
      <c r="V4" s="98">
        <f>plachta3434[[#This Row],[MARGIN '[€']]]/plachta3434[[#This Row],[SALES '[€']]]</f>
        <v>5.5602716468590829E-2</v>
      </c>
      <c r="W4" s="172">
        <v>9215170345</v>
      </c>
      <c r="X4" s="108" t="s">
        <v>64</v>
      </c>
      <c r="Y4" s="36">
        <v>1629</v>
      </c>
      <c r="Z4" s="173"/>
      <c r="AA4" s="36" t="s">
        <v>51</v>
      </c>
      <c r="AB4" s="93">
        <f>plachta3434[[#This Row],[PURCHASE '[€']]]/plachta3434[[#This Row],[KM]]</f>
        <v>1.3658686310620012</v>
      </c>
      <c r="AC4" s="93">
        <f>plachta3434[[#This Row],[SALES '[€']]]/plachta3434[[#This Row],[KM]]</f>
        <v>1.4462860650705955</v>
      </c>
      <c r="AD4" s="93"/>
      <c r="AE4" s="93"/>
      <c r="AF4" s="93"/>
      <c r="AG4" s="93"/>
      <c r="AH4" s="93"/>
      <c r="AI4" s="93"/>
      <c r="AJ4" s="93"/>
      <c r="AK4" s="93"/>
      <c r="AL4" s="93" t="str">
        <f>IF(plachta3434[[#This Row],[DELIVERY TIME]]="STORNO",IF(plachta3434[[#This Row],[CARRIER]]="NEPOTVRDENE","REFUSED","CANCELLED"),"OK")</f>
        <v>OK</v>
      </c>
      <c r="AM4" s="93"/>
      <c r="AN4" s="93" t="str">
        <f>IF(RIGHT(plachta3434[[#This Row],[CARRIER]],3)="-MF",921,"")</f>
        <v/>
      </c>
      <c r="AO4" s="93"/>
    </row>
    <row r="5" spans="1:41" ht="14.1">
      <c r="A5" s="91">
        <f>WEEKNUM(plachta3434[[#This Row],[LOADING DATE]],21)</f>
        <v>1</v>
      </c>
      <c r="B5" s="36" t="s">
        <v>41</v>
      </c>
      <c r="C5" s="125" t="s">
        <v>42</v>
      </c>
      <c r="D5" s="126" t="s">
        <v>43</v>
      </c>
      <c r="E5" s="36" t="s">
        <v>44</v>
      </c>
      <c r="F5" s="140">
        <v>45296</v>
      </c>
      <c r="G5" s="128">
        <v>0.85416666666666663</v>
      </c>
      <c r="H5" s="129" t="s">
        <v>45</v>
      </c>
      <c r="I5" s="130" t="s">
        <v>65</v>
      </c>
      <c r="J5" s="131" t="s">
        <v>66</v>
      </c>
      <c r="K5" s="127">
        <v>45301</v>
      </c>
      <c r="L5" s="128">
        <v>0.70833333333333337</v>
      </c>
      <c r="M5" s="133">
        <v>1003074004</v>
      </c>
      <c r="N5" s="134" t="s">
        <v>49</v>
      </c>
      <c r="O5" s="139" t="s">
        <v>50</v>
      </c>
      <c r="P5" s="36"/>
      <c r="Q5" s="63" t="s">
        <v>67</v>
      </c>
      <c r="R5" s="36" t="s">
        <v>68</v>
      </c>
      <c r="S5" s="141">
        <v>2504</v>
      </c>
      <c r="T5" s="137">
        <v>2400</v>
      </c>
      <c r="U5" s="92">
        <f>plachta3434[[#This Row],[SALES '[€']]]-plachta3434[[#This Row],[PURCHASE '[€']]]</f>
        <v>104</v>
      </c>
      <c r="V5" s="98">
        <f>plachta3434[[#This Row],[MARGIN '[€']]]/plachta3434[[#This Row],[SALES '[€']]]</f>
        <v>4.1533546325878593E-2</v>
      </c>
      <c r="W5" s="172">
        <v>9215169892</v>
      </c>
      <c r="X5" s="108" t="s">
        <v>69</v>
      </c>
      <c r="Y5" s="36">
        <v>1889</v>
      </c>
      <c r="Z5" s="173"/>
      <c r="AA5" s="36" t="s">
        <v>51</v>
      </c>
      <c r="AB5" s="93">
        <f>plachta3434[[#This Row],[PURCHASE '[€']]]/plachta3434[[#This Row],[KM]]</f>
        <v>1.270513499205929</v>
      </c>
      <c r="AC5" s="93">
        <f>plachta3434[[#This Row],[SALES '[€']]]/plachta3434[[#This Row],[KM]]</f>
        <v>1.3255690841715193</v>
      </c>
      <c r="AD5" s="93"/>
      <c r="AE5" s="93"/>
      <c r="AF5" s="93"/>
      <c r="AG5" s="93"/>
      <c r="AH5" s="93"/>
      <c r="AI5" s="93"/>
      <c r="AJ5" s="93"/>
      <c r="AK5" s="93"/>
      <c r="AL5" s="93" t="str">
        <f>IF(plachta3434[[#This Row],[DELIVERY TIME]]="STORNO",IF(plachta3434[[#This Row],[CARRIER]]="NEPOTVRDENE","REFUSED","CANCELLED"),"OK")</f>
        <v>OK</v>
      </c>
      <c r="AM5" s="93"/>
      <c r="AN5" s="93" t="str">
        <f>IF(RIGHT(plachta3434[[#This Row],[CARRIER]],3)="-MF",921,"")</f>
        <v/>
      </c>
      <c r="AO5" s="93"/>
    </row>
    <row r="6" spans="1:41" ht="14.1">
      <c r="A6" s="91">
        <f>WEEKNUM(plachta3434[[#This Row],[LOADING DATE]],21)</f>
        <v>1</v>
      </c>
      <c r="B6" s="36" t="s">
        <v>41</v>
      </c>
      <c r="C6" s="125" t="s">
        <v>42</v>
      </c>
      <c r="D6" s="126" t="s">
        <v>43</v>
      </c>
      <c r="E6" s="36" t="s">
        <v>44</v>
      </c>
      <c r="F6" s="140">
        <v>45296</v>
      </c>
      <c r="G6" s="128">
        <v>0.79166666666666663</v>
      </c>
      <c r="H6" s="129" t="s">
        <v>45</v>
      </c>
      <c r="I6" s="130" t="s">
        <v>70</v>
      </c>
      <c r="J6" s="131" t="s">
        <v>71</v>
      </c>
      <c r="K6" s="127">
        <v>45301</v>
      </c>
      <c r="L6" s="128">
        <v>0.29166666666666669</v>
      </c>
      <c r="M6" s="133">
        <v>1003074005</v>
      </c>
      <c r="N6" s="134" t="s">
        <v>49</v>
      </c>
      <c r="O6" s="139" t="s">
        <v>50</v>
      </c>
      <c r="P6" s="36"/>
      <c r="Q6" s="63" t="s">
        <v>72</v>
      </c>
      <c r="R6" s="94" t="s">
        <v>73</v>
      </c>
      <c r="S6" s="141">
        <f>2096+71</f>
        <v>2167</v>
      </c>
      <c r="T6" s="137">
        <v>1861.12</v>
      </c>
      <c r="U6" s="92">
        <f>plachta3434[[#This Row],[SALES '[€']]]-plachta3434[[#This Row],[PURCHASE '[€']]]</f>
        <v>305.88000000000011</v>
      </c>
      <c r="V6" s="98">
        <f>plachta3434[[#This Row],[MARGIN '[€']]]/plachta3434[[#This Row],[SALES '[€']]]</f>
        <v>0.14115366866635906</v>
      </c>
      <c r="W6" s="172">
        <v>9215169894</v>
      </c>
      <c r="X6" s="108" t="s">
        <v>74</v>
      </c>
      <c r="Y6" s="36">
        <v>1592</v>
      </c>
      <c r="Z6" s="173"/>
      <c r="AA6" s="36" t="s">
        <v>51</v>
      </c>
      <c r="AB6" s="93">
        <f>plachta3434[[#This Row],[PURCHASE '[€']]]/plachta3434[[#This Row],[KM]]</f>
        <v>1.1690452261306532</v>
      </c>
      <c r="AC6" s="93">
        <f>plachta3434[[#This Row],[SALES '[€']]]/plachta3434[[#This Row],[KM]]</f>
        <v>1.3611809045226131</v>
      </c>
      <c r="AD6" s="93"/>
      <c r="AE6" s="93"/>
      <c r="AF6" s="93"/>
      <c r="AG6" s="93"/>
      <c r="AH6" s="93"/>
      <c r="AI6" s="93"/>
      <c r="AJ6" s="93"/>
      <c r="AK6" s="93"/>
      <c r="AL6" s="93" t="str">
        <f>IF(plachta3434[[#This Row],[DELIVERY TIME]]="STORNO",IF(plachta3434[[#This Row],[CARRIER]]="NEPOTVRDENE","REFUSED","CANCELLED"),"OK")</f>
        <v>OK</v>
      </c>
      <c r="AM6" s="93"/>
      <c r="AN6" s="93">
        <f>IF(RIGHT(plachta3434[[#This Row],[CARRIER]],3)="-MF",921,"")</f>
        <v>921</v>
      </c>
      <c r="AO6" s="93"/>
    </row>
    <row r="7" spans="1:41" ht="14.1">
      <c r="A7" s="91">
        <f>WEEKNUM(plachta3434[[#This Row],[LOADING DATE]],21)</f>
        <v>1</v>
      </c>
      <c r="B7" s="36" t="s">
        <v>41</v>
      </c>
      <c r="C7" s="125" t="s">
        <v>42</v>
      </c>
      <c r="D7" s="126" t="s">
        <v>43</v>
      </c>
      <c r="E7" s="36" t="s">
        <v>44</v>
      </c>
      <c r="F7" s="140">
        <v>45296</v>
      </c>
      <c r="G7" s="128">
        <v>0.70833333333333337</v>
      </c>
      <c r="H7" s="129" t="s">
        <v>45</v>
      </c>
      <c r="I7" s="130" t="s">
        <v>75</v>
      </c>
      <c r="J7" s="131" t="s">
        <v>76</v>
      </c>
      <c r="K7" s="140">
        <v>45301</v>
      </c>
      <c r="L7" s="128">
        <v>0.25</v>
      </c>
      <c r="M7" s="133">
        <v>1003074006</v>
      </c>
      <c r="N7" s="134" t="s">
        <v>49</v>
      </c>
      <c r="O7" s="139" t="s">
        <v>50</v>
      </c>
      <c r="P7" s="36"/>
      <c r="Q7" s="63" t="s">
        <v>77</v>
      </c>
      <c r="R7" s="36" t="s">
        <v>68</v>
      </c>
      <c r="S7" s="141">
        <f>2478+71</f>
        <v>2549</v>
      </c>
      <c r="T7" s="137">
        <v>2350</v>
      </c>
      <c r="U7" s="92">
        <f>plachta3434[[#This Row],[SALES '[€']]]-plachta3434[[#This Row],[PURCHASE '[€']]]</f>
        <v>199</v>
      </c>
      <c r="V7" s="98">
        <f>plachta3434[[#This Row],[MARGIN '[€']]]/plachta3434[[#This Row],[SALES '[€']]]</f>
        <v>7.8069831306394666E-2</v>
      </c>
      <c r="W7" s="172">
        <v>9215169895</v>
      </c>
      <c r="X7" s="108" t="s">
        <v>78</v>
      </c>
      <c r="Y7" s="36">
        <v>1778</v>
      </c>
      <c r="Z7" s="173"/>
      <c r="AA7" s="36" t="s">
        <v>51</v>
      </c>
      <c r="AB7" s="93">
        <f>plachta3434[[#This Row],[PURCHASE '[€']]]/plachta3434[[#This Row],[KM]]</f>
        <v>1.3217097862767153</v>
      </c>
      <c r="AC7" s="93">
        <f>plachta3434[[#This Row],[SALES '[€']]]/plachta3434[[#This Row],[KM]]</f>
        <v>1.4336332958380202</v>
      </c>
      <c r="AD7" s="93"/>
      <c r="AE7" s="93"/>
      <c r="AF7" s="93"/>
      <c r="AG7" s="93"/>
      <c r="AH7" s="93"/>
      <c r="AI7" s="93"/>
      <c r="AJ7" s="93"/>
      <c r="AK7" s="93"/>
      <c r="AL7" s="93" t="str">
        <f>IF(plachta3434[[#This Row],[DELIVERY TIME]]="STORNO",IF(plachta3434[[#This Row],[CARRIER]]="NEPOTVRDENE","REFUSED","CANCELLED"),"OK")</f>
        <v>OK</v>
      </c>
      <c r="AM7" s="93"/>
      <c r="AN7" s="93" t="str">
        <f>IF(RIGHT(plachta3434[[#This Row],[CARRIER]],3)="-MF",921,"")</f>
        <v/>
      </c>
      <c r="AO7" s="93"/>
    </row>
    <row r="8" spans="1:41" ht="14.1">
      <c r="A8" s="91">
        <f>WEEKNUM(plachta3434[[#This Row],[LOADING DATE]],21)</f>
        <v>1</v>
      </c>
      <c r="B8" s="36" t="s">
        <v>41</v>
      </c>
      <c r="C8" s="125" t="s">
        <v>42</v>
      </c>
      <c r="D8" s="126" t="s">
        <v>43</v>
      </c>
      <c r="E8" s="36" t="s">
        <v>44</v>
      </c>
      <c r="F8" s="140">
        <v>45296</v>
      </c>
      <c r="G8" s="128">
        <v>0.70833333333333337</v>
      </c>
      <c r="H8" s="129" t="s">
        <v>45</v>
      </c>
      <c r="I8" s="130" t="s">
        <v>75</v>
      </c>
      <c r="J8" s="131" t="s">
        <v>76</v>
      </c>
      <c r="K8" s="140">
        <v>45301</v>
      </c>
      <c r="L8" s="128">
        <v>0.625</v>
      </c>
      <c r="M8" s="133">
        <v>1003074021</v>
      </c>
      <c r="N8" s="134" t="s">
        <v>49</v>
      </c>
      <c r="O8" s="139" t="s">
        <v>50</v>
      </c>
      <c r="P8" s="36" t="s">
        <v>61</v>
      </c>
      <c r="Q8" s="63" t="s">
        <v>79</v>
      </c>
      <c r="R8" s="18" t="s">
        <v>63</v>
      </c>
      <c r="S8" s="141">
        <f>2478+71</f>
        <v>2549</v>
      </c>
      <c r="T8" s="137">
        <v>2350</v>
      </c>
      <c r="U8" s="92">
        <f>plachta3434[[#This Row],[SALES '[€']]]-plachta3434[[#This Row],[PURCHASE '[€']]]</f>
        <v>199</v>
      </c>
      <c r="V8" s="98">
        <f>plachta3434[[#This Row],[MARGIN '[€']]]/plachta3434[[#This Row],[SALES '[€']]]</f>
        <v>7.8069831306394666E-2</v>
      </c>
      <c r="W8" s="172">
        <v>9215170346</v>
      </c>
      <c r="X8" s="108" t="s">
        <v>80</v>
      </c>
      <c r="Y8" s="36">
        <v>1778</v>
      </c>
      <c r="Z8" s="173"/>
      <c r="AA8" s="36" t="s">
        <v>51</v>
      </c>
      <c r="AB8" s="93">
        <f>plachta3434[[#This Row],[PURCHASE '[€']]]/plachta3434[[#This Row],[KM]]</f>
        <v>1.3217097862767153</v>
      </c>
      <c r="AC8" s="93">
        <f>plachta3434[[#This Row],[SALES '[€']]]/plachta3434[[#This Row],[KM]]</f>
        <v>1.4336332958380202</v>
      </c>
      <c r="AD8" s="93"/>
      <c r="AE8" s="93"/>
      <c r="AF8" s="93"/>
      <c r="AG8" s="93"/>
      <c r="AH8" s="93"/>
      <c r="AI8" s="93"/>
      <c r="AJ8" s="93"/>
      <c r="AK8" s="93"/>
      <c r="AL8" s="93" t="str">
        <f>IF(plachta3434[[#This Row],[DELIVERY TIME]]="STORNO",IF(plachta3434[[#This Row],[CARRIER]]="NEPOTVRDENE","REFUSED","CANCELLED"),"OK")</f>
        <v>OK</v>
      </c>
      <c r="AM8" s="93"/>
      <c r="AN8" s="93" t="str">
        <f>IF(RIGHT(plachta3434[[#This Row],[CARRIER]],3)="-MF",921,"")</f>
        <v/>
      </c>
      <c r="AO8" s="93"/>
    </row>
    <row r="9" spans="1:41" ht="14.1">
      <c r="A9" s="91">
        <f>WEEKNUM(plachta3434[[#This Row],[LOADING DATE]],21)</f>
        <v>1</v>
      </c>
      <c r="B9" s="36" t="s">
        <v>41</v>
      </c>
      <c r="C9" s="125" t="s">
        <v>42</v>
      </c>
      <c r="D9" s="126" t="s">
        <v>43</v>
      </c>
      <c r="E9" s="36" t="s">
        <v>44</v>
      </c>
      <c r="F9" s="140">
        <v>45296</v>
      </c>
      <c r="G9" s="128">
        <v>0.85416666666666663</v>
      </c>
      <c r="H9" s="129" t="s">
        <v>81</v>
      </c>
      <c r="I9" s="130" t="s">
        <v>82</v>
      </c>
      <c r="J9" s="131" t="s">
        <v>83</v>
      </c>
      <c r="K9" s="140">
        <v>45300</v>
      </c>
      <c r="L9" s="128">
        <v>0.63541666666666663</v>
      </c>
      <c r="M9" s="133">
        <v>1003086768</v>
      </c>
      <c r="N9" s="134" t="s">
        <v>49</v>
      </c>
      <c r="O9" s="139" t="s">
        <v>50</v>
      </c>
      <c r="P9" s="36" t="s">
        <v>61</v>
      </c>
      <c r="Q9" s="63" t="s">
        <v>84</v>
      </c>
      <c r="R9" s="18" t="s">
        <v>85</v>
      </c>
      <c r="S9" s="141">
        <v>1854</v>
      </c>
      <c r="T9" s="137">
        <v>1730</v>
      </c>
      <c r="U9" s="92">
        <f>plachta3434[[#This Row],[SALES '[€']]]-plachta3434[[#This Row],[PURCHASE '[€']]]</f>
        <v>124</v>
      </c>
      <c r="V9" s="98">
        <f>plachta3434[[#This Row],[MARGIN '[€']]]/plachta3434[[#This Row],[SALES '[€']]]</f>
        <v>6.6882416396979505E-2</v>
      </c>
      <c r="W9" s="172">
        <v>9215170354</v>
      </c>
      <c r="X9" s="108" t="s">
        <v>86</v>
      </c>
      <c r="Y9" s="36">
        <v>1457</v>
      </c>
      <c r="Z9" s="173"/>
      <c r="AA9" s="36" t="s">
        <v>51</v>
      </c>
      <c r="AB9" s="93">
        <f>plachta3434[[#This Row],[PURCHASE '[€']]]/plachta3434[[#This Row],[KM]]</f>
        <v>1.1873713109128345</v>
      </c>
      <c r="AC9" s="93">
        <f>plachta3434[[#This Row],[SALES '[€']]]/plachta3434[[#This Row],[KM]]</f>
        <v>1.2724776938915581</v>
      </c>
      <c r="AD9" s="93"/>
      <c r="AE9" s="93"/>
      <c r="AF9" s="93"/>
      <c r="AG9" s="93"/>
      <c r="AH9" s="93"/>
      <c r="AI9" s="93"/>
      <c r="AJ9" s="93"/>
      <c r="AK9" s="93"/>
      <c r="AL9" s="93" t="str">
        <f>IF(plachta3434[[#This Row],[DELIVERY TIME]]="STORNO",IF(plachta3434[[#This Row],[CARRIER]]="NEPOTVRDENE","REFUSED","CANCELLED"),"OK")</f>
        <v>OK</v>
      </c>
      <c r="AM9" s="93"/>
      <c r="AN9" s="93" t="str">
        <f>IF(RIGHT(plachta3434[[#This Row],[CARRIER]],3)="-MF",921,"")</f>
        <v/>
      </c>
      <c r="AO9" s="93"/>
    </row>
    <row r="10" spans="1:41" ht="14.1">
      <c r="A10" s="91">
        <f>WEEKNUM(plachta3434[[#This Row],[LOADING DATE]],21)</f>
        <v>2</v>
      </c>
      <c r="B10" s="36" t="s">
        <v>41</v>
      </c>
      <c r="C10" s="125" t="s">
        <v>42</v>
      </c>
      <c r="D10" s="126" t="s">
        <v>43</v>
      </c>
      <c r="E10" s="36" t="s">
        <v>44</v>
      </c>
      <c r="F10" s="140">
        <v>45299</v>
      </c>
      <c r="G10" s="128">
        <v>0.79166666666666663</v>
      </c>
      <c r="H10" s="129" t="s">
        <v>45</v>
      </c>
      <c r="I10" s="130" t="s">
        <v>70</v>
      </c>
      <c r="J10" s="131" t="s">
        <v>87</v>
      </c>
      <c r="K10" s="140">
        <v>45302</v>
      </c>
      <c r="L10" s="128">
        <v>0.625</v>
      </c>
      <c r="M10" s="133">
        <v>1003084149</v>
      </c>
      <c r="N10" s="134" t="s">
        <v>49</v>
      </c>
      <c r="O10" s="139" t="s">
        <v>50</v>
      </c>
      <c r="P10" s="36" t="s">
        <v>88</v>
      </c>
      <c r="Q10" s="63" t="s">
        <v>89</v>
      </c>
      <c r="R10" s="94" t="s">
        <v>90</v>
      </c>
      <c r="S10" s="141">
        <f>2096+71</f>
        <v>2167</v>
      </c>
      <c r="T10" s="137">
        <v>1965</v>
      </c>
      <c r="U10" s="92">
        <f>plachta3434[[#This Row],[SALES '[€']]]-plachta3434[[#This Row],[PURCHASE '[€']]]</f>
        <v>202</v>
      </c>
      <c r="V10" s="98">
        <f>plachta3434[[#This Row],[MARGIN '[€']]]/plachta3434[[#This Row],[SALES '[€']]]</f>
        <v>9.3216428241808952E-2</v>
      </c>
      <c r="W10" s="172">
        <v>9215170546</v>
      </c>
      <c r="X10" s="108" t="s">
        <v>91</v>
      </c>
      <c r="Y10" s="36">
        <v>1656</v>
      </c>
      <c r="Z10" s="173" t="s">
        <v>92</v>
      </c>
      <c r="AA10" s="36" t="s">
        <v>51</v>
      </c>
      <c r="AB10" s="93">
        <f>plachta3434[[#This Row],[PURCHASE '[€']]]/plachta3434[[#This Row],[KM]]</f>
        <v>1.1865942028985508</v>
      </c>
      <c r="AC10" s="93">
        <f>plachta3434[[#This Row],[SALES '[€']]]/plachta3434[[#This Row],[KM]]</f>
        <v>1.3085748792270531</v>
      </c>
      <c r="AD10" s="93"/>
      <c r="AE10" s="93"/>
      <c r="AF10" s="93"/>
      <c r="AG10" s="93"/>
      <c r="AH10" s="93"/>
      <c r="AI10" s="93"/>
      <c r="AJ10" s="93"/>
      <c r="AK10" s="93"/>
      <c r="AL10" s="93" t="str">
        <f>IF(plachta3434[[#This Row],[DELIVERY TIME]]="STORNO",IF(plachta3434[[#This Row],[CARRIER]]="NEPOTVRDENE","REFUSED","CANCELLED"),"OK")</f>
        <v>OK</v>
      </c>
      <c r="AM10" s="93"/>
      <c r="AN10" s="93">
        <f>IF(RIGHT(plachta3434[[#This Row],[CARRIER]],3)="-MF",921,"")</f>
        <v>921</v>
      </c>
      <c r="AO10" s="93"/>
    </row>
    <row r="11" spans="1:41" ht="14.1">
      <c r="A11" s="91">
        <f>WEEKNUM(plachta3434[[#This Row],[LOADING DATE]],21)</f>
        <v>2</v>
      </c>
      <c r="B11" s="36" t="s">
        <v>41</v>
      </c>
      <c r="C11" s="125" t="s">
        <v>42</v>
      </c>
      <c r="D11" s="126" t="s">
        <v>43</v>
      </c>
      <c r="E11" s="36" t="s">
        <v>44</v>
      </c>
      <c r="F11" s="140">
        <v>45299</v>
      </c>
      <c r="G11" s="128">
        <v>0.79166666666666663</v>
      </c>
      <c r="H11" s="129" t="s">
        <v>45</v>
      </c>
      <c r="I11" s="130" t="s">
        <v>59</v>
      </c>
      <c r="J11" s="131" t="s">
        <v>93</v>
      </c>
      <c r="K11" s="140">
        <v>45302</v>
      </c>
      <c r="L11" s="128">
        <v>0.33333333333333331</v>
      </c>
      <c r="M11" s="133">
        <v>1003084150</v>
      </c>
      <c r="N11" s="134" t="s">
        <v>49</v>
      </c>
      <c r="O11" s="139" t="s">
        <v>50</v>
      </c>
      <c r="P11" s="36" t="s">
        <v>61</v>
      </c>
      <c r="Q11" s="63" t="s">
        <v>94</v>
      </c>
      <c r="R11" s="36" t="s">
        <v>85</v>
      </c>
      <c r="S11" s="160">
        <v>2356</v>
      </c>
      <c r="T11" s="137">
        <v>2170</v>
      </c>
      <c r="U11" s="92">
        <f>plachta3434[[#This Row],[SALES '[€']]]-plachta3434[[#This Row],[PURCHASE '[€']]]</f>
        <v>186</v>
      </c>
      <c r="V11" s="98">
        <f>plachta3434[[#This Row],[MARGIN '[€']]]/plachta3434[[#This Row],[SALES '[€']]]</f>
        <v>7.8947368421052627E-2</v>
      </c>
      <c r="W11" s="172">
        <v>9215170398</v>
      </c>
      <c r="X11" s="108" t="s">
        <v>95</v>
      </c>
      <c r="Y11" s="36">
        <v>1642</v>
      </c>
      <c r="Z11" s="173"/>
      <c r="AA11" s="36" t="s">
        <v>51</v>
      </c>
      <c r="AB11" s="93">
        <f>plachta3434[[#This Row],[PURCHASE '[€']]]/plachta3434[[#This Row],[KM]]</f>
        <v>1.3215590742996346</v>
      </c>
      <c r="AC11" s="93">
        <f>plachta3434[[#This Row],[SALES '[€']]]/plachta3434[[#This Row],[KM]]</f>
        <v>1.4348355663824603</v>
      </c>
      <c r="AD11" s="93"/>
      <c r="AE11" s="93"/>
      <c r="AF11" s="93"/>
      <c r="AG11" s="93"/>
      <c r="AH11" s="93"/>
      <c r="AI11" s="93"/>
      <c r="AJ11" s="93"/>
      <c r="AK11" s="93"/>
      <c r="AL11" s="93" t="str">
        <f>IF(plachta3434[[#This Row],[DELIVERY TIME]]="STORNO",IF(plachta3434[[#This Row],[CARRIER]]="NEPOTVRDENE","REFUSED","CANCELLED"),"OK")</f>
        <v>OK</v>
      </c>
      <c r="AM11" s="93"/>
      <c r="AN11" s="93" t="str">
        <f>IF(RIGHT(plachta3434[[#This Row],[CARRIER]],3)="-MF",921,"")</f>
        <v/>
      </c>
      <c r="AO11" s="93"/>
    </row>
    <row r="12" spans="1:41" ht="14.1">
      <c r="A12" s="91">
        <f>WEEKNUM(plachta3434[[#This Row],[LOADING DATE]],21)</f>
        <v>2</v>
      </c>
      <c r="B12" s="36" t="s">
        <v>41</v>
      </c>
      <c r="C12" s="125" t="s">
        <v>42</v>
      </c>
      <c r="D12" s="126" t="s">
        <v>43</v>
      </c>
      <c r="E12" s="36" t="s">
        <v>44</v>
      </c>
      <c r="F12" s="140">
        <v>45299</v>
      </c>
      <c r="G12" s="128">
        <v>0.70833333333333337</v>
      </c>
      <c r="H12" s="129" t="s">
        <v>45</v>
      </c>
      <c r="I12" s="130" t="s">
        <v>75</v>
      </c>
      <c r="J12" s="131" t="s">
        <v>76</v>
      </c>
      <c r="K12" s="140">
        <v>44937</v>
      </c>
      <c r="L12" s="128">
        <v>0.54166666666666663</v>
      </c>
      <c r="M12" s="133">
        <v>1003084154</v>
      </c>
      <c r="N12" s="134" t="s">
        <v>49</v>
      </c>
      <c r="O12" s="139" t="s">
        <v>50</v>
      </c>
      <c r="P12" s="18"/>
      <c r="Q12" s="63" t="s">
        <v>96</v>
      </c>
      <c r="R12" s="36" t="s">
        <v>97</v>
      </c>
      <c r="S12" s="141">
        <f>2478+71</f>
        <v>2549</v>
      </c>
      <c r="T12" s="137">
        <v>2480</v>
      </c>
      <c r="U12" s="92">
        <f>plachta3434[[#This Row],[SALES '[€']]]-plachta3434[[#This Row],[PURCHASE '[€']]]</f>
        <v>69</v>
      </c>
      <c r="V12" s="98">
        <f>plachta3434[[#This Row],[MARGIN '[€']]]/plachta3434[[#This Row],[SALES '[€']]]</f>
        <v>2.7069438995684581E-2</v>
      </c>
      <c r="W12" s="172">
        <v>9215170437</v>
      </c>
      <c r="X12" s="108" t="s">
        <v>98</v>
      </c>
      <c r="Y12" s="36">
        <v>1778</v>
      </c>
      <c r="Z12" s="173"/>
      <c r="AA12" s="36" t="s">
        <v>51</v>
      </c>
      <c r="AB12" s="93">
        <f>plachta3434[[#This Row],[PURCHASE '[€']]]/plachta3434[[#This Row],[KM]]</f>
        <v>1.3948256467941507</v>
      </c>
      <c r="AC12" s="93">
        <f>plachta3434[[#This Row],[SALES '[€']]]/plachta3434[[#This Row],[KM]]</f>
        <v>1.4336332958380202</v>
      </c>
      <c r="AD12" s="93"/>
      <c r="AE12" s="93"/>
      <c r="AF12" s="93"/>
      <c r="AG12" s="93"/>
      <c r="AH12" s="93"/>
      <c r="AI12" s="93"/>
      <c r="AJ12" s="93"/>
      <c r="AK12" s="93"/>
      <c r="AL12" s="93" t="str">
        <f>IF(plachta3434[[#This Row],[DELIVERY TIME]]="STORNO",IF(plachta3434[[#This Row],[CARRIER]]="NEPOTVRDENE","REFUSED","CANCELLED"),"OK")</f>
        <v>OK</v>
      </c>
      <c r="AM12" s="93"/>
      <c r="AN12" s="93" t="str">
        <f>IF(RIGHT(plachta3434[[#This Row],[CARRIER]],3)="-MF",921,"")</f>
        <v/>
      </c>
      <c r="AO12" s="93"/>
    </row>
    <row r="13" spans="1:41" ht="14.1">
      <c r="A13" s="91">
        <f>WEEKNUM(plachta3434[[#This Row],[LOADING DATE]],21)</f>
        <v>2</v>
      </c>
      <c r="B13" s="36" t="s">
        <v>41</v>
      </c>
      <c r="C13" s="125" t="s">
        <v>42</v>
      </c>
      <c r="D13" s="126" t="s">
        <v>43</v>
      </c>
      <c r="E13" s="36" t="s">
        <v>44</v>
      </c>
      <c r="F13" s="140">
        <v>45299</v>
      </c>
      <c r="G13" s="128">
        <v>0.79166666666666663</v>
      </c>
      <c r="H13" s="129" t="s">
        <v>45</v>
      </c>
      <c r="I13" s="130" t="s">
        <v>65</v>
      </c>
      <c r="J13" s="131" t="s">
        <v>99</v>
      </c>
      <c r="K13" s="140">
        <v>44937</v>
      </c>
      <c r="L13" s="128">
        <v>0.45833333333333331</v>
      </c>
      <c r="M13" s="133">
        <v>1003084157</v>
      </c>
      <c r="N13" s="134" t="s">
        <v>49</v>
      </c>
      <c r="O13" s="139" t="s">
        <v>50</v>
      </c>
      <c r="P13" s="118" t="s">
        <v>100</v>
      </c>
      <c r="Q13" s="63" t="s">
        <v>101</v>
      </c>
      <c r="R13" s="36" t="s">
        <v>85</v>
      </c>
      <c r="S13" s="142">
        <v>2504</v>
      </c>
      <c r="T13" s="137">
        <v>2300</v>
      </c>
      <c r="U13" s="92">
        <f>plachta3434[[#This Row],[SALES '[€']]]-plachta3434[[#This Row],[PURCHASE '[€']]]</f>
        <v>204</v>
      </c>
      <c r="V13" s="98">
        <f>plachta3434[[#This Row],[MARGIN '[€']]]/plachta3434[[#This Row],[SALES '[€']]]</f>
        <v>8.1469648562300323E-2</v>
      </c>
      <c r="W13" s="172">
        <v>9215170399</v>
      </c>
      <c r="X13" s="108" t="s">
        <v>102</v>
      </c>
      <c r="Y13" s="36">
        <v>1860</v>
      </c>
      <c r="Z13" s="173"/>
      <c r="AA13" s="36" t="s">
        <v>51</v>
      </c>
      <c r="AB13" s="93">
        <f>plachta3434[[#This Row],[PURCHASE '[€']]]/plachta3434[[#This Row],[KM]]</f>
        <v>1.2365591397849462</v>
      </c>
      <c r="AC13" s="93">
        <f>plachta3434[[#This Row],[SALES '[€']]]/plachta3434[[#This Row],[KM]]</f>
        <v>1.3462365591397849</v>
      </c>
      <c r="AD13" s="93"/>
      <c r="AE13" s="93"/>
      <c r="AF13" s="93"/>
      <c r="AG13" s="93"/>
      <c r="AH13" s="93"/>
      <c r="AI13" s="93"/>
      <c r="AJ13" s="93"/>
      <c r="AK13" s="93"/>
      <c r="AL13" s="93" t="str">
        <f>IF(plachta3434[[#This Row],[DELIVERY TIME]]="STORNO",IF(plachta3434[[#This Row],[CARRIER]]="NEPOTVRDENE","REFUSED","CANCELLED"),"OK")</f>
        <v>OK</v>
      </c>
      <c r="AM13" s="93"/>
      <c r="AN13" s="93" t="str">
        <f>IF(RIGHT(plachta3434[[#This Row],[CARRIER]],3)="-MF",921,"")</f>
        <v/>
      </c>
      <c r="AO13" s="93"/>
    </row>
    <row r="14" spans="1:41" ht="14.45">
      <c r="A14" s="91">
        <f>WEEKNUM(plachta3434[[#This Row],[LOADING DATE]],21)</f>
        <v>2</v>
      </c>
      <c r="B14" s="36" t="s">
        <v>41</v>
      </c>
      <c r="C14" s="125" t="s">
        <v>42</v>
      </c>
      <c r="D14" s="126" t="s">
        <v>43</v>
      </c>
      <c r="E14" s="36" t="s">
        <v>44</v>
      </c>
      <c r="F14" s="140">
        <v>45299</v>
      </c>
      <c r="G14" s="128">
        <v>0.79166666666666663</v>
      </c>
      <c r="H14" s="129" t="s">
        <v>45</v>
      </c>
      <c r="I14" s="130" t="s">
        <v>65</v>
      </c>
      <c r="J14" s="131" t="s">
        <v>99</v>
      </c>
      <c r="K14" s="140">
        <v>45302</v>
      </c>
      <c r="L14" s="128">
        <v>0.25</v>
      </c>
      <c r="M14" s="133">
        <v>1003096413</v>
      </c>
      <c r="N14" s="134" t="s">
        <v>49</v>
      </c>
      <c r="O14" s="139" t="s">
        <v>50</v>
      </c>
      <c r="P14" s="36"/>
      <c r="Q14" s="63" t="s">
        <v>103</v>
      </c>
      <c r="R14" s="36" t="s">
        <v>104</v>
      </c>
      <c r="S14" s="142">
        <v>2504</v>
      </c>
      <c r="T14" s="137">
        <v>2450</v>
      </c>
      <c r="U14" s="92">
        <f>plachta3434[[#This Row],[SALES '[€']]]-plachta3434[[#This Row],[PURCHASE '[€']]]</f>
        <v>54</v>
      </c>
      <c r="V14" s="98">
        <f>plachta3434[[#This Row],[MARGIN '[€']]]/plachta3434[[#This Row],[SALES '[€']]]</f>
        <v>2.1565495207667731E-2</v>
      </c>
      <c r="W14" s="172">
        <v>9215170495</v>
      </c>
      <c r="X14" s="108" t="s">
        <v>105</v>
      </c>
      <c r="Y14" s="36">
        <v>1860</v>
      </c>
      <c r="Z14" s="174" t="s">
        <v>106</v>
      </c>
      <c r="AA14" s="36" t="s">
        <v>51</v>
      </c>
      <c r="AB14" s="93">
        <f>plachta3434[[#This Row],[PURCHASE '[€']]]/plachta3434[[#This Row],[KM]]</f>
        <v>1.3172043010752688</v>
      </c>
      <c r="AC14" s="93">
        <f>plachta3434[[#This Row],[SALES '[€']]]/plachta3434[[#This Row],[KM]]</f>
        <v>1.3462365591397849</v>
      </c>
      <c r="AD14" s="93"/>
      <c r="AE14" s="93"/>
      <c r="AF14" s="93"/>
      <c r="AG14" s="93"/>
      <c r="AH14" s="93"/>
      <c r="AI14" s="93"/>
      <c r="AJ14" s="93"/>
      <c r="AK14" s="93"/>
      <c r="AL14" s="93" t="str">
        <f>IF(plachta3434[[#This Row],[DELIVERY TIME]]="STORNO",IF(plachta3434[[#This Row],[CARRIER]]="NEPOTVRDENE","REFUSED","CANCELLED"),"OK")</f>
        <v>OK</v>
      </c>
      <c r="AM14" s="93"/>
      <c r="AN14" s="93" t="str">
        <f>IF(RIGHT(plachta3434[[#This Row],[CARRIER]],3)="-MF",921,"")</f>
        <v/>
      </c>
      <c r="AO14" s="93"/>
    </row>
    <row r="15" spans="1:41" ht="14.1">
      <c r="A15" s="91">
        <f>WEEKNUM(plachta3434[[#This Row],[LOADING DATE]],21)</f>
        <v>2</v>
      </c>
      <c r="B15" s="36" t="s">
        <v>41</v>
      </c>
      <c r="C15" s="125" t="s">
        <v>42</v>
      </c>
      <c r="D15" s="126" t="s">
        <v>43</v>
      </c>
      <c r="E15" s="36" t="s">
        <v>44</v>
      </c>
      <c r="F15" s="140">
        <v>45300</v>
      </c>
      <c r="G15" s="128">
        <v>0.79166666666666663</v>
      </c>
      <c r="H15" s="129" t="s">
        <v>45</v>
      </c>
      <c r="I15" s="130" t="s">
        <v>46</v>
      </c>
      <c r="J15" s="131" t="s">
        <v>47</v>
      </c>
      <c r="K15" s="140">
        <v>45303</v>
      </c>
      <c r="L15" s="128">
        <v>0.375</v>
      </c>
      <c r="M15" s="133">
        <v>1003084163</v>
      </c>
      <c r="N15" s="134" t="s">
        <v>49</v>
      </c>
      <c r="O15" s="139" t="s">
        <v>50</v>
      </c>
      <c r="P15" s="36"/>
      <c r="Q15" s="63" t="s">
        <v>107</v>
      </c>
      <c r="R15" s="36" t="s">
        <v>97</v>
      </c>
      <c r="S15" s="136">
        <f>2188+71</f>
        <v>2259</v>
      </c>
      <c r="T15" s="137">
        <v>2230</v>
      </c>
      <c r="U15" s="92">
        <f>plachta3434[[#This Row],[SALES '[€']]]-plachta3434[[#This Row],[PURCHASE '[€']]]</f>
        <v>29</v>
      </c>
      <c r="V15" s="98">
        <f>plachta3434[[#This Row],[MARGIN '[€']]]/plachta3434[[#This Row],[SALES '[€']]]</f>
        <v>1.2837538733953076E-2</v>
      </c>
      <c r="W15" s="172">
        <v>9215170438</v>
      </c>
      <c r="X15" s="108" t="s">
        <v>108</v>
      </c>
      <c r="Y15" s="36">
        <v>1571</v>
      </c>
      <c r="Z15" s="173"/>
      <c r="AA15" s="36" t="s">
        <v>51</v>
      </c>
      <c r="AB15" s="93">
        <f>plachta3434[[#This Row],[PURCHASE '[€']]]/plachta3434[[#This Row],[KM]]</f>
        <v>1.4194780394653088</v>
      </c>
      <c r="AC15" s="93">
        <f>plachta3434[[#This Row],[SALES '[€']]]/plachta3434[[#This Row],[KM]]</f>
        <v>1.4379376193507321</v>
      </c>
      <c r="AD15" s="93"/>
      <c r="AE15" s="93"/>
      <c r="AF15" s="93"/>
      <c r="AG15" s="93"/>
      <c r="AH15" s="93"/>
      <c r="AI15" s="93"/>
      <c r="AJ15" s="93"/>
      <c r="AK15" s="93"/>
      <c r="AL15" s="93" t="str">
        <f>IF(plachta3434[[#This Row],[DELIVERY TIME]]="STORNO",IF(plachta3434[[#This Row],[CARRIER]]="NEPOTVRDENE","REFUSED","CANCELLED"),"OK")</f>
        <v>OK</v>
      </c>
      <c r="AM15" s="93"/>
      <c r="AN15" s="93" t="str">
        <f>IF(RIGHT(plachta3434[[#This Row],[CARRIER]],3)="-MF",921,"")</f>
        <v/>
      </c>
      <c r="AO15" s="93"/>
    </row>
    <row r="16" spans="1:41" ht="14.1">
      <c r="A16" s="91">
        <f>WEEKNUM(plachta3434[[#This Row],[LOADING DATE]],21)</f>
        <v>2</v>
      </c>
      <c r="B16" s="36" t="s">
        <v>41</v>
      </c>
      <c r="C16" s="125" t="s">
        <v>42</v>
      </c>
      <c r="D16" s="126" t="s">
        <v>43</v>
      </c>
      <c r="E16" s="36" t="s">
        <v>44</v>
      </c>
      <c r="F16" s="140">
        <v>45300</v>
      </c>
      <c r="G16" s="128">
        <v>0.79166666666666663</v>
      </c>
      <c r="H16" s="129" t="s">
        <v>45</v>
      </c>
      <c r="I16" s="130" t="s">
        <v>59</v>
      </c>
      <c r="J16" s="131" t="s">
        <v>109</v>
      </c>
      <c r="K16" s="140">
        <v>45303</v>
      </c>
      <c r="L16" s="128">
        <v>0.29166666666666669</v>
      </c>
      <c r="M16" s="133">
        <v>1003084827</v>
      </c>
      <c r="N16" s="134" t="s">
        <v>49</v>
      </c>
      <c r="O16" s="139" t="s">
        <v>50</v>
      </c>
      <c r="P16" s="36" t="s">
        <v>61</v>
      </c>
      <c r="Q16" s="63" t="s">
        <v>110</v>
      </c>
      <c r="R16" s="18" t="s">
        <v>63</v>
      </c>
      <c r="S16" s="160">
        <v>2356</v>
      </c>
      <c r="T16" s="137">
        <v>2225</v>
      </c>
      <c r="U16" s="92">
        <f>plachta3434[[#This Row],[SALES '[€']]]-plachta3434[[#This Row],[PURCHASE '[€']]]</f>
        <v>131</v>
      </c>
      <c r="V16" s="98">
        <f>plachta3434[[#This Row],[MARGIN '[€']]]/plachta3434[[#This Row],[SALES '[€']]]</f>
        <v>5.5602716468590829E-2</v>
      </c>
      <c r="W16" s="172">
        <v>9215170347</v>
      </c>
      <c r="X16" s="108" t="s">
        <v>111</v>
      </c>
      <c r="Y16" s="36">
        <v>1637</v>
      </c>
      <c r="Z16" s="173"/>
      <c r="AA16" s="36" t="s">
        <v>51</v>
      </c>
      <c r="AB16" s="93">
        <f>plachta3434[[#This Row],[PURCHASE '[€']]]/plachta3434[[#This Row],[KM]]</f>
        <v>1.3591936469150885</v>
      </c>
      <c r="AC16" s="93">
        <f>plachta3434[[#This Row],[SALES '[€']]]/plachta3434[[#This Row],[KM]]</f>
        <v>1.4392180818570557</v>
      </c>
      <c r="AD16" s="93"/>
      <c r="AE16" s="93"/>
      <c r="AF16" s="93"/>
      <c r="AG16" s="93"/>
      <c r="AH16" s="93"/>
      <c r="AI16" s="93"/>
      <c r="AJ16" s="93"/>
      <c r="AK16" s="93"/>
      <c r="AL16" s="93" t="str">
        <f>IF(plachta3434[[#This Row],[DELIVERY TIME]]="STORNO",IF(plachta3434[[#This Row],[CARRIER]]="NEPOTVRDENE","REFUSED","CANCELLED"),"OK")</f>
        <v>OK</v>
      </c>
      <c r="AM16" s="93"/>
      <c r="AN16" s="93" t="str">
        <f>IF(RIGHT(plachta3434[[#This Row],[CARRIER]],3)="-MF",921,"")</f>
        <v/>
      </c>
      <c r="AO16" s="93"/>
    </row>
    <row r="17" spans="1:41" ht="14.1">
      <c r="A17" s="91">
        <f>WEEKNUM(plachta3434[[#This Row],[LOADING DATE]],21)</f>
        <v>2</v>
      </c>
      <c r="B17" s="36" t="s">
        <v>41</v>
      </c>
      <c r="C17" s="125" t="s">
        <v>42</v>
      </c>
      <c r="D17" s="126" t="s">
        <v>43</v>
      </c>
      <c r="E17" s="36" t="s">
        <v>44</v>
      </c>
      <c r="F17" s="140">
        <v>45300</v>
      </c>
      <c r="G17" s="128">
        <v>0.85416666666666663</v>
      </c>
      <c r="H17" s="129" t="s">
        <v>45</v>
      </c>
      <c r="I17" s="130" t="s">
        <v>46</v>
      </c>
      <c r="J17" s="131" t="s">
        <v>47</v>
      </c>
      <c r="K17" s="140">
        <v>45303</v>
      </c>
      <c r="L17" s="128">
        <v>0.39583333333333331</v>
      </c>
      <c r="M17" s="133">
        <v>1003085912</v>
      </c>
      <c r="N17" s="134" t="s">
        <v>49</v>
      </c>
      <c r="O17" s="139" t="s">
        <v>50</v>
      </c>
      <c r="P17" s="36"/>
      <c r="Q17" s="87" t="s">
        <v>112</v>
      </c>
      <c r="R17" s="36" t="s">
        <v>97</v>
      </c>
      <c r="S17" s="136">
        <f>2188+71</f>
        <v>2259</v>
      </c>
      <c r="T17" s="137">
        <v>2230</v>
      </c>
      <c r="U17" s="92">
        <f>plachta3434[[#This Row],[SALES '[€']]]-plachta3434[[#This Row],[PURCHASE '[€']]]</f>
        <v>29</v>
      </c>
      <c r="V17" s="98">
        <f>plachta3434[[#This Row],[MARGIN '[€']]]/plachta3434[[#This Row],[SALES '[€']]]</f>
        <v>1.2837538733953076E-2</v>
      </c>
      <c r="W17" s="172">
        <v>9215170517</v>
      </c>
      <c r="X17" s="108" t="s">
        <v>113</v>
      </c>
      <c r="Y17" s="36">
        <v>1571</v>
      </c>
      <c r="Z17" s="173"/>
      <c r="AA17" s="36" t="s">
        <v>51</v>
      </c>
      <c r="AB17" s="93">
        <f>plachta3434[[#This Row],[PURCHASE '[€']]]/plachta3434[[#This Row],[KM]]</f>
        <v>1.4194780394653088</v>
      </c>
      <c r="AC17" s="93">
        <f>plachta3434[[#This Row],[SALES '[€']]]/plachta3434[[#This Row],[KM]]</f>
        <v>1.4379376193507321</v>
      </c>
      <c r="AD17" s="93"/>
      <c r="AE17" s="93"/>
      <c r="AF17" s="93"/>
      <c r="AG17" s="93"/>
      <c r="AH17" s="93"/>
      <c r="AI17" s="93"/>
      <c r="AJ17" s="93"/>
      <c r="AK17" s="93"/>
      <c r="AL17" s="93" t="str">
        <f>IF(plachta3434[[#This Row],[DELIVERY TIME]]="STORNO",IF(plachta3434[[#This Row],[CARRIER]]="NEPOTVRDENE","REFUSED","CANCELLED"),"OK")</f>
        <v>OK</v>
      </c>
      <c r="AM17" s="93"/>
      <c r="AN17" s="93" t="str">
        <f>IF(RIGHT(plachta3434[[#This Row],[CARRIER]],3)="-MF",921,"")</f>
        <v/>
      </c>
      <c r="AO17" s="93"/>
    </row>
    <row r="18" spans="1:41" ht="14.1">
      <c r="A18" s="91">
        <f>WEEKNUM(plachta3434[[#This Row],[LOADING DATE]],21)</f>
        <v>2</v>
      </c>
      <c r="B18" s="36" t="s">
        <v>41</v>
      </c>
      <c r="C18" s="125" t="s">
        <v>42</v>
      </c>
      <c r="D18" s="126" t="s">
        <v>43</v>
      </c>
      <c r="E18" s="36" t="s">
        <v>44</v>
      </c>
      <c r="F18" s="140">
        <v>45301</v>
      </c>
      <c r="G18" s="128">
        <v>0.85416666666666663</v>
      </c>
      <c r="H18" s="129" t="s">
        <v>45</v>
      </c>
      <c r="I18" s="130" t="s">
        <v>75</v>
      </c>
      <c r="J18" s="131" t="s">
        <v>76</v>
      </c>
      <c r="K18" s="140">
        <v>44941</v>
      </c>
      <c r="L18" s="128">
        <v>0.41666666666666669</v>
      </c>
      <c r="M18" s="133">
        <v>1003084821</v>
      </c>
      <c r="N18" s="134" t="s">
        <v>49</v>
      </c>
      <c r="O18" s="139" t="s">
        <v>50</v>
      </c>
      <c r="P18" s="36" t="s">
        <v>61</v>
      </c>
      <c r="Q18" s="63" t="s">
        <v>114</v>
      </c>
      <c r="R18" s="36" t="s">
        <v>85</v>
      </c>
      <c r="S18" s="141">
        <f>2478+71</f>
        <v>2549</v>
      </c>
      <c r="T18" s="137">
        <f>2277+70</f>
        <v>2347</v>
      </c>
      <c r="U18" s="92">
        <f>plachta3434[[#This Row],[SALES '[€']]]-plachta3434[[#This Row],[PURCHASE '[€']]]</f>
        <v>202</v>
      </c>
      <c r="V18" s="98">
        <f>plachta3434[[#This Row],[MARGIN '[€']]]/plachta3434[[#This Row],[SALES '[€']]]</f>
        <v>7.9246763436641818E-2</v>
      </c>
      <c r="W18" s="172">
        <v>9215170401</v>
      </c>
      <c r="X18" s="108" t="s">
        <v>115</v>
      </c>
      <c r="Y18" s="36">
        <v>1778</v>
      </c>
      <c r="Z18" s="173"/>
      <c r="AA18" s="36" t="s">
        <v>51</v>
      </c>
      <c r="AB18" s="93">
        <f>plachta3434[[#This Row],[PURCHASE '[€']]]/plachta3434[[#This Row],[KM]]</f>
        <v>1.3200224971878516</v>
      </c>
      <c r="AC18" s="93">
        <f>plachta3434[[#This Row],[SALES '[€']]]/plachta3434[[#This Row],[KM]]</f>
        <v>1.4336332958380202</v>
      </c>
      <c r="AD18" s="93"/>
      <c r="AE18" s="93"/>
      <c r="AF18" s="93"/>
      <c r="AG18" s="93"/>
      <c r="AH18" s="93"/>
      <c r="AI18" s="93"/>
      <c r="AJ18" s="93"/>
      <c r="AK18" s="93"/>
      <c r="AL18" s="93" t="str">
        <f>IF(plachta3434[[#This Row],[DELIVERY TIME]]="STORNO",IF(plachta3434[[#This Row],[CARRIER]]="NEPOTVRDENE","REFUSED","CANCELLED"),"OK")</f>
        <v>OK</v>
      </c>
      <c r="AM18" s="93"/>
      <c r="AN18" s="93" t="str">
        <f>IF(RIGHT(plachta3434[[#This Row],[CARRIER]],3)="-MF",921,"")</f>
        <v/>
      </c>
      <c r="AO18" s="93"/>
    </row>
    <row r="19" spans="1:41" ht="14.1">
      <c r="A19" s="91">
        <f>WEEKNUM(plachta3434[[#This Row],[LOADING DATE]],21)</f>
        <v>2</v>
      </c>
      <c r="B19" s="36" t="s">
        <v>41</v>
      </c>
      <c r="C19" s="125" t="s">
        <v>42</v>
      </c>
      <c r="D19" s="126" t="s">
        <v>43</v>
      </c>
      <c r="E19" s="36" t="s">
        <v>44</v>
      </c>
      <c r="F19" s="140">
        <v>45301</v>
      </c>
      <c r="G19" s="128">
        <v>0.85416666666666663</v>
      </c>
      <c r="H19" s="129" t="s">
        <v>45</v>
      </c>
      <c r="I19" s="130" t="s">
        <v>75</v>
      </c>
      <c r="J19" s="131" t="s">
        <v>76</v>
      </c>
      <c r="K19" s="140">
        <v>44941</v>
      </c>
      <c r="L19" s="128">
        <v>0.66666666666666663</v>
      </c>
      <c r="M19" s="133">
        <v>1003084824</v>
      </c>
      <c r="N19" s="134" t="s">
        <v>49</v>
      </c>
      <c r="O19" s="139" t="s">
        <v>50</v>
      </c>
      <c r="P19" s="36" t="s">
        <v>61</v>
      </c>
      <c r="Q19" s="63" t="s">
        <v>116</v>
      </c>
      <c r="R19" s="36" t="s">
        <v>85</v>
      </c>
      <c r="S19" s="141">
        <f>2478+71</f>
        <v>2549</v>
      </c>
      <c r="T19" s="137">
        <f>2277+70</f>
        <v>2347</v>
      </c>
      <c r="U19" s="92">
        <f>plachta3434[[#This Row],[SALES '[€']]]-plachta3434[[#This Row],[PURCHASE '[€']]]</f>
        <v>202</v>
      </c>
      <c r="V19" s="98">
        <f>plachta3434[[#This Row],[MARGIN '[€']]]/plachta3434[[#This Row],[SALES '[€']]]</f>
        <v>7.9246763436641818E-2</v>
      </c>
      <c r="W19" s="172">
        <v>9215170402</v>
      </c>
      <c r="X19" s="108" t="s">
        <v>117</v>
      </c>
      <c r="Y19" s="36">
        <v>1778</v>
      </c>
      <c r="Z19" s="173"/>
      <c r="AA19" s="36" t="s">
        <v>51</v>
      </c>
      <c r="AB19" s="93">
        <f>plachta3434[[#This Row],[PURCHASE '[€']]]/plachta3434[[#This Row],[KM]]</f>
        <v>1.3200224971878516</v>
      </c>
      <c r="AC19" s="93">
        <f>plachta3434[[#This Row],[SALES '[€']]]/plachta3434[[#This Row],[KM]]</f>
        <v>1.4336332958380202</v>
      </c>
      <c r="AD19" s="93"/>
      <c r="AE19" s="93"/>
      <c r="AF19" s="93"/>
      <c r="AG19" s="93"/>
      <c r="AH19" s="93"/>
      <c r="AI19" s="93"/>
      <c r="AJ19" s="93"/>
      <c r="AK19" s="93"/>
      <c r="AL19" s="93" t="str">
        <f>IF(plachta3434[[#This Row],[DELIVERY TIME]]="STORNO",IF(plachta3434[[#This Row],[CARRIER]]="NEPOTVRDENE","REFUSED","CANCELLED"),"OK")</f>
        <v>OK</v>
      </c>
      <c r="AM19" s="93"/>
      <c r="AN19" s="93" t="str">
        <f>IF(RIGHT(plachta3434[[#This Row],[CARRIER]],3)="-MF",921,"")</f>
        <v/>
      </c>
      <c r="AO19" s="93"/>
    </row>
    <row r="20" spans="1:41" ht="14.1">
      <c r="A20" s="91">
        <f>WEEKNUM(plachta3434[[#This Row],[LOADING DATE]],21)</f>
        <v>2</v>
      </c>
      <c r="B20" s="36" t="s">
        <v>41</v>
      </c>
      <c r="C20" s="125" t="s">
        <v>42</v>
      </c>
      <c r="D20" s="126" t="s">
        <v>43</v>
      </c>
      <c r="E20" s="36" t="s">
        <v>44</v>
      </c>
      <c r="F20" s="140">
        <v>45301</v>
      </c>
      <c r="G20" s="128">
        <v>0.79166666666666663</v>
      </c>
      <c r="H20" s="129" t="s">
        <v>45</v>
      </c>
      <c r="I20" s="130" t="s">
        <v>70</v>
      </c>
      <c r="J20" s="131" t="s">
        <v>87</v>
      </c>
      <c r="K20" s="140">
        <v>44941</v>
      </c>
      <c r="L20" s="128">
        <v>0.33333333333333331</v>
      </c>
      <c r="M20" s="133">
        <v>1003084669</v>
      </c>
      <c r="N20" s="134" t="s">
        <v>49</v>
      </c>
      <c r="O20" s="139" t="s">
        <v>50</v>
      </c>
      <c r="P20" s="36" t="s">
        <v>88</v>
      </c>
      <c r="Q20" s="63" t="s">
        <v>118</v>
      </c>
      <c r="R20" s="36" t="s">
        <v>119</v>
      </c>
      <c r="S20" s="141">
        <f>2096+71</f>
        <v>2167</v>
      </c>
      <c r="T20" s="137">
        <v>2060</v>
      </c>
      <c r="U20" s="92">
        <f>plachta3434[[#This Row],[SALES '[€']]]-plachta3434[[#This Row],[PURCHASE '[€']]]</f>
        <v>107</v>
      </c>
      <c r="V20" s="98">
        <f>plachta3434[[#This Row],[MARGIN '[€']]]/plachta3434[[#This Row],[SALES '[€']]]</f>
        <v>4.9377018920166126E-2</v>
      </c>
      <c r="W20" s="172">
        <v>9215170563</v>
      </c>
      <c r="X20" s="108" t="s">
        <v>120</v>
      </c>
      <c r="Y20" s="36">
        <v>1570</v>
      </c>
      <c r="Z20" s="173"/>
      <c r="AA20" s="36" t="s">
        <v>51</v>
      </c>
      <c r="AB20" s="93">
        <f>plachta3434[[#This Row],[PURCHASE '[€']]]/plachta3434[[#This Row],[KM]]</f>
        <v>1.3121019108280254</v>
      </c>
      <c r="AC20" s="93">
        <f>plachta3434[[#This Row],[SALES '[€']]]/plachta3434[[#This Row],[KM]]</f>
        <v>1.3802547770700637</v>
      </c>
      <c r="AD20" s="93"/>
      <c r="AE20" s="93"/>
      <c r="AF20" s="93"/>
      <c r="AG20" s="93"/>
      <c r="AH20" s="93"/>
      <c r="AI20" s="93"/>
      <c r="AJ20" s="93"/>
      <c r="AK20" s="93"/>
      <c r="AL20" s="93" t="str">
        <f>IF(plachta3434[[#This Row],[DELIVERY TIME]]="STORNO",IF(plachta3434[[#This Row],[CARRIER]]="NEPOTVRDENE","REFUSED","CANCELLED"),"OK")</f>
        <v>OK</v>
      </c>
      <c r="AM20" s="93"/>
      <c r="AN20" s="93" t="str">
        <f>IF(RIGHT(plachta3434[[#This Row],[CARRIER]],3)="-MF",921,"")</f>
        <v/>
      </c>
      <c r="AO20" s="93"/>
    </row>
    <row r="21" spans="1:41" ht="14.1">
      <c r="A21" s="91">
        <f>WEEKNUM(plachta3434[[#This Row],[LOADING DATE]],21)</f>
        <v>2</v>
      </c>
      <c r="B21" s="36" t="s">
        <v>41</v>
      </c>
      <c r="C21" s="125" t="s">
        <v>42</v>
      </c>
      <c r="D21" s="126" t="s">
        <v>43</v>
      </c>
      <c r="E21" s="36" t="s">
        <v>44</v>
      </c>
      <c r="F21" s="140">
        <v>45301</v>
      </c>
      <c r="G21" s="128">
        <v>0.70833333333333337</v>
      </c>
      <c r="H21" s="129" t="s">
        <v>45</v>
      </c>
      <c r="I21" s="130" t="s">
        <v>121</v>
      </c>
      <c r="J21" s="131" t="s">
        <v>122</v>
      </c>
      <c r="K21" s="140">
        <v>44941</v>
      </c>
      <c r="L21" s="128">
        <v>0.33333333333333331</v>
      </c>
      <c r="M21" s="133">
        <v>1003084826</v>
      </c>
      <c r="N21" s="134">
        <v>2.6</v>
      </c>
      <c r="O21" s="139" t="s">
        <v>50</v>
      </c>
      <c r="P21" s="36" t="s">
        <v>123</v>
      </c>
      <c r="Q21" s="63" t="s">
        <v>124</v>
      </c>
      <c r="R21" s="36" t="s">
        <v>85</v>
      </c>
      <c r="S21" s="136">
        <v>1700</v>
      </c>
      <c r="T21" s="137">
        <v>1650</v>
      </c>
      <c r="U21" s="92">
        <f>plachta3434[[#This Row],[SALES '[€']]]-plachta3434[[#This Row],[PURCHASE '[€']]]</f>
        <v>50</v>
      </c>
      <c r="V21" s="98">
        <f>plachta3434[[#This Row],[MARGIN '[€']]]/plachta3434[[#This Row],[SALES '[€']]]</f>
        <v>2.9411764705882353E-2</v>
      </c>
      <c r="W21" s="172">
        <v>9215170519</v>
      </c>
      <c r="X21" s="108" t="s">
        <v>125</v>
      </c>
      <c r="Y21" s="36">
        <v>1175</v>
      </c>
      <c r="Z21" s="173" t="s">
        <v>126</v>
      </c>
      <c r="AA21" s="36" t="s">
        <v>51</v>
      </c>
      <c r="AB21" s="93">
        <f>plachta3434[[#This Row],[PURCHASE '[€']]]/plachta3434[[#This Row],[KM]]</f>
        <v>1.4042553191489362</v>
      </c>
      <c r="AC21" s="93">
        <f>plachta3434[[#This Row],[SALES '[€']]]/plachta3434[[#This Row],[KM]]</f>
        <v>1.446808510638298</v>
      </c>
      <c r="AD21" s="93"/>
      <c r="AE21" s="93"/>
      <c r="AF21" s="93"/>
      <c r="AG21" s="93"/>
      <c r="AH21" s="93"/>
      <c r="AI21" s="93"/>
      <c r="AJ21" s="93"/>
      <c r="AK21" s="93"/>
      <c r="AL21" s="93" t="str">
        <f>IF(plachta3434[[#This Row],[DELIVERY TIME]]="STORNO",IF(plachta3434[[#This Row],[CARRIER]]="NEPOTVRDENE","REFUSED","CANCELLED"),"OK")</f>
        <v>OK</v>
      </c>
      <c r="AM21" s="93"/>
      <c r="AN21" s="93" t="str">
        <f>IF(RIGHT(plachta3434[[#This Row],[CARRIER]],3)="-MF",921,"")</f>
        <v/>
      </c>
      <c r="AO21" s="93"/>
    </row>
    <row r="22" spans="1:41" ht="14.1">
      <c r="A22" s="91">
        <f>WEEKNUM(plachta3434[[#This Row],[LOADING DATE]],21)</f>
        <v>2</v>
      </c>
      <c r="B22" s="36" t="s">
        <v>41</v>
      </c>
      <c r="C22" s="125" t="s">
        <v>42</v>
      </c>
      <c r="D22" s="126" t="s">
        <v>43</v>
      </c>
      <c r="E22" s="36" t="s">
        <v>44</v>
      </c>
      <c r="F22" s="140">
        <v>45301</v>
      </c>
      <c r="G22" s="128">
        <v>0.79166666666666663</v>
      </c>
      <c r="H22" s="129" t="s">
        <v>45</v>
      </c>
      <c r="I22" s="130" t="s">
        <v>46</v>
      </c>
      <c r="J22" s="131" t="s">
        <v>47</v>
      </c>
      <c r="K22" s="140">
        <v>45306</v>
      </c>
      <c r="L22" s="128">
        <v>0.29166666666666669</v>
      </c>
      <c r="M22" s="133">
        <v>1003074066</v>
      </c>
      <c r="N22" s="134" t="s">
        <v>49</v>
      </c>
      <c r="O22" s="139" t="s">
        <v>50</v>
      </c>
      <c r="P22" s="143" t="s">
        <v>127</v>
      </c>
      <c r="Q22" s="63" t="s">
        <v>128</v>
      </c>
      <c r="R22" s="36" t="s">
        <v>129</v>
      </c>
      <c r="S22" s="136">
        <f>2188+71</f>
        <v>2259</v>
      </c>
      <c r="T22" s="137">
        <v>2200</v>
      </c>
      <c r="U22" s="92">
        <f>plachta3434[[#This Row],[SALES '[€']]]-plachta3434[[#This Row],[PURCHASE '[€']]]</f>
        <v>59</v>
      </c>
      <c r="V22" s="98">
        <f>plachta3434[[#This Row],[MARGIN '[€']]]/plachta3434[[#This Row],[SALES '[€']]]</f>
        <v>2.6117751217352811E-2</v>
      </c>
      <c r="W22" s="172">
        <v>9215170518</v>
      </c>
      <c r="X22" s="108" t="s">
        <v>130</v>
      </c>
      <c r="Y22" s="36">
        <v>1571</v>
      </c>
      <c r="Z22" s="173" t="s">
        <v>131</v>
      </c>
      <c r="AA22" s="36" t="s">
        <v>51</v>
      </c>
      <c r="AB22" s="93">
        <f>plachta3434[[#This Row],[PURCHASE '[€']]]/plachta3434[[#This Row],[KM]]</f>
        <v>1.400381922342457</v>
      </c>
      <c r="AC22" s="93">
        <f>plachta3434[[#This Row],[SALES '[€']]]/plachta3434[[#This Row],[KM]]</f>
        <v>1.4379376193507321</v>
      </c>
      <c r="AD22" s="93"/>
      <c r="AE22" s="93"/>
      <c r="AF22" s="93"/>
      <c r="AG22" s="93"/>
      <c r="AH22" s="93"/>
      <c r="AI22" s="93"/>
      <c r="AJ22" s="93"/>
      <c r="AK22" s="93"/>
      <c r="AL22" s="93" t="str">
        <f>IF(plachta3434[[#This Row],[DELIVERY TIME]]="STORNO",IF(plachta3434[[#This Row],[CARRIER]]="NEPOTVRDENE","REFUSED","CANCELLED"),"OK")</f>
        <v>OK</v>
      </c>
      <c r="AM22" s="93"/>
      <c r="AN22" s="93" t="str">
        <f>IF(RIGHT(plachta3434[[#This Row],[CARRIER]],3)="-MF",921,"")</f>
        <v/>
      </c>
      <c r="AO22" s="93"/>
    </row>
    <row r="23" spans="1:41" ht="14.1">
      <c r="A23" s="91">
        <f>WEEKNUM(plachta3434[[#This Row],[LOADING DATE]],21)</f>
        <v>2</v>
      </c>
      <c r="B23" s="36" t="s">
        <v>41</v>
      </c>
      <c r="C23" s="125" t="s">
        <v>42</v>
      </c>
      <c r="D23" s="126" t="s">
        <v>43</v>
      </c>
      <c r="E23" s="36" t="s">
        <v>44</v>
      </c>
      <c r="F23" s="140">
        <v>45302</v>
      </c>
      <c r="G23" s="128">
        <v>0.79166666666666663</v>
      </c>
      <c r="H23" s="129" t="s">
        <v>45</v>
      </c>
      <c r="I23" s="130" t="s">
        <v>75</v>
      </c>
      <c r="J23" s="131" t="s">
        <v>76</v>
      </c>
      <c r="K23" s="140">
        <v>45307</v>
      </c>
      <c r="L23" s="128">
        <v>0.625</v>
      </c>
      <c r="M23" s="133">
        <v>1003089816</v>
      </c>
      <c r="N23" s="134" t="s">
        <v>49</v>
      </c>
      <c r="O23" s="139" t="s">
        <v>50</v>
      </c>
      <c r="P23" s="36" t="s">
        <v>61</v>
      </c>
      <c r="Q23" s="63" t="s">
        <v>132</v>
      </c>
      <c r="R23" s="36" t="s">
        <v>85</v>
      </c>
      <c r="S23" s="141">
        <f>2478+71</f>
        <v>2549</v>
      </c>
      <c r="T23" s="137">
        <f>2277+70</f>
        <v>2347</v>
      </c>
      <c r="U23" s="92">
        <f>plachta3434[[#This Row],[SALES '[€']]]-plachta3434[[#This Row],[PURCHASE '[€']]]</f>
        <v>202</v>
      </c>
      <c r="V23" s="98">
        <f>plachta3434[[#This Row],[MARGIN '[€']]]/plachta3434[[#This Row],[SALES '[€']]]</f>
        <v>7.9246763436641818E-2</v>
      </c>
      <c r="W23" s="172">
        <v>9215170521</v>
      </c>
      <c r="X23" s="108" t="s">
        <v>133</v>
      </c>
      <c r="Y23" s="36">
        <v>1778</v>
      </c>
      <c r="Z23" s="173"/>
      <c r="AA23" s="36" t="s">
        <v>51</v>
      </c>
      <c r="AB23" s="93">
        <f>plachta3434[[#This Row],[PURCHASE '[€']]]/plachta3434[[#This Row],[KM]]</f>
        <v>1.3200224971878516</v>
      </c>
      <c r="AC23" s="93">
        <f>plachta3434[[#This Row],[SALES '[€']]]/plachta3434[[#This Row],[KM]]</f>
        <v>1.4336332958380202</v>
      </c>
      <c r="AD23" s="93"/>
      <c r="AE23" s="93"/>
      <c r="AF23" s="93"/>
      <c r="AG23" s="93"/>
      <c r="AH23" s="93"/>
      <c r="AI23" s="93"/>
      <c r="AJ23" s="93"/>
      <c r="AK23" s="93"/>
      <c r="AL23" s="93" t="str">
        <f>IF(plachta3434[[#This Row],[DELIVERY TIME]]="STORNO",IF(plachta3434[[#This Row],[CARRIER]]="NEPOTVRDENE","REFUSED","CANCELLED"),"OK")</f>
        <v>OK</v>
      </c>
      <c r="AM23" s="93"/>
      <c r="AN23" s="93" t="str">
        <f>IF(RIGHT(plachta3434[[#This Row],[CARRIER]],3)="-MF",921,"")</f>
        <v/>
      </c>
      <c r="AO23" s="93"/>
    </row>
    <row r="24" spans="1:41" ht="14.1">
      <c r="A24" s="91">
        <f>WEEKNUM(plachta3434[[#This Row],[LOADING DATE]],21)</f>
        <v>2</v>
      </c>
      <c r="B24" s="36" t="s">
        <v>41</v>
      </c>
      <c r="C24" s="125" t="s">
        <v>42</v>
      </c>
      <c r="D24" s="126" t="s">
        <v>43</v>
      </c>
      <c r="E24" s="36" t="s">
        <v>44</v>
      </c>
      <c r="F24" s="140">
        <v>45302</v>
      </c>
      <c r="G24" s="128">
        <v>0.79166666666666663</v>
      </c>
      <c r="H24" s="129" t="s">
        <v>45</v>
      </c>
      <c r="I24" s="130" t="s">
        <v>46</v>
      </c>
      <c r="J24" s="131" t="s">
        <v>134</v>
      </c>
      <c r="K24" s="140">
        <v>45307</v>
      </c>
      <c r="L24" s="128">
        <v>0.35416666666666669</v>
      </c>
      <c r="M24" s="133">
        <v>1003089820</v>
      </c>
      <c r="N24" s="134" t="s">
        <v>49</v>
      </c>
      <c r="O24" s="139" t="s">
        <v>50</v>
      </c>
      <c r="P24" s="36"/>
      <c r="Q24" s="63" t="s">
        <v>135</v>
      </c>
      <c r="R24" s="36" t="s">
        <v>97</v>
      </c>
      <c r="S24" s="136">
        <f>2188+71</f>
        <v>2259</v>
      </c>
      <c r="T24" s="137">
        <v>2230</v>
      </c>
      <c r="U24" s="92">
        <f>plachta3434[[#This Row],[SALES '[€']]]-plachta3434[[#This Row],[PURCHASE '[€']]]</f>
        <v>29</v>
      </c>
      <c r="V24" s="98">
        <f>plachta3434[[#This Row],[MARGIN '[€']]]/plachta3434[[#This Row],[SALES '[€']]]</f>
        <v>1.2837538733953076E-2</v>
      </c>
      <c r="W24" s="172">
        <v>9215170634</v>
      </c>
      <c r="X24" s="108" t="s">
        <v>136</v>
      </c>
      <c r="Y24" s="36">
        <v>1529</v>
      </c>
      <c r="Z24" s="173"/>
      <c r="AA24" s="36" t="s">
        <v>51</v>
      </c>
      <c r="AB24" s="93">
        <f>plachta3434[[#This Row],[PURCHASE '[€']]]/plachta3434[[#This Row],[KM]]</f>
        <v>1.4584695879659908</v>
      </c>
      <c r="AC24" s="93">
        <f>plachta3434[[#This Row],[SALES '[€']]]/plachta3434[[#This Row],[KM]]</f>
        <v>1.4774362328319164</v>
      </c>
      <c r="AD24" s="93"/>
      <c r="AE24" s="93"/>
      <c r="AF24" s="93"/>
      <c r="AG24" s="93"/>
      <c r="AH24" s="93"/>
      <c r="AI24" s="93"/>
      <c r="AJ24" s="93"/>
      <c r="AK24" s="93"/>
      <c r="AL24" s="93" t="str">
        <f>IF(plachta3434[[#This Row],[DELIVERY TIME]]="STORNO",IF(plachta3434[[#This Row],[CARRIER]]="NEPOTVRDENE","REFUSED","CANCELLED"),"OK")</f>
        <v>OK</v>
      </c>
      <c r="AM24" s="93"/>
      <c r="AN24" s="93" t="str">
        <f>IF(RIGHT(plachta3434[[#This Row],[CARRIER]],3)="-MF",921,"")</f>
        <v/>
      </c>
      <c r="AO24" s="93"/>
    </row>
    <row r="25" spans="1:41" ht="14.1">
      <c r="A25" s="91">
        <f>WEEKNUM(plachta3434[[#This Row],[LOADING DATE]],21)</f>
        <v>2</v>
      </c>
      <c r="B25" s="36" t="s">
        <v>41</v>
      </c>
      <c r="C25" s="125" t="s">
        <v>42</v>
      </c>
      <c r="D25" s="126" t="s">
        <v>43</v>
      </c>
      <c r="E25" s="36" t="s">
        <v>44</v>
      </c>
      <c r="F25" s="140">
        <v>45303</v>
      </c>
      <c r="G25" s="128">
        <v>0.79166666666666663</v>
      </c>
      <c r="H25" s="129" t="s">
        <v>45</v>
      </c>
      <c r="I25" s="130" t="s">
        <v>65</v>
      </c>
      <c r="J25" s="131" t="s">
        <v>99</v>
      </c>
      <c r="K25" s="140">
        <v>45308</v>
      </c>
      <c r="L25" s="128">
        <v>0.375</v>
      </c>
      <c r="M25" s="133">
        <v>1003089827</v>
      </c>
      <c r="N25" s="134" t="s">
        <v>49</v>
      </c>
      <c r="O25" s="139" t="s">
        <v>50</v>
      </c>
      <c r="P25" s="36"/>
      <c r="Q25" s="63" t="s">
        <v>137</v>
      </c>
      <c r="R25" s="36" t="s">
        <v>138</v>
      </c>
      <c r="S25" s="142">
        <v>2504</v>
      </c>
      <c r="T25" s="137">
        <v>2300</v>
      </c>
      <c r="U25" s="92">
        <f>plachta3434[[#This Row],[SALES '[€']]]-plachta3434[[#This Row],[PURCHASE '[€']]]</f>
        <v>204</v>
      </c>
      <c r="V25" s="98">
        <f>plachta3434[[#This Row],[MARGIN '[€']]]/plachta3434[[#This Row],[SALES '[€']]]</f>
        <v>8.1469648562300323E-2</v>
      </c>
      <c r="W25" s="172">
        <v>9215170436</v>
      </c>
      <c r="X25" s="108" t="s">
        <v>139</v>
      </c>
      <c r="Y25" s="36">
        <v>1860</v>
      </c>
      <c r="Z25" s="173"/>
      <c r="AA25" s="36" t="s">
        <v>51</v>
      </c>
      <c r="AB25" s="93">
        <f>plachta3434[[#This Row],[PURCHASE '[€']]]/plachta3434[[#This Row],[KM]]</f>
        <v>1.2365591397849462</v>
      </c>
      <c r="AC25" s="93">
        <f>plachta3434[[#This Row],[SALES '[€']]]/plachta3434[[#This Row],[KM]]</f>
        <v>1.3462365591397849</v>
      </c>
      <c r="AD25" s="93"/>
      <c r="AE25" s="93"/>
      <c r="AF25" s="93"/>
      <c r="AG25" s="93"/>
      <c r="AH25" s="93"/>
      <c r="AI25" s="93"/>
      <c r="AJ25" s="93"/>
      <c r="AK25" s="93"/>
      <c r="AL25" s="93" t="str">
        <f>IF(plachta3434[[#This Row],[DELIVERY TIME]]="STORNO",IF(plachta3434[[#This Row],[CARRIER]]="NEPOTVRDENE","REFUSED","CANCELLED"),"OK")</f>
        <v>OK</v>
      </c>
      <c r="AM25" s="93"/>
      <c r="AN25" s="93" t="str">
        <f>IF(RIGHT(plachta3434[[#This Row],[CARRIER]],3)="-MF",921,"")</f>
        <v/>
      </c>
      <c r="AO25" s="93"/>
    </row>
    <row r="26" spans="1:41" ht="14.1">
      <c r="A26" s="91">
        <f>WEEKNUM(plachta3434[[#This Row],[LOADING DATE]],21)</f>
        <v>2</v>
      </c>
      <c r="B26" s="36" t="s">
        <v>41</v>
      </c>
      <c r="C26" s="125" t="s">
        <v>42</v>
      </c>
      <c r="D26" s="126" t="s">
        <v>43</v>
      </c>
      <c r="E26" s="36" t="s">
        <v>44</v>
      </c>
      <c r="F26" s="140">
        <v>45303</v>
      </c>
      <c r="G26" s="128">
        <v>0.79166666666666663</v>
      </c>
      <c r="H26" s="129" t="s">
        <v>45</v>
      </c>
      <c r="I26" s="130" t="s">
        <v>75</v>
      </c>
      <c r="J26" s="131" t="s">
        <v>76</v>
      </c>
      <c r="K26" s="140">
        <v>45308</v>
      </c>
      <c r="L26" s="128">
        <v>0.41666666666666669</v>
      </c>
      <c r="M26" s="133">
        <v>1003089825</v>
      </c>
      <c r="N26" s="134" t="s">
        <v>49</v>
      </c>
      <c r="O26" s="139" t="s">
        <v>50</v>
      </c>
      <c r="P26" s="36" t="s">
        <v>61</v>
      </c>
      <c r="Q26" s="63" t="s">
        <v>140</v>
      </c>
      <c r="R26" s="36" t="s">
        <v>85</v>
      </c>
      <c r="S26" s="141">
        <f>2478+71</f>
        <v>2549</v>
      </c>
      <c r="T26" s="137">
        <f>2277+70</f>
        <v>2347</v>
      </c>
      <c r="U26" s="92">
        <f>plachta3434[[#This Row],[SALES '[€']]]-plachta3434[[#This Row],[PURCHASE '[€']]]</f>
        <v>202</v>
      </c>
      <c r="V26" s="98">
        <f>plachta3434[[#This Row],[MARGIN '[€']]]/plachta3434[[#This Row],[SALES '[€']]]</f>
        <v>7.9246763436641818E-2</v>
      </c>
      <c r="W26" s="172">
        <v>9215170522</v>
      </c>
      <c r="X26" s="108" t="s">
        <v>141</v>
      </c>
      <c r="Y26" s="36">
        <v>1778</v>
      </c>
      <c r="Z26" s="173"/>
      <c r="AA26" s="36" t="s">
        <v>51</v>
      </c>
      <c r="AB26" s="93">
        <f>plachta3434[[#This Row],[PURCHASE '[€']]]/plachta3434[[#This Row],[KM]]</f>
        <v>1.3200224971878516</v>
      </c>
      <c r="AC26" s="93">
        <f>plachta3434[[#This Row],[SALES '[€']]]/plachta3434[[#This Row],[KM]]</f>
        <v>1.4336332958380202</v>
      </c>
      <c r="AD26" s="93"/>
      <c r="AE26" s="93"/>
      <c r="AF26" s="93"/>
      <c r="AG26" s="93"/>
      <c r="AH26" s="93"/>
      <c r="AI26" s="93"/>
      <c r="AJ26" s="93"/>
      <c r="AK26" s="93"/>
      <c r="AL26" s="93" t="str">
        <f>IF(plachta3434[[#This Row],[DELIVERY TIME]]="STORNO",IF(plachta3434[[#This Row],[CARRIER]]="NEPOTVRDENE","REFUSED","CANCELLED"),"OK")</f>
        <v>OK</v>
      </c>
      <c r="AM26" s="93"/>
      <c r="AN26" s="93" t="str">
        <f>IF(RIGHT(plachta3434[[#This Row],[CARRIER]],3)="-MF",921,"")</f>
        <v/>
      </c>
      <c r="AO26" s="93"/>
    </row>
    <row r="27" spans="1:41" ht="14.1">
      <c r="A27" s="91">
        <f>WEEKNUM(plachta3434[[#This Row],[LOADING DATE]],21)</f>
        <v>2</v>
      </c>
      <c r="B27" s="36" t="s">
        <v>41</v>
      </c>
      <c r="C27" s="125" t="s">
        <v>42</v>
      </c>
      <c r="D27" s="126" t="s">
        <v>43</v>
      </c>
      <c r="E27" s="36" t="s">
        <v>44</v>
      </c>
      <c r="F27" s="140">
        <v>45303</v>
      </c>
      <c r="G27" s="128">
        <v>0.70833333333333337</v>
      </c>
      <c r="H27" s="129" t="s">
        <v>45</v>
      </c>
      <c r="I27" s="130" t="s">
        <v>142</v>
      </c>
      <c r="J27" s="131" t="s">
        <v>143</v>
      </c>
      <c r="K27" s="140">
        <v>45307</v>
      </c>
      <c r="L27" s="128">
        <v>0.41666666666666669</v>
      </c>
      <c r="M27" s="133">
        <v>1003089817</v>
      </c>
      <c r="N27" s="144" t="s">
        <v>49</v>
      </c>
      <c r="O27" s="139" t="s">
        <v>50</v>
      </c>
      <c r="P27" s="110"/>
      <c r="Q27" s="63" t="s">
        <v>144</v>
      </c>
      <c r="R27" s="36" t="s">
        <v>119</v>
      </c>
      <c r="S27" s="141">
        <v>2065</v>
      </c>
      <c r="T27" s="137">
        <v>2000</v>
      </c>
      <c r="U27" s="92">
        <f>plachta3434[[#This Row],[SALES '[€']]]-plachta3434[[#This Row],[PURCHASE '[€']]]</f>
        <v>65</v>
      </c>
      <c r="V27" s="98">
        <f>plachta3434[[#This Row],[MARGIN '[€']]]/plachta3434[[#This Row],[SALES '[€']]]</f>
        <v>3.1476997578692496E-2</v>
      </c>
      <c r="W27" s="172">
        <v>9215170698</v>
      </c>
      <c r="X27" s="108" t="s">
        <v>145</v>
      </c>
      <c r="Y27" s="36">
        <v>1562</v>
      </c>
      <c r="Z27" s="173"/>
      <c r="AA27" s="36" t="s">
        <v>51</v>
      </c>
      <c r="AB27" s="93">
        <f>plachta3434[[#This Row],[PURCHASE '[€']]]/plachta3434[[#This Row],[KM]]</f>
        <v>1.2804097311139564</v>
      </c>
      <c r="AC27" s="93">
        <f>plachta3434[[#This Row],[SALES '[€']]]/plachta3434[[#This Row],[KM]]</f>
        <v>1.32202304737516</v>
      </c>
      <c r="AD27" s="93"/>
      <c r="AE27" s="93"/>
      <c r="AF27" s="93"/>
      <c r="AG27" s="93"/>
      <c r="AH27" s="93"/>
      <c r="AI27" s="93"/>
      <c r="AJ27" s="93"/>
      <c r="AK27" s="93"/>
      <c r="AL27" s="93" t="str">
        <f>IF(plachta3434[[#This Row],[DELIVERY TIME]]="STORNO",IF(plachta3434[[#This Row],[CARRIER]]="NEPOTVRDENE","REFUSED","CANCELLED"),"OK")</f>
        <v>OK</v>
      </c>
      <c r="AM27" s="93"/>
      <c r="AN27" s="93" t="str">
        <f>IF(RIGHT(plachta3434[[#This Row],[CARRIER]],3)="-MF",921,"")</f>
        <v/>
      </c>
      <c r="AO27" s="93"/>
    </row>
    <row r="28" spans="1:41" ht="14.45">
      <c r="A28" s="91">
        <f>WEEKNUM(plachta3434[[#This Row],[LOADING DATE]],21)</f>
        <v>3</v>
      </c>
      <c r="B28" s="18" t="s">
        <v>41</v>
      </c>
      <c r="C28" s="145" t="s">
        <v>42</v>
      </c>
      <c r="D28" s="146" t="s">
        <v>43</v>
      </c>
      <c r="E28" s="18" t="s">
        <v>44</v>
      </c>
      <c r="F28" s="140">
        <v>45306</v>
      </c>
      <c r="G28" s="147">
        <v>0.45833333333333331</v>
      </c>
      <c r="H28" s="101" t="s">
        <v>45</v>
      </c>
      <c r="I28" s="101" t="s">
        <v>70</v>
      </c>
      <c r="J28" s="131" t="s">
        <v>87</v>
      </c>
      <c r="K28" s="140">
        <v>45309</v>
      </c>
      <c r="L28" s="128">
        <v>0.39583333333333331</v>
      </c>
      <c r="M28" s="133">
        <v>1003091902</v>
      </c>
      <c r="N28" t="s">
        <v>49</v>
      </c>
      <c r="O28" s="95" t="s">
        <v>50</v>
      </c>
      <c r="P28" t="s">
        <v>61</v>
      </c>
      <c r="Q28" s="63" t="s">
        <v>72</v>
      </c>
      <c r="R28" s="94" t="s">
        <v>73</v>
      </c>
      <c r="S28" s="141">
        <f>2096+71</f>
        <v>2167</v>
      </c>
      <c r="T28" s="137">
        <v>1845.47</v>
      </c>
      <c r="U28" s="92">
        <f>plachta3434[[#This Row],[SALES '[€']]]-plachta3434[[#This Row],[PURCHASE '[€']]]</f>
        <v>321.52999999999997</v>
      </c>
      <c r="V28" s="98">
        <f>plachta3434[[#This Row],[MARGIN '[€']]]/plachta3434[[#This Row],[SALES '[€']]]</f>
        <v>0.14837563451776647</v>
      </c>
      <c r="W28" s="172">
        <v>9215170778</v>
      </c>
      <c r="X28" s="108" t="s">
        <v>146</v>
      </c>
      <c r="Y28" s="36">
        <v>1577</v>
      </c>
      <c r="Z28" s="88"/>
      <c r="AA28" s="36" t="s">
        <v>51</v>
      </c>
      <c r="AB28" s="93">
        <f>plachta3434[[#This Row],[PURCHASE '[€']]]/plachta3434[[#This Row],[KM]]</f>
        <v>1.1702409638554216</v>
      </c>
      <c r="AC28" s="93">
        <f>plachta3434[[#This Row],[SALES '[€']]]/plachta3434[[#This Row],[KM]]</f>
        <v>1.3741280913126188</v>
      </c>
      <c r="AD28" s="93"/>
      <c r="AE28" s="93"/>
      <c r="AF28" s="93"/>
      <c r="AG28" s="93"/>
      <c r="AH28" s="93"/>
      <c r="AI28" s="93"/>
      <c r="AJ28" s="93"/>
      <c r="AK28" s="93"/>
      <c r="AL28" s="93" t="str">
        <f>IF(plachta3434[[#This Row],[DELIVERY TIME]]="STORNO",IF(plachta3434[[#This Row],[CARRIER]]="NEPOTVRDENE","REFUSED","CANCELLED"),"OK")</f>
        <v>OK</v>
      </c>
      <c r="AM28" s="93"/>
      <c r="AN28" s="93">
        <f>IF(RIGHT(plachta3434[[#This Row],[CARRIER]],3)="-MF",921,"")</f>
        <v>921</v>
      </c>
      <c r="AO28" s="93"/>
    </row>
    <row r="29" spans="1:41" ht="14.45">
      <c r="A29" s="91">
        <f>WEEKNUM(plachta3434[[#This Row],[LOADING DATE]],21)</f>
        <v>3</v>
      </c>
      <c r="B29" s="18" t="s">
        <v>41</v>
      </c>
      <c r="C29" s="145" t="s">
        <v>42</v>
      </c>
      <c r="D29" s="146" t="s">
        <v>43</v>
      </c>
      <c r="E29" s="18" t="s">
        <v>44</v>
      </c>
      <c r="F29" s="140">
        <v>45306</v>
      </c>
      <c r="G29" s="147">
        <v>0.79166666666666663</v>
      </c>
      <c r="H29" s="101" t="s">
        <v>45</v>
      </c>
      <c r="I29" s="101" t="s">
        <v>59</v>
      </c>
      <c r="J29" s="148" t="s">
        <v>109</v>
      </c>
      <c r="K29" s="140">
        <v>45309</v>
      </c>
      <c r="L29" s="120" t="s">
        <v>48</v>
      </c>
      <c r="M29" s="149">
        <v>1003091901</v>
      </c>
      <c r="N29" t="s">
        <v>49</v>
      </c>
      <c r="O29" s="90" t="s">
        <v>50</v>
      </c>
      <c r="P29" s="150"/>
      <c r="Q29" s="63"/>
      <c r="R29" s="36" t="s">
        <v>147</v>
      </c>
      <c r="S29" s="160">
        <v>2356</v>
      </c>
      <c r="T29" s="137">
        <v>2200</v>
      </c>
      <c r="U29" s="92">
        <f>plachta3434[[#This Row],[SALES '[€']]]-plachta3434[[#This Row],[PURCHASE '[€']]]</f>
        <v>156</v>
      </c>
      <c r="V29" s="98">
        <f>plachta3434[[#This Row],[MARGIN '[€']]]/plachta3434[[#This Row],[SALES '[€']]]</f>
        <v>6.6213921901528014E-2</v>
      </c>
      <c r="W29" s="172">
        <v>9215170668</v>
      </c>
      <c r="X29" s="108" t="s">
        <v>148</v>
      </c>
      <c r="Y29" s="36">
        <v>1637</v>
      </c>
      <c r="Z29" s="88"/>
      <c r="AA29" s="36" t="s">
        <v>51</v>
      </c>
      <c r="AB29" s="93">
        <f>plachta3434[[#This Row],[PURCHASE '[€']]]/plachta3434[[#This Row],[KM]]</f>
        <v>1.3439218081857056</v>
      </c>
      <c r="AC29" s="93">
        <f>plachta3434[[#This Row],[SALES '[€']]]/plachta3434[[#This Row],[KM]]</f>
        <v>1.4392180818570557</v>
      </c>
      <c r="AD29" s="93"/>
      <c r="AE29" s="93"/>
      <c r="AF29" s="93"/>
      <c r="AG29" s="93"/>
      <c r="AH29" s="93"/>
      <c r="AI29" s="93"/>
      <c r="AJ29" s="93"/>
      <c r="AK29" s="93"/>
      <c r="AL29" s="93" t="str">
        <f>IF(plachta3434[[#This Row],[DELIVERY TIME]]="STORNO",IF(plachta3434[[#This Row],[CARRIER]]="NEPOTVRDENE","REFUSED","CANCELLED"),"OK")</f>
        <v>CANCELLED</v>
      </c>
      <c r="AM29" s="93"/>
      <c r="AN29" s="93" t="str">
        <f>IF(RIGHT(plachta3434[[#This Row],[CARRIER]],3)="-MF",921,"")</f>
        <v/>
      </c>
      <c r="AO29" s="93"/>
    </row>
    <row r="30" spans="1:41" ht="14.45">
      <c r="A30" s="91">
        <f>WEEKNUM(plachta3434[[#This Row],[LOADING DATE]],21)</f>
        <v>3</v>
      </c>
      <c r="B30" s="18" t="s">
        <v>41</v>
      </c>
      <c r="C30" s="145" t="s">
        <v>42</v>
      </c>
      <c r="D30" s="146" t="s">
        <v>43</v>
      </c>
      <c r="E30" s="18" t="s">
        <v>44</v>
      </c>
      <c r="F30" s="140">
        <v>45306</v>
      </c>
      <c r="G30" s="147">
        <v>0.70833333333333337</v>
      </c>
      <c r="H30" s="101" t="s">
        <v>45</v>
      </c>
      <c r="I30" s="101" t="s">
        <v>59</v>
      </c>
      <c r="J30" s="74" t="s">
        <v>60</v>
      </c>
      <c r="K30" s="140">
        <v>45309</v>
      </c>
      <c r="L30" s="132" t="s">
        <v>48</v>
      </c>
      <c r="M30" s="133">
        <v>1003091900</v>
      </c>
      <c r="N30" t="s">
        <v>49</v>
      </c>
      <c r="O30" s="90" t="s">
        <v>50</v>
      </c>
      <c r="P30" t="s">
        <v>61</v>
      </c>
      <c r="Q30" s="63"/>
      <c r="R30" s="36"/>
      <c r="S30" s="137"/>
      <c r="T30" s="137"/>
      <c r="U30" s="92">
        <f>plachta3434[[#This Row],[SALES '[€']]]-plachta3434[[#This Row],[PURCHASE '[€']]]</f>
        <v>0</v>
      </c>
      <c r="V30" s="98" t="e">
        <f>plachta3434[[#This Row],[MARGIN '[€']]]/plachta3434[[#This Row],[SALES '[€']]]</f>
        <v>#DIV/0!</v>
      </c>
      <c r="W30" s="172"/>
      <c r="X30" s="108"/>
      <c r="Y30" s="36">
        <v>1629</v>
      </c>
      <c r="Z30" s="88"/>
      <c r="AA30" s="36" t="s">
        <v>51</v>
      </c>
      <c r="AB30" s="93">
        <f>plachta3434[[#This Row],[PURCHASE '[€']]]/plachta3434[[#This Row],[KM]]</f>
        <v>0</v>
      </c>
      <c r="AC30" s="93">
        <f>plachta3434[[#This Row],[SALES '[€']]]/plachta3434[[#This Row],[KM]]</f>
        <v>0</v>
      </c>
      <c r="AD30" s="93"/>
      <c r="AE30" s="93"/>
      <c r="AF30" s="93"/>
      <c r="AG30" s="93"/>
      <c r="AH30" s="93"/>
      <c r="AI30" s="93"/>
      <c r="AJ30" s="93"/>
      <c r="AK30" s="93"/>
      <c r="AL30" s="93" t="str">
        <f>IF(plachta3434[[#This Row],[DELIVERY TIME]]="STORNO",IF(plachta3434[[#This Row],[CARRIER]]="NEPOTVRDENE","REFUSED","CANCELLED"),"OK")</f>
        <v>CANCELLED</v>
      </c>
      <c r="AM30" s="93"/>
      <c r="AN30" s="93" t="str">
        <f>IF(RIGHT(plachta3434[[#This Row],[CARRIER]],3)="-MF",921,"")</f>
        <v/>
      </c>
      <c r="AO30" s="93"/>
    </row>
    <row r="31" spans="1:41" ht="14.1">
      <c r="A31" s="91">
        <f>WEEKNUM(plachta3434[[#This Row],[LOADING DATE]],21)</f>
        <v>3</v>
      </c>
      <c r="B31" s="36" t="s">
        <v>41</v>
      </c>
      <c r="C31" s="125" t="s">
        <v>42</v>
      </c>
      <c r="D31" s="126" t="s">
        <v>43</v>
      </c>
      <c r="E31" s="36" t="s">
        <v>44</v>
      </c>
      <c r="F31" s="127">
        <v>45306</v>
      </c>
      <c r="G31" s="128">
        <v>0.79166666666666663</v>
      </c>
      <c r="H31" s="129" t="s">
        <v>45</v>
      </c>
      <c r="I31" s="130" t="s">
        <v>65</v>
      </c>
      <c r="J31" s="131" t="s">
        <v>66</v>
      </c>
      <c r="K31" s="127">
        <v>45309</v>
      </c>
      <c r="L31" s="128">
        <v>0.72916666666666663</v>
      </c>
      <c r="M31" s="133">
        <v>1003091503</v>
      </c>
      <c r="N31" s="134" t="s">
        <v>49</v>
      </c>
      <c r="O31" s="139" t="s">
        <v>50</v>
      </c>
      <c r="P31" s="118" t="s">
        <v>149</v>
      </c>
      <c r="Q31" s="63" t="s">
        <v>150</v>
      </c>
      <c r="R31" s="36" t="s">
        <v>63</v>
      </c>
      <c r="S31" s="141">
        <v>2504</v>
      </c>
      <c r="T31" s="137">
        <v>2350</v>
      </c>
      <c r="U31" s="92">
        <f>plachta3434[[#This Row],[SALES '[€']]]-plachta3434[[#This Row],[PURCHASE '[€']]]</f>
        <v>154</v>
      </c>
      <c r="V31" s="98">
        <f>plachta3434[[#This Row],[MARGIN '[€']]]/plachta3434[[#This Row],[SALES '[€']]]</f>
        <v>6.1501597444089458E-2</v>
      </c>
      <c r="W31" s="172">
        <v>9215170704</v>
      </c>
      <c r="X31" s="108" t="s">
        <v>151</v>
      </c>
      <c r="Y31" s="36">
        <v>1778</v>
      </c>
      <c r="Z31" s="173"/>
      <c r="AA31" s="36" t="s">
        <v>51</v>
      </c>
      <c r="AB31" s="93">
        <f>plachta3434[[#This Row],[PURCHASE '[€']]]/plachta3434[[#This Row],[KM]]</f>
        <v>1.3217097862767153</v>
      </c>
      <c r="AC31" s="93">
        <f>plachta3434[[#This Row],[SALES '[€']]]/plachta3434[[#This Row],[KM]]</f>
        <v>1.4083239595050618</v>
      </c>
      <c r="AD31" s="93"/>
      <c r="AE31" s="93"/>
      <c r="AF31" s="93"/>
      <c r="AG31" s="93"/>
      <c r="AH31" s="93"/>
      <c r="AI31" s="93"/>
      <c r="AJ31" s="93"/>
      <c r="AK31" s="93"/>
      <c r="AL31" s="93" t="str">
        <f>IF(plachta3434[[#This Row],[DELIVERY TIME]]="STORNO",IF(plachta3434[[#This Row],[CARRIER]]="NEPOTVRDENE","REFUSED","CANCELLED"),"OK")</f>
        <v>OK</v>
      </c>
      <c r="AM31" s="93"/>
      <c r="AN31" s="93" t="str">
        <f>IF(RIGHT(plachta3434[[#This Row],[CARRIER]],3)="-MF",921,"")</f>
        <v/>
      </c>
      <c r="AO31" s="93"/>
    </row>
    <row r="32" spans="1:41" ht="14.1">
      <c r="A32" s="91">
        <f>WEEKNUM(plachta3434[[#This Row],[LOADING DATE]],21)</f>
        <v>3</v>
      </c>
      <c r="B32" s="36" t="s">
        <v>41</v>
      </c>
      <c r="C32" s="125" t="s">
        <v>42</v>
      </c>
      <c r="D32" s="126" t="s">
        <v>43</v>
      </c>
      <c r="E32" s="36" t="s">
        <v>44</v>
      </c>
      <c r="F32" s="140">
        <v>45307</v>
      </c>
      <c r="G32" s="128">
        <v>0.58333333333333337</v>
      </c>
      <c r="H32" s="129" t="s">
        <v>81</v>
      </c>
      <c r="I32" s="130" t="s">
        <v>82</v>
      </c>
      <c r="J32" s="131" t="s">
        <v>83</v>
      </c>
      <c r="K32" s="140">
        <v>45309</v>
      </c>
      <c r="L32" s="128">
        <v>0.59375</v>
      </c>
      <c r="M32" s="133">
        <v>1003092726</v>
      </c>
      <c r="N32" s="134" t="s">
        <v>49</v>
      </c>
      <c r="O32" s="139" t="s">
        <v>50</v>
      </c>
      <c r="P32" s="36" t="s">
        <v>61</v>
      </c>
      <c r="Q32" s="63" t="s">
        <v>152</v>
      </c>
      <c r="R32" s="36" t="s">
        <v>153</v>
      </c>
      <c r="S32" s="141">
        <v>1854</v>
      </c>
      <c r="T32" s="137">
        <v>1730</v>
      </c>
      <c r="U32" s="92">
        <f>plachta3434[[#This Row],[SALES '[€']]]-plachta3434[[#This Row],[PURCHASE '[€']]]</f>
        <v>124</v>
      </c>
      <c r="V32" s="98">
        <f>plachta3434[[#This Row],[MARGIN '[€']]]/plachta3434[[#This Row],[SALES '[€']]]</f>
        <v>6.6882416396979505E-2</v>
      </c>
      <c r="W32" s="172">
        <v>9215170669</v>
      </c>
      <c r="X32" s="108" t="s">
        <v>148</v>
      </c>
      <c r="Y32" s="36">
        <v>1457</v>
      </c>
      <c r="Z32" s="88"/>
      <c r="AA32" s="36" t="s">
        <v>51</v>
      </c>
      <c r="AB32" s="93">
        <f>plachta3434[[#This Row],[PURCHASE '[€']]]/plachta3434[[#This Row],[KM]]</f>
        <v>1.1873713109128345</v>
      </c>
      <c r="AC32" s="93">
        <f>plachta3434[[#This Row],[SALES '[€']]]/plachta3434[[#This Row],[KM]]</f>
        <v>1.2724776938915581</v>
      </c>
      <c r="AD32" s="93"/>
      <c r="AE32" s="93"/>
      <c r="AF32" s="93"/>
      <c r="AG32" s="93"/>
      <c r="AH32" s="93"/>
      <c r="AI32" s="93"/>
      <c r="AJ32" s="93"/>
      <c r="AK32" s="93"/>
      <c r="AL32" s="93" t="str">
        <f>IF(plachta3434[[#This Row],[DELIVERY TIME]]="STORNO",IF(plachta3434[[#This Row],[CARRIER]]="NEPOTVRDENE","REFUSED","CANCELLED"),"OK")</f>
        <v>OK</v>
      </c>
      <c r="AM32" s="93"/>
      <c r="AN32" s="93" t="str">
        <f>IF(RIGHT(plachta3434[[#This Row],[CARRIER]],3)="-MF",921,"")</f>
        <v/>
      </c>
      <c r="AO32" s="93"/>
    </row>
    <row r="33" spans="1:41" ht="14.1">
      <c r="A33" s="91">
        <f>WEEKNUM(plachta3434[[#This Row],[LOADING DATE]],21)</f>
        <v>3</v>
      </c>
      <c r="B33" s="36" t="s">
        <v>41</v>
      </c>
      <c r="C33" s="125" t="s">
        <v>42</v>
      </c>
      <c r="D33" s="126" t="s">
        <v>43</v>
      </c>
      <c r="E33" s="36" t="s">
        <v>44</v>
      </c>
      <c r="F33" s="140">
        <v>45308</v>
      </c>
      <c r="G33" s="128">
        <v>0.79166666666666663</v>
      </c>
      <c r="H33" s="129" t="s">
        <v>45</v>
      </c>
      <c r="I33" s="130" t="s">
        <v>59</v>
      </c>
      <c r="J33" s="182" t="s">
        <v>109</v>
      </c>
      <c r="K33" s="140">
        <v>45313</v>
      </c>
      <c r="L33" s="128">
        <v>0.375</v>
      </c>
      <c r="M33" s="133">
        <v>1003101031</v>
      </c>
      <c r="N33" s="134" t="s">
        <v>49</v>
      </c>
      <c r="O33" s="139" t="s">
        <v>50</v>
      </c>
      <c r="P33" s="36"/>
      <c r="Q33" s="63" t="s">
        <v>154</v>
      </c>
      <c r="R33" s="36" t="s">
        <v>147</v>
      </c>
      <c r="S33" s="160">
        <v>2356</v>
      </c>
      <c r="T33" s="151">
        <v>2200</v>
      </c>
      <c r="U33" s="92">
        <f>plachta3434[[#This Row],[SALES '[€']]]-plachta3434[[#This Row],[PURCHASE '[€']]]</f>
        <v>156</v>
      </c>
      <c r="V33" s="98">
        <f>plachta3434[[#This Row],[MARGIN '[€']]]/plachta3434[[#This Row],[SALES '[€']]]</f>
        <v>6.6213921901528014E-2</v>
      </c>
      <c r="W33" s="172">
        <v>9215170673</v>
      </c>
      <c r="X33" s="108" t="s">
        <v>155</v>
      </c>
      <c r="Y33" s="36">
        <v>1637</v>
      </c>
      <c r="Z33" s="173"/>
      <c r="AA33" s="36" t="s">
        <v>51</v>
      </c>
      <c r="AB33" s="93">
        <f>plachta3434[[#This Row],[PURCHASE '[€']]]/plachta3434[[#This Row],[KM]]</f>
        <v>1.3439218081857056</v>
      </c>
      <c r="AC33" s="93">
        <f>plachta3434[[#This Row],[SALES '[€']]]/plachta3434[[#This Row],[KM]]</f>
        <v>1.4392180818570557</v>
      </c>
      <c r="AD33" s="93"/>
      <c r="AE33" s="93"/>
      <c r="AF33" s="93"/>
      <c r="AG33" s="93"/>
      <c r="AH33" s="93"/>
      <c r="AI33" s="93"/>
      <c r="AJ33" s="93"/>
      <c r="AK33" s="93"/>
      <c r="AL33" s="93" t="str">
        <f>IF(plachta3434[[#This Row],[DELIVERY TIME]]="STORNO",IF(plachta3434[[#This Row],[CARRIER]]="NEPOTVRDENE","REFUSED","CANCELLED"),"OK")</f>
        <v>OK</v>
      </c>
      <c r="AM33" s="93"/>
      <c r="AN33" s="93" t="str">
        <f>IF(RIGHT(plachta3434[[#This Row],[CARRIER]],3)="-MF",921,"")</f>
        <v/>
      </c>
      <c r="AO33" s="93"/>
    </row>
    <row r="34" spans="1:41" ht="14.1">
      <c r="A34" s="91">
        <f>WEEKNUM(plachta3434[[#This Row],[LOADING DATE]],21)</f>
        <v>3</v>
      </c>
      <c r="B34" s="36" t="s">
        <v>41</v>
      </c>
      <c r="C34" s="125" t="s">
        <v>42</v>
      </c>
      <c r="D34" s="126" t="s">
        <v>43</v>
      </c>
      <c r="E34" s="36" t="s">
        <v>44</v>
      </c>
      <c r="F34" s="140">
        <v>45308</v>
      </c>
      <c r="G34" s="128">
        <v>0.79166666666666663</v>
      </c>
      <c r="H34" s="129" t="s">
        <v>45</v>
      </c>
      <c r="I34" s="130" t="s">
        <v>59</v>
      </c>
      <c r="J34" s="148" t="s">
        <v>109</v>
      </c>
      <c r="K34" s="140">
        <v>45313</v>
      </c>
      <c r="L34" s="128">
        <v>0.29166666666666669</v>
      </c>
      <c r="M34" s="133">
        <v>1003101457</v>
      </c>
      <c r="N34" s="134" t="s">
        <v>49</v>
      </c>
      <c r="O34" s="139" t="s">
        <v>50</v>
      </c>
      <c r="P34" s="36" t="s">
        <v>61</v>
      </c>
      <c r="Q34" s="63" t="s">
        <v>156</v>
      </c>
      <c r="R34" s="36" t="s">
        <v>63</v>
      </c>
      <c r="S34" s="160">
        <v>2356</v>
      </c>
      <c r="T34" s="137">
        <v>2225</v>
      </c>
      <c r="U34" s="92">
        <f>plachta3434[[#This Row],[SALES '[€']]]-plachta3434[[#This Row],[PURCHASE '[€']]]</f>
        <v>131</v>
      </c>
      <c r="V34" s="98">
        <f>plachta3434[[#This Row],[MARGIN '[€']]]/plachta3434[[#This Row],[SALES '[€']]]</f>
        <v>5.5602716468590829E-2</v>
      </c>
      <c r="W34" s="172">
        <v>9215170705</v>
      </c>
      <c r="X34" s="108" t="s">
        <v>157</v>
      </c>
      <c r="Y34" s="36">
        <v>1637</v>
      </c>
      <c r="Z34" s="173"/>
      <c r="AA34" s="36" t="s">
        <v>51</v>
      </c>
      <c r="AB34" s="93">
        <f>plachta3434[[#This Row],[PURCHASE '[€']]]/plachta3434[[#This Row],[KM]]</f>
        <v>1.3591936469150885</v>
      </c>
      <c r="AC34" s="93">
        <f>plachta3434[[#This Row],[SALES '[€']]]/plachta3434[[#This Row],[KM]]</f>
        <v>1.4392180818570557</v>
      </c>
      <c r="AD34" s="93"/>
      <c r="AE34" s="93"/>
      <c r="AF34" s="93"/>
      <c r="AG34" s="93"/>
      <c r="AH34" s="93"/>
      <c r="AI34" s="93"/>
      <c r="AJ34" s="93"/>
      <c r="AK34" s="93"/>
      <c r="AL34" s="93" t="str">
        <f>IF(plachta3434[[#This Row],[DELIVERY TIME]]="STORNO",IF(plachta3434[[#This Row],[CARRIER]]="NEPOTVRDENE","REFUSED","CANCELLED"),"OK")</f>
        <v>OK</v>
      </c>
      <c r="AM34" s="93"/>
      <c r="AN34" s="93" t="str">
        <f>IF(RIGHT(plachta3434[[#This Row],[CARRIER]],3)="-MF",921,"")</f>
        <v/>
      </c>
      <c r="AO34" s="93"/>
    </row>
    <row r="35" spans="1:41" ht="14.1">
      <c r="A35" s="91">
        <f>WEEKNUM(plachta3434[[#This Row],[LOADING DATE]],21)</f>
        <v>3</v>
      </c>
      <c r="B35" s="36" t="s">
        <v>41</v>
      </c>
      <c r="C35" s="125" t="s">
        <v>42</v>
      </c>
      <c r="D35" s="126" t="s">
        <v>158</v>
      </c>
      <c r="E35" s="36" t="s">
        <v>44</v>
      </c>
      <c r="F35" s="140">
        <v>45308</v>
      </c>
      <c r="G35" s="128">
        <v>0.70833333333333337</v>
      </c>
      <c r="H35" s="129" t="s">
        <v>45</v>
      </c>
      <c r="I35" s="130" t="s">
        <v>75</v>
      </c>
      <c r="J35" s="158" t="s">
        <v>76</v>
      </c>
      <c r="K35" s="140">
        <v>45313</v>
      </c>
      <c r="L35" s="152">
        <v>0.25</v>
      </c>
      <c r="M35" s="133">
        <v>1003101032</v>
      </c>
      <c r="N35" s="134" t="s">
        <v>49</v>
      </c>
      <c r="O35" s="139" t="s">
        <v>50</v>
      </c>
      <c r="P35" s="36"/>
      <c r="Q35" s="63" t="s">
        <v>159</v>
      </c>
      <c r="R35" s="36" t="s">
        <v>147</v>
      </c>
      <c r="S35" s="160">
        <v>2549</v>
      </c>
      <c r="T35" s="137">
        <v>2450</v>
      </c>
      <c r="U35" s="92">
        <f>plachta3434[[#This Row],[SALES '[€']]]-plachta3434[[#This Row],[PURCHASE '[€']]]</f>
        <v>99</v>
      </c>
      <c r="V35" s="98">
        <f>plachta3434[[#This Row],[MARGIN '[€']]]/plachta3434[[#This Row],[SALES '[€']]]</f>
        <v>3.8838760298156139E-2</v>
      </c>
      <c r="W35" s="172">
        <v>9215170706</v>
      </c>
      <c r="X35" s="108" t="s">
        <v>160</v>
      </c>
      <c r="Y35" s="36">
        <v>1778</v>
      </c>
      <c r="Z35" s="173"/>
      <c r="AA35" s="36" t="s">
        <v>51</v>
      </c>
      <c r="AB35" s="93">
        <f>plachta3434[[#This Row],[PURCHASE '[€']]]/plachta3434[[#This Row],[KM]]</f>
        <v>1.3779527559055118</v>
      </c>
      <c r="AC35" s="93">
        <f>plachta3434[[#This Row],[SALES '[€']]]/plachta3434[[#This Row],[KM]]</f>
        <v>1.4336332958380202</v>
      </c>
      <c r="AD35" s="93"/>
      <c r="AE35" s="93"/>
      <c r="AF35" s="93"/>
      <c r="AG35" s="93"/>
      <c r="AH35" s="93"/>
      <c r="AI35" s="93"/>
      <c r="AJ35" s="93"/>
      <c r="AK35" s="93"/>
      <c r="AL35" s="93" t="str">
        <f>IF(plachta3434[[#This Row],[DELIVERY TIME]]="STORNO",IF(plachta3434[[#This Row],[CARRIER]]="NEPOTVRDENE","REFUSED","CANCELLED"),"OK")</f>
        <v>OK</v>
      </c>
      <c r="AM35" s="93"/>
      <c r="AN35" s="93" t="str">
        <f>IF(RIGHT(plachta3434[[#This Row],[CARRIER]],3)="-MF",921,"")</f>
        <v/>
      </c>
      <c r="AO35" s="93"/>
    </row>
    <row r="36" spans="1:41" ht="14.1">
      <c r="A36" s="91">
        <f>WEEKNUM(plachta3434[[#This Row],[LOADING DATE]],21)</f>
        <v>3</v>
      </c>
      <c r="B36" s="36" t="s">
        <v>41</v>
      </c>
      <c r="C36" s="125" t="s">
        <v>42</v>
      </c>
      <c r="D36" s="126" t="s">
        <v>43</v>
      </c>
      <c r="E36" s="36" t="s">
        <v>44</v>
      </c>
      <c r="F36" s="140">
        <v>45308</v>
      </c>
      <c r="G36" s="128">
        <v>0.70833333333333337</v>
      </c>
      <c r="H36" s="129" t="s">
        <v>45</v>
      </c>
      <c r="I36" s="130" t="s">
        <v>75</v>
      </c>
      <c r="J36" s="131" t="s">
        <v>76</v>
      </c>
      <c r="K36" s="140">
        <v>45313</v>
      </c>
      <c r="L36" s="128">
        <v>0.625</v>
      </c>
      <c r="M36" s="133">
        <v>1003101034</v>
      </c>
      <c r="N36" s="134" t="s">
        <v>49</v>
      </c>
      <c r="O36" s="139" t="s">
        <v>50</v>
      </c>
      <c r="P36" s="36" t="s">
        <v>61</v>
      </c>
      <c r="Q36" s="63" t="s">
        <v>62</v>
      </c>
      <c r="R36" s="36" t="s">
        <v>63</v>
      </c>
      <c r="S36" s="141">
        <v>2549</v>
      </c>
      <c r="T36" s="137">
        <v>2350</v>
      </c>
      <c r="U36" s="92">
        <f>plachta3434[[#This Row],[SALES '[€']]]-plachta3434[[#This Row],[PURCHASE '[€']]]</f>
        <v>199</v>
      </c>
      <c r="V36" s="98">
        <f>plachta3434[[#This Row],[MARGIN '[€']]]/plachta3434[[#This Row],[SALES '[€']]]</f>
        <v>7.8069831306394666E-2</v>
      </c>
      <c r="W36" s="172">
        <v>9215170739</v>
      </c>
      <c r="X36" s="108" t="s">
        <v>161</v>
      </c>
      <c r="Y36" s="36">
        <v>1778</v>
      </c>
      <c r="Z36" s="173"/>
      <c r="AA36" s="36" t="s">
        <v>51</v>
      </c>
      <c r="AB36" s="93">
        <f>plachta3434[[#This Row],[PURCHASE '[€']]]/plachta3434[[#This Row],[KM]]</f>
        <v>1.3217097862767153</v>
      </c>
      <c r="AC36" s="93">
        <f>plachta3434[[#This Row],[SALES '[€']]]/plachta3434[[#This Row],[KM]]</f>
        <v>1.4336332958380202</v>
      </c>
      <c r="AD36" s="93"/>
      <c r="AE36" s="93"/>
      <c r="AF36" s="93"/>
      <c r="AG36" s="93"/>
      <c r="AH36" s="93"/>
      <c r="AI36" s="93"/>
      <c r="AJ36" s="93"/>
      <c r="AK36" s="93"/>
      <c r="AL36" s="93" t="str">
        <f>IF(plachta3434[[#This Row],[DELIVERY TIME]]="STORNO",IF(plachta3434[[#This Row],[CARRIER]]="NEPOTVRDENE","REFUSED","CANCELLED"),"OK")</f>
        <v>OK</v>
      </c>
      <c r="AM36" s="93"/>
      <c r="AN36" s="93" t="str">
        <f>IF(RIGHT(plachta3434[[#This Row],[CARRIER]],3)="-MF",921,"")</f>
        <v/>
      </c>
      <c r="AO36" s="93"/>
    </row>
    <row r="37" spans="1:41" ht="14.1">
      <c r="A37" s="91">
        <f>WEEKNUM(plachta3434[[#This Row],[LOADING DATE]],21)</f>
        <v>3</v>
      </c>
      <c r="B37" s="36" t="s">
        <v>41</v>
      </c>
      <c r="C37" s="125" t="s">
        <v>42</v>
      </c>
      <c r="D37" s="126" t="s">
        <v>43</v>
      </c>
      <c r="E37" s="36" t="s">
        <v>44</v>
      </c>
      <c r="F37" s="140">
        <v>45308</v>
      </c>
      <c r="G37" s="128">
        <v>0.79166666666666663</v>
      </c>
      <c r="H37" s="129" t="s">
        <v>45</v>
      </c>
      <c r="I37" s="130" t="s">
        <v>65</v>
      </c>
      <c r="J37" s="131" t="s">
        <v>99</v>
      </c>
      <c r="K37" s="140">
        <v>45313</v>
      </c>
      <c r="L37" s="128">
        <v>0.375</v>
      </c>
      <c r="M37" s="133">
        <v>1003101035</v>
      </c>
      <c r="N37" s="134" t="s">
        <v>49</v>
      </c>
      <c r="O37" s="139" t="s">
        <v>50</v>
      </c>
      <c r="P37" s="36" t="s">
        <v>61</v>
      </c>
      <c r="Q37" s="63" t="s">
        <v>162</v>
      </c>
      <c r="R37" s="36" t="s">
        <v>85</v>
      </c>
      <c r="S37" s="141">
        <v>2504</v>
      </c>
      <c r="T37" s="137">
        <v>2300</v>
      </c>
      <c r="U37" s="92">
        <f>plachta3434[[#This Row],[SALES '[€']]]-plachta3434[[#This Row],[PURCHASE '[€']]]</f>
        <v>204</v>
      </c>
      <c r="V37" s="98">
        <f>plachta3434[[#This Row],[MARGIN '[€']]]/plachta3434[[#This Row],[SALES '[€']]]</f>
        <v>8.1469648562300323E-2</v>
      </c>
      <c r="W37" s="172">
        <v>9215170729</v>
      </c>
      <c r="X37" s="108" t="s">
        <v>163</v>
      </c>
      <c r="Y37" s="36">
        <v>1860</v>
      </c>
      <c r="Z37" s="173"/>
      <c r="AA37" s="36" t="s">
        <v>51</v>
      </c>
      <c r="AB37" s="93">
        <f>plachta3434[[#This Row],[PURCHASE '[€']]]/plachta3434[[#This Row],[KM]]</f>
        <v>1.2365591397849462</v>
      </c>
      <c r="AC37" s="93">
        <f>plachta3434[[#This Row],[SALES '[€']]]/plachta3434[[#This Row],[KM]]</f>
        <v>1.3462365591397849</v>
      </c>
      <c r="AD37" s="93"/>
      <c r="AE37" s="93"/>
      <c r="AF37" s="93"/>
      <c r="AG37" s="93"/>
      <c r="AH37" s="93"/>
      <c r="AI37" s="93"/>
      <c r="AJ37" s="93"/>
      <c r="AK37" s="93"/>
      <c r="AL37" s="93" t="str">
        <f>IF(plachta3434[[#This Row],[DELIVERY TIME]]="STORNO",IF(plachta3434[[#This Row],[CARRIER]]="NEPOTVRDENE","REFUSED","CANCELLED"),"OK")</f>
        <v>OK</v>
      </c>
      <c r="AM37" s="93"/>
      <c r="AN37" s="93" t="str">
        <f>IF(RIGHT(plachta3434[[#This Row],[CARRIER]],3)="-MF",921,"")</f>
        <v/>
      </c>
      <c r="AO37" s="93"/>
    </row>
    <row r="38" spans="1:41" ht="14.1">
      <c r="A38" s="91">
        <f>WEEKNUM(plachta3434[[#This Row],[LOADING DATE]],21)</f>
        <v>3</v>
      </c>
      <c r="B38" s="36" t="s">
        <v>41</v>
      </c>
      <c r="C38" s="125" t="s">
        <v>42</v>
      </c>
      <c r="D38" s="126" t="s">
        <v>43</v>
      </c>
      <c r="E38" s="36" t="s">
        <v>44</v>
      </c>
      <c r="F38" s="140">
        <v>45309</v>
      </c>
      <c r="G38" s="128">
        <v>0.3125</v>
      </c>
      <c r="H38" s="129" t="s">
        <v>52</v>
      </c>
      <c r="I38" s="130" t="s">
        <v>53</v>
      </c>
      <c r="J38" s="131" t="s">
        <v>54</v>
      </c>
      <c r="K38" s="140">
        <v>45314</v>
      </c>
      <c r="L38" s="128">
        <v>0.25</v>
      </c>
      <c r="M38" s="133">
        <v>1003104658</v>
      </c>
      <c r="N38" s="134" t="s">
        <v>49</v>
      </c>
      <c r="O38" s="139" t="s">
        <v>55</v>
      </c>
      <c r="P38" s="36"/>
      <c r="Q38" s="63" t="s">
        <v>164</v>
      </c>
      <c r="R38" s="36" t="s">
        <v>57</v>
      </c>
      <c r="S38" s="141">
        <v>1336</v>
      </c>
      <c r="T38" s="137">
        <v>1300</v>
      </c>
      <c r="U38" s="92">
        <f>plachta3434[[#This Row],[SALES '[€']]]-plachta3434[[#This Row],[PURCHASE '[€']]]</f>
        <v>36</v>
      </c>
      <c r="V38" s="98">
        <f>plachta3434[[#This Row],[MARGIN '[€']]]/plachta3434[[#This Row],[SALES '[€']]]</f>
        <v>2.6946107784431138E-2</v>
      </c>
      <c r="W38" s="172">
        <v>9215170850</v>
      </c>
      <c r="X38" s="108" t="s">
        <v>165</v>
      </c>
      <c r="Y38" s="36">
        <v>1233</v>
      </c>
      <c r="Z38" s="173"/>
      <c r="AA38" s="36" t="s">
        <v>51</v>
      </c>
      <c r="AB38" s="93">
        <f>plachta3434[[#This Row],[PURCHASE '[€']]]/plachta3434[[#This Row],[KM]]</f>
        <v>1.0543390105433901</v>
      </c>
      <c r="AC38" s="93">
        <f>plachta3434[[#This Row],[SALES '[€']]]/plachta3434[[#This Row],[KM]]</f>
        <v>1.0835360908353608</v>
      </c>
      <c r="AD38" s="93"/>
      <c r="AE38" s="93"/>
      <c r="AF38" s="93"/>
      <c r="AG38" s="93"/>
      <c r="AH38" s="93"/>
      <c r="AI38" s="93"/>
      <c r="AJ38" s="93"/>
      <c r="AK38" s="93"/>
      <c r="AL38" s="93" t="str">
        <f>IF(plachta3434[[#This Row],[DELIVERY TIME]]="STORNO",IF(plachta3434[[#This Row],[CARRIER]]="NEPOTVRDENE","REFUSED","CANCELLED"),"OK")</f>
        <v>OK</v>
      </c>
      <c r="AM38" s="93"/>
      <c r="AN38" s="93" t="str">
        <f>IF(RIGHT(plachta3434[[#This Row],[CARRIER]],3)="-MF",921,"")</f>
        <v/>
      </c>
      <c r="AO38" s="93"/>
    </row>
    <row r="39" spans="1:41" ht="14.1">
      <c r="A39" s="91">
        <f>WEEKNUM(plachta3434[[#This Row],[LOADING DATE]],21)</f>
        <v>3</v>
      </c>
      <c r="B39" s="36" t="s">
        <v>41</v>
      </c>
      <c r="C39" s="125" t="s">
        <v>42</v>
      </c>
      <c r="D39" s="126" t="s">
        <v>43</v>
      </c>
      <c r="E39" s="36" t="s">
        <v>44</v>
      </c>
      <c r="F39" s="140">
        <v>45309</v>
      </c>
      <c r="G39" s="128">
        <v>0.79166666666666663</v>
      </c>
      <c r="H39" s="129" t="s">
        <v>45</v>
      </c>
      <c r="I39" s="130" t="s">
        <v>75</v>
      </c>
      <c r="J39" s="131" t="s">
        <v>76</v>
      </c>
      <c r="K39" s="140">
        <v>45314</v>
      </c>
      <c r="L39" s="128">
        <v>0.54166666666666663</v>
      </c>
      <c r="M39" s="133">
        <v>1003101053</v>
      </c>
      <c r="N39" s="134" t="s">
        <v>49</v>
      </c>
      <c r="O39" s="139" t="s">
        <v>50</v>
      </c>
      <c r="P39" s="36"/>
      <c r="Q39" s="63" t="s">
        <v>166</v>
      </c>
      <c r="R39" s="36" t="s">
        <v>147</v>
      </c>
      <c r="S39" s="141">
        <v>2549</v>
      </c>
      <c r="T39" s="137">
        <v>2450</v>
      </c>
      <c r="U39" s="92">
        <f>plachta3434[[#This Row],[SALES '[€']]]-plachta3434[[#This Row],[PURCHASE '[€']]]</f>
        <v>99</v>
      </c>
      <c r="V39" s="98">
        <f>plachta3434[[#This Row],[MARGIN '[€']]]/plachta3434[[#This Row],[SALES '[€']]]</f>
        <v>3.8838760298156139E-2</v>
      </c>
      <c r="W39" s="172">
        <v>9215170740</v>
      </c>
      <c r="X39" s="108" t="s">
        <v>167</v>
      </c>
      <c r="Y39" s="36">
        <v>1778</v>
      </c>
      <c r="Z39" s="173"/>
      <c r="AA39" s="36" t="s">
        <v>51</v>
      </c>
      <c r="AB39" s="93">
        <f>plachta3434[[#This Row],[PURCHASE '[€']]]/plachta3434[[#This Row],[KM]]</f>
        <v>1.3779527559055118</v>
      </c>
      <c r="AC39" s="93">
        <f>plachta3434[[#This Row],[SALES '[€']]]/plachta3434[[#This Row],[KM]]</f>
        <v>1.4336332958380202</v>
      </c>
      <c r="AD39" s="93"/>
      <c r="AE39" s="93"/>
      <c r="AF39" s="93"/>
      <c r="AG39" s="93"/>
      <c r="AH39" s="93"/>
      <c r="AI39" s="93"/>
      <c r="AJ39" s="93"/>
      <c r="AK39" s="93"/>
      <c r="AL39" s="93" t="str">
        <f>IF(plachta3434[[#This Row],[DELIVERY TIME]]="STORNO",IF(plachta3434[[#This Row],[CARRIER]]="NEPOTVRDENE","REFUSED","CANCELLED"),"OK")</f>
        <v>OK</v>
      </c>
      <c r="AM39" s="93"/>
      <c r="AN39" s="93" t="str">
        <f>IF(RIGHT(plachta3434[[#This Row],[CARRIER]],3)="-MF",921,"")</f>
        <v/>
      </c>
      <c r="AO39" s="93"/>
    </row>
    <row r="40" spans="1:41" ht="14.1">
      <c r="A40" s="91">
        <f>WEEKNUM(plachta3434[[#This Row],[LOADING DATE]],21)</f>
        <v>3</v>
      </c>
      <c r="B40" s="36" t="s">
        <v>41</v>
      </c>
      <c r="C40" s="125" t="s">
        <v>42</v>
      </c>
      <c r="D40" s="126" t="s">
        <v>43</v>
      </c>
      <c r="E40" s="36" t="s">
        <v>44</v>
      </c>
      <c r="F40" s="140">
        <v>45309</v>
      </c>
      <c r="G40" s="128">
        <v>0.3125</v>
      </c>
      <c r="H40" s="129" t="s">
        <v>52</v>
      </c>
      <c r="I40" s="130" t="s">
        <v>53</v>
      </c>
      <c r="J40" s="131" t="s">
        <v>54</v>
      </c>
      <c r="K40" s="140">
        <v>45314</v>
      </c>
      <c r="L40" s="128">
        <v>0.29166666666666669</v>
      </c>
      <c r="M40" s="133">
        <v>1003106005</v>
      </c>
      <c r="N40" s="134" t="s">
        <v>49</v>
      </c>
      <c r="O40" s="139" t="s">
        <v>55</v>
      </c>
      <c r="P40" s="36"/>
      <c r="Q40" s="113" t="s">
        <v>168</v>
      </c>
      <c r="R40" s="36" t="s">
        <v>169</v>
      </c>
      <c r="S40" s="142">
        <v>1374</v>
      </c>
      <c r="T40" s="137">
        <v>1270</v>
      </c>
      <c r="U40" s="92">
        <f>plachta3434[[#This Row],[SALES '[€']]]-plachta3434[[#This Row],[PURCHASE '[€']]]</f>
        <v>104</v>
      </c>
      <c r="V40" s="98">
        <f>plachta3434[[#This Row],[MARGIN '[€']]]/plachta3434[[#This Row],[SALES '[€']]]</f>
        <v>7.5691411935953426E-2</v>
      </c>
      <c r="W40" s="172">
        <v>9215170793</v>
      </c>
      <c r="X40" s="108" t="s">
        <v>170</v>
      </c>
      <c r="Y40" s="36">
        <v>1233</v>
      </c>
      <c r="Z40" s="88"/>
      <c r="AA40" s="36" t="s">
        <v>51</v>
      </c>
      <c r="AB40" s="93">
        <f>plachta3434[[#This Row],[PURCHASE '[€']]]/plachta3434[[#This Row],[KM]]</f>
        <v>1.0300081103000811</v>
      </c>
      <c r="AC40" s="93">
        <f>plachta3434[[#This Row],[SALES '[€']]]/plachta3434[[#This Row],[KM]]</f>
        <v>1.1143552311435523</v>
      </c>
      <c r="AD40" s="93"/>
      <c r="AE40" s="93"/>
      <c r="AF40" s="93"/>
      <c r="AG40" s="93"/>
      <c r="AH40" s="93"/>
      <c r="AI40" s="93"/>
      <c r="AJ40" s="93"/>
      <c r="AK40" s="93"/>
      <c r="AL40" s="93" t="str">
        <f>IF(plachta3434[[#This Row],[DELIVERY TIME]]="STORNO",IF(plachta3434[[#This Row],[CARRIER]]="NEPOTVRDENE","REFUSED","CANCELLED"),"OK")</f>
        <v>OK</v>
      </c>
      <c r="AM40" s="93"/>
      <c r="AN40" s="93" t="str">
        <f>IF(RIGHT(plachta3434[[#This Row],[CARRIER]],3)="-MF",921,"")</f>
        <v/>
      </c>
      <c r="AO40" s="93"/>
    </row>
    <row r="41" spans="1:41" ht="14.1">
      <c r="A41" s="91">
        <f>WEEKNUM(plachta3434[[#This Row],[LOADING DATE]],21)</f>
        <v>3</v>
      </c>
      <c r="B41" s="36" t="s">
        <v>41</v>
      </c>
      <c r="C41" s="125" t="s">
        <v>42</v>
      </c>
      <c r="D41" s="126" t="s">
        <v>43</v>
      </c>
      <c r="E41" s="36" t="s">
        <v>44</v>
      </c>
      <c r="F41" s="140">
        <v>45310</v>
      </c>
      <c r="G41" s="128">
        <v>0.79166666666666663</v>
      </c>
      <c r="H41" s="129" t="s">
        <v>45</v>
      </c>
      <c r="I41" s="130" t="s">
        <v>75</v>
      </c>
      <c r="J41" s="131" t="s">
        <v>76</v>
      </c>
      <c r="K41" s="140">
        <v>45315</v>
      </c>
      <c r="L41" s="128">
        <v>0.41666666666666669</v>
      </c>
      <c r="M41" s="133">
        <v>1003101058</v>
      </c>
      <c r="N41" s="134" t="s">
        <v>49</v>
      </c>
      <c r="O41" s="139" t="s">
        <v>50</v>
      </c>
      <c r="P41" s="36" t="s">
        <v>61</v>
      </c>
      <c r="Q41" s="63" t="s">
        <v>171</v>
      </c>
      <c r="R41" s="36" t="s">
        <v>63</v>
      </c>
      <c r="S41" s="142">
        <v>2549</v>
      </c>
      <c r="T41" s="137">
        <v>2350</v>
      </c>
      <c r="U41" s="92">
        <f>plachta3434[[#This Row],[SALES '[€']]]-plachta3434[[#This Row],[PURCHASE '[€']]]</f>
        <v>199</v>
      </c>
      <c r="V41" s="98">
        <f>plachta3434[[#This Row],[MARGIN '[€']]]/plachta3434[[#This Row],[SALES '[€']]]</f>
        <v>7.8069831306394666E-2</v>
      </c>
      <c r="W41" s="172">
        <v>9215170743</v>
      </c>
      <c r="X41" s="108" t="s">
        <v>172</v>
      </c>
      <c r="Y41" s="36">
        <v>1778</v>
      </c>
      <c r="Z41" s="173"/>
      <c r="AA41" s="36" t="s">
        <v>51</v>
      </c>
      <c r="AB41" s="93">
        <f>plachta3434[[#This Row],[PURCHASE '[€']]]/plachta3434[[#This Row],[KM]]</f>
        <v>1.3217097862767153</v>
      </c>
      <c r="AC41" s="93">
        <f>plachta3434[[#This Row],[SALES '[€']]]/plachta3434[[#This Row],[KM]]</f>
        <v>1.4336332958380202</v>
      </c>
      <c r="AD41" s="93"/>
      <c r="AE41" s="93"/>
      <c r="AF41" s="93"/>
      <c r="AG41" s="93"/>
      <c r="AH41" s="93"/>
      <c r="AI41" s="93"/>
      <c r="AJ41" s="93"/>
      <c r="AK41" s="93"/>
      <c r="AL41" s="93" t="str">
        <f>IF(plachta3434[[#This Row],[DELIVERY TIME]]="STORNO",IF(plachta3434[[#This Row],[CARRIER]]="NEPOTVRDENE","REFUSED","CANCELLED"),"OK")</f>
        <v>OK</v>
      </c>
      <c r="AM41" s="93"/>
      <c r="AN41" s="93" t="str">
        <f>IF(RIGHT(plachta3434[[#This Row],[CARRIER]],3)="-MF",921,"")</f>
        <v/>
      </c>
      <c r="AO41" s="93"/>
    </row>
    <row r="42" spans="1:41" ht="14.1">
      <c r="A42" s="91">
        <f>WEEKNUM(plachta3434[[#This Row],[LOADING DATE]],21)</f>
        <v>3</v>
      </c>
      <c r="B42" s="36" t="s">
        <v>41</v>
      </c>
      <c r="C42" s="125" t="s">
        <v>42</v>
      </c>
      <c r="D42" s="126" t="s">
        <v>43</v>
      </c>
      <c r="E42" s="36" t="s">
        <v>44</v>
      </c>
      <c r="F42" s="140">
        <v>45310</v>
      </c>
      <c r="G42" s="128">
        <v>0.79166666666666663</v>
      </c>
      <c r="H42" s="129" t="s">
        <v>45</v>
      </c>
      <c r="I42" s="130" t="s">
        <v>59</v>
      </c>
      <c r="J42" s="131" t="s">
        <v>109</v>
      </c>
      <c r="K42" s="140">
        <v>45315</v>
      </c>
      <c r="L42" s="128">
        <v>0.64583333333333337</v>
      </c>
      <c r="M42" s="133">
        <v>1003100635</v>
      </c>
      <c r="N42" s="134" t="s">
        <v>49</v>
      </c>
      <c r="O42" s="139" t="s">
        <v>50</v>
      </c>
      <c r="P42" s="36"/>
      <c r="Q42" s="63" t="s">
        <v>173</v>
      </c>
      <c r="R42" s="36" t="s">
        <v>57</v>
      </c>
      <c r="S42" s="160">
        <v>2356</v>
      </c>
      <c r="T42" s="137">
        <f>2150+80</f>
        <v>2230</v>
      </c>
      <c r="U42" s="92">
        <f>plachta3434[[#This Row],[SALES '[€']]]-plachta3434[[#This Row],[PURCHASE '[€']]]</f>
        <v>126</v>
      </c>
      <c r="V42" s="98">
        <f>plachta3434[[#This Row],[MARGIN '[€']]]/plachta3434[[#This Row],[SALES '[€']]]</f>
        <v>5.3480475382003394E-2</v>
      </c>
      <c r="W42" s="172">
        <v>9215170674</v>
      </c>
      <c r="X42" s="108" t="s">
        <v>174</v>
      </c>
      <c r="Y42" s="36">
        <v>1637</v>
      </c>
      <c r="Z42" s="173"/>
      <c r="AA42" s="36" t="s">
        <v>51</v>
      </c>
      <c r="AB42" s="93">
        <f>plachta3434[[#This Row],[PURCHASE '[€']]]/plachta3434[[#This Row],[KM]]</f>
        <v>1.3622480146609652</v>
      </c>
      <c r="AC42" s="93">
        <f>plachta3434[[#This Row],[SALES '[€']]]/plachta3434[[#This Row],[KM]]</f>
        <v>1.4392180818570557</v>
      </c>
      <c r="AD42" s="93"/>
      <c r="AE42" s="93"/>
      <c r="AF42" s="93"/>
      <c r="AG42" s="93"/>
      <c r="AH42" s="93"/>
      <c r="AI42" s="93"/>
      <c r="AJ42" s="93"/>
      <c r="AK42" s="93"/>
      <c r="AL42" s="93" t="str">
        <f>IF(plachta3434[[#This Row],[DELIVERY TIME]]="STORNO",IF(plachta3434[[#This Row],[CARRIER]]="NEPOTVRDENE","REFUSED","CANCELLED"),"OK")</f>
        <v>OK</v>
      </c>
      <c r="AM42" s="93"/>
      <c r="AN42" s="93" t="str">
        <f>IF(RIGHT(plachta3434[[#This Row],[CARRIER]],3)="-MF",921,"")</f>
        <v/>
      </c>
      <c r="AO42" s="93"/>
    </row>
    <row r="43" spans="1:41" ht="14.1">
      <c r="A43" s="91">
        <f>WEEKNUM(plachta3434[[#This Row],[LOADING DATE]],21)</f>
        <v>3</v>
      </c>
      <c r="B43" s="36" t="s">
        <v>41</v>
      </c>
      <c r="C43" s="125" t="s">
        <v>42</v>
      </c>
      <c r="D43" s="126" t="s">
        <v>43</v>
      </c>
      <c r="E43" s="36" t="s">
        <v>44</v>
      </c>
      <c r="F43" s="140">
        <v>45310</v>
      </c>
      <c r="G43" s="128">
        <v>0.79166666666666663</v>
      </c>
      <c r="H43" s="129" t="s">
        <v>175</v>
      </c>
      <c r="I43" s="130" t="s">
        <v>176</v>
      </c>
      <c r="J43" s="131" t="s">
        <v>177</v>
      </c>
      <c r="K43" s="140">
        <v>45314</v>
      </c>
      <c r="L43" s="128">
        <v>0.375</v>
      </c>
      <c r="M43" s="133">
        <v>1003104929</v>
      </c>
      <c r="N43" s="134" t="s">
        <v>49</v>
      </c>
      <c r="O43" s="139" t="s">
        <v>50</v>
      </c>
      <c r="P43" s="36" t="s">
        <v>178</v>
      </c>
      <c r="Q43" s="63" t="s">
        <v>179</v>
      </c>
      <c r="R43" s="36" t="s">
        <v>85</v>
      </c>
      <c r="S43" s="153">
        <v>1808</v>
      </c>
      <c r="T43" s="137">
        <v>1700</v>
      </c>
      <c r="U43" s="92">
        <f>plachta3434[[#This Row],[SALES '[€']]]-plachta3434[[#This Row],[PURCHASE '[€']]]</f>
        <v>108</v>
      </c>
      <c r="V43" s="98">
        <f>plachta3434[[#This Row],[MARGIN '[€']]]/plachta3434[[#This Row],[SALES '[€']]]</f>
        <v>5.9734513274336286E-2</v>
      </c>
      <c r="W43" s="172">
        <v>9215170852</v>
      </c>
      <c r="X43" s="108" t="s">
        <v>180</v>
      </c>
      <c r="Y43" s="36">
        <v>1382</v>
      </c>
      <c r="Z43" s="173" t="s">
        <v>181</v>
      </c>
      <c r="AA43" s="36" t="s">
        <v>51</v>
      </c>
      <c r="AB43" s="93">
        <f>plachta3434[[#This Row],[PURCHASE '[€']]]/plachta3434[[#This Row],[KM]]</f>
        <v>1.2301013024602026</v>
      </c>
      <c r="AC43" s="93">
        <f>plachta3434[[#This Row],[SALES '[€']]]/plachta3434[[#This Row],[KM]]</f>
        <v>1.3082489146164977</v>
      </c>
      <c r="AD43" s="93"/>
      <c r="AE43" s="93"/>
      <c r="AF43" s="93"/>
      <c r="AG43" s="93"/>
      <c r="AH43" s="93"/>
      <c r="AI43" s="93"/>
      <c r="AJ43" s="93"/>
      <c r="AK43" s="93"/>
      <c r="AL43" s="93" t="str">
        <f>IF(plachta3434[[#This Row],[DELIVERY TIME]]="STORNO",IF(plachta3434[[#This Row],[CARRIER]]="NEPOTVRDENE","REFUSED","CANCELLED"),"OK")</f>
        <v>OK</v>
      </c>
      <c r="AM43" s="93"/>
      <c r="AN43" s="93" t="str">
        <f>IF(RIGHT(plachta3434[[#This Row],[CARRIER]],3)="-MF",921,"")</f>
        <v/>
      </c>
      <c r="AO43" s="93"/>
    </row>
    <row r="44" spans="1:41" ht="14.1">
      <c r="A44" s="91">
        <f>WEEKNUM(plachta3434[[#This Row],[LOADING DATE]],21)</f>
        <v>3</v>
      </c>
      <c r="B44" s="36" t="s">
        <v>41</v>
      </c>
      <c r="C44" s="125" t="s">
        <v>42</v>
      </c>
      <c r="D44" s="126" t="s">
        <v>43</v>
      </c>
      <c r="E44" s="36" t="s">
        <v>44</v>
      </c>
      <c r="F44" s="140">
        <v>45310</v>
      </c>
      <c r="G44" s="128">
        <v>0.85416666666666663</v>
      </c>
      <c r="H44" s="129" t="s">
        <v>45</v>
      </c>
      <c r="I44" s="130" t="s">
        <v>59</v>
      </c>
      <c r="J44" s="131" t="s">
        <v>60</v>
      </c>
      <c r="K44" s="140">
        <v>45315</v>
      </c>
      <c r="L44" s="128">
        <v>0.29166666666666669</v>
      </c>
      <c r="M44" s="133">
        <v>1003103575</v>
      </c>
      <c r="N44" s="134">
        <v>2.6</v>
      </c>
      <c r="O44" s="139" t="s">
        <v>50</v>
      </c>
      <c r="P44" s="118" t="s">
        <v>182</v>
      </c>
      <c r="Q44" s="63" t="s">
        <v>183</v>
      </c>
      <c r="R44" s="36" t="s">
        <v>85</v>
      </c>
      <c r="S44" s="153">
        <v>2270</v>
      </c>
      <c r="T44" s="137">
        <v>2170</v>
      </c>
      <c r="U44" s="92">
        <f>plachta3434[[#This Row],[SALES '[€']]]-plachta3434[[#This Row],[PURCHASE '[€']]]</f>
        <v>100</v>
      </c>
      <c r="V44" s="98">
        <f>plachta3434[[#This Row],[MARGIN '[€']]]/plachta3434[[#This Row],[SALES '[€']]]</f>
        <v>4.405286343612335E-2</v>
      </c>
      <c r="W44" s="172">
        <v>9215170867</v>
      </c>
      <c r="X44" s="108" t="s">
        <v>184</v>
      </c>
      <c r="Y44" s="36">
        <v>1629</v>
      </c>
      <c r="Z44" s="173" t="s">
        <v>126</v>
      </c>
      <c r="AA44" s="36" t="s">
        <v>51</v>
      </c>
      <c r="AB44" s="93">
        <f>plachta3434[[#This Row],[PURCHASE '[€']]]/plachta3434[[#This Row],[KM]]</f>
        <v>1.3321055862492326</v>
      </c>
      <c r="AC44" s="93">
        <f>plachta3434[[#This Row],[SALES '[€']]]/plachta3434[[#This Row],[KM]]</f>
        <v>1.3934929404542664</v>
      </c>
      <c r="AD44" s="93"/>
      <c r="AE44" s="93"/>
      <c r="AF44" s="93"/>
      <c r="AG44" s="93"/>
      <c r="AH44" s="93"/>
      <c r="AI44" s="93"/>
      <c r="AJ44" s="93"/>
      <c r="AK44" s="93"/>
      <c r="AL44" s="93" t="str">
        <f>IF(plachta3434[[#This Row],[DELIVERY TIME]]="STORNO",IF(plachta3434[[#This Row],[CARRIER]]="NEPOTVRDENE","REFUSED","CANCELLED"),"OK")</f>
        <v>OK</v>
      </c>
      <c r="AM44" s="93"/>
      <c r="AN44" s="93" t="str">
        <f>IF(RIGHT(plachta3434[[#This Row],[CARRIER]],3)="-MF",921,"")</f>
        <v/>
      </c>
      <c r="AO44" s="93"/>
    </row>
    <row r="45" spans="1:41" ht="14.1">
      <c r="A45" s="91">
        <f>WEEKNUM(plachta3434[[#This Row],[LOADING DATE]],21)</f>
        <v>4</v>
      </c>
      <c r="B45" s="36" t="s">
        <v>41</v>
      </c>
      <c r="C45" s="125" t="s">
        <v>42</v>
      </c>
      <c r="D45" s="126" t="s">
        <v>43</v>
      </c>
      <c r="E45" s="36" t="s">
        <v>44</v>
      </c>
      <c r="F45" s="127">
        <v>45314</v>
      </c>
      <c r="G45" s="128">
        <v>0.79166666666666663</v>
      </c>
      <c r="H45" s="129" t="s">
        <v>45</v>
      </c>
      <c r="I45" s="130" t="s">
        <v>65</v>
      </c>
      <c r="J45" s="131" t="s">
        <v>99</v>
      </c>
      <c r="K45" s="127">
        <v>45317</v>
      </c>
      <c r="L45" s="128">
        <v>0.375</v>
      </c>
      <c r="M45" s="133">
        <v>1003101663</v>
      </c>
      <c r="N45" s="134" t="s">
        <v>49</v>
      </c>
      <c r="O45" s="139" t="s">
        <v>50</v>
      </c>
      <c r="P45" s="36"/>
      <c r="Q45" s="63" t="s">
        <v>185</v>
      </c>
      <c r="R45" s="36" t="s">
        <v>147</v>
      </c>
      <c r="S45" s="142">
        <v>2504</v>
      </c>
      <c r="T45" s="137">
        <v>2450</v>
      </c>
      <c r="U45" s="92">
        <f>plachta3434[[#This Row],[SALES '[€']]]-plachta3434[[#This Row],[PURCHASE '[€']]]</f>
        <v>54</v>
      </c>
      <c r="V45" s="98">
        <f>plachta3434[[#This Row],[MARGIN '[€']]]/plachta3434[[#This Row],[SALES '[€']]]</f>
        <v>2.1565495207667731E-2</v>
      </c>
      <c r="W45" s="172">
        <v>9215170870</v>
      </c>
      <c r="X45" s="108" t="s">
        <v>186</v>
      </c>
      <c r="Y45" s="36">
        <v>1860</v>
      </c>
      <c r="Z45" s="173"/>
      <c r="AA45" s="36" t="s">
        <v>51</v>
      </c>
      <c r="AB45" s="93">
        <f>plachta3434[[#This Row],[PURCHASE '[€']]]/plachta3434[[#This Row],[KM]]</f>
        <v>1.3172043010752688</v>
      </c>
      <c r="AC45" s="93">
        <f>plachta3434[[#This Row],[SALES '[€']]]/plachta3434[[#This Row],[KM]]</f>
        <v>1.3462365591397849</v>
      </c>
      <c r="AD45" s="93"/>
      <c r="AE45" s="93"/>
      <c r="AF45" s="93"/>
      <c r="AG45" s="93"/>
      <c r="AH45" s="93"/>
      <c r="AI45" s="93"/>
      <c r="AJ45" s="93"/>
      <c r="AK45" s="93"/>
      <c r="AL45" s="93" t="str">
        <f>IF(plachta3434[[#This Row],[DELIVERY TIME]]="STORNO",IF(plachta3434[[#This Row],[CARRIER]]="NEPOTVRDENE","REFUSED","CANCELLED"),"OK")</f>
        <v>OK</v>
      </c>
      <c r="AM45" s="93"/>
      <c r="AN45" s="93" t="str">
        <f>IF(RIGHT(plachta3434[[#This Row],[CARRIER]],3)="-MF",921,"")</f>
        <v/>
      </c>
      <c r="AO45" s="93"/>
    </row>
    <row r="46" spans="1:41" ht="14.1">
      <c r="A46" s="91">
        <f>WEEKNUM(plachta3434[[#This Row],[LOADING DATE]],21)</f>
        <v>4</v>
      </c>
      <c r="B46" s="36" t="s">
        <v>41</v>
      </c>
      <c r="C46" s="125" t="s">
        <v>42</v>
      </c>
      <c r="D46" s="126" t="s">
        <v>43</v>
      </c>
      <c r="E46" s="36" t="s">
        <v>44</v>
      </c>
      <c r="F46" s="127">
        <v>45314</v>
      </c>
      <c r="G46" s="128">
        <v>0.79166666666666663</v>
      </c>
      <c r="H46" s="129" t="s">
        <v>45</v>
      </c>
      <c r="I46" s="130" t="s">
        <v>75</v>
      </c>
      <c r="J46" s="131" t="s">
        <v>76</v>
      </c>
      <c r="K46" s="127">
        <v>45317</v>
      </c>
      <c r="L46" s="128">
        <v>0.41666666666666669</v>
      </c>
      <c r="M46" s="133">
        <v>1003101667</v>
      </c>
      <c r="N46" s="134" t="s">
        <v>49</v>
      </c>
      <c r="O46" s="139" t="s">
        <v>50</v>
      </c>
      <c r="P46" s="36" t="s">
        <v>61</v>
      </c>
      <c r="Q46" s="63" t="s">
        <v>187</v>
      </c>
      <c r="R46" s="36" t="s">
        <v>85</v>
      </c>
      <c r="S46" s="141">
        <v>2549</v>
      </c>
      <c r="T46" s="137">
        <v>2347</v>
      </c>
      <c r="U46" s="92">
        <f>plachta3434[[#This Row],[SALES '[€']]]-plachta3434[[#This Row],[PURCHASE '[€']]]</f>
        <v>202</v>
      </c>
      <c r="V46" s="98">
        <f>plachta3434[[#This Row],[MARGIN '[€']]]/plachta3434[[#This Row],[SALES '[€']]]</f>
        <v>7.9246763436641818E-2</v>
      </c>
      <c r="W46" s="172">
        <v>9215170935</v>
      </c>
      <c r="X46" s="108" t="s">
        <v>188</v>
      </c>
      <c r="Y46" s="36">
        <v>1778</v>
      </c>
      <c r="Z46" s="173"/>
      <c r="AA46" s="36" t="s">
        <v>51</v>
      </c>
      <c r="AB46" s="93">
        <f>plachta3434[[#This Row],[PURCHASE '[€']]]/plachta3434[[#This Row],[KM]]</f>
        <v>1.3200224971878516</v>
      </c>
      <c r="AC46" s="93">
        <f>plachta3434[[#This Row],[SALES '[€']]]/plachta3434[[#This Row],[KM]]</f>
        <v>1.4336332958380202</v>
      </c>
      <c r="AD46" s="93"/>
      <c r="AE46" s="93"/>
      <c r="AF46" s="93"/>
      <c r="AG46" s="93"/>
      <c r="AH46" s="93"/>
      <c r="AI46" s="93"/>
      <c r="AJ46" s="93"/>
      <c r="AK46" s="93"/>
      <c r="AL46" s="93" t="str">
        <f>IF(plachta3434[[#This Row],[DELIVERY TIME]]="STORNO",IF(plachta3434[[#This Row],[CARRIER]]="NEPOTVRDENE","REFUSED","CANCELLED"),"OK")</f>
        <v>OK</v>
      </c>
      <c r="AM46" s="93"/>
      <c r="AN46" s="93" t="str">
        <f>IF(RIGHT(plachta3434[[#This Row],[CARRIER]],3)="-MF",921,"")</f>
        <v/>
      </c>
      <c r="AO46" s="93"/>
    </row>
    <row r="47" spans="1:41" ht="14.1">
      <c r="A47" s="91">
        <f>WEEKNUM(plachta3434[[#This Row],[LOADING DATE]],21)</f>
        <v>4</v>
      </c>
      <c r="B47" s="92" t="s">
        <v>41</v>
      </c>
      <c r="C47" s="154" t="s">
        <v>42</v>
      </c>
      <c r="D47" s="155" t="s">
        <v>43</v>
      </c>
      <c r="E47" s="92" t="s">
        <v>44</v>
      </c>
      <c r="F47" s="99">
        <v>45315</v>
      </c>
      <c r="G47" s="102">
        <v>0.79166666666666663</v>
      </c>
      <c r="H47" s="156" t="s">
        <v>45</v>
      </c>
      <c r="I47" s="157" t="s">
        <v>59</v>
      </c>
      <c r="J47" s="158" t="s">
        <v>60</v>
      </c>
      <c r="K47" s="99">
        <v>45320</v>
      </c>
      <c r="L47" s="102">
        <v>0.35416666666666669</v>
      </c>
      <c r="M47" s="159">
        <v>1003101673</v>
      </c>
      <c r="N47" s="103" t="s">
        <v>49</v>
      </c>
      <c r="O47" s="188" t="s">
        <v>50</v>
      </c>
      <c r="P47" s="92" t="s">
        <v>61</v>
      </c>
      <c r="Q47" s="175" t="s">
        <v>79</v>
      </c>
      <c r="R47" s="92" t="s">
        <v>63</v>
      </c>
      <c r="S47" s="160">
        <v>2356</v>
      </c>
      <c r="T47" s="161">
        <v>2225</v>
      </c>
      <c r="U47" s="92">
        <f>plachta3434[[#This Row],[SALES '[€']]]-plachta3434[[#This Row],[PURCHASE '[€']]]</f>
        <v>131</v>
      </c>
      <c r="V47" s="98">
        <f>plachta3434[[#This Row],[MARGIN '[€']]]/plachta3434[[#This Row],[SALES '[€']]]</f>
        <v>5.5602716468590829E-2</v>
      </c>
      <c r="W47" s="172">
        <v>9215170939</v>
      </c>
      <c r="X47" s="108" t="s">
        <v>189</v>
      </c>
      <c r="Y47" s="36">
        <v>1629</v>
      </c>
      <c r="Z47" s="173"/>
      <c r="AA47" s="36" t="s">
        <v>51</v>
      </c>
      <c r="AB47" s="93">
        <f>plachta3434[[#This Row],[PURCHASE '[€']]]/plachta3434[[#This Row],[KM]]</f>
        <v>1.3658686310620012</v>
      </c>
      <c r="AC47" s="93">
        <f>plachta3434[[#This Row],[SALES '[€']]]/plachta3434[[#This Row],[KM]]</f>
        <v>1.4462860650705955</v>
      </c>
      <c r="AD47" s="93"/>
      <c r="AE47" s="93"/>
      <c r="AF47" s="93"/>
      <c r="AG47" s="93"/>
      <c r="AH47" s="93"/>
      <c r="AI47" s="93"/>
      <c r="AJ47" s="93"/>
      <c r="AK47" s="93"/>
      <c r="AL47" s="93" t="str">
        <f>IF(plachta3434[[#This Row],[DELIVERY TIME]]="STORNO",IF(plachta3434[[#This Row],[CARRIER]]="NEPOTVRDENE","REFUSED","CANCELLED"),"OK")</f>
        <v>OK</v>
      </c>
      <c r="AM47" s="93"/>
      <c r="AN47" s="93" t="str">
        <f>IF(RIGHT(plachta3434[[#This Row],[CARRIER]],3)="-MF",921,"")</f>
        <v/>
      </c>
      <c r="AO47" s="93"/>
    </row>
    <row r="48" spans="1:41" ht="14.1">
      <c r="A48" s="91">
        <f>WEEKNUM(plachta3434[[#This Row],[LOADING DATE]],21)</f>
        <v>4</v>
      </c>
      <c r="B48" s="92" t="s">
        <v>41</v>
      </c>
      <c r="C48" s="154" t="s">
        <v>42</v>
      </c>
      <c r="D48" s="155" t="s">
        <v>43</v>
      </c>
      <c r="E48" s="92" t="s">
        <v>44</v>
      </c>
      <c r="F48" s="99">
        <v>45315</v>
      </c>
      <c r="G48" s="102">
        <v>0.79166666666666663</v>
      </c>
      <c r="H48" s="156" t="s">
        <v>45</v>
      </c>
      <c r="I48" s="157" t="s">
        <v>75</v>
      </c>
      <c r="J48" s="158" t="s">
        <v>76</v>
      </c>
      <c r="K48" s="99">
        <v>45320</v>
      </c>
      <c r="L48" s="102">
        <v>0.54166666666666663</v>
      </c>
      <c r="M48" s="159">
        <v>1003101675</v>
      </c>
      <c r="N48" s="103" t="s">
        <v>49</v>
      </c>
      <c r="O48" s="188" t="s">
        <v>50</v>
      </c>
      <c r="P48" s="92"/>
      <c r="Q48" s="175" t="s">
        <v>190</v>
      </c>
      <c r="R48" s="92" t="s">
        <v>147</v>
      </c>
      <c r="S48" s="160">
        <v>2549</v>
      </c>
      <c r="T48" s="137">
        <v>2450</v>
      </c>
      <c r="U48" s="92">
        <f>plachta3434[[#This Row],[SALES '[€']]]-plachta3434[[#This Row],[PURCHASE '[€']]]</f>
        <v>99</v>
      </c>
      <c r="V48" s="98">
        <f>plachta3434[[#This Row],[MARGIN '[€']]]/plachta3434[[#This Row],[SALES '[€']]]</f>
        <v>3.8838760298156139E-2</v>
      </c>
      <c r="W48" s="172">
        <v>9215170855</v>
      </c>
      <c r="X48" s="108" t="s">
        <v>191</v>
      </c>
      <c r="Y48" s="36">
        <v>1778</v>
      </c>
      <c r="Z48" s="173"/>
      <c r="AA48" s="36" t="s">
        <v>51</v>
      </c>
      <c r="AB48" s="93">
        <f>plachta3434[[#This Row],[PURCHASE '[€']]]/plachta3434[[#This Row],[KM]]</f>
        <v>1.3779527559055118</v>
      </c>
      <c r="AC48" s="93">
        <f>plachta3434[[#This Row],[SALES '[€']]]/plachta3434[[#This Row],[KM]]</f>
        <v>1.4336332958380202</v>
      </c>
      <c r="AD48" s="93"/>
      <c r="AE48" s="93"/>
      <c r="AF48" s="93"/>
      <c r="AG48" s="93"/>
      <c r="AH48" s="93"/>
      <c r="AI48" s="93"/>
      <c r="AJ48" s="93"/>
      <c r="AK48" s="93"/>
      <c r="AL48" s="93" t="str">
        <f>IF(plachta3434[[#This Row],[DELIVERY TIME]]="STORNO",IF(plachta3434[[#This Row],[CARRIER]]="NEPOTVRDENE","REFUSED","CANCELLED"),"OK")</f>
        <v>OK</v>
      </c>
      <c r="AM48" s="93"/>
      <c r="AN48" s="93" t="str">
        <f>IF(RIGHT(plachta3434[[#This Row],[CARRIER]],3)="-MF",921,"")</f>
        <v/>
      </c>
      <c r="AO48" s="93"/>
    </row>
    <row r="49" spans="1:41" ht="14.1">
      <c r="A49" s="91">
        <f>WEEKNUM(plachta3434[[#This Row],[LOADING DATE]],21)</f>
        <v>4</v>
      </c>
      <c r="B49" s="92" t="s">
        <v>41</v>
      </c>
      <c r="C49" s="154" t="s">
        <v>42</v>
      </c>
      <c r="D49" s="155" t="s">
        <v>43</v>
      </c>
      <c r="E49" s="92" t="s">
        <v>44</v>
      </c>
      <c r="F49" s="99">
        <v>45316</v>
      </c>
      <c r="G49" s="102">
        <v>0.70833333333333337</v>
      </c>
      <c r="H49" s="156" t="s">
        <v>52</v>
      </c>
      <c r="I49" s="157" t="s">
        <v>53</v>
      </c>
      <c r="J49" s="158" t="s">
        <v>54</v>
      </c>
      <c r="K49" s="99">
        <v>45320</v>
      </c>
      <c r="L49" s="102">
        <v>0.33333333333333331</v>
      </c>
      <c r="M49" s="159">
        <v>1003113866</v>
      </c>
      <c r="N49" s="103" t="s">
        <v>49</v>
      </c>
      <c r="O49" s="188" t="s">
        <v>55</v>
      </c>
      <c r="P49" s="162" t="s">
        <v>56</v>
      </c>
      <c r="Q49" s="175" t="s">
        <v>192</v>
      </c>
      <c r="R49" s="92" t="s">
        <v>169</v>
      </c>
      <c r="S49" s="160">
        <v>1336</v>
      </c>
      <c r="T49" s="137">
        <v>1270</v>
      </c>
      <c r="U49" s="92">
        <f>plachta3434[[#This Row],[SALES '[€']]]-plachta3434[[#This Row],[PURCHASE '[€']]]</f>
        <v>66</v>
      </c>
      <c r="V49" s="98">
        <f>plachta3434[[#This Row],[MARGIN '[€']]]/plachta3434[[#This Row],[SALES '[€']]]</f>
        <v>4.940119760479042E-2</v>
      </c>
      <c r="W49" s="172">
        <v>9215171049</v>
      </c>
      <c r="X49" s="108" t="s">
        <v>193</v>
      </c>
      <c r="Y49" s="36">
        <v>1233</v>
      </c>
      <c r="Z49" s="173"/>
      <c r="AA49" s="36" t="s">
        <v>51</v>
      </c>
      <c r="AB49" s="93">
        <f>plachta3434[[#This Row],[PURCHASE '[€']]]/plachta3434[[#This Row],[KM]]</f>
        <v>1.0300081103000811</v>
      </c>
      <c r="AC49" s="93">
        <f>plachta3434[[#This Row],[SALES '[€']]]/plachta3434[[#This Row],[KM]]</f>
        <v>1.0835360908353608</v>
      </c>
      <c r="AD49" s="93"/>
      <c r="AE49" s="93"/>
      <c r="AF49" s="93"/>
      <c r="AG49" s="93"/>
      <c r="AH49" s="93"/>
      <c r="AI49" s="93"/>
      <c r="AJ49" s="93"/>
      <c r="AK49" s="93"/>
      <c r="AL49" s="93" t="str">
        <f>IF(plachta3434[[#This Row],[DELIVERY TIME]]="STORNO",IF(plachta3434[[#This Row],[CARRIER]]="NEPOTVRDENE","REFUSED","CANCELLED"),"OK")</f>
        <v>OK</v>
      </c>
      <c r="AM49" s="93"/>
      <c r="AN49" s="93" t="str">
        <f>IF(RIGHT(plachta3434[[#This Row],[CARRIER]],3)="-MF",921,"")</f>
        <v/>
      </c>
      <c r="AO49" s="93"/>
    </row>
    <row r="50" spans="1:41" ht="14.1">
      <c r="A50" s="91">
        <f>WEEKNUM(plachta3434[[#This Row],[LOADING DATE]],21)</f>
        <v>4</v>
      </c>
      <c r="B50" s="92" t="s">
        <v>41</v>
      </c>
      <c r="C50" s="154" t="s">
        <v>42</v>
      </c>
      <c r="D50" s="155" t="s">
        <v>43</v>
      </c>
      <c r="E50" s="92" t="s">
        <v>44</v>
      </c>
      <c r="F50" s="99">
        <v>45316</v>
      </c>
      <c r="G50" s="102">
        <v>0.79166666666666663</v>
      </c>
      <c r="H50" s="156" t="s">
        <v>45</v>
      </c>
      <c r="I50" s="157" t="s">
        <v>75</v>
      </c>
      <c r="J50" s="158" t="s">
        <v>76</v>
      </c>
      <c r="K50" s="99">
        <v>45321</v>
      </c>
      <c r="L50" s="102">
        <v>0.41666666666666669</v>
      </c>
      <c r="M50" s="159">
        <v>1003101692</v>
      </c>
      <c r="N50" s="103" t="s">
        <v>49</v>
      </c>
      <c r="O50" s="188" t="s">
        <v>50</v>
      </c>
      <c r="P50" s="92" t="s">
        <v>61</v>
      </c>
      <c r="Q50" s="175" t="s">
        <v>194</v>
      </c>
      <c r="R50" s="92" t="s">
        <v>85</v>
      </c>
      <c r="S50" s="160">
        <v>2549</v>
      </c>
      <c r="T50" s="137">
        <v>2347</v>
      </c>
      <c r="U50" s="92">
        <f>plachta3434[[#This Row],[SALES '[€']]]-plachta3434[[#This Row],[PURCHASE '[€']]]</f>
        <v>202</v>
      </c>
      <c r="V50" s="98">
        <f>plachta3434[[#This Row],[MARGIN '[€']]]/plachta3434[[#This Row],[SALES '[€']]]</f>
        <v>7.9246763436641818E-2</v>
      </c>
      <c r="W50" s="172">
        <v>9215171237</v>
      </c>
      <c r="X50" s="108" t="s">
        <v>195</v>
      </c>
      <c r="Y50" s="36">
        <v>1778</v>
      </c>
      <c r="Z50" s="173" t="s">
        <v>196</v>
      </c>
      <c r="AA50" s="36" t="s">
        <v>51</v>
      </c>
      <c r="AB50" s="93">
        <f>plachta3434[[#This Row],[PURCHASE '[€']]]/plachta3434[[#This Row],[KM]]</f>
        <v>1.3200224971878516</v>
      </c>
      <c r="AC50" s="93">
        <f>plachta3434[[#This Row],[SALES '[€']]]/plachta3434[[#This Row],[KM]]</f>
        <v>1.4336332958380202</v>
      </c>
      <c r="AD50" s="93"/>
      <c r="AE50" s="93"/>
      <c r="AF50" s="93"/>
      <c r="AG50" s="93"/>
      <c r="AH50" s="93"/>
      <c r="AI50" s="93"/>
      <c r="AJ50" s="93"/>
      <c r="AK50" s="93"/>
      <c r="AL50" s="93" t="str">
        <f>IF(plachta3434[[#This Row],[DELIVERY TIME]]="STORNO",IF(plachta3434[[#This Row],[CARRIER]]="NEPOTVRDENE","REFUSED","CANCELLED"),"OK")</f>
        <v>OK</v>
      </c>
      <c r="AM50" s="93"/>
      <c r="AN50" s="93" t="str">
        <f>IF(RIGHT(plachta3434[[#This Row],[CARRIER]],3)="-MF",921,"")</f>
        <v/>
      </c>
      <c r="AO50" s="93"/>
    </row>
    <row r="51" spans="1:41" ht="14.1">
      <c r="A51" s="91">
        <f>WEEKNUM(plachta3434[[#This Row],[LOADING DATE]],21)</f>
        <v>4</v>
      </c>
      <c r="B51" s="92" t="s">
        <v>41</v>
      </c>
      <c r="C51" s="154" t="s">
        <v>42</v>
      </c>
      <c r="D51" s="155" t="s">
        <v>43</v>
      </c>
      <c r="E51" s="92" t="s">
        <v>44</v>
      </c>
      <c r="F51" s="99">
        <v>45316</v>
      </c>
      <c r="G51" s="102">
        <v>0.3125</v>
      </c>
      <c r="H51" s="156" t="s">
        <v>197</v>
      </c>
      <c r="I51" s="157" t="s">
        <v>198</v>
      </c>
      <c r="J51" s="158" t="s">
        <v>199</v>
      </c>
      <c r="K51" s="99">
        <v>45320</v>
      </c>
      <c r="L51" s="102">
        <v>0.25</v>
      </c>
      <c r="M51" s="159">
        <v>1003118317</v>
      </c>
      <c r="N51" s="103" t="s">
        <v>49</v>
      </c>
      <c r="O51" s="188" t="s">
        <v>55</v>
      </c>
      <c r="P51" s="92"/>
      <c r="Q51" s="175" t="s">
        <v>200</v>
      </c>
      <c r="R51" s="92" t="s">
        <v>119</v>
      </c>
      <c r="S51" s="168">
        <v>1550</v>
      </c>
      <c r="T51" s="161">
        <v>1470</v>
      </c>
      <c r="U51" s="92">
        <f>plachta3434[[#This Row],[SALES '[€']]]-plachta3434[[#This Row],[PURCHASE '[€']]]</f>
        <v>80</v>
      </c>
      <c r="V51" s="98">
        <f>plachta3434[[#This Row],[MARGIN '[€']]]/plachta3434[[#This Row],[SALES '[€']]]</f>
        <v>5.1612903225806452E-2</v>
      </c>
      <c r="W51" s="172">
        <v>9215171206</v>
      </c>
      <c r="X51" s="108" t="s">
        <v>201</v>
      </c>
      <c r="Y51" s="36">
        <v>1160</v>
      </c>
      <c r="Z51" s="173" t="s">
        <v>126</v>
      </c>
      <c r="AA51" s="36" t="s">
        <v>51</v>
      </c>
      <c r="AB51" s="93">
        <f>plachta3434[[#This Row],[PURCHASE '[€']]]/plachta3434[[#This Row],[KM]]</f>
        <v>1.2672413793103448</v>
      </c>
      <c r="AC51" s="93">
        <f>plachta3434[[#This Row],[SALES '[€']]]/plachta3434[[#This Row],[KM]]</f>
        <v>1.3362068965517242</v>
      </c>
      <c r="AD51" s="93"/>
      <c r="AE51" s="93"/>
      <c r="AF51" s="93"/>
      <c r="AG51" s="93"/>
      <c r="AH51" s="93"/>
      <c r="AI51" s="93"/>
      <c r="AJ51" s="93"/>
      <c r="AK51" s="93"/>
      <c r="AL51" s="93" t="str">
        <f>IF(plachta3434[[#This Row],[DELIVERY TIME]]="STORNO",IF(plachta3434[[#This Row],[CARRIER]]="NEPOTVRDENE","REFUSED","CANCELLED"),"OK")</f>
        <v>OK</v>
      </c>
      <c r="AM51" s="93"/>
      <c r="AN51" s="93" t="str">
        <f>IF(RIGHT(plachta3434[[#This Row],[CARRIER]],3)="-MF",921,"")</f>
        <v/>
      </c>
      <c r="AO51" s="93"/>
    </row>
    <row r="52" spans="1:41" ht="14.1">
      <c r="A52" s="91">
        <f>WEEKNUM(plachta3434[[#This Row],[LOADING DATE]],21)</f>
        <v>4</v>
      </c>
      <c r="B52" s="92" t="s">
        <v>41</v>
      </c>
      <c r="C52" s="154" t="s">
        <v>42</v>
      </c>
      <c r="D52" s="155" t="s">
        <v>43</v>
      </c>
      <c r="E52" s="92" t="s">
        <v>44</v>
      </c>
      <c r="F52" s="99">
        <v>45317</v>
      </c>
      <c r="G52" s="102">
        <v>0.85416666666666663</v>
      </c>
      <c r="H52" s="156" t="s">
        <v>52</v>
      </c>
      <c r="I52" s="157" t="s">
        <v>53</v>
      </c>
      <c r="J52" s="158" t="s">
        <v>54</v>
      </c>
      <c r="K52" s="99">
        <v>45321</v>
      </c>
      <c r="L52" s="102">
        <v>0.33333333333333331</v>
      </c>
      <c r="M52" s="159">
        <v>1003116941</v>
      </c>
      <c r="N52" s="103" t="s">
        <v>49</v>
      </c>
      <c r="O52" s="188" t="s">
        <v>55</v>
      </c>
      <c r="P52" s="92"/>
      <c r="Q52" s="175" t="s">
        <v>202</v>
      </c>
      <c r="R52" s="92" t="s">
        <v>57</v>
      </c>
      <c r="S52" s="136">
        <v>1336</v>
      </c>
      <c r="T52" s="161">
        <v>1300</v>
      </c>
      <c r="U52" s="92">
        <f>plachta3434[[#This Row],[SALES '[€']]]-plachta3434[[#This Row],[PURCHASE '[€']]]</f>
        <v>36</v>
      </c>
      <c r="V52" s="98">
        <f>plachta3434[[#This Row],[MARGIN '[€']]]/plachta3434[[#This Row],[SALES '[€']]]</f>
        <v>2.6946107784431138E-2</v>
      </c>
      <c r="W52" s="172">
        <v>9215171192</v>
      </c>
      <c r="X52" s="108" t="s">
        <v>203</v>
      </c>
      <c r="Y52" s="36">
        <v>1233</v>
      </c>
      <c r="Z52" s="173"/>
      <c r="AA52" s="36" t="s">
        <v>51</v>
      </c>
      <c r="AB52" s="93">
        <f>plachta3434[[#This Row],[PURCHASE '[€']]]/plachta3434[[#This Row],[KM]]</f>
        <v>1.0543390105433901</v>
      </c>
      <c r="AC52" s="93">
        <f>plachta3434[[#This Row],[SALES '[€']]]/plachta3434[[#This Row],[KM]]</f>
        <v>1.0835360908353608</v>
      </c>
      <c r="AD52" s="93"/>
      <c r="AE52" s="93"/>
      <c r="AF52" s="93"/>
      <c r="AG52" s="93"/>
      <c r="AH52" s="93"/>
      <c r="AI52" s="93"/>
      <c r="AJ52" s="93"/>
      <c r="AK52" s="93"/>
      <c r="AL52" s="93" t="str">
        <f>IF(plachta3434[[#This Row],[DELIVERY TIME]]="STORNO",IF(plachta3434[[#This Row],[CARRIER]]="NEPOTVRDENE","REFUSED","CANCELLED"),"OK")</f>
        <v>OK</v>
      </c>
      <c r="AM52" s="93"/>
      <c r="AN52" s="93" t="str">
        <f>IF(RIGHT(plachta3434[[#This Row],[CARRIER]],3)="-MF",921,"")</f>
        <v/>
      </c>
      <c r="AO52" s="93"/>
    </row>
    <row r="53" spans="1:41" ht="14.1">
      <c r="A53" s="91">
        <f>WEEKNUM(plachta3434[[#This Row],[LOADING DATE]],21)</f>
        <v>4</v>
      </c>
      <c r="B53" s="92" t="s">
        <v>41</v>
      </c>
      <c r="C53" s="154" t="s">
        <v>42</v>
      </c>
      <c r="D53" s="155" t="s">
        <v>43</v>
      </c>
      <c r="E53" s="92" t="s">
        <v>44</v>
      </c>
      <c r="F53" s="99">
        <v>45317</v>
      </c>
      <c r="G53" s="102"/>
      <c r="H53" s="156" t="s">
        <v>52</v>
      </c>
      <c r="I53" s="157" t="s">
        <v>53</v>
      </c>
      <c r="J53" s="158" t="s">
        <v>54</v>
      </c>
      <c r="K53" s="99">
        <v>45321</v>
      </c>
      <c r="L53" s="170" t="s">
        <v>48</v>
      </c>
      <c r="M53" s="159">
        <v>1003116942</v>
      </c>
      <c r="N53" s="103" t="s">
        <v>49</v>
      </c>
      <c r="O53" s="189" t="s">
        <v>55</v>
      </c>
      <c r="P53" s="92"/>
      <c r="Q53" s="175"/>
      <c r="R53" s="92" t="s">
        <v>204</v>
      </c>
      <c r="S53" s="160"/>
      <c r="T53" s="161"/>
      <c r="U53" s="92">
        <f>plachta3434[[#This Row],[SALES '[€']]]-plachta3434[[#This Row],[PURCHASE '[€']]]</f>
        <v>0</v>
      </c>
      <c r="V53" s="98" t="e">
        <f>plachta3434[[#This Row],[MARGIN '[€']]]/plachta3434[[#This Row],[SALES '[€']]]</f>
        <v>#DIV/0!</v>
      </c>
      <c r="W53" s="172"/>
      <c r="X53" s="108"/>
      <c r="Y53" s="36"/>
      <c r="Z53" s="173"/>
      <c r="AA53" s="36"/>
      <c r="AB53" s="93" t="e">
        <f>plachta3434[[#This Row],[PURCHASE '[€']]]/plachta3434[[#This Row],[KM]]</f>
        <v>#DIV/0!</v>
      </c>
      <c r="AC53" s="93" t="e">
        <f>plachta3434[[#This Row],[SALES '[€']]]/plachta3434[[#This Row],[KM]]</f>
        <v>#DIV/0!</v>
      </c>
      <c r="AD53" s="93"/>
      <c r="AE53" s="93"/>
      <c r="AF53" s="93"/>
      <c r="AG53" s="93"/>
      <c r="AH53" s="93"/>
      <c r="AI53" s="93"/>
      <c r="AJ53" s="93"/>
      <c r="AK53" s="93"/>
      <c r="AL53" s="93" t="str">
        <f>IF(plachta3434[[#This Row],[DELIVERY TIME]]="STORNO",IF(plachta3434[[#This Row],[CARRIER]]="NEPOTVRDENE","REFUSED","CANCELLED"),"OK")</f>
        <v>REFUSED</v>
      </c>
      <c r="AM53" s="93"/>
      <c r="AN53" s="93" t="str">
        <f>IF(RIGHT(plachta3434[[#This Row],[CARRIER]],3)="-MF",921,"")</f>
        <v/>
      </c>
      <c r="AO53" s="93"/>
    </row>
    <row r="54" spans="1:41" ht="14.1">
      <c r="A54" s="91">
        <f>WEEKNUM(plachta3434[[#This Row],[LOADING DATE]],21)</f>
        <v>4</v>
      </c>
      <c r="B54" s="92" t="s">
        <v>41</v>
      </c>
      <c r="C54" s="154" t="s">
        <v>42</v>
      </c>
      <c r="D54" s="155" t="s">
        <v>43</v>
      </c>
      <c r="E54" s="92" t="s">
        <v>44</v>
      </c>
      <c r="F54" s="99">
        <v>45317</v>
      </c>
      <c r="G54" s="102">
        <v>0.45833333333333331</v>
      </c>
      <c r="H54" s="156" t="s">
        <v>45</v>
      </c>
      <c r="I54" s="157" t="s">
        <v>46</v>
      </c>
      <c r="J54" s="158" t="s">
        <v>47</v>
      </c>
      <c r="K54" s="99">
        <v>45322</v>
      </c>
      <c r="L54" s="102">
        <v>0.27083333333333331</v>
      </c>
      <c r="M54" s="159">
        <v>1003101694</v>
      </c>
      <c r="N54" s="103" t="s">
        <v>49</v>
      </c>
      <c r="O54" s="188" t="s">
        <v>50</v>
      </c>
      <c r="P54" s="92" t="s">
        <v>61</v>
      </c>
      <c r="Q54" s="175" t="s">
        <v>205</v>
      </c>
      <c r="R54" s="104" t="s">
        <v>206</v>
      </c>
      <c r="S54" s="136">
        <f>2188+71</f>
        <v>2259</v>
      </c>
      <c r="T54" s="161">
        <v>1923.79</v>
      </c>
      <c r="U54" s="92">
        <f>plachta3434[[#This Row],[SALES '[€']]]-plachta3434[[#This Row],[PURCHASE '[€']]]</f>
        <v>335.21000000000004</v>
      </c>
      <c r="V54" s="98">
        <f>plachta3434[[#This Row],[MARGIN '[€']]]/plachta3434[[#This Row],[SALES '[€']]]</f>
        <v>0.14838866755201419</v>
      </c>
      <c r="W54" s="172">
        <v>9215171208</v>
      </c>
      <c r="X54" s="108" t="s">
        <v>207</v>
      </c>
      <c r="Y54" s="36">
        <v>1663</v>
      </c>
      <c r="Z54" s="173">
        <v>97</v>
      </c>
      <c r="AA54" s="36" t="s">
        <v>208</v>
      </c>
      <c r="AB54" s="93">
        <f>plachta3434[[#This Row],[PURCHASE '[€']]]/plachta3434[[#This Row],[KM]]</f>
        <v>1.1568190018039688</v>
      </c>
      <c r="AC54" s="93">
        <f>plachta3434[[#This Row],[SALES '[€']]]/plachta3434[[#This Row],[KM]]</f>
        <v>1.3583884546001204</v>
      </c>
      <c r="AD54" s="93"/>
      <c r="AE54" s="93"/>
      <c r="AF54" s="93"/>
      <c r="AG54" s="93"/>
      <c r="AH54" s="93"/>
      <c r="AI54" s="93"/>
      <c r="AJ54" s="93"/>
      <c r="AK54" s="93"/>
      <c r="AL54" s="93" t="str">
        <f>IF(plachta3434[[#This Row],[DELIVERY TIME]]="STORNO",IF(plachta3434[[#This Row],[CARRIER]]="NEPOTVRDENE","REFUSED","CANCELLED"),"OK")</f>
        <v>OK</v>
      </c>
      <c r="AM54" s="93"/>
      <c r="AN54" s="93">
        <f>IF(RIGHT(plachta3434[[#This Row],[CARRIER]],3)="-MF",921,"")</f>
        <v>921</v>
      </c>
      <c r="AO54" s="93"/>
    </row>
    <row r="55" spans="1:41" ht="14.1">
      <c r="A55" s="91">
        <f>WEEKNUM(plachta3434[[#This Row],[LOADING DATE]],21)</f>
        <v>4</v>
      </c>
      <c r="B55" s="92" t="s">
        <v>41</v>
      </c>
      <c r="C55" s="154" t="s">
        <v>42</v>
      </c>
      <c r="D55" s="155" t="s">
        <v>43</v>
      </c>
      <c r="E55" s="92" t="s">
        <v>44</v>
      </c>
      <c r="F55" s="99">
        <v>45317</v>
      </c>
      <c r="G55" s="102">
        <v>0.79166666666666663</v>
      </c>
      <c r="H55" s="156" t="s">
        <v>45</v>
      </c>
      <c r="I55" s="157" t="s">
        <v>209</v>
      </c>
      <c r="J55" s="158" t="s">
        <v>210</v>
      </c>
      <c r="K55" s="99">
        <v>45322</v>
      </c>
      <c r="L55" s="102">
        <v>0.4375</v>
      </c>
      <c r="M55" s="159">
        <v>1003101695</v>
      </c>
      <c r="N55" s="103" t="s">
        <v>49</v>
      </c>
      <c r="O55" s="188" t="s">
        <v>50</v>
      </c>
      <c r="P55" s="92" t="s">
        <v>61</v>
      </c>
      <c r="Q55" s="175" t="s">
        <v>211</v>
      </c>
      <c r="R55" s="92" t="s">
        <v>63</v>
      </c>
      <c r="S55" s="136">
        <v>2330</v>
      </c>
      <c r="T55" s="161">
        <v>2150</v>
      </c>
      <c r="U55" s="92">
        <f>plachta3434[[#This Row],[SALES '[€']]]-plachta3434[[#This Row],[PURCHASE '[€']]]</f>
        <v>180</v>
      </c>
      <c r="V55" s="98">
        <f>plachta3434[[#This Row],[MARGIN '[€']]]/plachta3434[[#This Row],[SALES '[€']]]</f>
        <v>7.7253218884120178E-2</v>
      </c>
      <c r="W55" s="172">
        <v>9215170949</v>
      </c>
      <c r="X55" s="108" t="s">
        <v>212</v>
      </c>
      <c r="Y55" s="36">
        <v>1595</v>
      </c>
      <c r="Z55" s="173"/>
      <c r="AA55" s="36" t="s">
        <v>51</v>
      </c>
      <c r="AB55" s="93">
        <f>plachta3434[[#This Row],[PURCHASE '[€']]]/plachta3434[[#This Row],[KM]]</f>
        <v>1.347962382445141</v>
      </c>
      <c r="AC55" s="93">
        <f>plachta3434[[#This Row],[SALES '[€']]]/plachta3434[[#This Row],[KM]]</f>
        <v>1.4608150470219436</v>
      </c>
      <c r="AD55" s="93"/>
      <c r="AE55" s="93"/>
      <c r="AF55" s="93"/>
      <c r="AG55" s="93"/>
      <c r="AH55" s="93"/>
      <c r="AI55" s="93"/>
      <c r="AJ55" s="93"/>
      <c r="AK55" s="93"/>
      <c r="AL55" s="93" t="str">
        <f>IF(plachta3434[[#This Row],[DELIVERY TIME]]="STORNO",IF(plachta3434[[#This Row],[CARRIER]]="NEPOTVRDENE","REFUSED","CANCELLED"),"OK")</f>
        <v>OK</v>
      </c>
      <c r="AM55" s="93"/>
      <c r="AN55" s="93" t="str">
        <f>IF(RIGHT(plachta3434[[#This Row],[CARRIER]],3)="-MF",921,"")</f>
        <v/>
      </c>
      <c r="AO55" s="93"/>
    </row>
    <row r="56" spans="1:41" ht="14.1">
      <c r="A56" s="91">
        <f>WEEKNUM(plachta3434[[#This Row],[LOADING DATE]],21)</f>
        <v>4</v>
      </c>
      <c r="B56" s="92" t="s">
        <v>41</v>
      </c>
      <c r="C56" s="154" t="s">
        <v>42</v>
      </c>
      <c r="D56" s="155" t="s">
        <v>43</v>
      </c>
      <c r="E56" s="92" t="s">
        <v>44</v>
      </c>
      <c r="F56" s="100">
        <v>45317</v>
      </c>
      <c r="G56" s="170">
        <v>0.79166666666666663</v>
      </c>
      <c r="H56" s="156" t="s">
        <v>45</v>
      </c>
      <c r="I56" s="157" t="s">
        <v>59</v>
      </c>
      <c r="J56" s="158" t="s">
        <v>93</v>
      </c>
      <c r="K56" s="100">
        <v>45322</v>
      </c>
      <c r="L56" s="170">
        <v>0.375</v>
      </c>
      <c r="M56" s="159">
        <v>1003105940</v>
      </c>
      <c r="N56" s="103" t="s">
        <v>49</v>
      </c>
      <c r="O56" s="188" t="s">
        <v>50</v>
      </c>
      <c r="P56" s="197" t="s">
        <v>213</v>
      </c>
      <c r="Q56" s="186" t="s">
        <v>214</v>
      </c>
      <c r="R56" s="92" t="s">
        <v>85</v>
      </c>
      <c r="S56" s="160">
        <v>2356</v>
      </c>
      <c r="T56" s="137">
        <v>2170</v>
      </c>
      <c r="U56" s="92">
        <f>plachta3434[[#This Row],[SALES '[€']]]-plachta3434[[#This Row],[PURCHASE '[€']]]</f>
        <v>186</v>
      </c>
      <c r="V56" s="98">
        <f>plachta3434[[#This Row],[MARGIN '[€']]]/plachta3434[[#This Row],[SALES '[€']]]</f>
        <v>7.8947368421052627E-2</v>
      </c>
      <c r="W56" s="172">
        <v>9215170970</v>
      </c>
      <c r="X56" s="108" t="s">
        <v>215</v>
      </c>
      <c r="Y56" s="36">
        <v>1642</v>
      </c>
      <c r="Z56" s="173"/>
      <c r="AA56" s="18" t="s">
        <v>51</v>
      </c>
      <c r="AB56" s="93">
        <f>plachta3434[[#This Row],[PURCHASE '[€']]]/plachta3434[[#This Row],[KM]]</f>
        <v>1.3215590742996346</v>
      </c>
      <c r="AC56" s="93">
        <f>plachta3434[[#This Row],[SALES '[€']]]/plachta3434[[#This Row],[KM]]</f>
        <v>1.4348355663824603</v>
      </c>
      <c r="AD56" s="93"/>
      <c r="AE56" s="93"/>
      <c r="AF56" s="93"/>
      <c r="AG56" s="93"/>
      <c r="AH56" s="93"/>
      <c r="AI56" s="93"/>
      <c r="AJ56" s="93"/>
      <c r="AK56" s="93"/>
      <c r="AL56" s="93" t="str">
        <f>IF(plachta3434[[#This Row],[DELIVERY TIME]]="STORNO",IF(plachta3434[[#This Row],[CARRIER]]="NEPOTVRDENE","REFUSED","CANCELLED"),"OK")</f>
        <v>OK</v>
      </c>
      <c r="AM56" s="93"/>
      <c r="AN56" s="93" t="str">
        <f>IF(RIGHT(plachta3434[[#This Row],[CARRIER]],3)="-MF",921,"")</f>
        <v/>
      </c>
      <c r="AO56" s="93"/>
    </row>
    <row r="57" spans="1:41" ht="14.1">
      <c r="A57" s="91">
        <f>WEEKNUM(plachta3434[[#This Row],[LOADING DATE]],21)</f>
        <v>4</v>
      </c>
      <c r="B57" s="92" t="s">
        <v>41</v>
      </c>
      <c r="C57" s="154" t="s">
        <v>42</v>
      </c>
      <c r="D57" s="155" t="s">
        <v>43</v>
      </c>
      <c r="E57" s="92" t="s">
        <v>44</v>
      </c>
      <c r="F57" s="100">
        <v>45317</v>
      </c>
      <c r="G57" s="102">
        <v>0.25</v>
      </c>
      <c r="H57" s="156" t="s">
        <v>45</v>
      </c>
      <c r="I57" s="157" t="s">
        <v>59</v>
      </c>
      <c r="J57" s="158" t="s">
        <v>93</v>
      </c>
      <c r="K57" s="100">
        <v>45322</v>
      </c>
      <c r="L57" s="102">
        <v>0.29166666666666669</v>
      </c>
      <c r="M57" s="159">
        <v>1003106185</v>
      </c>
      <c r="N57" s="103" t="s">
        <v>49</v>
      </c>
      <c r="O57" s="188" t="s">
        <v>50</v>
      </c>
      <c r="P57" s="92" t="s">
        <v>61</v>
      </c>
      <c r="Q57" s="185" t="s">
        <v>216</v>
      </c>
      <c r="R57" s="92" t="s">
        <v>217</v>
      </c>
      <c r="S57" s="160">
        <v>2356</v>
      </c>
      <c r="T57" s="161">
        <v>2180</v>
      </c>
      <c r="U57" s="92">
        <f>plachta3434[[#This Row],[SALES '[€']]]-plachta3434[[#This Row],[PURCHASE '[€']]]</f>
        <v>176</v>
      </c>
      <c r="V57" s="98">
        <f>plachta3434[[#This Row],[MARGIN '[€']]]/plachta3434[[#This Row],[SALES '[€']]]</f>
        <v>7.4702886247877756E-2</v>
      </c>
      <c r="W57" s="172">
        <v>9215170972</v>
      </c>
      <c r="X57" s="108" t="s">
        <v>218</v>
      </c>
      <c r="Y57" s="36">
        <v>1642</v>
      </c>
      <c r="Z57" s="173"/>
      <c r="AA57" s="18" t="s">
        <v>51</v>
      </c>
      <c r="AB57" s="93">
        <f>plachta3434[[#This Row],[PURCHASE '[€']]]/plachta3434[[#This Row],[KM]]</f>
        <v>1.3276492082825821</v>
      </c>
      <c r="AC57" s="93">
        <f>plachta3434[[#This Row],[SALES '[€']]]/plachta3434[[#This Row],[KM]]</f>
        <v>1.4348355663824603</v>
      </c>
      <c r="AD57" s="93"/>
      <c r="AE57" s="93"/>
      <c r="AF57" s="93"/>
      <c r="AG57" s="93"/>
      <c r="AH57" s="93"/>
      <c r="AI57" s="93"/>
      <c r="AJ57" s="93"/>
      <c r="AK57" s="93"/>
      <c r="AL57" s="93" t="str">
        <f>IF(plachta3434[[#This Row],[DELIVERY TIME]]="STORNO",IF(plachta3434[[#This Row],[CARRIER]]="NEPOTVRDENE","REFUSED","CANCELLED"),"OK")</f>
        <v>OK</v>
      </c>
      <c r="AM57" s="93"/>
      <c r="AN57" s="93" t="str">
        <f>IF(RIGHT(plachta3434[[#This Row],[CARRIER]],3)="-MF",921,"")</f>
        <v/>
      </c>
      <c r="AO57" s="93"/>
    </row>
    <row r="58" spans="1:41" ht="14.1">
      <c r="A58" s="91">
        <f>WEEKNUM(plachta3434[[#This Row],[LOADING DATE]],21)</f>
        <v>5</v>
      </c>
      <c r="B58" s="92" t="s">
        <v>41</v>
      </c>
      <c r="C58" s="154" t="s">
        <v>42</v>
      </c>
      <c r="D58" s="155" t="s">
        <v>43</v>
      </c>
      <c r="E58" s="92" t="s">
        <v>44</v>
      </c>
      <c r="F58" s="181">
        <v>45320</v>
      </c>
      <c r="G58" s="170">
        <v>0.3125</v>
      </c>
      <c r="H58" s="156" t="s">
        <v>175</v>
      </c>
      <c r="I58" s="157" t="s">
        <v>176</v>
      </c>
      <c r="J58" s="158" t="s">
        <v>177</v>
      </c>
      <c r="K58" s="181">
        <v>45322</v>
      </c>
      <c r="L58" s="170">
        <v>0.41666666666666669</v>
      </c>
      <c r="M58" s="159">
        <v>1003105021</v>
      </c>
      <c r="N58" s="103" t="s">
        <v>49</v>
      </c>
      <c r="O58" s="188" t="s">
        <v>50</v>
      </c>
      <c r="P58" s="92"/>
      <c r="Q58" s="175" t="s">
        <v>219</v>
      </c>
      <c r="R58" s="92" t="s">
        <v>220</v>
      </c>
      <c r="S58" s="136">
        <v>1808</v>
      </c>
      <c r="T58" s="161">
        <v>1730</v>
      </c>
      <c r="U58" s="92">
        <f>plachta3434[[#This Row],[SALES '[€']]]-plachta3434[[#This Row],[PURCHASE '[€']]]</f>
        <v>78</v>
      </c>
      <c r="V58" s="98">
        <f>plachta3434[[#This Row],[MARGIN '[€']]]/plachta3434[[#This Row],[SALES '[€']]]</f>
        <v>4.314159292035398E-2</v>
      </c>
      <c r="W58" s="172">
        <v>9215170854</v>
      </c>
      <c r="X58" s="108" t="s">
        <v>221</v>
      </c>
      <c r="Y58" s="36">
        <v>1382</v>
      </c>
      <c r="Z58" s="173"/>
      <c r="AA58" s="36" t="s">
        <v>51</v>
      </c>
      <c r="AB58" s="93">
        <f>plachta3434[[#This Row],[PURCHASE '[€']]]/plachta3434[[#This Row],[KM]]</f>
        <v>1.2518089725036179</v>
      </c>
      <c r="AC58" s="93">
        <f>plachta3434[[#This Row],[SALES '[€']]]/plachta3434[[#This Row],[KM]]</f>
        <v>1.3082489146164977</v>
      </c>
      <c r="AD58" s="93"/>
      <c r="AE58" s="93"/>
      <c r="AF58" s="93"/>
      <c r="AG58" s="93"/>
      <c r="AH58" s="93"/>
      <c r="AI58" s="93"/>
      <c r="AJ58" s="93"/>
      <c r="AK58" s="93"/>
      <c r="AL58" s="93" t="str">
        <f>IF(plachta3434[[#This Row],[DELIVERY TIME]]="STORNO",IF(plachta3434[[#This Row],[CARRIER]]="NEPOTVRDENE","REFUSED","CANCELLED"),"OK")</f>
        <v>OK</v>
      </c>
      <c r="AM58" s="93"/>
      <c r="AN58" s="93" t="str">
        <f>IF(RIGHT(plachta3434[[#This Row],[CARRIER]],3)="-MF",921,"")</f>
        <v/>
      </c>
      <c r="AO58" s="93"/>
    </row>
    <row r="59" spans="1:41" ht="14.1">
      <c r="A59" s="91">
        <f>WEEKNUM(plachta3434[[#This Row],[LOADING DATE]],21)</f>
        <v>5</v>
      </c>
      <c r="B59" s="92" t="s">
        <v>41</v>
      </c>
      <c r="C59" s="154" t="s">
        <v>42</v>
      </c>
      <c r="D59" s="155" t="s">
        <v>43</v>
      </c>
      <c r="E59" s="92" t="s">
        <v>44</v>
      </c>
      <c r="F59" s="99">
        <v>45320</v>
      </c>
      <c r="G59" s="102">
        <v>0.3125</v>
      </c>
      <c r="H59" s="156" t="s">
        <v>45</v>
      </c>
      <c r="I59" s="157" t="s">
        <v>46</v>
      </c>
      <c r="J59" s="158" t="s">
        <v>47</v>
      </c>
      <c r="K59" s="99">
        <v>45323</v>
      </c>
      <c r="L59" s="102">
        <v>0.27083333333333331</v>
      </c>
      <c r="M59" s="159">
        <v>1003101810</v>
      </c>
      <c r="N59" s="103" t="s">
        <v>49</v>
      </c>
      <c r="O59" s="188" t="s">
        <v>50</v>
      </c>
      <c r="P59" s="92" t="s">
        <v>222</v>
      </c>
      <c r="Q59" s="175" t="s">
        <v>223</v>
      </c>
      <c r="R59" s="104" t="s">
        <v>73</v>
      </c>
      <c r="S59" s="136">
        <f>2188+71</f>
        <v>2259</v>
      </c>
      <c r="T59" s="137">
        <v>1832.75</v>
      </c>
      <c r="U59" s="92">
        <f>plachta3434[[#This Row],[SALES '[€']]]-plachta3434[[#This Row],[PURCHASE '[€']]]</f>
        <v>426.25</v>
      </c>
      <c r="V59" s="98">
        <f>plachta3434[[#This Row],[MARGIN '[€']]]/plachta3434[[#This Row],[SALES '[€']]]</f>
        <v>0.18868968570163788</v>
      </c>
      <c r="W59" s="172">
        <v>9215171207</v>
      </c>
      <c r="X59" s="108" t="s">
        <v>224</v>
      </c>
      <c r="Y59" s="36">
        <v>1566</v>
      </c>
      <c r="Z59" s="173"/>
      <c r="AA59" s="36" t="s">
        <v>208</v>
      </c>
      <c r="AB59" s="93">
        <f>plachta3434[[#This Row],[PURCHASE '[€']]]/plachta3434[[#This Row],[KM]]</f>
        <v>1.1703384418901661</v>
      </c>
      <c r="AC59" s="93">
        <f>plachta3434[[#This Row],[SALES '[€']]]/plachta3434[[#This Row],[KM]]</f>
        <v>1.4425287356321839</v>
      </c>
      <c r="AD59" s="93"/>
      <c r="AE59" s="93"/>
      <c r="AF59" s="93"/>
      <c r="AG59" s="93"/>
      <c r="AH59" s="93"/>
      <c r="AI59" s="93"/>
      <c r="AJ59" s="93"/>
      <c r="AK59" s="93"/>
      <c r="AL59" s="93" t="str">
        <f>IF(plachta3434[[#This Row],[DELIVERY TIME]]="STORNO",IF(plachta3434[[#This Row],[CARRIER]]="NEPOTVRDENE","REFUSED","CANCELLED"),"OK")</f>
        <v>OK</v>
      </c>
      <c r="AM59" s="93"/>
      <c r="AN59" s="93">
        <f>IF(RIGHT(plachta3434[[#This Row],[CARRIER]],3)="-MF",921,"")</f>
        <v>921</v>
      </c>
      <c r="AO59" s="93"/>
    </row>
    <row r="60" spans="1:41" ht="14.1">
      <c r="A60" s="91">
        <f>WEEKNUM(plachta3434[[#This Row],[LOADING DATE]],21)</f>
        <v>5</v>
      </c>
      <c r="B60" s="92" t="s">
        <v>41</v>
      </c>
      <c r="C60" s="154" t="s">
        <v>42</v>
      </c>
      <c r="D60" s="155" t="s">
        <v>43</v>
      </c>
      <c r="E60" s="92" t="s">
        <v>44</v>
      </c>
      <c r="F60" s="99">
        <v>45320</v>
      </c>
      <c r="G60" s="102">
        <v>0.79166666666666663</v>
      </c>
      <c r="H60" s="156" t="s">
        <v>45</v>
      </c>
      <c r="I60" s="157" t="s">
        <v>59</v>
      </c>
      <c r="J60" s="158" t="s">
        <v>60</v>
      </c>
      <c r="K60" s="99">
        <v>45323</v>
      </c>
      <c r="L60" s="102">
        <v>0.25</v>
      </c>
      <c r="M60" s="159">
        <v>1003101813</v>
      </c>
      <c r="N60" s="103" t="s">
        <v>49</v>
      </c>
      <c r="O60" s="188" t="s">
        <v>50</v>
      </c>
      <c r="P60" s="92" t="s">
        <v>61</v>
      </c>
      <c r="Q60" s="175" t="s">
        <v>225</v>
      </c>
      <c r="R60" s="92" t="s">
        <v>63</v>
      </c>
      <c r="S60" s="160">
        <v>2356</v>
      </c>
      <c r="T60" s="137">
        <v>2225</v>
      </c>
      <c r="U60" s="92">
        <f>plachta3434[[#This Row],[SALES '[€']]]-plachta3434[[#This Row],[PURCHASE '[€']]]</f>
        <v>131</v>
      </c>
      <c r="V60" s="98">
        <f>plachta3434[[#This Row],[MARGIN '[€']]]/plachta3434[[#This Row],[SALES '[€']]]</f>
        <v>5.5602716468590829E-2</v>
      </c>
      <c r="W60" s="172">
        <v>9215171209</v>
      </c>
      <c r="X60" s="108" t="s">
        <v>226</v>
      </c>
      <c r="Y60" s="36">
        <v>1629</v>
      </c>
      <c r="Z60" s="173"/>
      <c r="AA60" s="36" t="s">
        <v>51</v>
      </c>
      <c r="AB60" s="93">
        <f>plachta3434[[#This Row],[PURCHASE '[€']]]/plachta3434[[#This Row],[KM]]</f>
        <v>1.3658686310620012</v>
      </c>
      <c r="AC60" s="93">
        <f>plachta3434[[#This Row],[SALES '[€']]]/plachta3434[[#This Row],[KM]]</f>
        <v>1.4462860650705955</v>
      </c>
      <c r="AD60" s="93"/>
      <c r="AE60" s="93"/>
      <c r="AF60" s="93"/>
      <c r="AG60" s="93"/>
      <c r="AH60" s="93"/>
      <c r="AI60" s="93"/>
      <c r="AJ60" s="93"/>
      <c r="AK60" s="93"/>
      <c r="AL60" s="93" t="str">
        <f>IF(plachta3434[[#This Row],[DELIVERY TIME]]="STORNO",IF(plachta3434[[#This Row],[CARRIER]]="NEPOTVRDENE","REFUSED","CANCELLED"),"OK")</f>
        <v>OK</v>
      </c>
      <c r="AM60" s="93"/>
      <c r="AN60" s="93" t="str">
        <f>IF(RIGHT(plachta3434[[#This Row],[CARRIER]],3)="-MF",921,"")</f>
        <v/>
      </c>
      <c r="AO60" s="93"/>
    </row>
    <row r="61" spans="1:41" ht="14.1">
      <c r="A61" s="91">
        <f>WEEKNUM(plachta3434[[#This Row],[LOADING DATE]],21)</f>
        <v>5</v>
      </c>
      <c r="B61" s="92" t="s">
        <v>41</v>
      </c>
      <c r="C61" s="154" t="s">
        <v>42</v>
      </c>
      <c r="D61" s="155" t="s">
        <v>43</v>
      </c>
      <c r="E61" s="92" t="s">
        <v>44</v>
      </c>
      <c r="F61" s="100">
        <v>45321</v>
      </c>
      <c r="G61" s="102">
        <v>0.70833333333333337</v>
      </c>
      <c r="H61" s="156" t="s">
        <v>45</v>
      </c>
      <c r="I61" s="157" t="s">
        <v>176</v>
      </c>
      <c r="J61" s="158" t="s">
        <v>177</v>
      </c>
      <c r="K61" s="100">
        <v>45323</v>
      </c>
      <c r="L61" s="102">
        <v>0.375</v>
      </c>
      <c r="M61" s="159">
        <v>1003105024</v>
      </c>
      <c r="N61" s="103" t="s">
        <v>49</v>
      </c>
      <c r="O61" s="188" t="s">
        <v>50</v>
      </c>
      <c r="P61" s="200" t="s">
        <v>227</v>
      </c>
      <c r="Q61" s="175" t="s">
        <v>228</v>
      </c>
      <c r="R61" s="92" t="s">
        <v>85</v>
      </c>
      <c r="S61" s="163">
        <v>1808</v>
      </c>
      <c r="T61" s="161">
        <v>1700</v>
      </c>
      <c r="U61" s="92">
        <f>plachta3434[[#This Row],[SALES '[€']]]-plachta3434[[#This Row],[PURCHASE '[€']]]</f>
        <v>108</v>
      </c>
      <c r="V61" s="98">
        <f>plachta3434[[#This Row],[MARGIN '[€']]]/plachta3434[[#This Row],[SALES '[€']]]</f>
        <v>5.9734513274336286E-2</v>
      </c>
      <c r="W61" s="172">
        <v>9215170968</v>
      </c>
      <c r="X61" s="108" t="s">
        <v>229</v>
      </c>
      <c r="Y61" s="36">
        <v>1382</v>
      </c>
      <c r="Z61" s="173"/>
      <c r="AA61" s="36" t="s">
        <v>51</v>
      </c>
      <c r="AB61" s="93">
        <f>plachta3434[[#This Row],[PURCHASE '[€']]]/plachta3434[[#This Row],[KM]]</f>
        <v>1.2301013024602026</v>
      </c>
      <c r="AC61" s="93">
        <f>plachta3434[[#This Row],[SALES '[€']]]/plachta3434[[#This Row],[KM]]</f>
        <v>1.3082489146164977</v>
      </c>
      <c r="AD61" s="93"/>
      <c r="AE61" s="93"/>
      <c r="AF61" s="93"/>
      <c r="AG61" s="93"/>
      <c r="AH61" s="93"/>
      <c r="AI61" s="93"/>
      <c r="AJ61" s="93"/>
      <c r="AK61" s="93"/>
      <c r="AL61" s="93" t="str">
        <f>IF(plachta3434[[#This Row],[DELIVERY TIME]]="STORNO",IF(plachta3434[[#This Row],[CARRIER]]="NEPOTVRDENE","REFUSED","CANCELLED"),"OK")</f>
        <v>OK</v>
      </c>
      <c r="AM61" s="93"/>
      <c r="AN61" s="93" t="str">
        <f>IF(RIGHT(plachta3434[[#This Row],[CARRIER]],3)="-MF",921,"")</f>
        <v/>
      </c>
      <c r="AO61" s="93"/>
    </row>
    <row r="62" spans="1:41" ht="14.1">
      <c r="A62" s="91">
        <f>WEEKNUM(plachta3434[[#This Row],[LOADING DATE]],21)</f>
        <v>5</v>
      </c>
      <c r="B62" s="92" t="s">
        <v>41</v>
      </c>
      <c r="C62" s="154" t="s">
        <v>42</v>
      </c>
      <c r="D62" s="155" t="s">
        <v>43</v>
      </c>
      <c r="E62" s="92" t="s">
        <v>44</v>
      </c>
      <c r="F62" s="99">
        <v>45321</v>
      </c>
      <c r="G62" s="102">
        <v>0.79166666666666663</v>
      </c>
      <c r="H62" s="156" t="s">
        <v>45</v>
      </c>
      <c r="I62" s="157" t="s">
        <v>46</v>
      </c>
      <c r="J62" s="158" t="s">
        <v>47</v>
      </c>
      <c r="K62" s="99">
        <v>45324</v>
      </c>
      <c r="L62" s="102">
        <v>0.27083333333333331</v>
      </c>
      <c r="M62" s="159">
        <v>1003101823</v>
      </c>
      <c r="N62" s="103" t="s">
        <v>49</v>
      </c>
      <c r="O62" s="188" t="s">
        <v>50</v>
      </c>
      <c r="P62" s="92" t="s">
        <v>61</v>
      </c>
      <c r="Q62" s="175" t="s">
        <v>230</v>
      </c>
      <c r="R62" s="36" t="s">
        <v>63</v>
      </c>
      <c r="S62" s="153">
        <f>2188+71</f>
        <v>2259</v>
      </c>
      <c r="T62" s="137">
        <v>2120</v>
      </c>
      <c r="U62" s="92">
        <f>plachta3434[[#This Row],[SALES '[€']]]-plachta3434[[#This Row],[PURCHASE '[€']]]</f>
        <v>139</v>
      </c>
      <c r="V62" s="98">
        <f>plachta3434[[#This Row],[MARGIN '[€']]]/plachta3434[[#This Row],[SALES '[€']]]</f>
        <v>6.1531651173085435E-2</v>
      </c>
      <c r="W62" s="172">
        <v>9215171212</v>
      </c>
      <c r="X62" s="108" t="s">
        <v>231</v>
      </c>
      <c r="Y62" s="36">
        <v>1571</v>
      </c>
      <c r="Z62" s="173"/>
      <c r="AA62" s="36" t="s">
        <v>51</v>
      </c>
      <c r="AB62" s="93">
        <f>plachta3434[[#This Row],[PURCHASE '[€']]]/plachta3434[[#This Row],[KM]]</f>
        <v>1.3494589433481858</v>
      </c>
      <c r="AC62" s="93">
        <f>plachta3434[[#This Row],[SALES '[€']]]/plachta3434[[#This Row],[KM]]</f>
        <v>1.4379376193507321</v>
      </c>
      <c r="AD62" s="93"/>
      <c r="AE62" s="93"/>
      <c r="AF62" s="93"/>
      <c r="AG62" s="93"/>
      <c r="AH62" s="93"/>
      <c r="AI62" s="93"/>
      <c r="AJ62" s="93"/>
      <c r="AK62" s="93"/>
      <c r="AL62" s="93" t="str">
        <f>IF(plachta3434[[#This Row],[DELIVERY TIME]]="STORNO",IF(plachta3434[[#This Row],[CARRIER]]="NEPOTVRDENE","REFUSED","CANCELLED"),"OK")</f>
        <v>OK</v>
      </c>
      <c r="AM62" s="93"/>
      <c r="AN62" s="93" t="str">
        <f>IF(RIGHT(plachta3434[[#This Row],[CARRIER]],3)="-MF",921,"")</f>
        <v/>
      </c>
      <c r="AO62" s="93"/>
    </row>
    <row r="63" spans="1:41" ht="14.1">
      <c r="A63" s="91">
        <f>WEEKNUM(plachta3434[[#This Row],[LOADING DATE]],21)</f>
        <v>5</v>
      </c>
      <c r="B63" s="92" t="s">
        <v>41</v>
      </c>
      <c r="C63" s="154" t="s">
        <v>42</v>
      </c>
      <c r="D63" s="155" t="s">
        <v>43</v>
      </c>
      <c r="E63" s="92" t="s">
        <v>44</v>
      </c>
      <c r="F63" s="99">
        <v>45321</v>
      </c>
      <c r="G63" s="102">
        <v>0.75</v>
      </c>
      <c r="H63" s="156" t="s">
        <v>45</v>
      </c>
      <c r="I63" s="157" t="s">
        <v>59</v>
      </c>
      <c r="J63" s="158" t="s">
        <v>60</v>
      </c>
      <c r="K63" s="99">
        <v>45324</v>
      </c>
      <c r="L63" s="102">
        <v>0.33333333333333331</v>
      </c>
      <c r="M63" s="159">
        <v>1003112721</v>
      </c>
      <c r="N63" s="103" t="s">
        <v>49</v>
      </c>
      <c r="O63" s="188" t="s">
        <v>50</v>
      </c>
      <c r="P63" s="92"/>
      <c r="Q63" s="175" t="s">
        <v>232</v>
      </c>
      <c r="R63" s="92" t="s">
        <v>147</v>
      </c>
      <c r="S63" s="160">
        <v>2356</v>
      </c>
      <c r="T63" s="161">
        <v>2200</v>
      </c>
      <c r="U63" s="92">
        <f>plachta3434[[#This Row],[SALES '[€']]]-plachta3434[[#This Row],[PURCHASE '[€']]]</f>
        <v>156</v>
      </c>
      <c r="V63" s="98">
        <f>plachta3434[[#This Row],[MARGIN '[€']]]/plachta3434[[#This Row],[SALES '[€']]]</f>
        <v>6.6213921901528014E-2</v>
      </c>
      <c r="W63" s="172">
        <v>9215171116</v>
      </c>
      <c r="X63" s="180" t="s">
        <v>233</v>
      </c>
      <c r="Y63" s="36">
        <v>1629</v>
      </c>
      <c r="Z63" s="173"/>
      <c r="AA63" s="36" t="s">
        <v>51</v>
      </c>
      <c r="AB63" s="93">
        <f>plachta3434[[#This Row],[PURCHASE '[€']]]/plachta3434[[#This Row],[KM]]</f>
        <v>1.3505217925107429</v>
      </c>
      <c r="AC63" s="93">
        <f>plachta3434[[#This Row],[SALES '[€']]]/plachta3434[[#This Row],[KM]]</f>
        <v>1.4462860650705955</v>
      </c>
      <c r="AD63" s="93"/>
      <c r="AE63" s="93"/>
      <c r="AF63" s="93"/>
      <c r="AG63" s="93"/>
      <c r="AH63" s="93"/>
      <c r="AI63" s="93"/>
      <c r="AJ63" s="93"/>
      <c r="AK63" s="93"/>
      <c r="AL63" s="93" t="str">
        <f>IF(plachta3434[[#This Row],[DELIVERY TIME]]="STORNO",IF(plachta3434[[#This Row],[CARRIER]]="NEPOTVRDENE","REFUSED","CANCELLED"),"OK")</f>
        <v>OK</v>
      </c>
      <c r="AM63" s="93"/>
      <c r="AN63" s="93" t="str">
        <f>IF(RIGHT(plachta3434[[#This Row],[CARRIER]],3)="-MF",921,"")</f>
        <v/>
      </c>
      <c r="AO63" s="93"/>
    </row>
    <row r="64" spans="1:41" ht="14.1">
      <c r="A64" s="91">
        <f>WEEKNUM(plachta3434[[#This Row],[LOADING DATE]],21)</f>
        <v>5</v>
      </c>
      <c r="B64" s="92" t="s">
        <v>41</v>
      </c>
      <c r="C64" s="154" t="s">
        <v>42</v>
      </c>
      <c r="D64" s="155" t="s">
        <v>43</v>
      </c>
      <c r="E64" s="92" t="s">
        <v>44</v>
      </c>
      <c r="F64" s="99">
        <v>45322</v>
      </c>
      <c r="G64" s="102">
        <v>0.70833333333333337</v>
      </c>
      <c r="H64" s="156" t="s">
        <v>45</v>
      </c>
      <c r="I64" s="157" t="s">
        <v>75</v>
      </c>
      <c r="J64" s="158" t="s">
        <v>76</v>
      </c>
      <c r="K64" s="99">
        <v>45327</v>
      </c>
      <c r="L64" s="102">
        <v>0.41666666666666669</v>
      </c>
      <c r="M64" s="159">
        <v>1003102219</v>
      </c>
      <c r="N64" s="103" t="s">
        <v>49</v>
      </c>
      <c r="O64" s="188" t="s">
        <v>50</v>
      </c>
      <c r="P64" s="92" t="s">
        <v>61</v>
      </c>
      <c r="Q64" s="175" t="s">
        <v>171</v>
      </c>
      <c r="R64" s="92" t="s">
        <v>63</v>
      </c>
      <c r="S64" s="160">
        <v>2549</v>
      </c>
      <c r="T64" s="161">
        <v>2350</v>
      </c>
      <c r="U64" s="92">
        <f>plachta3434[[#This Row],[SALES '[€']]]-plachta3434[[#This Row],[PURCHASE '[€']]]</f>
        <v>199</v>
      </c>
      <c r="V64" s="98">
        <f>plachta3434[[#This Row],[MARGIN '[€']]]/plachta3434[[#This Row],[SALES '[€']]]</f>
        <v>7.8069831306394666E-2</v>
      </c>
      <c r="W64" s="172">
        <v>9215171233</v>
      </c>
      <c r="X64" s="184" t="s">
        <v>234</v>
      </c>
      <c r="Y64" s="36">
        <v>1778</v>
      </c>
      <c r="Z64" s="173"/>
      <c r="AA64" s="36" t="s">
        <v>51</v>
      </c>
      <c r="AB64" s="93">
        <f>plachta3434[[#This Row],[PURCHASE '[€']]]/plachta3434[[#This Row],[KM]]</f>
        <v>1.3217097862767153</v>
      </c>
      <c r="AC64" s="93">
        <f>plachta3434[[#This Row],[SALES '[€']]]/plachta3434[[#This Row],[KM]]</f>
        <v>1.4336332958380202</v>
      </c>
      <c r="AD64" s="93"/>
      <c r="AE64" s="93"/>
      <c r="AF64" s="93"/>
      <c r="AG64" s="93"/>
      <c r="AH64" s="93"/>
      <c r="AI64" s="93"/>
      <c r="AJ64" s="93"/>
      <c r="AK64" s="93"/>
      <c r="AL64" s="93" t="str">
        <f>IF(plachta3434[[#This Row],[DELIVERY TIME]]="STORNO",IF(plachta3434[[#This Row],[CARRIER]]="NEPOTVRDENE","REFUSED","CANCELLED"),"OK")</f>
        <v>OK</v>
      </c>
      <c r="AM64" s="93"/>
      <c r="AN64" s="93" t="str">
        <f>IF(RIGHT(plachta3434[[#This Row],[CARRIER]],3)="-MF",921,"")</f>
        <v/>
      </c>
      <c r="AO64" s="93"/>
    </row>
    <row r="65" spans="1:41" ht="14.1">
      <c r="A65" s="91">
        <f>WEEKNUM(plachta3434[[#This Row],[LOADING DATE]],21)</f>
        <v>5</v>
      </c>
      <c r="B65" s="92" t="s">
        <v>41</v>
      </c>
      <c r="C65" s="154" t="s">
        <v>42</v>
      </c>
      <c r="D65" s="155" t="s">
        <v>43</v>
      </c>
      <c r="E65" s="92" t="s">
        <v>44</v>
      </c>
      <c r="F65" s="99">
        <v>45322</v>
      </c>
      <c r="G65" s="102">
        <v>0.79166666666666663</v>
      </c>
      <c r="H65" s="156" t="s">
        <v>45</v>
      </c>
      <c r="I65" s="157" t="s">
        <v>46</v>
      </c>
      <c r="J65" s="158" t="s">
        <v>134</v>
      </c>
      <c r="K65" s="99">
        <v>45327</v>
      </c>
      <c r="L65" s="102">
        <v>0.35416666666666669</v>
      </c>
      <c r="M65" s="159">
        <v>1003101826</v>
      </c>
      <c r="N65" s="103" t="s">
        <v>49</v>
      </c>
      <c r="O65" s="188" t="s">
        <v>50</v>
      </c>
      <c r="P65" s="92"/>
      <c r="Q65" s="175" t="s">
        <v>235</v>
      </c>
      <c r="R65" s="92" t="s">
        <v>147</v>
      </c>
      <c r="S65" s="142">
        <v>2259</v>
      </c>
      <c r="T65" s="137">
        <v>2150</v>
      </c>
      <c r="U65" s="92">
        <f>plachta3434[[#This Row],[SALES '[€']]]-plachta3434[[#This Row],[PURCHASE '[€']]]</f>
        <v>109</v>
      </c>
      <c r="V65" s="98">
        <f>plachta3434[[#This Row],[MARGIN '[€']]]/plachta3434[[#This Row],[SALES '[€']]]</f>
        <v>4.8251438689685705E-2</v>
      </c>
      <c r="W65" s="172">
        <v>9215171117</v>
      </c>
      <c r="X65" s="180" t="s">
        <v>236</v>
      </c>
      <c r="Y65" s="36">
        <v>1529</v>
      </c>
      <c r="Z65" s="173"/>
      <c r="AA65" s="36" t="s">
        <v>51</v>
      </c>
      <c r="AB65" s="93">
        <f>plachta3434[[#This Row],[PURCHASE '[€']]]/plachta3434[[#This Row],[KM]]</f>
        <v>1.4061478090255068</v>
      </c>
      <c r="AC65" s="93">
        <f>plachta3434[[#This Row],[SALES '[€']]]/plachta3434[[#This Row],[KM]]</f>
        <v>1.4774362328319164</v>
      </c>
      <c r="AD65" s="93"/>
      <c r="AE65" s="93"/>
      <c r="AF65" s="93"/>
      <c r="AG65" s="93"/>
      <c r="AH65" s="93"/>
      <c r="AI65" s="93"/>
      <c r="AJ65" s="93"/>
      <c r="AK65" s="93"/>
      <c r="AL65" s="93" t="str">
        <f>IF(plachta3434[[#This Row],[DELIVERY TIME]]="STORNO",IF(plachta3434[[#This Row],[CARRIER]]="NEPOTVRDENE","REFUSED","CANCELLED"),"OK")</f>
        <v>OK</v>
      </c>
      <c r="AM65" s="93"/>
      <c r="AN65" s="93" t="str">
        <f>IF(RIGHT(plachta3434[[#This Row],[CARRIER]],3)="-MF",921,"")</f>
        <v/>
      </c>
      <c r="AO65" s="93"/>
    </row>
    <row r="66" spans="1:41" ht="14.45">
      <c r="A66" s="91">
        <f>WEEKNUM(plachta3434[[#This Row],[LOADING DATE]],21)</f>
        <v>5</v>
      </c>
      <c r="B66" s="92" t="s">
        <v>41</v>
      </c>
      <c r="C66" s="164" t="s">
        <v>42</v>
      </c>
      <c r="D66" s="165" t="s">
        <v>43</v>
      </c>
      <c r="E66" s="74" t="s">
        <v>44</v>
      </c>
      <c r="F66" s="100">
        <v>45322</v>
      </c>
      <c r="G66" s="102">
        <v>0.70833333333333337</v>
      </c>
      <c r="H66" s="166" t="s">
        <v>45</v>
      </c>
      <c r="I66" s="166" t="s">
        <v>46</v>
      </c>
      <c r="J66" s="90" t="s">
        <v>47</v>
      </c>
      <c r="K66" s="99">
        <v>45328</v>
      </c>
      <c r="L66" s="102">
        <v>0.29166666666666669</v>
      </c>
      <c r="M66" s="159">
        <v>1003102760</v>
      </c>
      <c r="N66" s="90" t="s">
        <v>49</v>
      </c>
      <c r="O66" s="95" t="s">
        <v>50</v>
      </c>
      <c r="P66" s="92" t="s">
        <v>237</v>
      </c>
      <c r="Q66" s="186" t="s">
        <v>238</v>
      </c>
      <c r="R66" s="92" t="s">
        <v>147</v>
      </c>
      <c r="S66" s="163">
        <v>2259</v>
      </c>
      <c r="T66" s="161">
        <v>2150</v>
      </c>
      <c r="U66" s="92">
        <f>plachta3434[[#This Row],[SALES '[€']]]-plachta3434[[#This Row],[PURCHASE '[€']]]</f>
        <v>109</v>
      </c>
      <c r="V66" s="98">
        <f>plachta3434[[#This Row],[MARGIN '[€']]]/plachta3434[[#This Row],[SALES '[€']]]</f>
        <v>4.8251438689685705E-2</v>
      </c>
      <c r="W66" s="172">
        <v>9215171118</v>
      </c>
      <c r="X66" s="179" t="s">
        <v>239</v>
      </c>
      <c r="Y66" s="36">
        <v>1571</v>
      </c>
      <c r="Z66" s="173"/>
      <c r="AA66" s="18" t="s">
        <v>51</v>
      </c>
      <c r="AB66" s="93">
        <f>plachta3434[[#This Row],[PURCHASE '[€']]]/plachta3434[[#This Row],[KM]]</f>
        <v>1.3685550604710375</v>
      </c>
      <c r="AC66" s="93">
        <f>plachta3434[[#This Row],[SALES '[€']]]/plachta3434[[#This Row],[KM]]</f>
        <v>1.4379376193507321</v>
      </c>
      <c r="AD66" s="93"/>
      <c r="AE66" s="93"/>
      <c r="AF66" s="93"/>
      <c r="AG66" s="93"/>
      <c r="AH66" s="93"/>
      <c r="AI66" s="93"/>
      <c r="AJ66" s="93"/>
      <c r="AK66" s="93"/>
      <c r="AL66" s="93" t="str">
        <f>IF(plachta3434[[#This Row],[DELIVERY TIME]]="STORNO",IF(plachta3434[[#This Row],[CARRIER]]="NEPOTVRDENE","REFUSED","CANCELLED"),"OK")</f>
        <v>OK</v>
      </c>
      <c r="AM66" s="93"/>
      <c r="AN66" s="93" t="str">
        <f>IF(RIGHT(plachta3434[[#This Row],[CARRIER]],3)="-MF",921,"")</f>
        <v/>
      </c>
      <c r="AO66" s="93"/>
    </row>
    <row r="67" spans="1:41" ht="14.45">
      <c r="A67" s="91">
        <f>WEEKNUM(plachta3434[[#This Row],[LOADING DATE]],21)</f>
        <v>5</v>
      </c>
      <c r="B67" s="92" t="s">
        <v>41</v>
      </c>
      <c r="C67" s="164" t="s">
        <v>42</v>
      </c>
      <c r="D67" s="165" t="s">
        <v>43</v>
      </c>
      <c r="E67" s="74" t="s">
        <v>44</v>
      </c>
      <c r="F67" s="99">
        <v>45322</v>
      </c>
      <c r="G67" s="102">
        <v>0.79166666666666663</v>
      </c>
      <c r="H67" s="101" t="s">
        <v>45</v>
      </c>
      <c r="I67" s="101" t="s">
        <v>75</v>
      </c>
      <c r="J67" s="74" t="s">
        <v>76</v>
      </c>
      <c r="K67" s="100">
        <v>45327</v>
      </c>
      <c r="L67" s="102">
        <v>0.66666666666666663</v>
      </c>
      <c r="M67" s="159">
        <v>1003102761</v>
      </c>
      <c r="N67" s="90" t="s">
        <v>49</v>
      </c>
      <c r="O67" s="201" t="s">
        <v>50</v>
      </c>
      <c r="P67" s="74" t="s">
        <v>61</v>
      </c>
      <c r="Q67" s="175" t="s">
        <v>240</v>
      </c>
      <c r="R67" s="110" t="s">
        <v>85</v>
      </c>
      <c r="S67" s="160">
        <f>2478+71</f>
        <v>2549</v>
      </c>
      <c r="T67" s="161">
        <f>2277+70</f>
        <v>2347</v>
      </c>
      <c r="U67" s="92">
        <f>plachta3434[[#This Row],[SALES '[€']]]-plachta3434[[#This Row],[PURCHASE '[€']]]</f>
        <v>202</v>
      </c>
      <c r="V67" s="98">
        <f>plachta3434[[#This Row],[MARGIN '[€']]]/plachta3434[[#This Row],[SALES '[€']]]</f>
        <v>7.9246763436641818E-2</v>
      </c>
      <c r="W67" s="172">
        <v>9215171234</v>
      </c>
      <c r="X67" s="108" t="s">
        <v>241</v>
      </c>
      <c r="Y67" s="36">
        <v>1778</v>
      </c>
      <c r="Z67" s="173"/>
      <c r="AA67" s="18" t="s">
        <v>51</v>
      </c>
      <c r="AB67" s="93">
        <f>plachta3434[[#This Row],[PURCHASE '[€']]]/plachta3434[[#This Row],[KM]]</f>
        <v>1.3200224971878516</v>
      </c>
      <c r="AC67" s="93">
        <f>plachta3434[[#This Row],[SALES '[€']]]/plachta3434[[#This Row],[KM]]</f>
        <v>1.4336332958380202</v>
      </c>
      <c r="AD67" s="93"/>
      <c r="AE67" s="93"/>
      <c r="AF67" s="93"/>
      <c r="AG67" s="93"/>
      <c r="AH67" s="93"/>
      <c r="AI67" s="93"/>
      <c r="AJ67" s="93"/>
      <c r="AK67" s="93"/>
      <c r="AL67" s="93" t="str">
        <f>IF(plachta3434[[#This Row],[DELIVERY TIME]]="STORNO",IF(plachta3434[[#This Row],[CARRIER]]="NEPOTVRDENE","REFUSED","CANCELLED"),"OK")</f>
        <v>OK</v>
      </c>
      <c r="AM67" s="93"/>
      <c r="AN67" s="93" t="str">
        <f>IF(RIGHT(plachta3434[[#This Row],[CARRIER]],3)="-MF",921,"")</f>
        <v/>
      </c>
      <c r="AO67" s="93"/>
    </row>
    <row r="68" spans="1:41" ht="14.45">
      <c r="A68" s="91">
        <f>WEEKNUM(plachta3434[[#This Row],[LOADING DATE]],21)</f>
        <v>5</v>
      </c>
      <c r="B68" s="92" t="s">
        <v>41</v>
      </c>
      <c r="C68" s="164" t="s">
        <v>42</v>
      </c>
      <c r="D68" s="165" t="s">
        <v>43</v>
      </c>
      <c r="E68" s="74" t="s">
        <v>44</v>
      </c>
      <c r="F68" s="99">
        <v>45322</v>
      </c>
      <c r="G68" s="102">
        <v>0.375</v>
      </c>
      <c r="H68" s="166" t="s">
        <v>45</v>
      </c>
      <c r="I68" s="166">
        <v>62</v>
      </c>
      <c r="J68" s="90" t="s">
        <v>87</v>
      </c>
      <c r="K68" s="100">
        <v>45327</v>
      </c>
      <c r="L68" s="102">
        <v>0.625</v>
      </c>
      <c r="M68" s="159">
        <v>1003110889</v>
      </c>
      <c r="N68" s="90" t="s">
        <v>49</v>
      </c>
      <c r="O68" s="95" t="s">
        <v>50</v>
      </c>
      <c r="P68" s="90"/>
      <c r="Q68" s="175" t="s">
        <v>242</v>
      </c>
      <c r="R68" s="92" t="s">
        <v>147</v>
      </c>
      <c r="S68" s="163">
        <v>2167</v>
      </c>
      <c r="T68" s="161">
        <v>2050</v>
      </c>
      <c r="U68" s="92">
        <f>plachta3434[[#This Row],[SALES '[€']]]-plachta3434[[#This Row],[PURCHASE '[€']]]</f>
        <v>117</v>
      </c>
      <c r="V68" s="98">
        <f>plachta3434[[#This Row],[MARGIN '[€']]]/plachta3434[[#This Row],[SALES '[€']]]</f>
        <v>5.3991693585602213E-2</v>
      </c>
      <c r="W68" s="172">
        <v>9215171119</v>
      </c>
      <c r="X68" s="183" t="s">
        <v>243</v>
      </c>
      <c r="Y68" s="36">
        <v>1570</v>
      </c>
      <c r="Z68" s="88"/>
      <c r="AA68" s="18" t="s">
        <v>51</v>
      </c>
      <c r="AB68" s="93">
        <f>plachta3434[[#This Row],[PURCHASE '[€']]]/plachta3434[[#This Row],[KM]]</f>
        <v>1.3057324840764331</v>
      </c>
      <c r="AC68" s="93">
        <f>plachta3434[[#This Row],[SALES '[€']]]/plachta3434[[#This Row],[KM]]</f>
        <v>1.3802547770700637</v>
      </c>
      <c r="AD68" s="93"/>
      <c r="AE68" s="93"/>
      <c r="AF68" s="93"/>
      <c r="AG68" s="93"/>
      <c r="AH68" s="93"/>
      <c r="AI68" s="93"/>
      <c r="AJ68" s="93"/>
      <c r="AK68" s="93"/>
      <c r="AL68" s="93" t="str">
        <f>IF(plachta3434[[#This Row],[DELIVERY TIME]]="STORNO",IF(plachta3434[[#This Row],[CARRIER]]="NEPOTVRDENE","REFUSED","CANCELLED"),"OK")</f>
        <v>OK</v>
      </c>
      <c r="AM68" s="93"/>
      <c r="AN68" s="93" t="str">
        <f>IF(RIGHT(plachta3434[[#This Row],[CARRIER]],3)="-MF",921,"")</f>
        <v/>
      </c>
      <c r="AO68" s="93"/>
    </row>
    <row r="69" spans="1:41" ht="14.45">
      <c r="A69" s="91">
        <f>WEEKNUM(plachta3434[[#This Row],[LOADING DATE]],21)</f>
        <v>5</v>
      </c>
      <c r="B69" s="92" t="s">
        <v>41</v>
      </c>
      <c r="C69" s="164" t="s">
        <v>42</v>
      </c>
      <c r="D69" s="165" t="s">
        <v>43</v>
      </c>
      <c r="E69" s="74" t="s">
        <v>44</v>
      </c>
      <c r="F69" s="100">
        <v>45322</v>
      </c>
      <c r="G69" s="102">
        <v>0.79166666666666663</v>
      </c>
      <c r="H69" s="156" t="s">
        <v>45</v>
      </c>
      <c r="I69" s="157" t="s">
        <v>59</v>
      </c>
      <c r="J69" s="158" t="s">
        <v>93</v>
      </c>
      <c r="K69" s="99">
        <v>45328</v>
      </c>
      <c r="L69" s="167">
        <v>0.29166666666666669</v>
      </c>
      <c r="M69" s="159">
        <v>1003102762</v>
      </c>
      <c r="N69" s="103" t="s">
        <v>49</v>
      </c>
      <c r="O69" s="188" t="s">
        <v>50</v>
      </c>
      <c r="P69" s="92"/>
      <c r="Q69" s="193" t="s">
        <v>244</v>
      </c>
      <c r="R69" s="67" t="s">
        <v>245</v>
      </c>
      <c r="S69" s="160">
        <v>2356</v>
      </c>
      <c r="T69" s="151">
        <v>2250</v>
      </c>
      <c r="U69" s="92">
        <f>plachta3434[[#This Row],[SALES '[€']]]-plachta3434[[#This Row],[PURCHASE '[€']]]</f>
        <v>106</v>
      </c>
      <c r="V69" s="98">
        <f>plachta3434[[#This Row],[MARGIN '[€']]]/plachta3434[[#This Row],[SALES '[€']]]</f>
        <v>4.4991511035653652E-2</v>
      </c>
      <c r="W69" s="172">
        <v>9215171052</v>
      </c>
      <c r="X69" s="108" t="s">
        <v>246</v>
      </c>
      <c r="Y69" s="36">
        <v>1642</v>
      </c>
      <c r="Z69" s="88"/>
      <c r="AA69" s="18" t="s">
        <v>51</v>
      </c>
      <c r="AB69" s="93">
        <f>plachta3434[[#This Row],[PURCHASE '[€']]]/plachta3434[[#This Row],[KM]]</f>
        <v>1.3702801461632157</v>
      </c>
      <c r="AC69" s="93">
        <f>plachta3434[[#This Row],[SALES '[€']]]/plachta3434[[#This Row],[KM]]</f>
        <v>1.4348355663824603</v>
      </c>
      <c r="AD69" s="93"/>
      <c r="AE69" s="93"/>
      <c r="AF69" s="93"/>
      <c r="AG69" s="93"/>
      <c r="AH69" s="93"/>
      <c r="AI69" s="93"/>
      <c r="AJ69" s="93"/>
      <c r="AK69" s="93"/>
      <c r="AL69" s="93" t="str">
        <f>IF(plachta3434[[#This Row],[DELIVERY TIME]]="STORNO",IF(plachta3434[[#This Row],[CARRIER]]="NEPOTVRDENE","REFUSED","CANCELLED"),"OK")</f>
        <v>OK</v>
      </c>
      <c r="AM69" s="93"/>
      <c r="AN69" s="93" t="str">
        <f>IF(RIGHT(plachta3434[[#This Row],[CARRIER]],3)="-MF",921,"")</f>
        <v/>
      </c>
      <c r="AO69" s="93"/>
    </row>
    <row r="70" spans="1:41" ht="14.45">
      <c r="A70" s="91">
        <f>WEEKNUM(plachta3434[[#This Row],[LOADING DATE]],21)</f>
        <v>5</v>
      </c>
      <c r="B70" s="74" t="s">
        <v>41</v>
      </c>
      <c r="C70" s="164" t="s">
        <v>42</v>
      </c>
      <c r="D70" s="165" t="s">
        <v>43</v>
      </c>
      <c r="E70" s="74" t="s">
        <v>44</v>
      </c>
      <c r="F70" s="100">
        <v>45322</v>
      </c>
      <c r="G70" s="169">
        <v>0.58333333333333337</v>
      </c>
      <c r="H70" s="101" t="s">
        <v>45</v>
      </c>
      <c r="I70" s="101" t="s">
        <v>70</v>
      </c>
      <c r="J70" s="158" t="s">
        <v>87</v>
      </c>
      <c r="K70" s="100">
        <v>45327</v>
      </c>
      <c r="L70" s="170">
        <v>0.25</v>
      </c>
      <c r="M70" s="159">
        <v>1003105869</v>
      </c>
      <c r="N70" s="90" t="s">
        <v>49</v>
      </c>
      <c r="O70" s="188" t="s">
        <v>50</v>
      </c>
      <c r="P70" s="92" t="s">
        <v>247</v>
      </c>
      <c r="Q70" s="185" t="s">
        <v>248</v>
      </c>
      <c r="R70" s="104" t="s">
        <v>90</v>
      </c>
      <c r="S70" s="163">
        <v>2167</v>
      </c>
      <c r="T70" s="161">
        <v>1881.01</v>
      </c>
      <c r="U70" s="92">
        <f>plachta3434[[#This Row],[SALES '[€']]]-plachta3434[[#This Row],[PURCHASE '[€']]]</f>
        <v>285.99</v>
      </c>
      <c r="V70" s="98">
        <f>plachta3434[[#This Row],[MARGIN '[€']]]/plachta3434[[#This Row],[SALES '[€']]]</f>
        <v>0.13197508075680664</v>
      </c>
      <c r="W70" s="172">
        <v>9215171344</v>
      </c>
      <c r="X70" s="108" t="s">
        <v>249</v>
      </c>
      <c r="Y70" s="36">
        <v>1570</v>
      </c>
      <c r="Z70" s="88"/>
      <c r="AA70" s="18" t="s">
        <v>51</v>
      </c>
      <c r="AB70" s="93">
        <f>plachta3434[[#This Row],[PURCHASE '[€']]]/plachta3434[[#This Row],[KM]]</f>
        <v>1.1980955414012739</v>
      </c>
      <c r="AC70" s="93">
        <f>plachta3434[[#This Row],[SALES '[€']]]/plachta3434[[#This Row],[KM]]</f>
        <v>1.3802547770700637</v>
      </c>
      <c r="AD70" s="93"/>
      <c r="AE70" s="93"/>
      <c r="AF70" s="93"/>
      <c r="AG70" s="93"/>
      <c r="AH70" s="93"/>
      <c r="AI70" s="93"/>
      <c r="AJ70" s="93"/>
      <c r="AK70" s="93"/>
      <c r="AL70" s="93" t="str">
        <f>IF(plachta3434[[#This Row],[DELIVERY TIME]]="STORNO",IF(plachta3434[[#This Row],[CARRIER]]="NEPOTVRDENE","REFUSED","CANCELLED"),"OK")</f>
        <v>OK</v>
      </c>
      <c r="AM70" s="93"/>
      <c r="AN70" s="93">
        <f>IF(RIGHT(plachta3434[[#This Row],[CARRIER]],3)="-MF",921,"")</f>
        <v>921</v>
      </c>
      <c r="AO70" s="93"/>
    </row>
    <row r="71" spans="1:41" ht="14.1">
      <c r="A71" s="91">
        <f>WEEKNUM(plachta3434[[#This Row],[LOADING DATE]],21)</f>
        <v>5</v>
      </c>
      <c r="B71" s="36" t="s">
        <v>41</v>
      </c>
      <c r="C71" s="125" t="s">
        <v>42</v>
      </c>
      <c r="D71" s="126" t="s">
        <v>43</v>
      </c>
      <c r="E71" s="36" t="s">
        <v>44</v>
      </c>
      <c r="F71" s="100">
        <v>45322</v>
      </c>
      <c r="G71" s="128">
        <v>0.70833333333333337</v>
      </c>
      <c r="H71" s="129" t="s">
        <v>45</v>
      </c>
      <c r="I71" s="130" t="s">
        <v>65</v>
      </c>
      <c r="J71" s="131" t="s">
        <v>99</v>
      </c>
      <c r="K71" s="127">
        <v>45329</v>
      </c>
      <c r="L71" s="128">
        <v>0.25</v>
      </c>
      <c r="M71" s="133">
        <v>1003105943</v>
      </c>
      <c r="N71" s="134" t="s">
        <v>49</v>
      </c>
      <c r="O71" s="139" t="s">
        <v>50</v>
      </c>
      <c r="P71" s="36" t="s">
        <v>61</v>
      </c>
      <c r="Q71" s="193" t="s">
        <v>250</v>
      </c>
      <c r="R71" s="36" t="s">
        <v>85</v>
      </c>
      <c r="S71" s="142">
        <v>2504</v>
      </c>
      <c r="T71" s="137">
        <v>2300</v>
      </c>
      <c r="U71" s="92">
        <f>plachta3434[[#This Row],[SALES '[€']]]-plachta3434[[#This Row],[PURCHASE '[€']]]</f>
        <v>204</v>
      </c>
      <c r="V71" s="98">
        <f>plachta3434[[#This Row],[MARGIN '[€']]]/plachta3434[[#This Row],[SALES '[€']]]</f>
        <v>8.1469648562300323E-2</v>
      </c>
      <c r="W71" s="172">
        <v>9215171235</v>
      </c>
      <c r="X71" s="108" t="s">
        <v>251</v>
      </c>
      <c r="Y71" s="36">
        <v>1860</v>
      </c>
      <c r="Z71" s="88"/>
      <c r="AA71" s="18" t="s">
        <v>51</v>
      </c>
      <c r="AB71" s="93">
        <f>plachta3434[[#This Row],[PURCHASE '[€']]]/plachta3434[[#This Row],[KM]]</f>
        <v>1.2365591397849462</v>
      </c>
      <c r="AC71" s="93">
        <f>plachta3434[[#This Row],[SALES '[€']]]/plachta3434[[#This Row],[KM]]</f>
        <v>1.3462365591397849</v>
      </c>
      <c r="AD71" s="93"/>
      <c r="AE71" s="93"/>
      <c r="AF71" s="93"/>
      <c r="AG71" s="93"/>
      <c r="AH71" s="93"/>
      <c r="AI71" s="93"/>
      <c r="AJ71" s="93"/>
      <c r="AK71" s="93"/>
      <c r="AL71" s="93" t="str">
        <f>IF(plachta3434[[#This Row],[DELIVERY TIME]]="STORNO",IF(plachta3434[[#This Row],[CARRIER]]="NEPOTVRDENE","REFUSED","CANCELLED"),"OK")</f>
        <v>OK</v>
      </c>
      <c r="AM71" s="93"/>
      <c r="AN71" s="93" t="str">
        <f>IF(RIGHT(plachta3434[[#This Row],[CARRIER]],3)="-MF",921,"")</f>
        <v/>
      </c>
      <c r="AO71" s="93"/>
    </row>
    <row r="72" spans="1:41" ht="14.1">
      <c r="A72" s="91">
        <f>WEEKNUM(plachta3434[[#This Row],[LOADING DATE]],21)</f>
        <v>5</v>
      </c>
      <c r="B72" s="36" t="s">
        <v>41</v>
      </c>
      <c r="C72" s="125" t="s">
        <v>42</v>
      </c>
      <c r="D72" s="126" t="s">
        <v>43</v>
      </c>
      <c r="E72" s="36" t="s">
        <v>44</v>
      </c>
      <c r="F72" s="127">
        <v>45324</v>
      </c>
      <c r="G72" s="128">
        <v>0.79166666666666663</v>
      </c>
      <c r="H72" s="129" t="s">
        <v>52</v>
      </c>
      <c r="I72" s="130" t="s">
        <v>53</v>
      </c>
      <c r="J72" s="131" t="s">
        <v>54</v>
      </c>
      <c r="K72" s="127">
        <v>45328</v>
      </c>
      <c r="L72" s="128">
        <v>0.29166666666666669</v>
      </c>
      <c r="M72" s="133">
        <v>1003120150</v>
      </c>
      <c r="N72" s="134" t="s">
        <v>49</v>
      </c>
      <c r="O72" s="139" t="s">
        <v>55</v>
      </c>
      <c r="P72" s="36"/>
      <c r="Q72" s="199" t="s">
        <v>252</v>
      </c>
      <c r="R72" s="36" t="s">
        <v>169</v>
      </c>
      <c r="S72" s="136">
        <v>1336</v>
      </c>
      <c r="T72" s="161">
        <v>1270</v>
      </c>
      <c r="U72" s="92">
        <f>plachta3434[[#This Row],[SALES '[€']]]-plachta3434[[#This Row],[PURCHASE '[€']]]</f>
        <v>66</v>
      </c>
      <c r="V72" s="98">
        <f>plachta3434[[#This Row],[MARGIN '[€']]]/plachta3434[[#This Row],[SALES '[€']]]</f>
        <v>4.940119760479042E-2</v>
      </c>
      <c r="W72" s="172">
        <v>9215171239</v>
      </c>
      <c r="X72" s="108" t="s">
        <v>253</v>
      </c>
      <c r="Y72" s="36">
        <v>1233</v>
      </c>
      <c r="Z72" s="173"/>
      <c r="AA72" s="18" t="s">
        <v>51</v>
      </c>
      <c r="AB72" s="93">
        <f>plachta3434[[#This Row],[PURCHASE '[€']]]/plachta3434[[#This Row],[KM]]</f>
        <v>1.0300081103000811</v>
      </c>
      <c r="AC72" s="93">
        <f>plachta3434[[#This Row],[SALES '[€']]]/plachta3434[[#This Row],[KM]]</f>
        <v>1.0835360908353608</v>
      </c>
      <c r="AD72" s="93"/>
      <c r="AE72" s="93"/>
      <c r="AF72" s="93"/>
      <c r="AG72" s="93"/>
      <c r="AH72" s="93"/>
      <c r="AI72" s="93"/>
      <c r="AJ72" s="93"/>
      <c r="AK72" s="93"/>
      <c r="AL72" s="93" t="str">
        <f>IF(plachta3434[[#This Row],[DELIVERY TIME]]="STORNO",IF(plachta3434[[#This Row],[CARRIER]]="NEPOTVRDENE","REFUSED","CANCELLED"),"OK")</f>
        <v>OK</v>
      </c>
      <c r="AM72" s="93"/>
      <c r="AN72" s="93" t="str">
        <f>IF(RIGHT(plachta3434[[#This Row],[CARRIER]],3)="-MF",921,"")</f>
        <v/>
      </c>
      <c r="AO72" s="93"/>
    </row>
    <row r="73" spans="1:41" ht="14.1">
      <c r="A73" s="91">
        <f>WEEKNUM(plachta3434[[#This Row],[LOADING DATE]],21)</f>
        <v>6</v>
      </c>
      <c r="B73" s="36" t="s">
        <v>41</v>
      </c>
      <c r="C73" s="125" t="s">
        <v>42</v>
      </c>
      <c r="D73" s="126" t="s">
        <v>43</v>
      </c>
      <c r="E73" s="36" t="s">
        <v>44</v>
      </c>
      <c r="F73" s="127">
        <v>45327</v>
      </c>
      <c r="G73" s="128">
        <v>0.375</v>
      </c>
      <c r="H73" s="129" t="s">
        <v>175</v>
      </c>
      <c r="I73" s="130" t="s">
        <v>176</v>
      </c>
      <c r="J73" s="131" t="s">
        <v>177</v>
      </c>
      <c r="K73" s="127">
        <v>45329</v>
      </c>
      <c r="L73" s="128">
        <v>0.375</v>
      </c>
      <c r="M73" s="133">
        <v>1003114352</v>
      </c>
      <c r="N73" s="134" t="s">
        <v>49</v>
      </c>
      <c r="O73" s="139" t="s">
        <v>50</v>
      </c>
      <c r="P73" s="36" t="s">
        <v>61</v>
      </c>
      <c r="Q73" s="199" t="s">
        <v>254</v>
      </c>
      <c r="R73" s="36" t="s">
        <v>255</v>
      </c>
      <c r="S73" s="142">
        <v>1808</v>
      </c>
      <c r="T73" s="137">
        <v>1700</v>
      </c>
      <c r="U73" s="92">
        <f>plachta3434[[#This Row],[SALES '[€']]]-plachta3434[[#This Row],[PURCHASE '[€']]]</f>
        <v>108</v>
      </c>
      <c r="V73" s="98">
        <f>plachta3434[[#This Row],[MARGIN '[€']]]/plachta3434[[#This Row],[SALES '[€']]]</f>
        <v>5.9734513274336286E-2</v>
      </c>
      <c r="W73" s="172">
        <v>9215171358</v>
      </c>
      <c r="X73" s="108" t="s">
        <v>256</v>
      </c>
      <c r="Y73" s="36">
        <v>1382</v>
      </c>
      <c r="Z73" s="173"/>
      <c r="AA73" s="18" t="s">
        <v>51</v>
      </c>
      <c r="AB73" s="93">
        <f>plachta3434[[#This Row],[PURCHASE '[€']]]/plachta3434[[#This Row],[KM]]</f>
        <v>1.2301013024602026</v>
      </c>
      <c r="AC73" s="93">
        <f>plachta3434[[#This Row],[SALES '[€']]]/plachta3434[[#This Row],[KM]]</f>
        <v>1.3082489146164977</v>
      </c>
      <c r="AD73" s="93"/>
      <c r="AE73" s="93"/>
      <c r="AF73" s="93"/>
      <c r="AG73" s="93"/>
      <c r="AH73" s="93"/>
      <c r="AI73" s="93"/>
      <c r="AJ73" s="93"/>
      <c r="AK73" s="93"/>
      <c r="AL73" s="93" t="str">
        <f>IF(plachta3434[[#This Row],[DELIVERY TIME]]="STORNO",IF(plachta3434[[#This Row],[CARRIER]]="NEPOTVRDENE","REFUSED","CANCELLED"),"OK")</f>
        <v>OK</v>
      </c>
      <c r="AM73" s="93"/>
      <c r="AN73" s="93" t="str">
        <f>IF(RIGHT(plachta3434[[#This Row],[CARRIER]],3)="-MF",921,"")</f>
        <v/>
      </c>
      <c r="AO73" s="93"/>
    </row>
    <row r="74" spans="1:41" ht="14.1">
      <c r="A74" s="91">
        <f>WEEKNUM(plachta3434[[#This Row],[LOADING DATE]],21)</f>
        <v>6</v>
      </c>
      <c r="B74" s="36" t="s">
        <v>41</v>
      </c>
      <c r="C74" s="125" t="s">
        <v>42</v>
      </c>
      <c r="D74" s="126" t="s">
        <v>43</v>
      </c>
      <c r="E74" s="36" t="s">
        <v>44</v>
      </c>
      <c r="F74" s="127">
        <v>45328</v>
      </c>
      <c r="G74" s="128">
        <v>0.375</v>
      </c>
      <c r="H74" s="129" t="s">
        <v>45</v>
      </c>
      <c r="I74" s="130" t="s">
        <v>46</v>
      </c>
      <c r="J74" s="131" t="s">
        <v>47</v>
      </c>
      <c r="K74" s="127">
        <v>45331</v>
      </c>
      <c r="L74" s="128">
        <v>0.27083333333333331</v>
      </c>
      <c r="M74" s="133">
        <v>1003109445</v>
      </c>
      <c r="N74" s="134" t="s">
        <v>49</v>
      </c>
      <c r="O74" s="139" t="s">
        <v>50</v>
      </c>
      <c r="P74" s="36" t="s">
        <v>61</v>
      </c>
      <c r="Q74" s="101" t="s">
        <v>205</v>
      </c>
      <c r="R74" s="194" t="s">
        <v>206</v>
      </c>
      <c r="S74" s="153">
        <f>2188+71</f>
        <v>2259</v>
      </c>
      <c r="T74" s="137">
        <v>1951.02</v>
      </c>
      <c r="U74" s="92">
        <f>plachta3434[[#This Row],[SALES '[€']]]-plachta3434[[#This Row],[PURCHASE '[€']]]</f>
        <v>307.98</v>
      </c>
      <c r="V74" s="98">
        <f>plachta3434[[#This Row],[MARGIN '[€']]]/plachta3434[[#This Row],[SALES '[€']]]</f>
        <v>0.13633466135458169</v>
      </c>
      <c r="W74" s="172">
        <v>9215171616</v>
      </c>
      <c r="X74" s="108" t="s">
        <v>257</v>
      </c>
      <c r="Y74" s="36">
        <v>1565</v>
      </c>
      <c r="Z74" s="173">
        <v>140</v>
      </c>
      <c r="AA74" s="18" t="s">
        <v>51</v>
      </c>
      <c r="AB74" s="93">
        <f>plachta3434[[#This Row],[PURCHASE '[€']]]/plachta3434[[#This Row],[KM]]</f>
        <v>1.2466581469648563</v>
      </c>
      <c r="AC74" s="93">
        <f>plachta3434[[#This Row],[SALES '[€']]]/plachta3434[[#This Row],[KM]]</f>
        <v>1.4434504792332268</v>
      </c>
      <c r="AD74" s="93"/>
      <c r="AE74" s="93"/>
      <c r="AF74" s="93"/>
      <c r="AG74" s="93"/>
      <c r="AH74" s="93"/>
      <c r="AI74" s="93"/>
      <c r="AJ74" s="93"/>
      <c r="AK74" s="93"/>
      <c r="AL74" s="93" t="str">
        <f>IF(plachta3434[[#This Row],[DELIVERY TIME]]="STORNO",IF(plachta3434[[#This Row],[CARRIER]]="NEPOTVRDENE","REFUSED","CANCELLED"),"OK")</f>
        <v>OK</v>
      </c>
      <c r="AM74" s="93"/>
      <c r="AN74" s="93">
        <f>IF(RIGHT(plachta3434[[#This Row],[CARRIER]],3)="-MF",921,"")</f>
        <v>921</v>
      </c>
      <c r="AO74" s="93"/>
    </row>
    <row r="75" spans="1:41" ht="14.1">
      <c r="A75" s="91">
        <f>WEEKNUM(plachta3434[[#This Row],[LOADING DATE]],21)</f>
        <v>6</v>
      </c>
      <c r="B75" s="36" t="s">
        <v>41</v>
      </c>
      <c r="C75" s="125" t="s">
        <v>42</v>
      </c>
      <c r="D75" s="126" t="s">
        <v>43</v>
      </c>
      <c r="E75" s="36" t="s">
        <v>44</v>
      </c>
      <c r="F75" s="127">
        <v>45329</v>
      </c>
      <c r="G75" s="128">
        <v>0.79166666666666663</v>
      </c>
      <c r="H75" s="129" t="s">
        <v>45</v>
      </c>
      <c r="I75" s="130" t="s">
        <v>59</v>
      </c>
      <c r="J75" s="131" t="s">
        <v>109</v>
      </c>
      <c r="K75" s="127">
        <v>45334</v>
      </c>
      <c r="L75" s="128" t="s">
        <v>48</v>
      </c>
      <c r="M75" s="133">
        <v>1003118398</v>
      </c>
      <c r="N75" s="134" t="s">
        <v>49</v>
      </c>
      <c r="O75" s="57" t="s">
        <v>50</v>
      </c>
      <c r="P75" s="36" t="s">
        <v>258</v>
      </c>
      <c r="Q75" s="63" t="s">
        <v>259</v>
      </c>
      <c r="R75" s="36" t="s">
        <v>147</v>
      </c>
      <c r="S75" s="160">
        <v>2356</v>
      </c>
      <c r="T75" s="151">
        <v>2230</v>
      </c>
      <c r="U75" s="92">
        <f>plachta3434[[#This Row],[SALES '[€']]]-plachta3434[[#This Row],[PURCHASE '[€']]]</f>
        <v>126</v>
      </c>
      <c r="V75" s="98">
        <f>plachta3434[[#This Row],[MARGIN '[€']]]/plachta3434[[#This Row],[SALES '[€']]]</f>
        <v>5.3480475382003394E-2</v>
      </c>
      <c r="W75" s="172">
        <v>9215171427</v>
      </c>
      <c r="X75" s="108" t="s">
        <v>260</v>
      </c>
      <c r="Y75" s="36">
        <v>1637</v>
      </c>
      <c r="Z75" s="173"/>
      <c r="AA75" s="18" t="s">
        <v>51</v>
      </c>
      <c r="AB75" s="93">
        <f>plachta3434[[#This Row],[PURCHASE '[€']]]/plachta3434[[#This Row],[KM]]</f>
        <v>1.3622480146609652</v>
      </c>
      <c r="AC75" s="93">
        <f>plachta3434[[#This Row],[SALES '[€']]]/plachta3434[[#This Row],[KM]]</f>
        <v>1.4392180818570557</v>
      </c>
      <c r="AD75" s="93"/>
      <c r="AE75" s="93"/>
      <c r="AF75" s="93"/>
      <c r="AG75" s="93"/>
      <c r="AH75" s="93"/>
      <c r="AI75" s="93"/>
      <c r="AJ75" s="93"/>
      <c r="AK75" s="93"/>
      <c r="AL75" s="93" t="str">
        <f>IF(plachta3434[[#This Row],[DELIVERY TIME]]="STORNO",IF(plachta3434[[#This Row],[CARRIER]]="NEPOTVRDENE","REFUSED","CANCELLED"),"OK")</f>
        <v>CANCELLED</v>
      </c>
      <c r="AM75" s="93"/>
      <c r="AN75" s="93" t="str">
        <f>IF(RIGHT(plachta3434[[#This Row],[CARRIER]],3)="-MF",921,"")</f>
        <v/>
      </c>
      <c r="AO75" s="93"/>
    </row>
    <row r="76" spans="1:41" ht="14.1">
      <c r="A76" s="91">
        <f>WEEKNUM(plachta3434[[#This Row],[LOADING DATE]],21)</f>
        <v>6</v>
      </c>
      <c r="B76" s="36" t="s">
        <v>41</v>
      </c>
      <c r="C76" s="125" t="s">
        <v>42</v>
      </c>
      <c r="D76" s="126" t="s">
        <v>43</v>
      </c>
      <c r="E76" s="36" t="s">
        <v>44</v>
      </c>
      <c r="F76" s="127">
        <v>45329</v>
      </c>
      <c r="G76" s="128">
        <v>0.79166666666666663</v>
      </c>
      <c r="H76" s="129" t="s">
        <v>45</v>
      </c>
      <c r="I76" s="130" t="s">
        <v>75</v>
      </c>
      <c r="J76" s="131" t="s">
        <v>76</v>
      </c>
      <c r="K76" s="127">
        <v>45334</v>
      </c>
      <c r="L76" s="128">
        <v>0.41666666666666669</v>
      </c>
      <c r="M76" s="133">
        <v>1003118393</v>
      </c>
      <c r="N76" s="134" t="s">
        <v>49</v>
      </c>
      <c r="O76" s="57" t="s">
        <v>50</v>
      </c>
      <c r="P76" s="118" t="s">
        <v>261</v>
      </c>
      <c r="Q76" s="63" t="s">
        <v>262</v>
      </c>
      <c r="R76" s="36" t="s">
        <v>85</v>
      </c>
      <c r="S76" s="160">
        <f>2478+71</f>
        <v>2549</v>
      </c>
      <c r="T76" s="161">
        <f>2277+70</f>
        <v>2347</v>
      </c>
      <c r="U76" s="92">
        <f>plachta3434[[#This Row],[SALES '[€']]]-plachta3434[[#This Row],[PURCHASE '[€']]]</f>
        <v>202</v>
      </c>
      <c r="V76" s="98">
        <f>plachta3434[[#This Row],[MARGIN '[€']]]/plachta3434[[#This Row],[SALES '[€']]]</f>
        <v>7.9246763436641818E-2</v>
      </c>
      <c r="W76" s="172">
        <v>9215171521</v>
      </c>
      <c r="X76" s="108" t="s">
        <v>263</v>
      </c>
      <c r="Y76" s="36">
        <v>1778</v>
      </c>
      <c r="Z76" s="173"/>
      <c r="AA76" s="18" t="s">
        <v>51</v>
      </c>
      <c r="AB76" s="93">
        <f>plachta3434[[#This Row],[PURCHASE '[€']]]/plachta3434[[#This Row],[KM]]</f>
        <v>1.3200224971878516</v>
      </c>
      <c r="AC76" s="93">
        <f>plachta3434[[#This Row],[SALES '[€']]]/plachta3434[[#This Row],[KM]]</f>
        <v>1.4336332958380202</v>
      </c>
      <c r="AD76" s="93"/>
      <c r="AE76" s="93"/>
      <c r="AF76" s="93"/>
      <c r="AG76" s="93"/>
      <c r="AH76" s="93"/>
      <c r="AI76" s="93"/>
      <c r="AJ76" s="93"/>
      <c r="AK76" s="93"/>
      <c r="AL76" s="93" t="str">
        <f>IF(plachta3434[[#This Row],[DELIVERY TIME]]="STORNO",IF(plachta3434[[#This Row],[CARRIER]]="NEPOTVRDENE","REFUSED","CANCELLED"),"OK")</f>
        <v>OK</v>
      </c>
      <c r="AM76" s="93"/>
      <c r="AN76" s="93" t="str">
        <f>IF(RIGHT(plachta3434[[#This Row],[CARRIER]],3)="-MF",921,"")</f>
        <v/>
      </c>
      <c r="AO76" s="93"/>
    </row>
    <row r="77" spans="1:41" ht="14.1">
      <c r="A77" s="91">
        <f>WEEKNUM(plachta3434[[#This Row],[LOADING DATE]],21)</f>
        <v>6</v>
      </c>
      <c r="B77" s="36" t="s">
        <v>41</v>
      </c>
      <c r="C77" s="125" t="s">
        <v>42</v>
      </c>
      <c r="D77" s="126" t="s">
        <v>43</v>
      </c>
      <c r="E77" s="36" t="s">
        <v>44</v>
      </c>
      <c r="F77" s="127">
        <v>45329</v>
      </c>
      <c r="G77" s="128">
        <v>0.85416666666666663</v>
      </c>
      <c r="H77" s="129" t="s">
        <v>45</v>
      </c>
      <c r="I77" s="130" t="s">
        <v>46</v>
      </c>
      <c r="J77" s="131" t="s">
        <v>47</v>
      </c>
      <c r="K77" s="127">
        <v>45334</v>
      </c>
      <c r="L77" s="128">
        <v>0.29166666666666669</v>
      </c>
      <c r="M77" s="133">
        <v>1003118396</v>
      </c>
      <c r="N77" s="134" t="s">
        <v>49</v>
      </c>
      <c r="O77" s="57" t="s">
        <v>50</v>
      </c>
      <c r="P77" s="36"/>
      <c r="Q77" s="63" t="s">
        <v>264</v>
      </c>
      <c r="R77" s="36" t="s">
        <v>265</v>
      </c>
      <c r="S77" s="153">
        <f>2188+71</f>
        <v>2259</v>
      </c>
      <c r="T77" s="137">
        <v>2100</v>
      </c>
      <c r="U77" s="92">
        <f>plachta3434[[#This Row],[SALES '[€']]]-plachta3434[[#This Row],[PURCHASE '[€']]]</f>
        <v>159</v>
      </c>
      <c r="V77" s="98">
        <f>plachta3434[[#This Row],[MARGIN '[€']]]/plachta3434[[#This Row],[SALES '[€']]]</f>
        <v>7.0385126162018599E-2</v>
      </c>
      <c r="W77" s="172">
        <v>9215171354</v>
      </c>
      <c r="X77" s="108" t="s">
        <v>266</v>
      </c>
      <c r="Y77" s="36">
        <v>1571</v>
      </c>
      <c r="Z77" s="173"/>
      <c r="AA77" s="18" t="s">
        <v>51</v>
      </c>
      <c r="AB77" s="93">
        <f>plachta3434[[#This Row],[PURCHASE '[€']]]/plachta3434[[#This Row],[KM]]</f>
        <v>1.336728198599618</v>
      </c>
      <c r="AC77" s="93">
        <f>plachta3434[[#This Row],[SALES '[€']]]/plachta3434[[#This Row],[KM]]</f>
        <v>1.4379376193507321</v>
      </c>
      <c r="AD77" s="93"/>
      <c r="AE77" s="93"/>
      <c r="AF77" s="93"/>
      <c r="AG77" s="93"/>
      <c r="AH77" s="93"/>
      <c r="AI77" s="93"/>
      <c r="AJ77" s="93"/>
      <c r="AK77" s="93"/>
      <c r="AL77" s="93" t="str">
        <f>IF(plachta3434[[#This Row],[DELIVERY TIME]]="STORNO",IF(plachta3434[[#This Row],[CARRIER]]="NEPOTVRDENE","REFUSED","CANCELLED"),"OK")</f>
        <v>OK</v>
      </c>
      <c r="AM77" s="93"/>
      <c r="AN77" s="93" t="str">
        <f>IF(RIGHT(plachta3434[[#This Row],[CARRIER]],3)="-MF",921,"")</f>
        <v/>
      </c>
      <c r="AO77" s="93"/>
    </row>
    <row r="78" spans="1:41" ht="14.45">
      <c r="A78" s="91">
        <f>WEEKNUM(plachta3434[[#This Row],[LOADING DATE]],21)</f>
        <v>6</v>
      </c>
      <c r="B78" s="36" t="s">
        <v>41</v>
      </c>
      <c r="C78" s="125" t="s">
        <v>42</v>
      </c>
      <c r="D78" s="126" t="s">
        <v>43</v>
      </c>
      <c r="E78" s="37" t="s">
        <v>44</v>
      </c>
      <c r="F78" s="127">
        <v>45329</v>
      </c>
      <c r="G78" s="128">
        <v>0.70833333333333337</v>
      </c>
      <c r="H78" s="129" t="s">
        <v>267</v>
      </c>
      <c r="I78" s="130" t="s">
        <v>268</v>
      </c>
      <c r="J78" s="131" t="s">
        <v>269</v>
      </c>
      <c r="K78" s="127">
        <v>45337</v>
      </c>
      <c r="L78" s="128">
        <v>0.375</v>
      </c>
      <c r="M78" s="133">
        <v>1003132540</v>
      </c>
      <c r="N78" s="134" t="s">
        <v>49</v>
      </c>
      <c r="O78" s="57" t="s">
        <v>55</v>
      </c>
      <c r="P78" t="s">
        <v>56</v>
      </c>
      <c r="Q78" s="63" t="s">
        <v>270</v>
      </c>
      <c r="R78" s="36" t="s">
        <v>271</v>
      </c>
      <c r="S78" s="160">
        <v>3209</v>
      </c>
      <c r="T78" s="151">
        <v>3100</v>
      </c>
      <c r="U78" s="92">
        <f>plachta3434[[#This Row],[SALES '[€']]]-plachta3434[[#This Row],[PURCHASE '[€']]]</f>
        <v>109</v>
      </c>
      <c r="V78" s="98">
        <f>plachta3434[[#This Row],[MARGIN '[€']]]/plachta3434[[#This Row],[SALES '[€']]]</f>
        <v>3.3966967902773447E-2</v>
      </c>
      <c r="W78" s="176">
        <v>9215171624</v>
      </c>
      <c r="X78" s="108" t="s">
        <v>272</v>
      </c>
      <c r="Y78" s="36">
        <v>2813</v>
      </c>
      <c r="Z78" s="173"/>
      <c r="AA78" s="18" t="s">
        <v>51</v>
      </c>
      <c r="AB78" s="93">
        <f>plachta3434[[#This Row],[PURCHASE '[€']]]/plachta3434[[#This Row],[KM]]</f>
        <v>1.1020263064344116</v>
      </c>
      <c r="AC78" s="93">
        <f>plachta3434[[#This Row],[SALES '[€']]]/plachta3434[[#This Row],[KM]]</f>
        <v>1.1407749733380732</v>
      </c>
      <c r="AD78" s="93"/>
      <c r="AE78" s="93"/>
      <c r="AF78" s="93"/>
      <c r="AG78" s="93"/>
      <c r="AH78" s="93"/>
      <c r="AI78" s="93"/>
      <c r="AJ78" s="93"/>
      <c r="AK78" s="93"/>
      <c r="AL78" s="93" t="str">
        <f>IF(plachta3434[[#This Row],[DELIVERY TIME]]="STORNO",IF(plachta3434[[#This Row],[CARRIER]]="NEPOTVRDENE","REFUSED","CANCELLED"),"OK")</f>
        <v>OK</v>
      </c>
      <c r="AM78" s="93"/>
      <c r="AN78" s="93" t="str">
        <f>IF(RIGHT(plachta3434[[#This Row],[CARRIER]],3)="-MF",921,"")</f>
        <v/>
      </c>
      <c r="AO78" s="93"/>
    </row>
    <row r="79" spans="1:41" ht="14.1">
      <c r="A79" s="91">
        <f>WEEKNUM(plachta3434[[#This Row],[LOADING DATE]],21)</f>
        <v>6</v>
      </c>
      <c r="B79" s="36" t="s">
        <v>41</v>
      </c>
      <c r="C79" s="125" t="s">
        <v>42</v>
      </c>
      <c r="D79" s="126" t="s">
        <v>43</v>
      </c>
      <c r="E79" s="36" t="s">
        <v>44</v>
      </c>
      <c r="F79" s="127">
        <v>45330</v>
      </c>
      <c r="G79" s="128">
        <v>0.79166666666666663</v>
      </c>
      <c r="H79" s="129" t="s">
        <v>45</v>
      </c>
      <c r="I79" s="130" t="s">
        <v>59</v>
      </c>
      <c r="J79" s="131" t="s">
        <v>60</v>
      </c>
      <c r="K79" s="127">
        <v>45335</v>
      </c>
      <c r="L79" s="128" t="s">
        <v>48</v>
      </c>
      <c r="M79" s="133">
        <v>1003118397</v>
      </c>
      <c r="N79" s="134" t="s">
        <v>49</v>
      </c>
      <c r="O79" s="57" t="s">
        <v>50</v>
      </c>
      <c r="P79" s="36" t="s">
        <v>258</v>
      </c>
      <c r="Q79" s="63"/>
      <c r="R79" s="36" t="s">
        <v>147</v>
      </c>
      <c r="S79" s="141">
        <v>2356</v>
      </c>
      <c r="T79" s="151">
        <v>2230</v>
      </c>
      <c r="U79" s="92">
        <f>plachta3434[[#This Row],[SALES '[€']]]-plachta3434[[#This Row],[PURCHASE '[€']]]</f>
        <v>126</v>
      </c>
      <c r="V79" s="98">
        <f>plachta3434[[#This Row],[MARGIN '[€']]]/plachta3434[[#This Row],[SALES '[€']]]</f>
        <v>5.3480475382003394E-2</v>
      </c>
      <c r="W79" s="172">
        <v>9215171430</v>
      </c>
      <c r="X79" s="108" t="s">
        <v>273</v>
      </c>
      <c r="Y79" s="36">
        <v>1629</v>
      </c>
      <c r="Z79" s="173"/>
      <c r="AA79" s="18" t="s">
        <v>51</v>
      </c>
      <c r="AB79" s="93">
        <f>plachta3434[[#This Row],[PURCHASE '[€']]]/plachta3434[[#This Row],[KM]]</f>
        <v>1.368937998772253</v>
      </c>
      <c r="AC79" s="93">
        <f>plachta3434[[#This Row],[SALES '[€']]]/plachta3434[[#This Row],[KM]]</f>
        <v>1.4462860650705955</v>
      </c>
      <c r="AD79" s="93"/>
      <c r="AE79" s="93"/>
      <c r="AF79" s="93"/>
      <c r="AG79" s="93"/>
      <c r="AH79" s="93"/>
      <c r="AI79" s="93"/>
      <c r="AJ79" s="93"/>
      <c r="AK79" s="93"/>
      <c r="AL79" s="93" t="str">
        <f>IF(plachta3434[[#This Row],[DELIVERY TIME]]="STORNO",IF(plachta3434[[#This Row],[CARRIER]]="NEPOTVRDENE","REFUSED","CANCELLED"),"OK")</f>
        <v>CANCELLED</v>
      </c>
      <c r="AM79" s="93"/>
      <c r="AN79" s="93" t="str">
        <f>IF(RIGHT(plachta3434[[#This Row],[CARRIER]],3)="-MF",921,"")</f>
        <v/>
      </c>
      <c r="AO79" s="93"/>
    </row>
    <row r="80" spans="1:41" ht="14.1">
      <c r="A80" s="91">
        <f>WEEKNUM(plachta3434[[#This Row],[LOADING DATE]],21)</f>
        <v>6</v>
      </c>
      <c r="B80" s="36" t="s">
        <v>41</v>
      </c>
      <c r="C80" s="125" t="s">
        <v>42</v>
      </c>
      <c r="D80" s="126" t="s">
        <v>43</v>
      </c>
      <c r="E80" s="36" t="s">
        <v>44</v>
      </c>
      <c r="F80" s="127">
        <v>45330</v>
      </c>
      <c r="G80" s="128">
        <v>0.79166666666666663</v>
      </c>
      <c r="H80" s="129" t="s">
        <v>45</v>
      </c>
      <c r="I80" s="130" t="s">
        <v>46</v>
      </c>
      <c r="J80" s="131" t="s">
        <v>134</v>
      </c>
      <c r="K80" s="127">
        <v>45335</v>
      </c>
      <c r="L80" s="128">
        <v>0.35416666666666669</v>
      </c>
      <c r="M80" s="133">
        <v>1003118442</v>
      </c>
      <c r="N80" s="134" t="s">
        <v>49</v>
      </c>
      <c r="O80" s="57" t="s">
        <v>50</v>
      </c>
      <c r="P80" s="36" t="s">
        <v>61</v>
      </c>
      <c r="Q80" s="42" t="s">
        <v>248</v>
      </c>
      <c r="R80" s="94" t="s">
        <v>90</v>
      </c>
      <c r="S80" s="163">
        <v>2259</v>
      </c>
      <c r="T80" s="137">
        <v>1925.33</v>
      </c>
      <c r="U80" s="92">
        <f>plachta3434[[#This Row],[SALES '[€']]]-plachta3434[[#This Row],[PURCHASE '[€']]]</f>
        <v>333.67000000000007</v>
      </c>
      <c r="V80" s="98">
        <f>plachta3434[[#This Row],[MARGIN '[€']]]/plachta3434[[#This Row],[SALES '[€']]]</f>
        <v>0.14770694997786635</v>
      </c>
      <c r="W80" s="172">
        <v>9215171414</v>
      </c>
      <c r="X80" s="108" t="s">
        <v>274</v>
      </c>
      <c r="Y80" s="36">
        <v>1559</v>
      </c>
      <c r="Z80" s="173">
        <v>78</v>
      </c>
      <c r="AA80" s="18" t="s">
        <v>51</v>
      </c>
      <c r="AB80" s="93">
        <f>plachta3434[[#This Row],[PURCHASE '[€']]]/plachta3434[[#This Row],[KM]]</f>
        <v>1.2349775497113533</v>
      </c>
      <c r="AC80" s="93">
        <f>plachta3434[[#This Row],[SALES '[€']]]/plachta3434[[#This Row],[KM]]</f>
        <v>1.4490057729313663</v>
      </c>
      <c r="AD80" s="93"/>
      <c r="AE80" s="93"/>
      <c r="AF80" s="93"/>
      <c r="AG80" s="93"/>
      <c r="AH80" s="93"/>
      <c r="AI80" s="93"/>
      <c r="AJ80" s="93"/>
      <c r="AK80" s="93"/>
      <c r="AL80" s="93" t="str">
        <f>IF(plachta3434[[#This Row],[DELIVERY TIME]]="STORNO",IF(plachta3434[[#This Row],[CARRIER]]="NEPOTVRDENE","REFUSED","CANCELLED"),"OK")</f>
        <v>OK</v>
      </c>
      <c r="AM80" s="93"/>
      <c r="AN80" s="93">
        <f>IF(RIGHT(plachta3434[[#This Row],[CARRIER]],3)="-MF",921,"")</f>
        <v>921</v>
      </c>
      <c r="AO80" s="93"/>
    </row>
    <row r="81" spans="1:41" ht="14.1">
      <c r="A81" s="91">
        <f>WEEKNUM(plachta3434[[#This Row],[LOADING DATE]],21)</f>
        <v>6</v>
      </c>
      <c r="B81" s="36" t="s">
        <v>41</v>
      </c>
      <c r="C81" s="125" t="s">
        <v>42</v>
      </c>
      <c r="D81" s="126" t="s">
        <v>43</v>
      </c>
      <c r="E81" s="36" t="s">
        <v>44</v>
      </c>
      <c r="F81" s="127">
        <v>45330</v>
      </c>
      <c r="G81" s="128">
        <v>0.79166666666666663</v>
      </c>
      <c r="H81" s="129" t="s">
        <v>45</v>
      </c>
      <c r="I81" s="130" t="s">
        <v>59</v>
      </c>
      <c r="J81" s="131" t="s">
        <v>109</v>
      </c>
      <c r="K81" s="127">
        <v>45335</v>
      </c>
      <c r="L81" s="128">
        <v>0.29166666666666669</v>
      </c>
      <c r="M81" s="133">
        <v>1003118466</v>
      </c>
      <c r="N81" s="134" t="s">
        <v>49</v>
      </c>
      <c r="O81" s="57" t="s">
        <v>50</v>
      </c>
      <c r="P81" s="36" t="s">
        <v>61</v>
      </c>
      <c r="Q81" s="63" t="s">
        <v>275</v>
      </c>
      <c r="R81" s="36" t="s">
        <v>63</v>
      </c>
      <c r="S81" s="141">
        <v>2356</v>
      </c>
      <c r="T81" s="151">
        <v>2225</v>
      </c>
      <c r="U81" s="92">
        <f>plachta3434[[#This Row],[SALES '[€']]]-plachta3434[[#This Row],[PURCHASE '[€']]]</f>
        <v>131</v>
      </c>
      <c r="V81" s="98">
        <f>plachta3434[[#This Row],[MARGIN '[€']]]/plachta3434[[#This Row],[SALES '[€']]]</f>
        <v>5.5602716468590829E-2</v>
      </c>
      <c r="W81" s="172">
        <v>9215171415</v>
      </c>
      <c r="X81" s="108" t="s">
        <v>276</v>
      </c>
      <c r="Y81" s="36">
        <v>1637</v>
      </c>
      <c r="Z81" s="173"/>
      <c r="AA81" s="18" t="s">
        <v>51</v>
      </c>
      <c r="AB81" s="93">
        <f>plachta3434[[#This Row],[PURCHASE '[€']]]/plachta3434[[#This Row],[KM]]</f>
        <v>1.3591936469150885</v>
      </c>
      <c r="AC81" s="93">
        <f>plachta3434[[#This Row],[SALES '[€']]]/plachta3434[[#This Row],[KM]]</f>
        <v>1.4392180818570557</v>
      </c>
      <c r="AD81" s="93"/>
      <c r="AE81" s="93"/>
      <c r="AF81" s="93"/>
      <c r="AG81" s="93"/>
      <c r="AH81" s="93"/>
      <c r="AI81" s="93"/>
      <c r="AJ81" s="93"/>
      <c r="AK81" s="93"/>
      <c r="AL81" s="93" t="str">
        <f>IF(plachta3434[[#This Row],[DELIVERY TIME]]="STORNO",IF(plachta3434[[#This Row],[CARRIER]]="NEPOTVRDENE","REFUSED","CANCELLED"),"OK")</f>
        <v>OK</v>
      </c>
      <c r="AM81" s="93"/>
      <c r="AN81" s="93" t="str">
        <f>IF(RIGHT(plachta3434[[#This Row],[CARRIER]],3)="-MF",921,"")</f>
        <v/>
      </c>
      <c r="AO81" s="93"/>
    </row>
    <row r="82" spans="1:41" ht="14.1">
      <c r="A82" s="91">
        <f>WEEKNUM(plachta3434[[#This Row],[LOADING DATE]],21)</f>
        <v>6</v>
      </c>
      <c r="B82" s="36" t="s">
        <v>41</v>
      </c>
      <c r="C82" s="125" t="s">
        <v>42</v>
      </c>
      <c r="D82" s="126" t="s">
        <v>43</v>
      </c>
      <c r="E82" s="36" t="s">
        <v>44</v>
      </c>
      <c r="F82" s="127">
        <v>45330</v>
      </c>
      <c r="G82" s="128">
        <v>0.85416666666666663</v>
      </c>
      <c r="H82" s="129" t="s">
        <v>45</v>
      </c>
      <c r="I82" s="130" t="s">
        <v>46</v>
      </c>
      <c r="J82" s="131" t="s">
        <v>47</v>
      </c>
      <c r="K82" s="127">
        <v>45335</v>
      </c>
      <c r="L82" s="128">
        <v>0.4375</v>
      </c>
      <c r="M82" s="133">
        <v>1003118467</v>
      </c>
      <c r="N82" s="134" t="s">
        <v>49</v>
      </c>
      <c r="O82" s="57" t="s">
        <v>50</v>
      </c>
      <c r="P82" s="36" t="s">
        <v>61</v>
      </c>
      <c r="Q82" s="63" t="s">
        <v>277</v>
      </c>
      <c r="R82" s="36" t="s">
        <v>63</v>
      </c>
      <c r="S82" s="153">
        <f>2188+71</f>
        <v>2259</v>
      </c>
      <c r="T82" s="137">
        <v>2120</v>
      </c>
      <c r="U82" s="92">
        <f>plachta3434[[#This Row],[SALES '[€']]]-plachta3434[[#This Row],[PURCHASE '[€']]]</f>
        <v>139</v>
      </c>
      <c r="V82" s="98">
        <f>plachta3434[[#This Row],[MARGIN '[€']]]/plachta3434[[#This Row],[SALES '[€']]]</f>
        <v>6.1531651173085435E-2</v>
      </c>
      <c r="W82" s="172">
        <v>9215171417</v>
      </c>
      <c r="X82" s="108" t="s">
        <v>278</v>
      </c>
      <c r="Y82" s="36">
        <v>1571</v>
      </c>
      <c r="Z82" s="173"/>
      <c r="AA82" s="18" t="s">
        <v>51</v>
      </c>
      <c r="AB82" s="93">
        <f>plachta3434[[#This Row],[PURCHASE '[€']]]/plachta3434[[#This Row],[KM]]</f>
        <v>1.3494589433481858</v>
      </c>
      <c r="AC82" s="93">
        <f>plachta3434[[#This Row],[SALES '[€']]]/plachta3434[[#This Row],[KM]]</f>
        <v>1.4379376193507321</v>
      </c>
      <c r="AD82" s="93"/>
      <c r="AE82" s="93"/>
      <c r="AF82" s="93"/>
      <c r="AG82" s="93"/>
      <c r="AH82" s="93"/>
      <c r="AI82" s="93"/>
      <c r="AJ82" s="93"/>
      <c r="AK82" s="93"/>
      <c r="AL82" s="93" t="str">
        <f>IF(plachta3434[[#This Row],[DELIVERY TIME]]="STORNO",IF(plachta3434[[#This Row],[CARRIER]]="NEPOTVRDENE","REFUSED","CANCELLED"),"OK")</f>
        <v>OK</v>
      </c>
      <c r="AM82" s="93"/>
      <c r="AN82" s="93" t="str">
        <f>IF(RIGHT(plachta3434[[#This Row],[CARRIER]],3)="-MF",921,"")</f>
        <v/>
      </c>
      <c r="AO82" s="93"/>
    </row>
    <row r="83" spans="1:41" ht="14.1">
      <c r="A83" s="91">
        <f>WEEKNUM(plachta3434[[#This Row],[LOADING DATE]],21)</f>
        <v>6</v>
      </c>
      <c r="B83" s="36" t="s">
        <v>41</v>
      </c>
      <c r="C83" s="125" t="s">
        <v>42</v>
      </c>
      <c r="D83" s="126" t="s">
        <v>43</v>
      </c>
      <c r="E83" s="36" t="s">
        <v>44</v>
      </c>
      <c r="F83" s="127">
        <v>45330</v>
      </c>
      <c r="G83" s="128">
        <v>0.85416666666666663</v>
      </c>
      <c r="H83" s="129" t="s">
        <v>81</v>
      </c>
      <c r="I83" s="130" t="s">
        <v>82</v>
      </c>
      <c r="J83" s="131" t="s">
        <v>279</v>
      </c>
      <c r="K83" s="127">
        <v>45334</v>
      </c>
      <c r="L83" s="128">
        <v>0.625</v>
      </c>
      <c r="M83" s="133">
        <v>1003114361</v>
      </c>
      <c r="N83" s="134" t="s">
        <v>49</v>
      </c>
      <c r="O83" s="57" t="s">
        <v>50</v>
      </c>
      <c r="P83" s="36" t="s">
        <v>61</v>
      </c>
      <c r="Q83" s="63" t="s">
        <v>280</v>
      </c>
      <c r="R83" s="36" t="s">
        <v>85</v>
      </c>
      <c r="S83" s="141">
        <v>1854</v>
      </c>
      <c r="T83" s="137">
        <v>1700</v>
      </c>
      <c r="U83" s="92">
        <f>plachta3434[[#This Row],[SALES '[€']]]-plachta3434[[#This Row],[PURCHASE '[€']]]</f>
        <v>154</v>
      </c>
      <c r="V83" s="98">
        <f>plachta3434[[#This Row],[MARGIN '[€']]]/plachta3434[[#This Row],[SALES '[€']]]</f>
        <v>8.306364617044229E-2</v>
      </c>
      <c r="W83" s="172">
        <v>9215171523</v>
      </c>
      <c r="X83" s="108" t="s">
        <v>281</v>
      </c>
      <c r="Y83" s="36">
        <v>1447</v>
      </c>
      <c r="Z83" s="173"/>
      <c r="AA83" s="18" t="s">
        <v>51</v>
      </c>
      <c r="AB83" s="93">
        <f>plachta3434[[#This Row],[PURCHASE '[€']]]/plachta3434[[#This Row],[KM]]</f>
        <v>1.1748445058742225</v>
      </c>
      <c r="AC83" s="93">
        <f>plachta3434[[#This Row],[SALES '[€']]]/plachta3434[[#This Row],[KM]]</f>
        <v>1.2812715964063579</v>
      </c>
      <c r="AD83" s="93"/>
      <c r="AE83" s="93"/>
      <c r="AF83" s="93"/>
      <c r="AG83" s="93"/>
      <c r="AH83" s="93"/>
      <c r="AI83" s="93"/>
      <c r="AJ83" s="93"/>
      <c r="AK83" s="93"/>
      <c r="AL83" s="93" t="str">
        <f>IF(plachta3434[[#This Row],[DELIVERY TIME]]="STORNO",IF(plachta3434[[#This Row],[CARRIER]]="NEPOTVRDENE","REFUSED","CANCELLED"),"OK")</f>
        <v>OK</v>
      </c>
      <c r="AM83" s="93"/>
      <c r="AN83" s="93" t="str">
        <f>IF(RIGHT(plachta3434[[#This Row],[CARRIER]],3)="-MF",921,"")</f>
        <v/>
      </c>
      <c r="AO83" s="93"/>
    </row>
    <row r="84" spans="1:41" ht="14.1">
      <c r="A84" s="91">
        <f>WEEKNUM(plachta3434[[#This Row],[LOADING DATE]],21)</f>
        <v>6</v>
      </c>
      <c r="B84" s="36" t="s">
        <v>41</v>
      </c>
      <c r="C84" s="125" t="s">
        <v>42</v>
      </c>
      <c r="D84" s="126" t="s">
        <v>43</v>
      </c>
      <c r="E84" s="36" t="s">
        <v>44</v>
      </c>
      <c r="F84" s="127">
        <v>45330</v>
      </c>
      <c r="G84" s="128">
        <v>0.64583333333333337</v>
      </c>
      <c r="H84" s="129" t="s">
        <v>45</v>
      </c>
      <c r="I84" s="130" t="s">
        <v>70</v>
      </c>
      <c r="J84" s="131" t="s">
        <v>87</v>
      </c>
      <c r="K84" s="127">
        <v>45335</v>
      </c>
      <c r="L84" s="128">
        <v>0.25</v>
      </c>
      <c r="M84" s="133">
        <v>1003118461</v>
      </c>
      <c r="N84" s="134" t="s">
        <v>49</v>
      </c>
      <c r="O84" s="57" t="s">
        <v>50</v>
      </c>
      <c r="P84" s="36" t="s">
        <v>282</v>
      </c>
      <c r="Q84" s="63" t="s">
        <v>283</v>
      </c>
      <c r="R84" s="36" t="s">
        <v>119</v>
      </c>
      <c r="S84" s="141">
        <f>2096+71</f>
        <v>2167</v>
      </c>
      <c r="T84" s="137">
        <v>2060</v>
      </c>
      <c r="U84" s="92">
        <f>plachta3434[[#This Row],[SALES '[€']]]-plachta3434[[#This Row],[PURCHASE '[€']]]</f>
        <v>107</v>
      </c>
      <c r="V84" s="98">
        <f>plachta3434[[#This Row],[MARGIN '[€']]]/plachta3434[[#This Row],[SALES '[€']]]</f>
        <v>4.9377018920166126E-2</v>
      </c>
      <c r="W84" s="172">
        <v>9215171678</v>
      </c>
      <c r="X84" s="108" t="s">
        <v>284</v>
      </c>
      <c r="Y84" s="36">
        <v>1570</v>
      </c>
      <c r="Z84" s="173"/>
      <c r="AA84" s="18" t="s">
        <v>51</v>
      </c>
      <c r="AB84" s="93">
        <f>plachta3434[[#This Row],[PURCHASE '[€']]]/plachta3434[[#This Row],[KM]]</f>
        <v>1.3121019108280254</v>
      </c>
      <c r="AC84" s="93">
        <f>plachta3434[[#This Row],[SALES '[€']]]/plachta3434[[#This Row],[KM]]</f>
        <v>1.3802547770700637</v>
      </c>
      <c r="AD84" s="93"/>
      <c r="AE84" s="93"/>
      <c r="AF84" s="93"/>
      <c r="AG84" s="93"/>
      <c r="AH84" s="93"/>
      <c r="AI84" s="93"/>
      <c r="AJ84" s="93"/>
      <c r="AK84" s="93"/>
      <c r="AL84" s="93" t="str">
        <f>IF(plachta3434[[#This Row],[DELIVERY TIME]]="STORNO",IF(plachta3434[[#This Row],[CARRIER]]="NEPOTVRDENE","REFUSED","CANCELLED"),"OK")</f>
        <v>OK</v>
      </c>
      <c r="AM84" s="93"/>
      <c r="AN84" s="93" t="str">
        <f>IF(RIGHT(plachta3434[[#This Row],[CARRIER]],3)="-MF",921,"")</f>
        <v/>
      </c>
      <c r="AO84" s="93"/>
    </row>
    <row r="85" spans="1:41" ht="14.1">
      <c r="A85" s="91">
        <f>WEEKNUM(plachta3434[[#This Row],[LOADING DATE]],21)</f>
        <v>6</v>
      </c>
      <c r="B85" s="36" t="s">
        <v>41</v>
      </c>
      <c r="C85" s="125" t="s">
        <v>42</v>
      </c>
      <c r="D85" s="126" t="s">
        <v>43</v>
      </c>
      <c r="E85" s="36" t="s">
        <v>44</v>
      </c>
      <c r="F85" s="127">
        <v>45331</v>
      </c>
      <c r="G85" s="128">
        <v>0.85416666666666663</v>
      </c>
      <c r="H85" s="129" t="s">
        <v>45</v>
      </c>
      <c r="I85" s="130" t="s">
        <v>46</v>
      </c>
      <c r="J85" s="131" t="s">
        <v>47</v>
      </c>
      <c r="K85" s="127">
        <v>45336</v>
      </c>
      <c r="L85" s="128">
        <v>0.33333333333333331</v>
      </c>
      <c r="M85" s="133">
        <v>1003118473</v>
      </c>
      <c r="N85" s="134" t="s">
        <v>49</v>
      </c>
      <c r="O85" s="57" t="s">
        <v>50</v>
      </c>
      <c r="P85" s="36"/>
      <c r="Q85" s="63" t="s">
        <v>285</v>
      </c>
      <c r="R85" s="36" t="s">
        <v>220</v>
      </c>
      <c r="S85" s="153">
        <f>2188+71</f>
        <v>2259</v>
      </c>
      <c r="T85" s="137">
        <v>2180</v>
      </c>
      <c r="U85" s="92">
        <f>plachta3434[[#This Row],[SALES '[€']]]-plachta3434[[#This Row],[PURCHASE '[€']]]</f>
        <v>79</v>
      </c>
      <c r="V85" s="98">
        <f>plachta3434[[#This Row],[MARGIN '[€']]]/plachta3434[[#This Row],[SALES '[€']]]</f>
        <v>3.4971226206285969E-2</v>
      </c>
      <c r="W85" s="172">
        <v>9215171413</v>
      </c>
      <c r="X85" s="108" t="s">
        <v>286</v>
      </c>
      <c r="Y85" s="36">
        <v>1571</v>
      </c>
      <c r="Z85" s="173"/>
      <c r="AA85" s="18" t="s">
        <v>51</v>
      </c>
      <c r="AB85" s="93">
        <f>plachta3434[[#This Row],[PURCHASE '[€']]]/plachta3434[[#This Row],[KM]]</f>
        <v>1.3876511775938893</v>
      </c>
      <c r="AC85" s="93">
        <f>plachta3434[[#This Row],[SALES '[€']]]/plachta3434[[#This Row],[KM]]</f>
        <v>1.4379376193507321</v>
      </c>
      <c r="AD85" s="93"/>
      <c r="AE85" s="93"/>
      <c r="AF85" s="93"/>
      <c r="AG85" s="93"/>
      <c r="AH85" s="93"/>
      <c r="AI85" s="93"/>
      <c r="AJ85" s="93"/>
      <c r="AK85" s="93"/>
      <c r="AL85" s="93" t="str">
        <f>IF(plachta3434[[#This Row],[DELIVERY TIME]]="STORNO",IF(plachta3434[[#This Row],[CARRIER]]="NEPOTVRDENE","REFUSED","CANCELLED"),"OK")</f>
        <v>OK</v>
      </c>
      <c r="AM85" s="93"/>
      <c r="AN85" s="93" t="str">
        <f>IF(RIGHT(plachta3434[[#This Row],[CARRIER]],3)="-MF",921,"")</f>
        <v/>
      </c>
      <c r="AO85" s="93"/>
    </row>
    <row r="86" spans="1:41" ht="14.1">
      <c r="A86" s="39">
        <f>WEEKNUM(plachta3434[[#This Row],[LOADING DATE]],21)</f>
        <v>6</v>
      </c>
      <c r="B86" s="36" t="s">
        <v>41</v>
      </c>
      <c r="C86" s="125" t="s">
        <v>42</v>
      </c>
      <c r="D86" s="126" t="s">
        <v>43</v>
      </c>
      <c r="E86" s="36" t="s">
        <v>44</v>
      </c>
      <c r="F86" s="127">
        <v>45331</v>
      </c>
      <c r="G86" s="128">
        <v>0.79166666666666663</v>
      </c>
      <c r="H86" s="129" t="s">
        <v>175</v>
      </c>
      <c r="I86" s="130" t="s">
        <v>176</v>
      </c>
      <c r="J86" s="158" t="s">
        <v>177</v>
      </c>
      <c r="K86" s="127">
        <v>45335</v>
      </c>
      <c r="L86" s="128">
        <v>0.79166666666666663</v>
      </c>
      <c r="M86" s="133">
        <v>1003114362</v>
      </c>
      <c r="N86" s="134" t="s">
        <v>49</v>
      </c>
      <c r="O86" s="57" t="s">
        <v>50</v>
      </c>
      <c r="P86" s="36" t="s">
        <v>178</v>
      </c>
      <c r="Q86" s="63" t="s">
        <v>287</v>
      </c>
      <c r="R86" s="202" t="s">
        <v>57</v>
      </c>
      <c r="S86" s="163">
        <v>1808</v>
      </c>
      <c r="T86" s="137">
        <v>1700</v>
      </c>
      <c r="U86" s="36">
        <f>plachta3434[[#This Row],[SALES '[€']]]-plachta3434[[#This Row],[PURCHASE '[€']]]</f>
        <v>108</v>
      </c>
      <c r="V86" s="177">
        <f>plachta3434[[#This Row],[MARGIN '[€']]]/plachta3434[[#This Row],[SALES '[€']]]</f>
        <v>5.9734513274336286E-2</v>
      </c>
      <c r="W86" s="172">
        <v>9215171614</v>
      </c>
      <c r="X86" s="108" t="s">
        <v>288</v>
      </c>
      <c r="Y86" s="36">
        <v>1382</v>
      </c>
      <c r="Z86" s="173"/>
      <c r="AA86" s="18" t="s">
        <v>51</v>
      </c>
      <c r="AB86" s="178">
        <f>plachta3434[[#This Row],[PURCHASE '[€']]]/plachta3434[[#This Row],[KM]]</f>
        <v>1.2301013024602026</v>
      </c>
      <c r="AC86" s="178">
        <f>plachta3434[[#This Row],[SALES '[€']]]/plachta3434[[#This Row],[KM]]</f>
        <v>1.3082489146164977</v>
      </c>
      <c r="AD86" s="178"/>
      <c r="AE86" s="178"/>
      <c r="AF86" s="178"/>
      <c r="AG86" s="178"/>
      <c r="AH86" s="178"/>
      <c r="AI86" s="178"/>
      <c r="AJ86" s="178"/>
      <c r="AK86" s="178"/>
      <c r="AL86" s="178" t="str">
        <f>IF(plachta3434[[#This Row],[DELIVERY TIME]]="STORNO",IF(plachta3434[[#This Row],[CARRIER]]="NEPOTVRDENE","REFUSED","CANCELLED"),"OK")</f>
        <v>OK</v>
      </c>
      <c r="AM86" s="178"/>
      <c r="AN86" s="178" t="str">
        <f>IF(RIGHT(plachta3434[[#This Row],[CARRIER]],3)="-MF",921,"")</f>
        <v/>
      </c>
      <c r="AO86" s="178"/>
    </row>
    <row r="87" spans="1:41" ht="14.1">
      <c r="A87" s="39">
        <f>WEEKNUM(plachta3434[[#This Row],[LOADING DATE]],21)</f>
        <v>6</v>
      </c>
      <c r="B87" s="36" t="s">
        <v>41</v>
      </c>
      <c r="C87" s="125" t="s">
        <v>42</v>
      </c>
      <c r="D87" s="126" t="s">
        <v>43</v>
      </c>
      <c r="E87" s="37" t="s">
        <v>44</v>
      </c>
      <c r="F87" s="127">
        <v>45331</v>
      </c>
      <c r="G87" s="128">
        <v>0.79166666666666663</v>
      </c>
      <c r="H87" s="129" t="s">
        <v>45</v>
      </c>
      <c r="I87" s="130" t="s">
        <v>59</v>
      </c>
      <c r="J87" s="158" t="s">
        <v>93</v>
      </c>
      <c r="K87" s="127">
        <v>45336</v>
      </c>
      <c r="L87" s="128">
        <v>0.25</v>
      </c>
      <c r="M87" s="133">
        <v>1003118471</v>
      </c>
      <c r="N87" s="134" t="s">
        <v>49</v>
      </c>
      <c r="O87" s="57" t="s">
        <v>50</v>
      </c>
      <c r="P87" s="36" t="s">
        <v>289</v>
      </c>
      <c r="Q87" s="63" t="s">
        <v>290</v>
      </c>
      <c r="R87" s="36" t="s">
        <v>97</v>
      </c>
      <c r="S87" s="141">
        <v>2375</v>
      </c>
      <c r="T87" s="151">
        <v>2380</v>
      </c>
      <c r="U87" s="36">
        <f>plachta3434[[#This Row],[SALES '[€']]]-plachta3434[[#This Row],[PURCHASE '[€']]]</f>
        <v>-5</v>
      </c>
      <c r="V87" s="177">
        <f>plachta3434[[#This Row],[MARGIN '[€']]]/plachta3434[[#This Row],[SALES '[€']]]</f>
        <v>-2.1052631578947368E-3</v>
      </c>
      <c r="W87" s="176">
        <v>9215171433</v>
      </c>
      <c r="X87" s="108" t="s">
        <v>291</v>
      </c>
      <c r="Y87" s="36">
        <v>1642</v>
      </c>
      <c r="Z87" s="173" t="s">
        <v>292</v>
      </c>
      <c r="AA87" s="18" t="s">
        <v>51</v>
      </c>
      <c r="AB87" s="178">
        <f>plachta3434[[#This Row],[PURCHASE '[€']]]/plachta3434[[#This Row],[KM]]</f>
        <v>1.4494518879415348</v>
      </c>
      <c r="AC87" s="178">
        <f>plachta3434[[#This Row],[SALES '[€']]]/plachta3434[[#This Row],[KM]]</f>
        <v>1.4464068209500609</v>
      </c>
      <c r="AD87" s="178"/>
      <c r="AE87" s="178"/>
      <c r="AF87" s="178"/>
      <c r="AG87" s="178"/>
      <c r="AH87" s="178"/>
      <c r="AI87" s="178"/>
      <c r="AJ87" s="178"/>
      <c r="AK87" s="178"/>
      <c r="AL87" s="178" t="str">
        <f>IF(plachta3434[[#This Row],[DELIVERY TIME]]="STORNO",IF(plachta3434[[#This Row],[CARRIER]]="NEPOTVRDENE","REFUSED","CANCELLED"),"OK")</f>
        <v>OK</v>
      </c>
      <c r="AM87" s="178"/>
      <c r="AN87" s="178" t="str">
        <f>IF(RIGHT(plachta3434[[#This Row],[CARRIER]],3)="-MF",921,"")</f>
        <v/>
      </c>
      <c r="AO87" s="178"/>
    </row>
    <row r="88" spans="1:41" ht="14.1">
      <c r="A88" s="39">
        <f>WEEKNUM(plachta3434[[#This Row],[LOADING DATE]],21)</f>
        <v>6</v>
      </c>
      <c r="B88" s="36" t="s">
        <v>41</v>
      </c>
      <c r="C88" s="125" t="s">
        <v>42</v>
      </c>
      <c r="D88" s="126" t="s">
        <v>43</v>
      </c>
      <c r="E88" s="37" t="s">
        <v>44</v>
      </c>
      <c r="F88" s="127">
        <v>45331</v>
      </c>
      <c r="G88" s="128">
        <v>0.375</v>
      </c>
      <c r="H88" s="129" t="s">
        <v>45</v>
      </c>
      <c r="I88" s="130" t="s">
        <v>59</v>
      </c>
      <c r="J88" s="158" t="s">
        <v>109</v>
      </c>
      <c r="K88" s="127">
        <v>45336</v>
      </c>
      <c r="L88" s="128">
        <v>0.64583333333333337</v>
      </c>
      <c r="M88" s="133">
        <v>1003119600</v>
      </c>
      <c r="N88" s="134" t="s">
        <v>49</v>
      </c>
      <c r="O88" s="57" t="s">
        <v>50</v>
      </c>
      <c r="P88" s="118" t="s">
        <v>293</v>
      </c>
      <c r="Q88" s="63" t="s">
        <v>294</v>
      </c>
      <c r="R88" s="36" t="s">
        <v>85</v>
      </c>
      <c r="S88" s="160">
        <v>2356</v>
      </c>
      <c r="T88" s="137">
        <v>2170</v>
      </c>
      <c r="U88" s="36">
        <f>plachta3434[[#This Row],[SALES '[€']]]-plachta3434[[#This Row],[PURCHASE '[€']]]</f>
        <v>186</v>
      </c>
      <c r="V88" s="177">
        <f>plachta3434[[#This Row],[MARGIN '[€']]]/plachta3434[[#This Row],[SALES '[€']]]</f>
        <v>7.8947368421052627E-2</v>
      </c>
      <c r="W88" s="176">
        <v>9215171652</v>
      </c>
      <c r="X88" s="108" t="s">
        <v>295</v>
      </c>
      <c r="Y88" s="36">
        <v>1637</v>
      </c>
      <c r="Z88" s="173"/>
      <c r="AA88" s="18" t="s">
        <v>51</v>
      </c>
      <c r="AB88" s="178">
        <f>plachta3434[[#This Row],[PURCHASE '[€']]]/plachta3434[[#This Row],[KM]]</f>
        <v>1.325595601710446</v>
      </c>
      <c r="AC88" s="178">
        <f>plachta3434[[#This Row],[SALES '[€']]]/plachta3434[[#This Row],[KM]]</f>
        <v>1.4392180818570557</v>
      </c>
      <c r="AD88" s="178"/>
      <c r="AE88" s="178"/>
      <c r="AF88" s="178"/>
      <c r="AG88" s="178"/>
      <c r="AH88" s="178"/>
      <c r="AI88" s="178"/>
      <c r="AJ88" s="178"/>
      <c r="AK88" s="178"/>
      <c r="AL88" s="178" t="str">
        <f>IF(plachta3434[[#This Row],[DELIVERY TIME]]="STORNO",IF(plachta3434[[#This Row],[CARRIER]]="NEPOTVRDENE","REFUSED","CANCELLED"),"OK")</f>
        <v>OK</v>
      </c>
      <c r="AM88" s="178"/>
      <c r="AN88" s="178" t="str">
        <f>IF(RIGHT(plachta3434[[#This Row],[CARRIER]],3)="-MF",921,"")</f>
        <v/>
      </c>
      <c r="AO88" s="178"/>
    </row>
    <row r="89" spans="1:41" ht="14.1">
      <c r="A89" s="39">
        <f>WEEKNUM(plachta3434[[#This Row],[LOADING DATE]],21)</f>
        <v>6</v>
      </c>
      <c r="B89" s="36" t="s">
        <v>41</v>
      </c>
      <c r="C89" s="125" t="s">
        <v>42</v>
      </c>
      <c r="D89" s="126" t="s">
        <v>43</v>
      </c>
      <c r="E89" s="37" t="s">
        <v>44</v>
      </c>
      <c r="F89" s="127">
        <v>45331</v>
      </c>
      <c r="G89" s="128">
        <v>0.70833333333333337</v>
      </c>
      <c r="H89" s="129" t="s">
        <v>45</v>
      </c>
      <c r="I89" s="130" t="s">
        <v>268</v>
      </c>
      <c r="J89" s="158" t="s">
        <v>296</v>
      </c>
      <c r="K89" s="127">
        <v>45336</v>
      </c>
      <c r="L89" s="128">
        <v>0.64583333333333337</v>
      </c>
      <c r="M89" s="133">
        <v>1003118449</v>
      </c>
      <c r="N89" s="134" t="s">
        <v>49</v>
      </c>
      <c r="O89" s="57" t="s">
        <v>50</v>
      </c>
      <c r="P89" s="118" t="s">
        <v>297</v>
      </c>
      <c r="Q89" s="63" t="s">
        <v>298</v>
      </c>
      <c r="R89" s="36" t="s">
        <v>299</v>
      </c>
      <c r="S89" s="141">
        <v>2728</v>
      </c>
      <c r="T89" s="137">
        <v>2500</v>
      </c>
      <c r="U89" s="36">
        <f>plachta3434[[#This Row],[SALES '[€']]]-plachta3434[[#This Row],[PURCHASE '[€']]]</f>
        <v>228</v>
      </c>
      <c r="V89" s="177">
        <f>plachta3434[[#This Row],[MARGIN '[€']]]/plachta3434[[#This Row],[SALES '[€']]]</f>
        <v>8.357771260997067E-2</v>
      </c>
      <c r="W89" s="176">
        <v>9215171743</v>
      </c>
      <c r="X89" s="108" t="s">
        <v>300</v>
      </c>
      <c r="Y89" s="36">
        <v>1890</v>
      </c>
      <c r="Z89" s="173"/>
      <c r="AA89" s="18" t="s">
        <v>51</v>
      </c>
      <c r="AB89" s="178">
        <f>plachta3434[[#This Row],[PURCHASE '[€']]]/plachta3434[[#This Row],[KM]]</f>
        <v>1.3227513227513228</v>
      </c>
      <c r="AC89" s="178">
        <f>plachta3434[[#This Row],[SALES '[€']]]/plachta3434[[#This Row],[KM]]</f>
        <v>1.4433862433862434</v>
      </c>
      <c r="AD89" s="178"/>
      <c r="AE89" s="178"/>
      <c r="AF89" s="178"/>
      <c r="AG89" s="178"/>
      <c r="AH89" s="178"/>
      <c r="AI89" s="178"/>
      <c r="AJ89" s="178"/>
      <c r="AK89" s="178"/>
      <c r="AL89" s="178" t="str">
        <f>IF(plachta3434[[#This Row],[DELIVERY TIME]]="STORNO",IF(plachta3434[[#This Row],[CARRIER]]="NEPOTVRDENE","REFUSED","CANCELLED"),"OK")</f>
        <v>OK</v>
      </c>
      <c r="AM89" s="178"/>
      <c r="AN89" s="178" t="str">
        <f>IF(RIGHT(plachta3434[[#This Row],[CARRIER]],3)="-MF",921,"")</f>
        <v/>
      </c>
      <c r="AO89" s="178"/>
    </row>
    <row r="90" spans="1:41" ht="14.1">
      <c r="A90" s="39">
        <f>WEEKNUM(plachta3434[[#This Row],[LOADING DATE]],21)</f>
        <v>7</v>
      </c>
      <c r="B90" s="36" t="s">
        <v>41</v>
      </c>
      <c r="C90" s="125" t="s">
        <v>42</v>
      </c>
      <c r="D90" s="126" t="s">
        <v>43</v>
      </c>
      <c r="E90" s="37" t="s">
        <v>44</v>
      </c>
      <c r="F90" s="127">
        <v>45334</v>
      </c>
      <c r="G90" s="128">
        <v>0.79166666666666663</v>
      </c>
      <c r="H90" s="129" t="s">
        <v>45</v>
      </c>
      <c r="I90" s="130" t="s">
        <v>46</v>
      </c>
      <c r="J90" s="158" t="s">
        <v>47</v>
      </c>
      <c r="K90" s="127">
        <v>45337</v>
      </c>
      <c r="L90" s="128">
        <v>0.25</v>
      </c>
      <c r="M90" s="133">
        <v>1003118453</v>
      </c>
      <c r="N90" s="134" t="s">
        <v>49</v>
      </c>
      <c r="O90" s="57" t="s">
        <v>50</v>
      </c>
      <c r="P90" s="36"/>
      <c r="Q90" s="113" t="s">
        <v>301</v>
      </c>
      <c r="R90" s="36" t="s">
        <v>265</v>
      </c>
      <c r="S90" s="153">
        <f>2188+71</f>
        <v>2259</v>
      </c>
      <c r="T90" s="137">
        <v>2100</v>
      </c>
      <c r="U90" s="36">
        <f>plachta3434[[#This Row],[SALES '[€']]]-plachta3434[[#This Row],[PURCHASE '[€']]]</f>
        <v>159</v>
      </c>
      <c r="V90" s="177">
        <f>plachta3434[[#This Row],[MARGIN '[€']]]/plachta3434[[#This Row],[SALES '[€']]]</f>
        <v>7.0385126162018599E-2</v>
      </c>
      <c r="W90" s="176">
        <v>9215171615</v>
      </c>
      <c r="X90" s="108" t="s">
        <v>302</v>
      </c>
      <c r="Y90" s="36">
        <v>1571</v>
      </c>
      <c r="Z90" s="173"/>
      <c r="AA90" s="18" t="s">
        <v>51</v>
      </c>
      <c r="AB90" s="178">
        <f>plachta3434[[#This Row],[PURCHASE '[€']]]/plachta3434[[#This Row],[KM]]</f>
        <v>1.336728198599618</v>
      </c>
      <c r="AC90" s="178">
        <f>plachta3434[[#This Row],[SALES '[€']]]/plachta3434[[#This Row],[KM]]</f>
        <v>1.4379376193507321</v>
      </c>
      <c r="AD90" s="178"/>
      <c r="AE90" s="178"/>
      <c r="AF90" s="178"/>
      <c r="AG90" s="178"/>
      <c r="AH90" s="178"/>
      <c r="AI90" s="178"/>
      <c r="AJ90" s="178"/>
      <c r="AK90" s="178"/>
      <c r="AL90" s="178" t="str">
        <f>IF(plachta3434[[#This Row],[DELIVERY TIME]]="STORNO",IF(plachta3434[[#This Row],[CARRIER]]="NEPOTVRDENE","REFUSED","CANCELLED"),"OK")</f>
        <v>OK</v>
      </c>
      <c r="AM90" s="178"/>
      <c r="AN90" s="178" t="str">
        <f>IF(RIGHT(plachta3434[[#This Row],[CARRIER]],3)="-MF",921,"")</f>
        <v/>
      </c>
      <c r="AO90" s="178"/>
    </row>
    <row r="91" spans="1:41" ht="14.1">
      <c r="A91" s="39">
        <f>WEEKNUM(plachta3434[[#This Row],[LOADING DATE]],21)</f>
        <v>7</v>
      </c>
      <c r="B91" s="36" t="s">
        <v>41</v>
      </c>
      <c r="C91" s="125" t="s">
        <v>42</v>
      </c>
      <c r="D91" s="126" t="s">
        <v>43</v>
      </c>
      <c r="E91" s="37" t="s">
        <v>44</v>
      </c>
      <c r="F91" s="127">
        <v>45334</v>
      </c>
      <c r="G91" s="128">
        <v>0.79166666666666663</v>
      </c>
      <c r="H91" s="129" t="s">
        <v>45</v>
      </c>
      <c r="I91" s="130" t="s">
        <v>70</v>
      </c>
      <c r="J91" s="158" t="s">
        <v>71</v>
      </c>
      <c r="K91" s="127">
        <v>45337</v>
      </c>
      <c r="L91" s="128">
        <v>0.29166666666666669</v>
      </c>
      <c r="M91" s="133">
        <v>1003118454</v>
      </c>
      <c r="N91" s="134" t="s">
        <v>49</v>
      </c>
      <c r="O91" s="57" t="s">
        <v>50</v>
      </c>
      <c r="P91" s="36" t="s">
        <v>61</v>
      </c>
      <c r="Q91" s="63" t="s">
        <v>205</v>
      </c>
      <c r="R91" s="94" t="s">
        <v>206</v>
      </c>
      <c r="S91" s="160">
        <v>2167</v>
      </c>
      <c r="T91" s="137">
        <v>2001.4</v>
      </c>
      <c r="U91" s="36">
        <f>plachta3434[[#This Row],[SALES '[€']]]-plachta3434[[#This Row],[PURCHASE '[€']]]</f>
        <v>165.59999999999991</v>
      </c>
      <c r="V91" s="177">
        <f>plachta3434[[#This Row],[MARGIN '[€']]]/plachta3434[[#This Row],[SALES '[€']]]</f>
        <v>7.6419012459621558E-2</v>
      </c>
      <c r="W91" s="176">
        <v>9215171791</v>
      </c>
      <c r="X91" s="108" t="s">
        <v>303</v>
      </c>
      <c r="Y91" s="36">
        <v>1734</v>
      </c>
      <c r="Z91" s="173">
        <v>137</v>
      </c>
      <c r="AA91" s="18" t="s">
        <v>51</v>
      </c>
      <c r="AB91" s="178">
        <f>plachta3434[[#This Row],[PURCHASE '[€']]]/plachta3434[[#This Row],[KM]]</f>
        <v>1.1542099192618225</v>
      </c>
      <c r="AC91" s="178">
        <f>plachta3434[[#This Row],[SALES '[€']]]/plachta3434[[#This Row],[KM]]</f>
        <v>1.2497116493656286</v>
      </c>
      <c r="AD91" s="178"/>
      <c r="AE91" s="178"/>
      <c r="AF91" s="178"/>
      <c r="AG91" s="178"/>
      <c r="AH91" s="178"/>
      <c r="AI91" s="178"/>
      <c r="AJ91" s="178"/>
      <c r="AK91" s="178"/>
      <c r="AL91" s="178" t="str">
        <f>IF(plachta3434[[#This Row],[DELIVERY TIME]]="STORNO",IF(plachta3434[[#This Row],[CARRIER]]="NEPOTVRDENE","REFUSED","CANCELLED"),"OK")</f>
        <v>OK</v>
      </c>
      <c r="AM91" s="178"/>
      <c r="AN91" s="178">
        <f>IF(RIGHT(plachta3434[[#This Row],[CARRIER]],3)="-MF",921,"")</f>
        <v>921</v>
      </c>
      <c r="AO91" s="178"/>
    </row>
    <row r="92" spans="1:41" ht="14.1">
      <c r="A92" s="39">
        <f>WEEKNUM(plachta3434[[#This Row],[LOADING DATE]],21)</f>
        <v>7</v>
      </c>
      <c r="B92" s="36" t="s">
        <v>41</v>
      </c>
      <c r="C92" s="125" t="s">
        <v>42</v>
      </c>
      <c r="D92" s="126" t="s">
        <v>43</v>
      </c>
      <c r="E92" s="37" t="s">
        <v>44</v>
      </c>
      <c r="F92" s="127">
        <v>45334</v>
      </c>
      <c r="G92" s="128">
        <v>0.70833333333333337</v>
      </c>
      <c r="H92" s="129" t="s">
        <v>45</v>
      </c>
      <c r="I92" s="130" t="s">
        <v>70</v>
      </c>
      <c r="J92" s="158" t="s">
        <v>87</v>
      </c>
      <c r="K92" s="127">
        <v>45337</v>
      </c>
      <c r="L92" s="128">
        <v>0.39583333333333331</v>
      </c>
      <c r="M92" s="133">
        <v>1003118456</v>
      </c>
      <c r="N92" s="134" t="s">
        <v>49</v>
      </c>
      <c r="O92" s="57" t="s">
        <v>50</v>
      </c>
      <c r="P92" s="36" t="s">
        <v>304</v>
      </c>
      <c r="Q92" s="63" t="s">
        <v>305</v>
      </c>
      <c r="R92" s="94" t="s">
        <v>306</v>
      </c>
      <c r="S92" s="160">
        <v>2167</v>
      </c>
      <c r="T92" s="137">
        <v>1950.33</v>
      </c>
      <c r="U92" s="36">
        <f>plachta3434[[#This Row],[SALES '[€']]]-plachta3434[[#This Row],[PURCHASE '[€']]]</f>
        <v>216.67000000000007</v>
      </c>
      <c r="V92" s="177">
        <f>plachta3434[[#This Row],[MARGIN '[€']]]/plachta3434[[#This Row],[SALES '[€']]]</f>
        <v>9.9986155976003729E-2</v>
      </c>
      <c r="W92" s="176">
        <v>9215171792</v>
      </c>
      <c r="X92" s="108" t="s">
        <v>307</v>
      </c>
      <c r="Y92" s="36">
        <v>1567</v>
      </c>
      <c r="Z92" s="173">
        <v>82</v>
      </c>
      <c r="AA92" s="18" t="s">
        <v>208</v>
      </c>
      <c r="AB92" s="178">
        <f>plachta3434[[#This Row],[PURCHASE '[€']]]/plachta3434[[#This Row],[KM]]</f>
        <v>1.2446266751754946</v>
      </c>
      <c r="AC92" s="178">
        <f>plachta3434[[#This Row],[SALES '[€']]]/plachta3434[[#This Row],[KM]]</f>
        <v>1.3828972559029993</v>
      </c>
      <c r="AD92" s="178"/>
      <c r="AE92" s="178"/>
      <c r="AF92" s="178"/>
      <c r="AG92" s="178"/>
      <c r="AH92" s="178"/>
      <c r="AI92" s="178"/>
      <c r="AJ92" s="178"/>
      <c r="AK92" s="178"/>
      <c r="AL92" s="178" t="str">
        <f>IF(plachta3434[[#This Row],[DELIVERY TIME]]="STORNO",IF(plachta3434[[#This Row],[CARRIER]]="NEPOTVRDENE","REFUSED","CANCELLED"),"OK")</f>
        <v>OK</v>
      </c>
      <c r="AM92" s="178"/>
      <c r="AN92" s="178">
        <f>IF(RIGHT(plachta3434[[#This Row],[CARRIER]],3)="-MF",921,"")</f>
        <v>921</v>
      </c>
      <c r="AO92" s="178"/>
    </row>
    <row r="93" spans="1:41" ht="14.1">
      <c r="A93" s="39">
        <f>WEEKNUM(plachta3434[[#This Row],[LOADING DATE]],21)</f>
        <v>7</v>
      </c>
      <c r="B93" s="36" t="s">
        <v>41</v>
      </c>
      <c r="C93" s="125" t="s">
        <v>42</v>
      </c>
      <c r="D93" s="126" t="s">
        <v>43</v>
      </c>
      <c r="E93" s="37" t="s">
        <v>44</v>
      </c>
      <c r="F93" s="127">
        <v>45334</v>
      </c>
      <c r="G93" s="128">
        <v>0.85416666666666663</v>
      </c>
      <c r="H93" s="129" t="s">
        <v>45</v>
      </c>
      <c r="I93" s="130" t="s">
        <v>65</v>
      </c>
      <c r="J93" s="158" t="s">
        <v>99</v>
      </c>
      <c r="K93" s="127">
        <v>45337</v>
      </c>
      <c r="L93" s="128">
        <v>0.375</v>
      </c>
      <c r="M93" s="133">
        <v>1003118457</v>
      </c>
      <c r="N93" s="134" t="s">
        <v>49</v>
      </c>
      <c r="O93" s="57" t="s">
        <v>50</v>
      </c>
      <c r="P93" s="36"/>
      <c r="Q93" s="63" t="s">
        <v>308</v>
      </c>
      <c r="R93" s="36" t="s">
        <v>265</v>
      </c>
      <c r="S93" s="142">
        <v>2504</v>
      </c>
      <c r="T93" s="137">
        <v>2350</v>
      </c>
      <c r="U93" s="36">
        <f>plachta3434[[#This Row],[SALES '[€']]]-plachta3434[[#This Row],[PURCHASE '[€']]]</f>
        <v>154</v>
      </c>
      <c r="V93" s="177">
        <f>plachta3434[[#This Row],[MARGIN '[€']]]/plachta3434[[#This Row],[SALES '[€']]]</f>
        <v>6.1501597444089458E-2</v>
      </c>
      <c r="W93" s="176">
        <v>9215171619</v>
      </c>
      <c r="X93" s="108" t="s">
        <v>309</v>
      </c>
      <c r="Y93" s="36">
        <v>1860</v>
      </c>
      <c r="Z93" s="173"/>
      <c r="AA93" s="18" t="s">
        <v>51</v>
      </c>
      <c r="AB93" s="178">
        <f>plachta3434[[#This Row],[PURCHASE '[€']]]/plachta3434[[#This Row],[KM]]</f>
        <v>1.2634408602150538</v>
      </c>
      <c r="AC93" s="178">
        <f>plachta3434[[#This Row],[SALES '[€']]]/plachta3434[[#This Row],[KM]]</f>
        <v>1.3462365591397849</v>
      </c>
      <c r="AD93" s="178"/>
      <c r="AE93" s="178"/>
      <c r="AF93" s="178"/>
      <c r="AG93" s="178"/>
      <c r="AH93" s="178"/>
      <c r="AI93" s="178"/>
      <c r="AJ93" s="178"/>
      <c r="AK93" s="178"/>
      <c r="AL93" s="178" t="str">
        <f>IF(plachta3434[[#This Row],[DELIVERY TIME]]="STORNO",IF(plachta3434[[#This Row],[CARRIER]]="NEPOTVRDENE","REFUSED","CANCELLED"),"OK")</f>
        <v>OK</v>
      </c>
      <c r="AM93" s="178"/>
      <c r="AN93" s="178" t="str">
        <f>IF(RIGHT(plachta3434[[#This Row],[CARRIER]],3)="-MF",921,"")</f>
        <v/>
      </c>
      <c r="AO93" s="178"/>
    </row>
    <row r="94" spans="1:41" ht="14.1">
      <c r="A94" s="39">
        <f>WEEKNUM(plachta3434[[#This Row],[LOADING DATE]],21)</f>
        <v>7</v>
      </c>
      <c r="B94" s="36" t="s">
        <v>41</v>
      </c>
      <c r="C94" s="125" t="s">
        <v>42</v>
      </c>
      <c r="D94" s="126" t="s">
        <v>43</v>
      </c>
      <c r="E94" s="37" t="s">
        <v>44</v>
      </c>
      <c r="F94" s="127">
        <v>45334</v>
      </c>
      <c r="G94" s="128">
        <v>0.85416666666666663</v>
      </c>
      <c r="H94" s="129" t="s">
        <v>45</v>
      </c>
      <c r="I94" s="130" t="s">
        <v>46</v>
      </c>
      <c r="J94" s="158" t="s">
        <v>47</v>
      </c>
      <c r="K94" s="127">
        <v>45337</v>
      </c>
      <c r="L94" s="128">
        <v>0.35416666666666669</v>
      </c>
      <c r="M94" s="133">
        <v>1003127588</v>
      </c>
      <c r="N94" s="134" t="s">
        <v>49</v>
      </c>
      <c r="O94" s="57" t="s">
        <v>50</v>
      </c>
      <c r="P94" s="36" t="s">
        <v>61</v>
      </c>
      <c r="Q94" s="63" t="s">
        <v>156</v>
      </c>
      <c r="R94" s="36" t="s">
        <v>63</v>
      </c>
      <c r="S94" s="153">
        <f>2188+71</f>
        <v>2259</v>
      </c>
      <c r="T94" s="151">
        <v>2120</v>
      </c>
      <c r="U94" s="36">
        <f>plachta3434[[#This Row],[SALES '[€']]]-plachta3434[[#This Row],[PURCHASE '[€']]]</f>
        <v>139</v>
      </c>
      <c r="V94" s="177">
        <f>plachta3434[[#This Row],[MARGIN '[€']]]/plachta3434[[#This Row],[SALES '[€']]]</f>
        <v>6.1531651173085435E-2</v>
      </c>
      <c r="W94" s="176">
        <v>9215171660</v>
      </c>
      <c r="X94" s="108" t="s">
        <v>310</v>
      </c>
      <c r="Y94" s="36">
        <v>1571</v>
      </c>
      <c r="Z94" s="173"/>
      <c r="AA94" s="18" t="s">
        <v>51</v>
      </c>
      <c r="AB94" s="178">
        <f>plachta3434[[#This Row],[PURCHASE '[€']]]/plachta3434[[#This Row],[KM]]</f>
        <v>1.3494589433481858</v>
      </c>
      <c r="AC94" s="178">
        <f>plachta3434[[#This Row],[SALES '[€']]]/plachta3434[[#This Row],[KM]]</f>
        <v>1.4379376193507321</v>
      </c>
      <c r="AD94" s="178"/>
      <c r="AE94" s="178"/>
      <c r="AF94" s="178"/>
      <c r="AG94" s="178"/>
      <c r="AH94" s="178"/>
      <c r="AI94" s="178"/>
      <c r="AJ94" s="178"/>
      <c r="AK94" s="178"/>
      <c r="AL94" s="178" t="str">
        <f>IF(plachta3434[[#This Row],[DELIVERY TIME]]="STORNO",IF(plachta3434[[#This Row],[CARRIER]]="NEPOTVRDENE","REFUSED","CANCELLED"),"OK")</f>
        <v>OK</v>
      </c>
      <c r="AM94" s="178"/>
      <c r="AN94" s="178" t="str">
        <f>IF(RIGHT(plachta3434[[#This Row],[CARRIER]],3)="-MF",921,"")</f>
        <v/>
      </c>
      <c r="AO94" s="178"/>
    </row>
    <row r="95" spans="1:41" ht="14.1">
      <c r="A95" s="39">
        <f>WEEKNUM(plachta3434[[#This Row],[LOADING DATE]],21)</f>
        <v>7</v>
      </c>
      <c r="B95" s="36" t="s">
        <v>41</v>
      </c>
      <c r="C95" s="125" t="s">
        <v>42</v>
      </c>
      <c r="D95" s="126" t="s">
        <v>43</v>
      </c>
      <c r="E95" s="37" t="s">
        <v>44</v>
      </c>
      <c r="F95" s="127">
        <v>45335</v>
      </c>
      <c r="G95" s="128">
        <v>0.79166666666666663</v>
      </c>
      <c r="H95" s="129" t="s">
        <v>45</v>
      </c>
      <c r="I95" s="130" t="s">
        <v>46</v>
      </c>
      <c r="J95" s="158" t="s">
        <v>47</v>
      </c>
      <c r="K95" s="127">
        <v>45338</v>
      </c>
      <c r="L95" s="128">
        <v>0.33333333333333331</v>
      </c>
      <c r="M95" s="133">
        <v>1003118476</v>
      </c>
      <c r="N95" s="134" t="s">
        <v>49</v>
      </c>
      <c r="O95" s="57" t="s">
        <v>50</v>
      </c>
      <c r="P95" s="36"/>
      <c r="Q95" s="42" t="s">
        <v>311</v>
      </c>
      <c r="R95" s="94" t="s">
        <v>312</v>
      </c>
      <c r="S95" s="153">
        <f>2188+71</f>
        <v>2259</v>
      </c>
      <c r="T95" s="137">
        <v>1867.42</v>
      </c>
      <c r="U95" s="36">
        <f>plachta3434[[#This Row],[SALES '[€']]]-plachta3434[[#This Row],[PURCHASE '[€']]]</f>
        <v>391.57999999999993</v>
      </c>
      <c r="V95" s="177">
        <f>plachta3434[[#This Row],[MARGIN '[€']]]/plachta3434[[#This Row],[SALES '[€']]]</f>
        <v>0.17334218680832222</v>
      </c>
      <c r="W95" s="176">
        <v>9215171620</v>
      </c>
      <c r="X95" s="108" t="s">
        <v>313</v>
      </c>
      <c r="Y95" s="36">
        <v>1569</v>
      </c>
      <c r="Z95" s="173">
        <v>60</v>
      </c>
      <c r="AA95" s="18" t="s">
        <v>51</v>
      </c>
      <c r="AB95" s="178">
        <f>plachta3434[[#This Row],[PURCHASE '[€']]]/plachta3434[[#This Row],[KM]]</f>
        <v>1.1901975780752072</v>
      </c>
      <c r="AC95" s="178">
        <f>plachta3434[[#This Row],[SALES '[€']]]/plachta3434[[#This Row],[KM]]</f>
        <v>1.4397705544933079</v>
      </c>
      <c r="AD95" s="178"/>
      <c r="AE95" s="178"/>
      <c r="AF95" s="178"/>
      <c r="AG95" s="178"/>
      <c r="AH95" s="178"/>
      <c r="AI95" s="178"/>
      <c r="AJ95" s="178"/>
      <c r="AK95" s="178"/>
      <c r="AL95" s="178" t="str">
        <f>IF(plachta3434[[#This Row],[DELIVERY TIME]]="STORNO",IF(plachta3434[[#This Row],[CARRIER]]="NEPOTVRDENE","REFUSED","CANCELLED"),"OK")</f>
        <v>OK</v>
      </c>
      <c r="AM95" s="178"/>
      <c r="AN95" s="178">
        <f>IF(RIGHT(plachta3434[[#This Row],[CARRIER]],3)="-MF",921,"")</f>
        <v>921</v>
      </c>
      <c r="AO95" s="178"/>
    </row>
    <row r="96" spans="1:41" ht="14.1">
      <c r="A96" s="39">
        <f>WEEKNUM(plachta3434[[#This Row],[LOADING DATE]],21)</f>
        <v>7</v>
      </c>
      <c r="B96" s="36" t="s">
        <v>41</v>
      </c>
      <c r="C96" s="125" t="s">
        <v>42</v>
      </c>
      <c r="D96" s="126" t="s">
        <v>43</v>
      </c>
      <c r="E96" s="37" t="s">
        <v>44</v>
      </c>
      <c r="F96" s="127">
        <v>45335</v>
      </c>
      <c r="G96" s="128">
        <v>0.375</v>
      </c>
      <c r="H96" s="129" t="s">
        <v>314</v>
      </c>
      <c r="I96" s="130" t="s">
        <v>82</v>
      </c>
      <c r="J96" s="158" t="s">
        <v>83</v>
      </c>
      <c r="K96" s="127">
        <v>45337</v>
      </c>
      <c r="L96" s="128">
        <v>0.63541666666666663</v>
      </c>
      <c r="M96" s="133">
        <v>1003128326</v>
      </c>
      <c r="N96" s="134" t="s">
        <v>49</v>
      </c>
      <c r="O96" s="57" t="s">
        <v>50</v>
      </c>
      <c r="P96" s="36" t="s">
        <v>61</v>
      </c>
      <c r="Q96" s="63" t="s">
        <v>152</v>
      </c>
      <c r="R96" s="36" t="s">
        <v>153</v>
      </c>
      <c r="S96" s="141">
        <v>1854</v>
      </c>
      <c r="T96" s="137">
        <v>1730</v>
      </c>
      <c r="U96" s="36">
        <f>plachta3434[[#This Row],[SALES '[€']]]-plachta3434[[#This Row],[PURCHASE '[€']]]</f>
        <v>124</v>
      </c>
      <c r="V96" s="177">
        <f>plachta3434[[#This Row],[MARGIN '[€']]]/plachta3434[[#This Row],[SALES '[€']]]</f>
        <v>6.6882416396979505E-2</v>
      </c>
      <c r="W96" s="176">
        <v>9215171679</v>
      </c>
      <c r="X96" s="108" t="s">
        <v>315</v>
      </c>
      <c r="Y96" s="36">
        <v>1457</v>
      </c>
      <c r="Z96" s="173"/>
      <c r="AA96" s="18" t="s">
        <v>51</v>
      </c>
      <c r="AB96" s="178">
        <f>plachta3434[[#This Row],[PURCHASE '[€']]]/plachta3434[[#This Row],[KM]]</f>
        <v>1.1873713109128345</v>
      </c>
      <c r="AC96" s="178">
        <f>plachta3434[[#This Row],[SALES '[€']]]/plachta3434[[#This Row],[KM]]</f>
        <v>1.2724776938915581</v>
      </c>
      <c r="AD96" s="178"/>
      <c r="AE96" s="178"/>
      <c r="AF96" s="178"/>
      <c r="AG96" s="178"/>
      <c r="AH96" s="178"/>
      <c r="AI96" s="178"/>
      <c r="AJ96" s="178"/>
      <c r="AK96" s="178"/>
      <c r="AL96" s="178" t="str">
        <f>IF(plachta3434[[#This Row],[DELIVERY TIME]]="STORNO",IF(plachta3434[[#This Row],[CARRIER]]="NEPOTVRDENE","REFUSED","CANCELLED"),"OK")</f>
        <v>OK</v>
      </c>
      <c r="AM96" s="178"/>
      <c r="AN96" s="178" t="str">
        <f>IF(RIGHT(plachta3434[[#This Row],[CARRIER]],3)="-MF",921,"")</f>
        <v/>
      </c>
      <c r="AO96" s="178"/>
    </row>
    <row r="97" spans="1:41" ht="14.1">
      <c r="A97" s="39">
        <f>WEEKNUM(plachta3434[[#This Row],[LOADING DATE]],21)</f>
        <v>7</v>
      </c>
      <c r="B97" s="36" t="s">
        <v>41</v>
      </c>
      <c r="C97" s="125" t="s">
        <v>42</v>
      </c>
      <c r="D97" s="126" t="s">
        <v>43</v>
      </c>
      <c r="E97" s="37" t="s">
        <v>44</v>
      </c>
      <c r="F97" s="127">
        <v>45336</v>
      </c>
      <c r="G97" s="128">
        <v>0.79166666666666663</v>
      </c>
      <c r="H97" s="129" t="s">
        <v>45</v>
      </c>
      <c r="I97" s="130" t="s">
        <v>59</v>
      </c>
      <c r="J97" s="158" t="s">
        <v>93</v>
      </c>
      <c r="K97" s="127">
        <v>45341</v>
      </c>
      <c r="L97" s="128">
        <v>0.29166666666666669</v>
      </c>
      <c r="M97" s="133">
        <v>1003119603</v>
      </c>
      <c r="N97" s="134" t="s">
        <v>49</v>
      </c>
      <c r="O97" s="57" t="s">
        <v>50</v>
      </c>
      <c r="P97" s="36" t="s">
        <v>61</v>
      </c>
      <c r="Q97" s="42" t="s">
        <v>211</v>
      </c>
      <c r="R97" s="36" t="s">
        <v>63</v>
      </c>
      <c r="S97" s="160">
        <v>2356</v>
      </c>
      <c r="T97" s="168">
        <v>2225</v>
      </c>
      <c r="U97" s="36">
        <f>plachta3434[[#This Row],[SALES '[€']]]-plachta3434[[#This Row],[PURCHASE '[€']]]</f>
        <v>131</v>
      </c>
      <c r="V97" s="177">
        <f>plachta3434[[#This Row],[MARGIN '[€']]]/plachta3434[[#This Row],[SALES '[€']]]</f>
        <v>5.5602716468590829E-2</v>
      </c>
      <c r="W97" s="176">
        <v>9215171661</v>
      </c>
      <c r="X97" s="108" t="s">
        <v>316</v>
      </c>
      <c r="Y97" s="36">
        <v>1642</v>
      </c>
      <c r="Z97" s="173"/>
      <c r="AA97" s="18" t="s">
        <v>51</v>
      </c>
      <c r="AB97" s="178">
        <f>plachta3434[[#This Row],[PURCHASE '[€']]]/plachta3434[[#This Row],[KM]]</f>
        <v>1.3550548112058465</v>
      </c>
      <c r="AC97" s="178">
        <f>plachta3434[[#This Row],[SALES '[€']]]/plachta3434[[#This Row],[KM]]</f>
        <v>1.4348355663824603</v>
      </c>
      <c r="AD97" s="178"/>
      <c r="AE97" s="178"/>
      <c r="AF97" s="178"/>
      <c r="AG97" s="178"/>
      <c r="AH97" s="178"/>
      <c r="AI97" s="178"/>
      <c r="AJ97" s="178"/>
      <c r="AK97" s="178"/>
      <c r="AL97" s="178" t="str">
        <f>IF(plachta3434[[#This Row],[DELIVERY TIME]]="STORNO",IF(plachta3434[[#This Row],[CARRIER]]="NEPOTVRDENE","REFUSED","CANCELLED"),"OK")</f>
        <v>OK</v>
      </c>
      <c r="AM97" s="178"/>
      <c r="AN97" s="178" t="str">
        <f>IF(RIGHT(plachta3434[[#This Row],[CARRIER]],3)="-MF",921,"")</f>
        <v/>
      </c>
      <c r="AO97" s="178"/>
    </row>
    <row r="98" spans="1:41" ht="14.1">
      <c r="A98" s="39">
        <f>WEEKNUM(plachta3434[[#This Row],[LOADING DATE]],21)</f>
        <v>7</v>
      </c>
      <c r="B98" s="36" t="s">
        <v>41</v>
      </c>
      <c r="C98" s="125" t="s">
        <v>42</v>
      </c>
      <c r="D98" s="126" t="s">
        <v>43</v>
      </c>
      <c r="E98" s="37" t="s">
        <v>44</v>
      </c>
      <c r="F98" s="127">
        <v>45336</v>
      </c>
      <c r="G98" s="128">
        <v>0.79166666666666663</v>
      </c>
      <c r="H98" s="129" t="s">
        <v>45</v>
      </c>
      <c r="I98" s="130" t="s">
        <v>75</v>
      </c>
      <c r="J98" s="158" t="s">
        <v>76</v>
      </c>
      <c r="K98" s="127">
        <v>45341</v>
      </c>
      <c r="L98" s="128">
        <v>0.41666666666666669</v>
      </c>
      <c r="M98" s="133">
        <v>1003119604</v>
      </c>
      <c r="N98" s="134" t="s">
        <v>49</v>
      </c>
      <c r="O98" s="57" t="s">
        <v>50</v>
      </c>
      <c r="P98" s="36" t="s">
        <v>61</v>
      </c>
      <c r="Q98" s="204" t="s">
        <v>317</v>
      </c>
      <c r="R98" s="36" t="s">
        <v>85</v>
      </c>
      <c r="S98" s="160">
        <f>2478+71</f>
        <v>2549</v>
      </c>
      <c r="T98" s="161">
        <f>2277+70</f>
        <v>2347</v>
      </c>
      <c r="U98" s="36">
        <f>plachta3434[[#This Row],[SALES '[€']]]-plachta3434[[#This Row],[PURCHASE '[€']]]</f>
        <v>202</v>
      </c>
      <c r="V98" s="177">
        <f>plachta3434[[#This Row],[MARGIN '[€']]]/plachta3434[[#This Row],[SALES '[€']]]</f>
        <v>7.9246763436641818E-2</v>
      </c>
      <c r="W98" s="176">
        <v>9215171733</v>
      </c>
      <c r="X98" s="108" t="s">
        <v>318</v>
      </c>
      <c r="Y98" s="36">
        <v>1778</v>
      </c>
      <c r="Z98" s="173"/>
      <c r="AA98" s="18" t="s">
        <v>51</v>
      </c>
      <c r="AB98" s="178">
        <f>plachta3434[[#This Row],[PURCHASE '[€']]]/plachta3434[[#This Row],[KM]]</f>
        <v>1.3200224971878516</v>
      </c>
      <c r="AC98" s="178">
        <f>plachta3434[[#This Row],[SALES '[€']]]/plachta3434[[#This Row],[KM]]</f>
        <v>1.4336332958380202</v>
      </c>
      <c r="AD98" s="178"/>
      <c r="AE98" s="178"/>
      <c r="AF98" s="178"/>
      <c r="AG98" s="178"/>
      <c r="AH98" s="178"/>
      <c r="AI98" s="178"/>
      <c r="AJ98" s="178"/>
      <c r="AK98" s="178"/>
      <c r="AL98" s="178" t="str">
        <f>IF(plachta3434[[#This Row],[DELIVERY TIME]]="STORNO",IF(plachta3434[[#This Row],[CARRIER]]="NEPOTVRDENE","REFUSED","CANCELLED"),"OK")</f>
        <v>OK</v>
      </c>
      <c r="AM98" s="178"/>
      <c r="AN98" s="178" t="str">
        <f>IF(RIGHT(plachta3434[[#This Row],[CARRIER]],3)="-MF",921,"")</f>
        <v/>
      </c>
      <c r="AO98" s="178"/>
    </row>
    <row r="99" spans="1:41" ht="14.1">
      <c r="A99" s="39">
        <f>WEEKNUM(plachta3434[[#This Row],[LOADING DATE]],21)</f>
        <v>7</v>
      </c>
      <c r="B99" s="36" t="s">
        <v>41</v>
      </c>
      <c r="C99" s="125" t="s">
        <v>42</v>
      </c>
      <c r="D99" s="126" t="s">
        <v>43</v>
      </c>
      <c r="E99" s="37" t="s">
        <v>44</v>
      </c>
      <c r="F99" s="127">
        <v>45337</v>
      </c>
      <c r="G99" s="128">
        <v>0.64583333333333337</v>
      </c>
      <c r="H99" s="129" t="s">
        <v>45</v>
      </c>
      <c r="I99" s="130" t="s">
        <v>70</v>
      </c>
      <c r="J99" s="158" t="s">
        <v>87</v>
      </c>
      <c r="K99" s="127">
        <v>45341</v>
      </c>
      <c r="L99" s="128">
        <v>0.39583333333333331</v>
      </c>
      <c r="M99" s="171">
        <v>1003119609</v>
      </c>
      <c r="N99" s="134" t="s">
        <v>49</v>
      </c>
      <c r="O99" s="57" t="s">
        <v>50</v>
      </c>
      <c r="P99" s="36" t="s">
        <v>61</v>
      </c>
      <c r="Q99" s="224" t="s">
        <v>319</v>
      </c>
      <c r="R99" s="225" t="s">
        <v>90</v>
      </c>
      <c r="S99" s="153">
        <v>2167</v>
      </c>
      <c r="T99" s="137"/>
      <c r="U99" s="36">
        <f>plachta3434[[#This Row],[SALES '[€']]]-plachta3434[[#This Row],[PURCHASE '[€']]]</f>
        <v>2167</v>
      </c>
      <c r="V99" s="177">
        <f>plachta3434[[#This Row],[MARGIN '[€']]]/plachta3434[[#This Row],[SALES '[€']]]</f>
        <v>1</v>
      </c>
      <c r="W99" s="176">
        <v>9215171916</v>
      </c>
      <c r="X99" s="108"/>
      <c r="Y99" s="36"/>
      <c r="Z99" s="173"/>
      <c r="AA99" s="18" t="s">
        <v>51</v>
      </c>
      <c r="AB99" s="178" t="e">
        <f>plachta3434[[#This Row],[PURCHASE '[€']]]/plachta3434[[#This Row],[KM]]</f>
        <v>#DIV/0!</v>
      </c>
      <c r="AC99" s="178" t="e">
        <f>plachta3434[[#This Row],[SALES '[€']]]/plachta3434[[#This Row],[KM]]</f>
        <v>#DIV/0!</v>
      </c>
      <c r="AD99" s="178"/>
      <c r="AE99" s="178"/>
      <c r="AF99" s="178"/>
      <c r="AG99" s="178"/>
      <c r="AH99" s="178"/>
      <c r="AI99" s="178"/>
      <c r="AJ99" s="178"/>
      <c r="AK99" s="178"/>
      <c r="AL99" s="178" t="str">
        <f>IF(plachta3434[[#This Row],[DELIVERY TIME]]="STORNO",IF(plachta3434[[#This Row],[CARRIER]]="NEPOTVRDENE","REFUSED","CANCELLED"),"OK")</f>
        <v>OK</v>
      </c>
      <c r="AM99" s="178"/>
      <c r="AN99" s="178">
        <f>IF(RIGHT(plachta3434[[#This Row],[CARRIER]],3)="-MF",921,"")</f>
        <v>921</v>
      </c>
      <c r="AO99" s="178"/>
    </row>
    <row r="100" spans="1:41" ht="14.1">
      <c r="A100" s="39">
        <f>WEEKNUM(plachta3434[[#This Row],[LOADING DATE]],21)</f>
        <v>7</v>
      </c>
      <c r="B100" s="36" t="s">
        <v>41</v>
      </c>
      <c r="C100" s="125" t="s">
        <v>42</v>
      </c>
      <c r="D100" s="126" t="s">
        <v>43</v>
      </c>
      <c r="E100" s="37" t="s">
        <v>44</v>
      </c>
      <c r="F100" s="127">
        <v>45338</v>
      </c>
      <c r="G100" s="128">
        <v>0.79166666666666663</v>
      </c>
      <c r="H100" s="129" t="s">
        <v>45</v>
      </c>
      <c r="I100" s="130" t="s">
        <v>46</v>
      </c>
      <c r="J100" s="158" t="s">
        <v>47</v>
      </c>
      <c r="K100" s="127">
        <v>45343</v>
      </c>
      <c r="L100" s="128">
        <v>0.29166666666666669</v>
      </c>
      <c r="M100" s="133">
        <v>1003124396</v>
      </c>
      <c r="N100" s="134" t="s">
        <v>49</v>
      </c>
      <c r="O100" s="57" t="s">
        <v>50</v>
      </c>
      <c r="P100" s="36" t="s">
        <v>61</v>
      </c>
      <c r="Q100" s="42"/>
      <c r="R100" s="36" t="s">
        <v>85</v>
      </c>
      <c r="S100" s="153">
        <v>2259</v>
      </c>
      <c r="T100" s="137">
        <v>2100</v>
      </c>
      <c r="U100" s="36">
        <f>plachta3434[[#This Row],[SALES '[€']]]-plachta3434[[#This Row],[PURCHASE '[€']]]</f>
        <v>159</v>
      </c>
      <c r="V100" s="177">
        <f>plachta3434[[#This Row],[MARGIN '[€']]]/plachta3434[[#This Row],[SALES '[€']]]</f>
        <v>7.0385126162018599E-2</v>
      </c>
      <c r="W100" s="176">
        <v>9215171734</v>
      </c>
      <c r="X100" s="108" t="s">
        <v>320</v>
      </c>
      <c r="Y100" s="36">
        <v>1571</v>
      </c>
      <c r="Z100" s="173"/>
      <c r="AA100" s="18" t="s">
        <v>51</v>
      </c>
      <c r="AB100" s="178">
        <f>plachta3434[[#This Row],[PURCHASE '[€']]]/plachta3434[[#This Row],[KM]]</f>
        <v>1.336728198599618</v>
      </c>
      <c r="AC100" s="178">
        <f>plachta3434[[#This Row],[SALES '[€']]]/plachta3434[[#This Row],[KM]]</f>
        <v>1.4379376193507321</v>
      </c>
      <c r="AD100" s="178"/>
      <c r="AE100" s="178"/>
      <c r="AF100" s="178"/>
      <c r="AG100" s="178"/>
      <c r="AH100" s="178"/>
      <c r="AI100" s="178"/>
      <c r="AJ100" s="178"/>
      <c r="AK100" s="178"/>
      <c r="AL100" s="178" t="str">
        <f>IF(plachta3434[[#This Row],[DELIVERY TIME]]="STORNO",IF(plachta3434[[#This Row],[CARRIER]]="NEPOTVRDENE","REFUSED","CANCELLED"),"OK")</f>
        <v>OK</v>
      </c>
      <c r="AM100" s="178"/>
      <c r="AN100" s="178" t="str">
        <f>IF(RIGHT(plachta3434[[#This Row],[CARRIER]],3)="-MF",921,"")</f>
        <v/>
      </c>
      <c r="AO100" s="178"/>
    </row>
    <row r="101" spans="1:41" ht="14.1">
      <c r="A101" s="39">
        <f>WEEKNUM(plachta3434[[#This Row],[LOADING DATE]],21)</f>
        <v>7</v>
      </c>
      <c r="B101" s="36" t="s">
        <v>41</v>
      </c>
      <c r="C101" s="125" t="s">
        <v>42</v>
      </c>
      <c r="D101" s="126" t="s">
        <v>43</v>
      </c>
      <c r="E101" s="37" t="s">
        <v>44</v>
      </c>
      <c r="F101" s="127">
        <v>45338</v>
      </c>
      <c r="G101" s="128">
        <v>0.79166666666666663</v>
      </c>
      <c r="H101" s="129" t="s">
        <v>45</v>
      </c>
      <c r="I101" s="130" t="s">
        <v>321</v>
      </c>
      <c r="J101" s="158" t="s">
        <v>322</v>
      </c>
      <c r="K101" s="127">
        <v>45343</v>
      </c>
      <c r="L101" s="128">
        <v>0.33333333333333331</v>
      </c>
      <c r="M101" s="133">
        <v>1003124399</v>
      </c>
      <c r="N101" s="134">
        <v>2.6</v>
      </c>
      <c r="O101" s="57" t="s">
        <v>50</v>
      </c>
      <c r="P101" s="36"/>
      <c r="Q101" s="42"/>
      <c r="R101" s="36" t="s">
        <v>85</v>
      </c>
      <c r="S101" s="153">
        <v>2250</v>
      </c>
      <c r="T101" s="137">
        <v>2150</v>
      </c>
      <c r="U101" s="36">
        <f>plachta3434[[#This Row],[SALES '[€']]]-plachta3434[[#This Row],[PURCHASE '[€']]]</f>
        <v>100</v>
      </c>
      <c r="V101" s="177">
        <f>plachta3434[[#This Row],[MARGIN '[€']]]/plachta3434[[#This Row],[SALES '[€']]]</f>
        <v>4.4444444444444446E-2</v>
      </c>
      <c r="W101" s="176">
        <v>9215171735</v>
      </c>
      <c r="X101" s="108" t="s">
        <v>323</v>
      </c>
      <c r="Y101" s="36">
        <v>1720</v>
      </c>
      <c r="Z101" s="173" t="s">
        <v>126</v>
      </c>
      <c r="AA101" s="18" t="s">
        <v>51</v>
      </c>
      <c r="AB101" s="178">
        <f>plachta3434[[#This Row],[PURCHASE '[€']]]/plachta3434[[#This Row],[KM]]</f>
        <v>1.25</v>
      </c>
      <c r="AC101" s="178">
        <f>plachta3434[[#This Row],[SALES '[€']]]/plachta3434[[#This Row],[KM]]</f>
        <v>1.308139534883721</v>
      </c>
      <c r="AD101" s="178"/>
      <c r="AE101" s="178"/>
      <c r="AF101" s="178"/>
      <c r="AG101" s="178"/>
      <c r="AH101" s="178"/>
      <c r="AI101" s="178"/>
      <c r="AJ101" s="178"/>
      <c r="AK101" s="178"/>
      <c r="AL101" s="178" t="str">
        <f>IF(plachta3434[[#This Row],[DELIVERY TIME]]="STORNO",IF(plachta3434[[#This Row],[CARRIER]]="NEPOTVRDENE","REFUSED","CANCELLED"),"OK")</f>
        <v>OK</v>
      </c>
      <c r="AM101" s="178"/>
      <c r="AN101" s="178" t="str">
        <f>IF(RIGHT(plachta3434[[#This Row],[CARRIER]],3)="-MF",921,"")</f>
        <v/>
      </c>
      <c r="AO101" s="178"/>
    </row>
    <row r="102" spans="1:41" ht="14.1">
      <c r="A102" s="39">
        <f>WEEKNUM(plachta3434[[#This Row],[LOADING DATE]],21)</f>
        <v>7</v>
      </c>
      <c r="B102" s="36" t="s">
        <v>41</v>
      </c>
      <c r="C102" s="125" t="s">
        <v>42</v>
      </c>
      <c r="D102" s="126" t="s">
        <v>43</v>
      </c>
      <c r="E102" s="37" t="s">
        <v>44</v>
      </c>
      <c r="F102" s="127">
        <v>45338</v>
      </c>
      <c r="G102" s="128">
        <v>0.70833333333333337</v>
      </c>
      <c r="H102" s="129" t="s">
        <v>175</v>
      </c>
      <c r="I102" s="130" t="s">
        <v>176</v>
      </c>
      <c r="J102" s="158" t="s">
        <v>177</v>
      </c>
      <c r="K102" s="127">
        <v>45342</v>
      </c>
      <c r="L102" s="128">
        <v>0.375</v>
      </c>
      <c r="M102" s="133">
        <v>1003128353</v>
      </c>
      <c r="N102" s="134" t="s">
        <v>49</v>
      </c>
      <c r="O102" s="57" t="s">
        <v>50</v>
      </c>
      <c r="P102" s="36" t="s">
        <v>178</v>
      </c>
      <c r="Q102" s="42"/>
      <c r="R102" s="36" t="s">
        <v>57</v>
      </c>
      <c r="S102" s="153">
        <v>1808</v>
      </c>
      <c r="T102" s="137">
        <v>1700</v>
      </c>
      <c r="U102" s="36">
        <f>plachta3434[[#This Row],[SALES '[€']]]-plachta3434[[#This Row],[PURCHASE '[€']]]</f>
        <v>108</v>
      </c>
      <c r="V102" s="177">
        <f>plachta3434[[#This Row],[MARGIN '[€']]]/plachta3434[[#This Row],[SALES '[€']]]</f>
        <v>5.9734513274336286E-2</v>
      </c>
      <c r="W102" s="176">
        <v>9215171813</v>
      </c>
      <c r="X102" s="108" t="s">
        <v>324</v>
      </c>
      <c r="Y102" s="36">
        <v>1382</v>
      </c>
      <c r="Z102" s="173"/>
      <c r="AA102" s="18" t="s">
        <v>51</v>
      </c>
      <c r="AB102" s="178">
        <f>plachta3434[[#This Row],[PURCHASE '[€']]]/plachta3434[[#This Row],[KM]]</f>
        <v>1.2301013024602026</v>
      </c>
      <c r="AC102" s="178">
        <f>plachta3434[[#This Row],[SALES '[€']]]/plachta3434[[#This Row],[KM]]</f>
        <v>1.3082489146164977</v>
      </c>
      <c r="AD102" s="178"/>
      <c r="AE102" s="178"/>
      <c r="AF102" s="178"/>
      <c r="AG102" s="178"/>
      <c r="AH102" s="178"/>
      <c r="AI102" s="178"/>
      <c r="AJ102" s="178"/>
      <c r="AK102" s="178"/>
      <c r="AL102" s="178" t="str">
        <f>IF(plachta3434[[#This Row],[DELIVERY TIME]]="STORNO",IF(plachta3434[[#This Row],[CARRIER]]="NEPOTVRDENE","REFUSED","CANCELLED"),"OK")</f>
        <v>OK</v>
      </c>
      <c r="AM102" s="178"/>
      <c r="AN102" s="178" t="str">
        <f>IF(RIGHT(plachta3434[[#This Row],[CARRIER]],3)="-MF",921,"")</f>
        <v/>
      </c>
      <c r="AO102" s="178"/>
    </row>
    <row r="103" spans="1:41" ht="14.1">
      <c r="A103" s="39">
        <f>WEEKNUM(plachta3434[[#This Row],[LOADING DATE]],21)</f>
        <v>7</v>
      </c>
      <c r="B103" s="36" t="s">
        <v>41</v>
      </c>
      <c r="C103" s="125" t="s">
        <v>42</v>
      </c>
      <c r="D103" s="126" t="s">
        <v>43</v>
      </c>
      <c r="E103" s="37" t="s">
        <v>44</v>
      </c>
      <c r="F103" s="127">
        <v>45338</v>
      </c>
      <c r="G103" s="128">
        <v>0.70833333333333337</v>
      </c>
      <c r="H103" s="129" t="s">
        <v>52</v>
      </c>
      <c r="I103" s="130" t="s">
        <v>53</v>
      </c>
      <c r="J103" s="158" t="s">
        <v>54</v>
      </c>
      <c r="K103" s="127">
        <v>45342</v>
      </c>
      <c r="L103" s="128">
        <v>0.25</v>
      </c>
      <c r="M103" s="133">
        <v>1003139709</v>
      </c>
      <c r="N103" s="134" t="s">
        <v>49</v>
      </c>
      <c r="O103" s="57" t="s">
        <v>50</v>
      </c>
      <c r="P103" s="36"/>
      <c r="Q103" s="42"/>
      <c r="R103" s="36" t="s">
        <v>169</v>
      </c>
      <c r="S103" s="160">
        <v>1336</v>
      </c>
      <c r="T103" s="137">
        <v>1270</v>
      </c>
      <c r="U103" s="36">
        <f>plachta3434[[#This Row],[SALES '[€']]]-plachta3434[[#This Row],[PURCHASE '[€']]]</f>
        <v>66</v>
      </c>
      <c r="V103" s="177">
        <f>plachta3434[[#This Row],[MARGIN '[€']]]/plachta3434[[#This Row],[SALES '[€']]]</f>
        <v>4.940119760479042E-2</v>
      </c>
      <c r="W103" s="176">
        <v>9215171878</v>
      </c>
      <c r="X103" s="108" t="s">
        <v>325</v>
      </c>
      <c r="Y103" s="36"/>
      <c r="Z103" s="173"/>
      <c r="AA103" s="18" t="s">
        <v>51</v>
      </c>
      <c r="AB103" s="178" t="e">
        <f>plachta3434[[#This Row],[PURCHASE '[€']]]/plachta3434[[#This Row],[KM]]</f>
        <v>#DIV/0!</v>
      </c>
      <c r="AC103" s="178" t="e">
        <f>plachta3434[[#This Row],[SALES '[€']]]/plachta3434[[#This Row],[KM]]</f>
        <v>#DIV/0!</v>
      </c>
      <c r="AD103" s="178"/>
      <c r="AE103" s="178"/>
      <c r="AF103" s="178"/>
      <c r="AG103" s="178"/>
      <c r="AH103" s="178"/>
      <c r="AI103" s="178"/>
      <c r="AJ103" s="178"/>
      <c r="AK103" s="178"/>
      <c r="AL103" s="178" t="str">
        <f>IF(plachta3434[[#This Row],[DELIVERY TIME]]="STORNO",IF(plachta3434[[#This Row],[CARRIER]]="NEPOTVRDENE","REFUSED","CANCELLED"),"OK")</f>
        <v>OK</v>
      </c>
      <c r="AM103" s="178"/>
      <c r="AN103" s="178" t="str">
        <f>IF(RIGHT(plachta3434[[#This Row],[CARRIER]],3)="-MF",921,"")</f>
        <v/>
      </c>
      <c r="AO103" s="178"/>
    </row>
    <row r="104" spans="1:41" ht="14.1">
      <c r="A104" s="39">
        <f>WEEKNUM(plachta3434[[#This Row],[LOADING DATE]],21)</f>
        <v>8</v>
      </c>
      <c r="B104" s="36" t="s">
        <v>41</v>
      </c>
      <c r="C104" s="125" t="s">
        <v>42</v>
      </c>
      <c r="D104" s="126" t="s">
        <v>43</v>
      </c>
      <c r="E104" s="37" t="s">
        <v>44</v>
      </c>
      <c r="F104" s="127">
        <v>45341</v>
      </c>
      <c r="G104" s="128">
        <v>0.79166666666666663</v>
      </c>
      <c r="H104" s="129" t="s">
        <v>45</v>
      </c>
      <c r="I104" s="130" t="s">
        <v>59</v>
      </c>
      <c r="J104" s="158" t="s">
        <v>60</v>
      </c>
      <c r="K104" s="127">
        <v>45344</v>
      </c>
      <c r="L104" s="128">
        <v>0.29166666666666669</v>
      </c>
      <c r="M104" s="171">
        <v>1003124430</v>
      </c>
      <c r="N104" s="134" t="s">
        <v>49</v>
      </c>
      <c r="O104" s="57" t="s">
        <v>50</v>
      </c>
      <c r="P104" s="36" t="s">
        <v>61</v>
      </c>
      <c r="Q104" s="42"/>
      <c r="R104" s="43" t="s">
        <v>326</v>
      </c>
      <c r="S104" s="153"/>
      <c r="T104" s="137"/>
      <c r="U104" s="36">
        <f>plachta3434[[#This Row],[SALES '[€']]]-plachta3434[[#This Row],[PURCHASE '[€']]]</f>
        <v>0</v>
      </c>
      <c r="V104" s="177" t="e">
        <f>plachta3434[[#This Row],[MARGIN '[€']]]/plachta3434[[#This Row],[SALES '[€']]]</f>
        <v>#DIV/0!</v>
      </c>
      <c r="W104" s="176"/>
      <c r="X104" s="108"/>
      <c r="Y104" s="36">
        <v>1629</v>
      </c>
      <c r="Z104" s="173"/>
      <c r="AA104" s="18" t="s">
        <v>51</v>
      </c>
      <c r="AB104" s="178">
        <f>plachta3434[[#This Row],[PURCHASE '[€']]]/plachta3434[[#This Row],[KM]]</f>
        <v>0</v>
      </c>
      <c r="AC104" s="178">
        <f>plachta3434[[#This Row],[SALES '[€']]]/plachta3434[[#This Row],[KM]]</f>
        <v>0</v>
      </c>
      <c r="AD104" s="178"/>
      <c r="AE104" s="178"/>
      <c r="AF104" s="178"/>
      <c r="AG104" s="178"/>
      <c r="AH104" s="178"/>
      <c r="AI104" s="178"/>
      <c r="AJ104" s="178"/>
      <c r="AK104" s="178"/>
      <c r="AL104" s="178" t="str">
        <f>IF(plachta3434[[#This Row],[DELIVERY TIME]]="STORNO",IF(plachta3434[[#This Row],[CARRIER]]="NEPOTVRDENE","REFUSED","CANCELLED"),"OK")</f>
        <v>OK</v>
      </c>
      <c r="AM104" s="178"/>
      <c r="AN104" s="178" t="str">
        <f>IF(RIGHT(plachta3434[[#This Row],[CARRIER]],3)="-MF",921,"")</f>
        <v/>
      </c>
      <c r="AO104" s="178"/>
    </row>
    <row r="105" spans="1:41" ht="14.1">
      <c r="A105" s="39">
        <f>WEEKNUM(plachta3434[[#This Row],[LOADING DATE]],21)</f>
        <v>8</v>
      </c>
      <c r="B105" s="36" t="s">
        <v>41</v>
      </c>
      <c r="C105" s="125" t="s">
        <v>42</v>
      </c>
      <c r="D105" s="126" t="s">
        <v>43</v>
      </c>
      <c r="E105" s="37" t="s">
        <v>44</v>
      </c>
      <c r="F105" s="127">
        <v>45341</v>
      </c>
      <c r="G105" s="128">
        <v>0.79166666666666663</v>
      </c>
      <c r="H105" s="129" t="s">
        <v>45</v>
      </c>
      <c r="I105" s="130" t="s">
        <v>46</v>
      </c>
      <c r="J105" s="158" t="s">
        <v>47</v>
      </c>
      <c r="K105" s="127">
        <v>45344</v>
      </c>
      <c r="L105" s="128">
        <v>0.27083333333333331</v>
      </c>
      <c r="M105" s="133">
        <v>1003124432</v>
      </c>
      <c r="N105" s="134" t="s">
        <v>49</v>
      </c>
      <c r="O105" s="57" t="s">
        <v>50</v>
      </c>
      <c r="P105" s="36"/>
      <c r="Q105" s="42"/>
      <c r="R105" s="57" t="s">
        <v>97</v>
      </c>
      <c r="S105" s="153">
        <v>2259</v>
      </c>
      <c r="T105" s="137">
        <v>2219</v>
      </c>
      <c r="U105" s="36">
        <f>plachta3434[[#This Row],[SALES '[€']]]-plachta3434[[#This Row],[PURCHASE '[€']]]</f>
        <v>40</v>
      </c>
      <c r="V105" s="177">
        <f>plachta3434[[#This Row],[MARGIN '[€']]]/plachta3434[[#This Row],[SALES '[€']]]</f>
        <v>1.7706949977866312E-2</v>
      </c>
      <c r="W105" s="176">
        <v>9215171811</v>
      </c>
      <c r="X105" s="108" t="s">
        <v>327</v>
      </c>
      <c r="Y105" s="36">
        <v>1571</v>
      </c>
      <c r="Z105" s="173"/>
      <c r="AA105" s="18" t="s">
        <v>51</v>
      </c>
      <c r="AB105" s="178">
        <f>plachta3434[[#This Row],[PURCHASE '[€']]]/plachta3434[[#This Row],[KM]]</f>
        <v>1.4124761298535964</v>
      </c>
      <c r="AC105" s="178">
        <f>plachta3434[[#This Row],[SALES '[€']]]/plachta3434[[#This Row],[KM]]</f>
        <v>1.4379376193507321</v>
      </c>
      <c r="AD105" s="178"/>
      <c r="AE105" s="178"/>
      <c r="AF105" s="178"/>
      <c r="AG105" s="178"/>
      <c r="AH105" s="178"/>
      <c r="AI105" s="178"/>
      <c r="AJ105" s="178"/>
      <c r="AK105" s="178"/>
      <c r="AL105" s="178" t="str">
        <f>IF(plachta3434[[#This Row],[DELIVERY TIME]]="STORNO",IF(plachta3434[[#This Row],[CARRIER]]="NEPOTVRDENE","REFUSED","CANCELLED"),"OK")</f>
        <v>OK</v>
      </c>
      <c r="AM105" s="178"/>
      <c r="AN105" s="178" t="str">
        <f>IF(RIGHT(plachta3434[[#This Row],[CARRIER]],3)="-MF",921,"")</f>
        <v/>
      </c>
      <c r="AO105" s="178"/>
    </row>
    <row r="106" spans="1:41" ht="14.1">
      <c r="A106" s="39">
        <f>WEEKNUM(plachta3434[[#This Row],[LOADING DATE]],21)</f>
        <v>8</v>
      </c>
      <c r="B106" s="36" t="s">
        <v>41</v>
      </c>
      <c r="C106" s="125" t="s">
        <v>42</v>
      </c>
      <c r="D106" s="126" t="s">
        <v>43</v>
      </c>
      <c r="E106" s="37" t="s">
        <v>44</v>
      </c>
      <c r="F106" s="127">
        <v>45341</v>
      </c>
      <c r="G106" s="128">
        <v>0.79166666666666663</v>
      </c>
      <c r="H106" s="129" t="s">
        <v>45</v>
      </c>
      <c r="I106" s="130" t="s">
        <v>59</v>
      </c>
      <c r="J106" s="158" t="s">
        <v>60</v>
      </c>
      <c r="K106" s="127">
        <v>45344</v>
      </c>
      <c r="L106" s="128">
        <v>0.375</v>
      </c>
      <c r="M106" s="171">
        <v>1003124439</v>
      </c>
      <c r="N106" s="134" t="s">
        <v>49</v>
      </c>
      <c r="O106" s="57" t="s">
        <v>50</v>
      </c>
      <c r="P106" s="36" t="s">
        <v>61</v>
      </c>
      <c r="Q106" s="42"/>
      <c r="R106" s="43" t="s">
        <v>326</v>
      </c>
      <c r="S106" s="153"/>
      <c r="T106" s="137"/>
      <c r="U106" s="36">
        <f>plachta3434[[#This Row],[SALES '[€']]]-plachta3434[[#This Row],[PURCHASE '[€']]]</f>
        <v>0</v>
      </c>
      <c r="V106" s="177" t="e">
        <f>plachta3434[[#This Row],[MARGIN '[€']]]/plachta3434[[#This Row],[SALES '[€']]]</f>
        <v>#DIV/0!</v>
      </c>
      <c r="W106" s="176"/>
      <c r="X106" s="108"/>
      <c r="Y106" s="36">
        <v>1629</v>
      </c>
      <c r="Z106" s="173"/>
      <c r="AA106" s="18" t="s">
        <v>51</v>
      </c>
      <c r="AB106" s="178">
        <f>plachta3434[[#This Row],[PURCHASE '[€']]]/plachta3434[[#This Row],[KM]]</f>
        <v>0</v>
      </c>
      <c r="AC106" s="178">
        <f>plachta3434[[#This Row],[SALES '[€']]]/plachta3434[[#This Row],[KM]]</f>
        <v>0</v>
      </c>
      <c r="AD106" s="178"/>
      <c r="AE106" s="178"/>
      <c r="AF106" s="178"/>
      <c r="AG106" s="178"/>
      <c r="AH106" s="178"/>
      <c r="AI106" s="178"/>
      <c r="AJ106" s="178"/>
      <c r="AK106" s="178"/>
      <c r="AL106" s="178" t="str">
        <f>IF(plachta3434[[#This Row],[DELIVERY TIME]]="STORNO",IF(plachta3434[[#This Row],[CARRIER]]="NEPOTVRDENE","REFUSED","CANCELLED"),"OK")</f>
        <v>OK</v>
      </c>
      <c r="AM106" s="178"/>
      <c r="AN106" s="178" t="str">
        <f>IF(RIGHT(plachta3434[[#This Row],[CARRIER]],3)="-MF",921,"")</f>
        <v/>
      </c>
      <c r="AO106" s="178"/>
    </row>
    <row r="107" spans="1:41" ht="14.1">
      <c r="A107" s="39">
        <f>WEEKNUM(plachta3434[[#This Row],[LOADING DATE]],21)</f>
        <v>8</v>
      </c>
      <c r="B107" s="36" t="s">
        <v>41</v>
      </c>
      <c r="C107" s="125" t="s">
        <v>42</v>
      </c>
      <c r="D107" s="126" t="s">
        <v>43</v>
      </c>
      <c r="E107" s="37" t="s">
        <v>44</v>
      </c>
      <c r="F107" s="127">
        <v>45341</v>
      </c>
      <c r="G107" s="128">
        <v>0.85416666666666663</v>
      </c>
      <c r="H107" s="129" t="s">
        <v>42</v>
      </c>
      <c r="I107" s="130" t="s">
        <v>328</v>
      </c>
      <c r="J107" s="131" t="s">
        <v>329</v>
      </c>
      <c r="K107" s="127">
        <v>45342</v>
      </c>
      <c r="L107" s="128">
        <v>0.375</v>
      </c>
      <c r="M107" s="133">
        <v>1003130448</v>
      </c>
      <c r="N107" s="134" t="s">
        <v>49</v>
      </c>
      <c r="O107" s="57" t="s">
        <v>50</v>
      </c>
      <c r="P107" s="36"/>
      <c r="Q107" s="42"/>
      <c r="R107" s="36" t="s">
        <v>330</v>
      </c>
      <c r="S107" s="153">
        <v>492</v>
      </c>
      <c r="T107" s="137">
        <v>470</v>
      </c>
      <c r="U107" s="36">
        <f>plachta3434[[#This Row],[SALES '[€']]]-plachta3434[[#This Row],[PURCHASE '[€']]]</f>
        <v>22</v>
      </c>
      <c r="V107" s="177">
        <f>plachta3434[[#This Row],[MARGIN '[€']]]/plachta3434[[#This Row],[SALES '[€']]]</f>
        <v>4.4715447154471545E-2</v>
      </c>
      <c r="W107" s="176">
        <v>9215171816</v>
      </c>
      <c r="X107" s="108" t="s">
        <v>331</v>
      </c>
      <c r="Y107" s="36"/>
      <c r="Z107" s="173"/>
      <c r="AA107" s="18" t="s">
        <v>51</v>
      </c>
      <c r="AB107" s="178" t="e">
        <f>plachta3434[[#This Row],[PURCHASE '[€']]]/plachta3434[[#This Row],[KM]]</f>
        <v>#DIV/0!</v>
      </c>
      <c r="AC107" s="178" t="e">
        <f>plachta3434[[#This Row],[SALES '[€']]]/plachta3434[[#This Row],[KM]]</f>
        <v>#DIV/0!</v>
      </c>
      <c r="AD107" s="178"/>
      <c r="AE107" s="178"/>
      <c r="AF107" s="178"/>
      <c r="AG107" s="178"/>
      <c r="AH107" s="178"/>
      <c r="AI107" s="178"/>
      <c r="AJ107" s="178"/>
      <c r="AK107" s="178"/>
      <c r="AL107" s="178" t="str">
        <f>IF(plachta3434[[#This Row],[DELIVERY TIME]]="STORNO",IF(plachta3434[[#This Row],[CARRIER]]="NEPOTVRDENE","REFUSED","CANCELLED"),"OK")</f>
        <v>OK</v>
      </c>
      <c r="AM107" s="178"/>
      <c r="AN107" s="178" t="str">
        <f>IF(RIGHT(plachta3434[[#This Row],[CARRIER]],3)="-MF",921,"")</f>
        <v/>
      </c>
      <c r="AO107" s="178"/>
    </row>
    <row r="108" spans="1:41" ht="14.1">
      <c r="A108" s="39">
        <f>WEEKNUM(plachta3434[[#This Row],[LOADING DATE]],21)</f>
        <v>8</v>
      </c>
      <c r="B108" s="36" t="s">
        <v>41</v>
      </c>
      <c r="C108" s="125" t="s">
        <v>42</v>
      </c>
      <c r="D108" s="126" t="s">
        <v>43</v>
      </c>
      <c r="E108" s="37" t="s">
        <v>44</v>
      </c>
      <c r="F108" s="127">
        <v>45343</v>
      </c>
      <c r="G108" s="128">
        <v>0.79166666666666663</v>
      </c>
      <c r="H108" s="129" t="s">
        <v>45</v>
      </c>
      <c r="I108" s="130" t="s">
        <v>75</v>
      </c>
      <c r="J108" s="131" t="s">
        <v>76</v>
      </c>
      <c r="K108" s="127">
        <v>45348</v>
      </c>
      <c r="L108" s="128">
        <v>0.66666666666666663</v>
      </c>
      <c r="M108" s="133">
        <v>1003129393</v>
      </c>
      <c r="N108" s="134" t="s">
        <v>49</v>
      </c>
      <c r="O108" s="57" t="s">
        <v>50</v>
      </c>
      <c r="P108" s="36"/>
      <c r="Q108" s="42"/>
      <c r="R108" s="36" t="s">
        <v>147</v>
      </c>
      <c r="S108" s="153">
        <v>2549</v>
      </c>
      <c r="T108" s="137">
        <v>2400</v>
      </c>
      <c r="U108" s="36">
        <f>plachta3434[[#This Row],[SALES '[€']]]-plachta3434[[#This Row],[PURCHASE '[€']]]</f>
        <v>149</v>
      </c>
      <c r="V108" s="177">
        <f>plachta3434[[#This Row],[MARGIN '[€']]]/plachta3434[[#This Row],[SALES '[€']]]</f>
        <v>5.8454295802275402E-2</v>
      </c>
      <c r="W108" s="176">
        <v>9215171879</v>
      </c>
      <c r="X108" s="108" t="s">
        <v>332</v>
      </c>
      <c r="Y108" s="36">
        <v>1778</v>
      </c>
      <c r="Z108" s="173"/>
      <c r="AA108" s="18" t="s">
        <v>51</v>
      </c>
      <c r="AB108" s="178">
        <f>plachta3434[[#This Row],[PURCHASE '[€']]]/plachta3434[[#This Row],[KM]]</f>
        <v>1.3498312710911136</v>
      </c>
      <c r="AC108" s="178">
        <f>plachta3434[[#This Row],[SALES '[€']]]/plachta3434[[#This Row],[KM]]</f>
        <v>1.4336332958380202</v>
      </c>
      <c r="AD108" s="178"/>
      <c r="AE108" s="178"/>
      <c r="AF108" s="178"/>
      <c r="AG108" s="178"/>
      <c r="AH108" s="178"/>
      <c r="AI108" s="178"/>
      <c r="AJ108" s="178"/>
      <c r="AK108" s="178"/>
      <c r="AL108" s="178" t="str">
        <f>IF(plachta3434[[#This Row],[DELIVERY TIME]]="STORNO",IF(plachta3434[[#This Row],[CARRIER]]="NEPOTVRDENE","REFUSED","CANCELLED"),"OK")</f>
        <v>OK</v>
      </c>
      <c r="AM108" s="178"/>
      <c r="AN108" s="178" t="str">
        <f>IF(RIGHT(plachta3434[[#This Row],[CARRIER]],3)="-MF",921,"")</f>
        <v/>
      </c>
      <c r="AO108" s="178"/>
    </row>
    <row r="109" spans="1:41" ht="14.1">
      <c r="A109" s="39">
        <f>WEEKNUM(plachta3434[[#This Row],[LOADING DATE]],21)</f>
        <v>8</v>
      </c>
      <c r="B109" s="36" t="s">
        <v>41</v>
      </c>
      <c r="C109" s="125" t="s">
        <v>42</v>
      </c>
      <c r="D109" s="126" t="s">
        <v>43</v>
      </c>
      <c r="E109" s="37" t="s">
        <v>44</v>
      </c>
      <c r="F109" s="127">
        <v>45343</v>
      </c>
      <c r="G109" s="128">
        <v>0.79166666666666663</v>
      </c>
      <c r="H109" s="129" t="s">
        <v>45</v>
      </c>
      <c r="I109" s="130" t="s">
        <v>209</v>
      </c>
      <c r="J109" s="131" t="s">
        <v>210</v>
      </c>
      <c r="K109" s="127">
        <v>45348</v>
      </c>
      <c r="L109" s="128">
        <v>0.35416666666666669</v>
      </c>
      <c r="M109" s="171">
        <v>1003129331</v>
      </c>
      <c r="N109" s="134" t="s">
        <v>49</v>
      </c>
      <c r="O109" s="57" t="s">
        <v>50</v>
      </c>
      <c r="P109" s="36"/>
      <c r="Q109" s="42"/>
      <c r="R109" s="36" t="s">
        <v>333</v>
      </c>
      <c r="S109" s="153">
        <v>2259</v>
      </c>
      <c r="T109" s="137">
        <v>2200</v>
      </c>
      <c r="U109" s="36">
        <f>plachta3434[[#This Row],[SALES '[€']]]-plachta3434[[#This Row],[PURCHASE '[€']]]</f>
        <v>59</v>
      </c>
      <c r="V109" s="177">
        <f>plachta3434[[#This Row],[MARGIN '[€']]]/plachta3434[[#This Row],[SALES '[€']]]</f>
        <v>2.6117751217352811E-2</v>
      </c>
      <c r="W109" s="176">
        <v>9215171819</v>
      </c>
      <c r="X109" s="108" t="s">
        <v>334</v>
      </c>
      <c r="Y109" s="36"/>
      <c r="Z109" s="173" t="s">
        <v>335</v>
      </c>
      <c r="AA109" s="18" t="s">
        <v>51</v>
      </c>
      <c r="AB109" s="178" t="e">
        <f>plachta3434[[#This Row],[PURCHASE '[€']]]/plachta3434[[#This Row],[KM]]</f>
        <v>#DIV/0!</v>
      </c>
      <c r="AC109" s="178" t="e">
        <f>plachta3434[[#This Row],[SALES '[€']]]/plachta3434[[#This Row],[KM]]</f>
        <v>#DIV/0!</v>
      </c>
      <c r="AD109" s="178"/>
      <c r="AE109" s="178"/>
      <c r="AF109" s="178"/>
      <c r="AG109" s="178"/>
      <c r="AH109" s="178"/>
      <c r="AI109" s="178"/>
      <c r="AJ109" s="178"/>
      <c r="AK109" s="178"/>
      <c r="AL109" s="178" t="str">
        <f>IF(plachta3434[[#This Row],[DELIVERY TIME]]="STORNO",IF(plachta3434[[#This Row],[CARRIER]]="NEPOTVRDENE","REFUSED","CANCELLED"),"OK")</f>
        <v>OK</v>
      </c>
      <c r="AM109" s="178"/>
      <c r="AN109" s="178" t="str">
        <f>IF(RIGHT(plachta3434[[#This Row],[CARRIER]],3)="-MF",921,"")</f>
        <v/>
      </c>
      <c r="AO109" s="178"/>
    </row>
    <row r="110" spans="1:41" ht="14.1">
      <c r="A110" s="39">
        <f>WEEKNUM(plachta3434[[#This Row],[LOADING DATE]],21)</f>
        <v>8</v>
      </c>
      <c r="B110" s="36" t="s">
        <v>41</v>
      </c>
      <c r="C110" s="125" t="s">
        <v>42</v>
      </c>
      <c r="D110" s="126" t="s">
        <v>43</v>
      </c>
      <c r="E110" s="37" t="s">
        <v>44</v>
      </c>
      <c r="F110" s="127">
        <v>45343</v>
      </c>
      <c r="G110" s="128">
        <v>0.85416666666666663</v>
      </c>
      <c r="H110" s="129" t="s">
        <v>45</v>
      </c>
      <c r="I110" s="130" t="s">
        <v>46</v>
      </c>
      <c r="J110" s="131" t="s">
        <v>47</v>
      </c>
      <c r="K110" s="127">
        <v>45348</v>
      </c>
      <c r="L110" s="128">
        <v>0.375</v>
      </c>
      <c r="M110" s="171">
        <v>1003129332</v>
      </c>
      <c r="N110" s="134" t="s">
        <v>49</v>
      </c>
      <c r="O110" s="57" t="s">
        <v>50</v>
      </c>
      <c r="P110" s="36" t="s">
        <v>61</v>
      </c>
      <c r="Q110" s="42"/>
      <c r="R110" s="43" t="s">
        <v>336</v>
      </c>
      <c r="S110" s="153"/>
      <c r="T110" s="137"/>
      <c r="U110" s="36">
        <f>plachta3434[[#This Row],[SALES '[€']]]-plachta3434[[#This Row],[PURCHASE '[€']]]</f>
        <v>0</v>
      </c>
      <c r="V110" s="177" t="e">
        <f>plachta3434[[#This Row],[MARGIN '[€']]]/plachta3434[[#This Row],[SALES '[€']]]</f>
        <v>#DIV/0!</v>
      </c>
      <c r="W110" s="176"/>
      <c r="X110" s="108"/>
      <c r="Y110" s="36">
        <v>1571</v>
      </c>
      <c r="Z110" s="173"/>
      <c r="AA110" s="18" t="s">
        <v>51</v>
      </c>
      <c r="AB110" s="178">
        <f>plachta3434[[#This Row],[PURCHASE '[€']]]/plachta3434[[#This Row],[KM]]</f>
        <v>0</v>
      </c>
      <c r="AC110" s="178">
        <f>plachta3434[[#This Row],[SALES '[€']]]/plachta3434[[#This Row],[KM]]</f>
        <v>0</v>
      </c>
      <c r="AD110" s="178"/>
      <c r="AE110" s="178"/>
      <c r="AF110" s="178"/>
      <c r="AG110" s="178"/>
      <c r="AH110" s="178"/>
      <c r="AI110" s="178"/>
      <c r="AJ110" s="178"/>
      <c r="AK110" s="178"/>
      <c r="AL110" s="178" t="str">
        <f>IF(plachta3434[[#This Row],[DELIVERY TIME]]="STORNO",IF(plachta3434[[#This Row],[CARRIER]]="NEPOTVRDENE","REFUSED","CANCELLED"),"OK")</f>
        <v>OK</v>
      </c>
      <c r="AM110" s="178"/>
      <c r="AN110" s="178" t="str">
        <f>IF(RIGHT(plachta3434[[#This Row],[CARRIER]],3)="-MF",921,"")</f>
        <v/>
      </c>
      <c r="AO110" s="178"/>
    </row>
    <row r="111" spans="1:41" ht="14.1">
      <c r="A111" s="39">
        <f>WEEKNUM(plachta3434[[#This Row],[LOADING DATE]],21)</f>
        <v>8</v>
      </c>
      <c r="B111" s="36" t="s">
        <v>41</v>
      </c>
      <c r="C111" s="125" t="s">
        <v>42</v>
      </c>
      <c r="D111" s="126" t="s">
        <v>43</v>
      </c>
      <c r="E111" s="37" t="s">
        <v>44</v>
      </c>
      <c r="F111" s="127">
        <v>45343</v>
      </c>
      <c r="G111" s="128">
        <v>0.85416666666666663</v>
      </c>
      <c r="H111" s="129" t="s">
        <v>45</v>
      </c>
      <c r="I111" s="130" t="s">
        <v>59</v>
      </c>
      <c r="J111" s="131" t="s">
        <v>60</v>
      </c>
      <c r="K111" s="127">
        <v>45348</v>
      </c>
      <c r="L111" s="128">
        <v>0.4375</v>
      </c>
      <c r="M111" s="171">
        <v>1003129333</v>
      </c>
      <c r="N111" s="134" t="s">
        <v>49</v>
      </c>
      <c r="O111" s="57" t="s">
        <v>50</v>
      </c>
      <c r="P111" s="36" t="s">
        <v>61</v>
      </c>
      <c r="Q111" s="42"/>
      <c r="R111" s="43" t="s">
        <v>336</v>
      </c>
      <c r="S111" s="153"/>
      <c r="T111" s="137"/>
      <c r="U111" s="36">
        <f>plachta3434[[#This Row],[SALES '[€']]]-plachta3434[[#This Row],[PURCHASE '[€']]]</f>
        <v>0</v>
      </c>
      <c r="V111" s="177" t="e">
        <f>plachta3434[[#This Row],[MARGIN '[€']]]/plachta3434[[#This Row],[SALES '[€']]]</f>
        <v>#DIV/0!</v>
      </c>
      <c r="W111" s="176"/>
      <c r="X111" s="108"/>
      <c r="Y111" s="36">
        <v>1629</v>
      </c>
      <c r="Z111" s="173"/>
      <c r="AA111" s="18" t="s">
        <v>51</v>
      </c>
      <c r="AB111" s="178">
        <f>plachta3434[[#This Row],[PURCHASE '[€']]]/plachta3434[[#This Row],[KM]]</f>
        <v>0</v>
      </c>
      <c r="AC111" s="178">
        <f>plachta3434[[#This Row],[SALES '[€']]]/plachta3434[[#This Row],[KM]]</f>
        <v>0</v>
      </c>
      <c r="AD111" s="178"/>
      <c r="AE111" s="178"/>
      <c r="AF111" s="178"/>
      <c r="AG111" s="178"/>
      <c r="AH111" s="178"/>
      <c r="AI111" s="178"/>
      <c r="AJ111" s="178"/>
      <c r="AK111" s="178"/>
      <c r="AL111" s="178" t="str">
        <f>IF(plachta3434[[#This Row],[DELIVERY TIME]]="STORNO",IF(plachta3434[[#This Row],[CARRIER]]="NEPOTVRDENE","REFUSED","CANCELLED"),"OK")</f>
        <v>OK</v>
      </c>
      <c r="AM111" s="178"/>
      <c r="AN111" s="178" t="str">
        <f>IF(RIGHT(plachta3434[[#This Row],[CARRIER]],3)="-MF",921,"")</f>
        <v/>
      </c>
      <c r="AO111" s="178"/>
    </row>
    <row r="112" spans="1:41" ht="14.1">
      <c r="A112" s="39">
        <f>WEEKNUM(plachta3434[[#This Row],[LOADING DATE]],21)</f>
        <v>8</v>
      </c>
      <c r="B112" s="36" t="s">
        <v>41</v>
      </c>
      <c r="C112" s="125" t="s">
        <v>42</v>
      </c>
      <c r="D112" s="126" t="s">
        <v>43</v>
      </c>
      <c r="E112" s="37" t="s">
        <v>44</v>
      </c>
      <c r="F112" s="127">
        <v>45343</v>
      </c>
      <c r="G112" s="128">
        <v>0.70833333333333337</v>
      </c>
      <c r="H112" s="129" t="s">
        <v>45</v>
      </c>
      <c r="I112" s="130" t="s">
        <v>337</v>
      </c>
      <c r="J112" s="131" t="s">
        <v>338</v>
      </c>
      <c r="K112" s="127">
        <v>45350</v>
      </c>
      <c r="L112" s="128">
        <v>0.29166666666666669</v>
      </c>
      <c r="M112" s="133">
        <v>1003137161</v>
      </c>
      <c r="N112" s="134" t="s">
        <v>49</v>
      </c>
      <c r="O112" s="57" t="s">
        <v>50</v>
      </c>
      <c r="P112" s="36"/>
      <c r="Q112" s="42"/>
      <c r="R112" s="36" t="s">
        <v>169</v>
      </c>
      <c r="S112" s="153">
        <v>2298</v>
      </c>
      <c r="T112" s="137">
        <v>2200</v>
      </c>
      <c r="U112" s="36">
        <f>plachta3434[[#This Row],[SALES '[€']]]-plachta3434[[#This Row],[PURCHASE '[€']]]</f>
        <v>98</v>
      </c>
      <c r="V112" s="177">
        <f>plachta3434[[#This Row],[MARGIN '[€']]]/plachta3434[[#This Row],[SALES '[€']]]</f>
        <v>4.2645778938207139E-2</v>
      </c>
      <c r="W112" s="176">
        <v>9215171893</v>
      </c>
      <c r="X112" s="108" t="s">
        <v>339</v>
      </c>
      <c r="Y112" s="36">
        <v>1650</v>
      </c>
      <c r="Z112" s="173"/>
      <c r="AA112" s="18" t="s">
        <v>51</v>
      </c>
      <c r="AB112" s="178">
        <f>plachta3434[[#This Row],[PURCHASE '[€']]]/plachta3434[[#This Row],[KM]]</f>
        <v>1.3333333333333333</v>
      </c>
      <c r="AC112" s="178">
        <f>plachta3434[[#This Row],[SALES '[€']]]/plachta3434[[#This Row],[KM]]</f>
        <v>1.3927272727272728</v>
      </c>
      <c r="AD112" s="178"/>
      <c r="AE112" s="178"/>
      <c r="AF112" s="178"/>
      <c r="AG112" s="178"/>
      <c r="AH112" s="178"/>
      <c r="AI112" s="178"/>
      <c r="AJ112" s="178"/>
      <c r="AK112" s="178"/>
      <c r="AL112" s="178" t="str">
        <f>IF(plachta3434[[#This Row],[DELIVERY TIME]]="STORNO",IF(plachta3434[[#This Row],[CARRIER]]="NEPOTVRDENE","REFUSED","CANCELLED"),"OK")</f>
        <v>OK</v>
      </c>
      <c r="AM112" s="178"/>
      <c r="AN112" s="178" t="str">
        <f>IF(RIGHT(plachta3434[[#This Row],[CARRIER]],3)="-MF",921,"")</f>
        <v/>
      </c>
      <c r="AO112" s="178"/>
    </row>
    <row r="113" spans="1:41" ht="14.1">
      <c r="A113" s="39">
        <f>WEEKNUM(plachta3434[[#This Row],[LOADING DATE]],21)</f>
        <v>8</v>
      </c>
      <c r="B113" s="36" t="s">
        <v>41</v>
      </c>
      <c r="C113" s="125" t="s">
        <v>42</v>
      </c>
      <c r="D113" s="126" t="s">
        <v>43</v>
      </c>
      <c r="E113" s="37" t="s">
        <v>44</v>
      </c>
      <c r="F113" s="127">
        <v>45344</v>
      </c>
      <c r="G113" s="128">
        <v>0.79166666666666663</v>
      </c>
      <c r="H113" s="129" t="s">
        <v>175</v>
      </c>
      <c r="I113" s="130" t="s">
        <v>176</v>
      </c>
      <c r="J113" s="131" t="s">
        <v>177</v>
      </c>
      <c r="K113" s="127">
        <v>45348</v>
      </c>
      <c r="L113" s="128">
        <v>0.375</v>
      </c>
      <c r="M113" s="171">
        <v>1003140895</v>
      </c>
      <c r="N113" s="134" t="s">
        <v>49</v>
      </c>
      <c r="O113" s="57" t="s">
        <v>50</v>
      </c>
      <c r="P113" s="36" t="s">
        <v>178</v>
      </c>
      <c r="Q113" s="42"/>
      <c r="R113" s="43" t="s">
        <v>326</v>
      </c>
      <c r="S113" s="153"/>
      <c r="T113" s="137"/>
      <c r="U113" s="36">
        <f>plachta3434[[#This Row],[SALES '[€']]]-plachta3434[[#This Row],[PURCHASE '[€']]]</f>
        <v>0</v>
      </c>
      <c r="V113" s="177" t="e">
        <f>plachta3434[[#This Row],[MARGIN '[€']]]/plachta3434[[#This Row],[SALES '[€']]]</f>
        <v>#DIV/0!</v>
      </c>
      <c r="W113" s="176"/>
      <c r="X113" s="108"/>
      <c r="Y113" s="36"/>
      <c r="Z113" s="173"/>
      <c r="AA113" s="18" t="s">
        <v>51</v>
      </c>
      <c r="AB113" s="178" t="e">
        <f>plachta3434[[#This Row],[PURCHASE '[€']]]/plachta3434[[#This Row],[KM]]</f>
        <v>#DIV/0!</v>
      </c>
      <c r="AC113" s="178" t="e">
        <f>plachta3434[[#This Row],[SALES '[€']]]/plachta3434[[#This Row],[KM]]</f>
        <v>#DIV/0!</v>
      </c>
      <c r="AD113" s="178"/>
      <c r="AE113" s="178"/>
      <c r="AF113" s="178"/>
      <c r="AG113" s="178"/>
      <c r="AH113" s="178"/>
      <c r="AI113" s="178"/>
      <c r="AJ113" s="178"/>
      <c r="AK113" s="178"/>
      <c r="AL113" s="178" t="str">
        <f>IF(plachta3434[[#This Row],[DELIVERY TIME]]="STORNO",IF(plachta3434[[#This Row],[CARRIER]]="NEPOTVRDENE","REFUSED","CANCELLED"),"OK")</f>
        <v>OK</v>
      </c>
      <c r="AM113" s="178"/>
      <c r="AN113" s="178" t="str">
        <f>IF(RIGHT(plachta3434[[#This Row],[CARRIER]],3)="-MF",921,"")</f>
        <v/>
      </c>
      <c r="AO113" s="178"/>
    </row>
    <row r="114" spans="1:41" ht="14.1">
      <c r="A114" s="39">
        <f>WEEKNUM(plachta3434[[#This Row],[LOADING DATE]],21)</f>
        <v>8</v>
      </c>
      <c r="B114" s="36" t="s">
        <v>41</v>
      </c>
      <c r="C114" s="125" t="s">
        <v>42</v>
      </c>
      <c r="D114" s="126" t="s">
        <v>43</v>
      </c>
      <c r="E114" s="37" t="s">
        <v>44</v>
      </c>
      <c r="F114" s="127">
        <v>45345</v>
      </c>
      <c r="G114" s="128">
        <v>0.79166666666666663</v>
      </c>
      <c r="H114" s="129" t="s">
        <v>45</v>
      </c>
      <c r="I114" s="130" t="s">
        <v>65</v>
      </c>
      <c r="J114" s="131" t="s">
        <v>66</v>
      </c>
      <c r="K114" s="127">
        <v>45350</v>
      </c>
      <c r="L114" s="128">
        <v>0.70833333333333337</v>
      </c>
      <c r="M114" s="133">
        <v>1003129355</v>
      </c>
      <c r="N114" s="134" t="s">
        <v>49</v>
      </c>
      <c r="O114" s="57" t="s">
        <v>50</v>
      </c>
      <c r="P114" s="36"/>
      <c r="Q114" s="42"/>
      <c r="R114" s="36" t="s">
        <v>147</v>
      </c>
      <c r="S114" s="153">
        <v>2504</v>
      </c>
      <c r="T114" s="137">
        <v>2450</v>
      </c>
      <c r="U114" s="36">
        <f>plachta3434[[#This Row],[SALES '[€']]]-plachta3434[[#This Row],[PURCHASE '[€']]]</f>
        <v>54</v>
      </c>
      <c r="V114" s="177">
        <f>plachta3434[[#This Row],[MARGIN '[€']]]/plachta3434[[#This Row],[SALES '[€']]]</f>
        <v>2.1565495207667731E-2</v>
      </c>
      <c r="W114" s="176">
        <v>9215171880</v>
      </c>
      <c r="X114" s="108"/>
      <c r="Y114" s="36">
        <v>1778</v>
      </c>
      <c r="Z114" s="173"/>
      <c r="AA114" s="18" t="s">
        <v>51</v>
      </c>
      <c r="AB114" s="178">
        <f>plachta3434[[#This Row],[PURCHASE '[€']]]/plachta3434[[#This Row],[KM]]</f>
        <v>1.3779527559055118</v>
      </c>
      <c r="AC114" s="178">
        <f>plachta3434[[#This Row],[SALES '[€']]]/plachta3434[[#This Row],[KM]]</f>
        <v>1.4083239595050618</v>
      </c>
      <c r="AD114" s="178"/>
      <c r="AE114" s="178"/>
      <c r="AF114" s="178"/>
      <c r="AG114" s="178"/>
      <c r="AH114" s="178"/>
      <c r="AI114" s="178"/>
      <c r="AJ114" s="178"/>
      <c r="AK114" s="178"/>
      <c r="AL114" s="178" t="str">
        <f>IF(plachta3434[[#This Row],[DELIVERY TIME]]="STORNO",IF(plachta3434[[#This Row],[CARRIER]]="NEPOTVRDENE","REFUSED","CANCELLED"),"OK")</f>
        <v>OK</v>
      </c>
      <c r="AM114" s="178"/>
      <c r="AN114" s="178" t="str">
        <f>IF(RIGHT(plachta3434[[#This Row],[CARRIER]],3)="-MF",921,"")</f>
        <v/>
      </c>
      <c r="AO114" s="178"/>
    </row>
    <row r="115" spans="1:41" ht="14.1">
      <c r="A115" s="39">
        <f>WEEKNUM(plachta3434[[#This Row],[LOADING DATE]],21)</f>
        <v>8</v>
      </c>
      <c r="B115" s="36" t="s">
        <v>41</v>
      </c>
      <c r="C115" s="125" t="s">
        <v>42</v>
      </c>
      <c r="D115" s="126" t="s">
        <v>43</v>
      </c>
      <c r="E115" s="37" t="s">
        <v>44</v>
      </c>
      <c r="F115" s="127">
        <v>45345</v>
      </c>
      <c r="G115" s="128">
        <v>0.79166666666666663</v>
      </c>
      <c r="H115" s="129" t="s">
        <v>45</v>
      </c>
      <c r="I115" s="130" t="s">
        <v>46</v>
      </c>
      <c r="J115" s="131" t="s">
        <v>47</v>
      </c>
      <c r="K115" s="127">
        <v>45350</v>
      </c>
      <c r="L115" s="128">
        <v>0.33333333333333331</v>
      </c>
      <c r="M115" s="133">
        <v>1003129356</v>
      </c>
      <c r="N115" s="134" t="s">
        <v>49</v>
      </c>
      <c r="O115" s="57" t="s">
        <v>50</v>
      </c>
      <c r="P115" s="36"/>
      <c r="Q115" s="42"/>
      <c r="R115" s="36" t="s">
        <v>340</v>
      </c>
      <c r="S115" s="153">
        <v>2259</v>
      </c>
      <c r="T115" s="137">
        <v>2150</v>
      </c>
      <c r="U115" s="36">
        <f>plachta3434[[#This Row],[SALES '[€']]]-plachta3434[[#This Row],[PURCHASE '[€']]]</f>
        <v>109</v>
      </c>
      <c r="V115" s="177">
        <f>plachta3434[[#This Row],[MARGIN '[€']]]/plachta3434[[#This Row],[SALES '[€']]]</f>
        <v>4.8251438689685705E-2</v>
      </c>
      <c r="W115" s="176">
        <v>9215171818</v>
      </c>
      <c r="X115" s="108" t="s">
        <v>341</v>
      </c>
      <c r="Y115" s="36">
        <v>1571</v>
      </c>
      <c r="Z115" s="173"/>
      <c r="AA115" s="18" t="s">
        <v>51</v>
      </c>
      <c r="AB115" s="178">
        <f>plachta3434[[#This Row],[PURCHASE '[€']]]/plachta3434[[#This Row],[KM]]</f>
        <v>1.3685550604710375</v>
      </c>
      <c r="AC115" s="178">
        <f>plachta3434[[#This Row],[SALES '[€']]]/plachta3434[[#This Row],[KM]]</f>
        <v>1.4379376193507321</v>
      </c>
      <c r="AD115" s="178"/>
      <c r="AE115" s="178"/>
      <c r="AF115" s="178"/>
      <c r="AG115" s="178"/>
      <c r="AH115" s="178"/>
      <c r="AI115" s="178"/>
      <c r="AJ115" s="178"/>
      <c r="AK115" s="178"/>
      <c r="AL115" s="178" t="str">
        <f>IF(plachta3434[[#This Row],[DELIVERY TIME]]="STORNO",IF(plachta3434[[#This Row],[CARRIER]]="NEPOTVRDENE","REFUSED","CANCELLED"),"OK")</f>
        <v>OK</v>
      </c>
      <c r="AM115" s="178"/>
      <c r="AN115" s="178" t="str">
        <f>IF(RIGHT(plachta3434[[#This Row],[CARRIER]],3)="-MF",921,"")</f>
        <v/>
      </c>
      <c r="AO115" s="178"/>
    </row>
    <row r="116" spans="1:41" ht="14.1">
      <c r="A116" s="39">
        <f>WEEKNUM(plachta3434[[#This Row],[LOADING DATE]],21)</f>
        <v>8</v>
      </c>
      <c r="B116" s="36" t="s">
        <v>41</v>
      </c>
      <c r="C116" s="125" t="s">
        <v>42</v>
      </c>
      <c r="D116" s="126" t="s">
        <v>43</v>
      </c>
      <c r="E116" s="37" t="s">
        <v>44</v>
      </c>
      <c r="F116" s="127">
        <v>45345</v>
      </c>
      <c r="G116" s="128">
        <v>0.85416666666666663</v>
      </c>
      <c r="H116" s="129" t="s">
        <v>45</v>
      </c>
      <c r="I116" s="130" t="s">
        <v>59</v>
      </c>
      <c r="J116" s="131" t="s">
        <v>60</v>
      </c>
      <c r="K116" s="127">
        <v>45350</v>
      </c>
      <c r="L116" s="128">
        <v>0.29166666666666669</v>
      </c>
      <c r="M116" s="171">
        <v>1003129358</v>
      </c>
      <c r="N116" s="134" t="s">
        <v>49</v>
      </c>
      <c r="O116" s="57" t="s">
        <v>50</v>
      </c>
      <c r="P116" s="36" t="s">
        <v>61</v>
      </c>
      <c r="Q116" s="42"/>
      <c r="R116" s="43" t="s">
        <v>336</v>
      </c>
      <c r="S116" s="153"/>
      <c r="T116" s="137"/>
      <c r="U116" s="36">
        <f>plachta3434[[#This Row],[SALES '[€']]]-plachta3434[[#This Row],[PURCHASE '[€']]]</f>
        <v>0</v>
      </c>
      <c r="V116" s="177" t="e">
        <f>plachta3434[[#This Row],[MARGIN '[€']]]/plachta3434[[#This Row],[SALES '[€']]]</f>
        <v>#DIV/0!</v>
      </c>
      <c r="W116" s="176"/>
      <c r="X116" s="108"/>
      <c r="Y116" s="36">
        <v>1629</v>
      </c>
      <c r="Z116" s="173"/>
      <c r="AA116" s="18" t="s">
        <v>51</v>
      </c>
      <c r="AB116" s="178">
        <f>plachta3434[[#This Row],[PURCHASE '[€']]]/plachta3434[[#This Row],[KM]]</f>
        <v>0</v>
      </c>
      <c r="AC116" s="178">
        <f>plachta3434[[#This Row],[SALES '[€']]]/plachta3434[[#This Row],[KM]]</f>
        <v>0</v>
      </c>
      <c r="AD116" s="178"/>
      <c r="AE116" s="178"/>
      <c r="AF116" s="178"/>
      <c r="AG116" s="178"/>
      <c r="AH116" s="178"/>
      <c r="AI116" s="178"/>
      <c r="AJ116" s="178"/>
      <c r="AK116" s="178"/>
      <c r="AL116" s="178" t="str">
        <f>IF(plachta3434[[#This Row],[DELIVERY TIME]]="STORNO",IF(plachta3434[[#This Row],[CARRIER]]="NEPOTVRDENE","REFUSED","CANCELLED"),"OK")</f>
        <v>OK</v>
      </c>
      <c r="AM116" s="178"/>
      <c r="AN116" s="178" t="str">
        <f>IF(RIGHT(plachta3434[[#This Row],[CARRIER]],3)="-MF",921,"")</f>
        <v/>
      </c>
      <c r="AO116" s="178"/>
    </row>
    <row r="117" spans="1:41" ht="14.1">
      <c r="A117" s="39">
        <f>WEEKNUM(plachta3434[[#This Row],[LOADING DATE]],21)</f>
        <v>8</v>
      </c>
      <c r="B117" s="36" t="s">
        <v>41</v>
      </c>
      <c r="C117" s="125" t="s">
        <v>42</v>
      </c>
      <c r="D117" s="126" t="s">
        <v>43</v>
      </c>
      <c r="E117" s="37" t="s">
        <v>44</v>
      </c>
      <c r="F117" s="127">
        <v>45345</v>
      </c>
      <c r="G117" s="128">
        <v>0.85416666666666663</v>
      </c>
      <c r="H117" s="129" t="s">
        <v>45</v>
      </c>
      <c r="I117" s="130" t="s">
        <v>46</v>
      </c>
      <c r="J117" s="131" t="s">
        <v>47</v>
      </c>
      <c r="K117" s="127">
        <v>45351</v>
      </c>
      <c r="L117" s="128">
        <v>0.29166666666666669</v>
      </c>
      <c r="M117" s="133">
        <v>1003129373</v>
      </c>
      <c r="N117" s="134" t="s">
        <v>49</v>
      </c>
      <c r="O117" s="57" t="s">
        <v>50</v>
      </c>
      <c r="P117" s="36"/>
      <c r="Q117" s="42"/>
      <c r="R117" s="36" t="s">
        <v>220</v>
      </c>
      <c r="S117" s="153">
        <v>2259</v>
      </c>
      <c r="T117" s="137">
        <v>2180</v>
      </c>
      <c r="U117" s="36">
        <f>plachta3434[[#This Row],[SALES '[€']]]-plachta3434[[#This Row],[PURCHASE '[€']]]</f>
        <v>79</v>
      </c>
      <c r="V117" s="177">
        <f>plachta3434[[#This Row],[MARGIN '[€']]]/plachta3434[[#This Row],[SALES '[€']]]</f>
        <v>3.4971226206285969E-2</v>
      </c>
      <c r="W117" s="176">
        <v>9215171894</v>
      </c>
      <c r="X117" s="108" t="s">
        <v>342</v>
      </c>
      <c r="Y117" s="36">
        <v>1571</v>
      </c>
      <c r="Z117" s="173"/>
      <c r="AA117" s="18" t="s">
        <v>51</v>
      </c>
      <c r="AB117" s="178">
        <f>plachta3434[[#This Row],[PURCHASE '[€']]]/plachta3434[[#This Row],[KM]]</f>
        <v>1.3876511775938893</v>
      </c>
      <c r="AC117" s="178">
        <f>plachta3434[[#This Row],[SALES '[€']]]/plachta3434[[#This Row],[KM]]</f>
        <v>1.4379376193507321</v>
      </c>
      <c r="AD117" s="178"/>
      <c r="AE117" s="178"/>
      <c r="AF117" s="178"/>
      <c r="AG117" s="178"/>
      <c r="AH117" s="178"/>
      <c r="AI117" s="178"/>
      <c r="AJ117" s="178"/>
      <c r="AK117" s="178"/>
      <c r="AL117" s="178" t="str">
        <f>IF(plachta3434[[#This Row],[DELIVERY TIME]]="STORNO",IF(plachta3434[[#This Row],[CARRIER]]="NEPOTVRDENE","REFUSED","CANCELLED"),"OK")</f>
        <v>OK</v>
      </c>
      <c r="AM117" s="178"/>
      <c r="AN117" s="178" t="str">
        <f>IF(RIGHT(plachta3434[[#This Row],[CARRIER]],3)="-MF",921,"")</f>
        <v/>
      </c>
      <c r="AO117" s="178"/>
    </row>
    <row r="118" spans="1:41" ht="14.1">
      <c r="A118" s="39">
        <f>WEEKNUM(plachta3434[[#This Row],[LOADING DATE]],21)</f>
        <v>9</v>
      </c>
      <c r="B118" s="36" t="s">
        <v>41</v>
      </c>
      <c r="C118" s="125" t="s">
        <v>42</v>
      </c>
      <c r="D118" s="126" t="s">
        <v>43</v>
      </c>
      <c r="E118" s="37" t="s">
        <v>44</v>
      </c>
      <c r="F118" s="127">
        <v>45350</v>
      </c>
      <c r="G118" s="128">
        <v>0.79166666666666663</v>
      </c>
      <c r="H118" s="129" t="s">
        <v>45</v>
      </c>
      <c r="I118" s="130" t="s">
        <v>65</v>
      </c>
      <c r="J118" s="131" t="s">
        <v>99</v>
      </c>
      <c r="K118" s="127">
        <v>45355</v>
      </c>
      <c r="L118" s="128" t="s">
        <v>48</v>
      </c>
      <c r="M118" s="171">
        <v>1003129377</v>
      </c>
      <c r="N118" s="134" t="s">
        <v>49</v>
      </c>
      <c r="O118" s="57" t="s">
        <v>50</v>
      </c>
      <c r="P118" s="36" t="s">
        <v>61</v>
      </c>
      <c r="Q118" s="42"/>
      <c r="R118" s="43"/>
      <c r="S118" s="153"/>
      <c r="T118" s="137"/>
      <c r="U118" s="36">
        <f>plachta3434[[#This Row],[SALES '[€']]]-plachta3434[[#This Row],[PURCHASE '[€']]]</f>
        <v>0</v>
      </c>
      <c r="V118" s="177" t="e">
        <f>plachta3434[[#This Row],[MARGIN '[€']]]/plachta3434[[#This Row],[SALES '[€']]]</f>
        <v>#DIV/0!</v>
      </c>
      <c r="W118" s="176"/>
      <c r="X118" s="108"/>
      <c r="Y118" s="36">
        <v>1860</v>
      </c>
      <c r="Z118" s="173"/>
      <c r="AA118" s="18" t="s">
        <v>51</v>
      </c>
      <c r="AB118" s="178">
        <f>plachta3434[[#This Row],[PURCHASE '[€']]]/plachta3434[[#This Row],[KM]]</f>
        <v>0</v>
      </c>
      <c r="AC118" s="178">
        <f>plachta3434[[#This Row],[SALES '[€']]]/plachta3434[[#This Row],[KM]]</f>
        <v>0</v>
      </c>
      <c r="AD118" s="178"/>
      <c r="AE118" s="178"/>
      <c r="AF118" s="178"/>
      <c r="AG118" s="178"/>
      <c r="AH118" s="178"/>
      <c r="AI118" s="178"/>
      <c r="AJ118" s="178"/>
      <c r="AK118" s="178"/>
      <c r="AL118" s="178" t="str">
        <f>IF(plachta3434[[#This Row],[DELIVERY TIME]]="STORNO",IF(plachta3434[[#This Row],[CARRIER]]="NEPOTVRDENE","REFUSED","CANCELLED"),"OK")</f>
        <v>CANCELLED</v>
      </c>
      <c r="AM118" s="178"/>
      <c r="AN118" s="178" t="str">
        <f>IF(RIGHT(plachta3434[[#This Row],[CARRIER]],3)="-MF",921,"")</f>
        <v/>
      </c>
      <c r="AO118" s="178"/>
    </row>
    <row r="119" spans="1:41" ht="14.1">
      <c r="A119" s="39">
        <f>WEEKNUM(plachta3434[[#This Row],[LOADING DATE]],21)</f>
        <v>9</v>
      </c>
      <c r="B119" s="36" t="s">
        <v>41</v>
      </c>
      <c r="C119" s="125" t="s">
        <v>42</v>
      </c>
      <c r="D119" s="126" t="s">
        <v>43</v>
      </c>
      <c r="E119" s="37" t="s">
        <v>44</v>
      </c>
      <c r="F119" s="127">
        <v>45351</v>
      </c>
      <c r="G119" s="128">
        <v>0.79166666666666663</v>
      </c>
      <c r="H119" s="129" t="s">
        <v>45</v>
      </c>
      <c r="I119" s="130" t="s">
        <v>46</v>
      </c>
      <c r="J119" s="131" t="s">
        <v>47</v>
      </c>
      <c r="K119" s="127">
        <v>45357</v>
      </c>
      <c r="L119" s="128">
        <v>0.35416666666666669</v>
      </c>
      <c r="M119" s="171">
        <v>1003135346</v>
      </c>
      <c r="N119" s="134" t="s">
        <v>49</v>
      </c>
      <c r="O119" s="57" t="s">
        <v>50</v>
      </c>
      <c r="P119" s="36" t="s">
        <v>61</v>
      </c>
      <c r="Q119" s="42"/>
      <c r="R119" s="43"/>
      <c r="S119" s="153"/>
      <c r="T119" s="137"/>
      <c r="U119" s="36">
        <f>plachta3434[[#This Row],[SALES '[€']]]-plachta3434[[#This Row],[PURCHASE '[€']]]</f>
        <v>0</v>
      </c>
      <c r="V119" s="177" t="e">
        <f>plachta3434[[#This Row],[MARGIN '[€']]]/plachta3434[[#This Row],[SALES '[€']]]</f>
        <v>#DIV/0!</v>
      </c>
      <c r="W119" s="176"/>
      <c r="X119" s="108"/>
      <c r="Y119" s="36"/>
      <c r="Z119" s="173"/>
      <c r="AA119" s="18" t="s">
        <v>51</v>
      </c>
      <c r="AB119" s="178" t="e">
        <f>plachta3434[[#This Row],[PURCHASE '[€']]]/plachta3434[[#This Row],[KM]]</f>
        <v>#DIV/0!</v>
      </c>
      <c r="AC119" s="178" t="e">
        <f>plachta3434[[#This Row],[SALES '[€']]]/plachta3434[[#This Row],[KM]]</f>
        <v>#DIV/0!</v>
      </c>
      <c r="AD119" s="178"/>
      <c r="AE119" s="178"/>
      <c r="AF119" s="178"/>
      <c r="AG119" s="178"/>
      <c r="AH119" s="178"/>
      <c r="AI119" s="178"/>
      <c r="AJ119" s="178"/>
      <c r="AK119" s="178"/>
      <c r="AL119" s="178" t="str">
        <f>IF(plachta3434[[#This Row],[DELIVERY TIME]]="STORNO",IF(plachta3434[[#This Row],[CARRIER]]="NEPOTVRDENE","REFUSED","CANCELLED"),"OK")</f>
        <v>OK</v>
      </c>
      <c r="AM119" s="178"/>
      <c r="AN119" s="178" t="str">
        <f>IF(RIGHT(plachta3434[[#This Row],[CARRIER]],3)="-MF",921,"")</f>
        <v/>
      </c>
      <c r="AO119" s="178"/>
    </row>
    <row r="120" spans="1:41" ht="14.1">
      <c r="A120" s="39">
        <f>WEEKNUM(plachta3434[[#This Row],[LOADING DATE]],21)</f>
        <v>9</v>
      </c>
      <c r="B120" s="36" t="s">
        <v>41</v>
      </c>
      <c r="C120" s="125" t="s">
        <v>42</v>
      </c>
      <c r="D120" s="126" t="s">
        <v>43</v>
      </c>
      <c r="E120" s="37" t="s">
        <v>44</v>
      </c>
      <c r="F120" s="127">
        <v>45351</v>
      </c>
      <c r="G120" s="128">
        <v>0.79166666666666663</v>
      </c>
      <c r="H120" s="129" t="s">
        <v>45</v>
      </c>
      <c r="I120" s="130" t="s">
        <v>75</v>
      </c>
      <c r="J120" s="131" t="s">
        <v>76</v>
      </c>
      <c r="K120" s="127">
        <v>45356</v>
      </c>
      <c r="L120" s="128">
        <v>0.41666666666666669</v>
      </c>
      <c r="M120" s="171">
        <v>1003130492</v>
      </c>
      <c r="N120" s="134" t="s">
        <v>49</v>
      </c>
      <c r="O120" s="57" t="s">
        <v>50</v>
      </c>
      <c r="P120" s="36" t="s">
        <v>61</v>
      </c>
      <c r="Q120" s="42"/>
      <c r="R120" s="43"/>
      <c r="S120" s="153"/>
      <c r="T120" s="137"/>
      <c r="U120" s="36">
        <f>plachta3434[[#This Row],[SALES '[€']]]-plachta3434[[#This Row],[PURCHASE '[€']]]</f>
        <v>0</v>
      </c>
      <c r="V120" s="177" t="e">
        <f>plachta3434[[#This Row],[MARGIN '[€']]]/plachta3434[[#This Row],[SALES '[€']]]</f>
        <v>#DIV/0!</v>
      </c>
      <c r="W120" s="176"/>
      <c r="X120" s="108"/>
      <c r="Y120" s="36">
        <v>1778</v>
      </c>
      <c r="Z120" s="173"/>
      <c r="AA120" s="18" t="s">
        <v>51</v>
      </c>
      <c r="AB120" s="178">
        <f>plachta3434[[#This Row],[PURCHASE '[€']]]/plachta3434[[#This Row],[KM]]</f>
        <v>0</v>
      </c>
      <c r="AC120" s="178">
        <f>plachta3434[[#This Row],[SALES '[€']]]/plachta3434[[#This Row],[KM]]</f>
        <v>0</v>
      </c>
      <c r="AD120" s="178"/>
      <c r="AE120" s="178"/>
      <c r="AF120" s="178"/>
      <c r="AG120" s="178"/>
      <c r="AH120" s="178"/>
      <c r="AI120" s="178"/>
      <c r="AJ120" s="178"/>
      <c r="AK120" s="178"/>
      <c r="AL120" s="178" t="str">
        <f>IF(plachta3434[[#This Row],[DELIVERY TIME]]="STORNO",IF(plachta3434[[#This Row],[CARRIER]]="NEPOTVRDENE","REFUSED","CANCELLED"),"OK")</f>
        <v>OK</v>
      </c>
      <c r="AM120" s="178"/>
      <c r="AN120" s="178" t="str">
        <f>IF(RIGHT(plachta3434[[#This Row],[CARRIER]],3)="-MF",921,"")</f>
        <v/>
      </c>
      <c r="AO120" s="178"/>
    </row>
    <row r="121" spans="1:41" ht="14.1">
      <c r="A121" s="39">
        <f>WEEKNUM(plachta3434[[#This Row],[LOADING DATE]],21)</f>
        <v>10</v>
      </c>
      <c r="B121" s="36" t="s">
        <v>41</v>
      </c>
      <c r="C121" s="125" t="s">
        <v>42</v>
      </c>
      <c r="D121" s="126" t="s">
        <v>43</v>
      </c>
      <c r="E121" s="37" t="s">
        <v>44</v>
      </c>
      <c r="F121" s="127">
        <v>45355</v>
      </c>
      <c r="G121" s="128">
        <v>0.79166666666666663</v>
      </c>
      <c r="H121" s="129" t="s">
        <v>45</v>
      </c>
      <c r="I121" s="130" t="s">
        <v>46</v>
      </c>
      <c r="J121" s="131" t="s">
        <v>47</v>
      </c>
      <c r="K121" s="127">
        <v>45358</v>
      </c>
      <c r="L121" s="128">
        <v>0.375</v>
      </c>
      <c r="M121" s="171">
        <v>1003138361</v>
      </c>
      <c r="N121" s="134" t="s">
        <v>49</v>
      </c>
      <c r="O121" s="57" t="s">
        <v>50</v>
      </c>
      <c r="P121" s="36"/>
      <c r="Q121" s="42"/>
      <c r="R121" s="43"/>
      <c r="S121" s="153"/>
      <c r="T121" s="137"/>
      <c r="U121" s="36">
        <f>plachta3434[[#This Row],[SALES '[€']]]-plachta3434[[#This Row],[PURCHASE '[€']]]</f>
        <v>0</v>
      </c>
      <c r="V121" s="177" t="e">
        <f>plachta3434[[#This Row],[MARGIN '[€']]]/plachta3434[[#This Row],[SALES '[€']]]</f>
        <v>#DIV/0!</v>
      </c>
      <c r="W121" s="176"/>
      <c r="X121" s="108"/>
      <c r="Y121" s="36"/>
      <c r="Z121" s="173"/>
      <c r="AA121" s="18" t="s">
        <v>51</v>
      </c>
      <c r="AB121" s="178" t="e">
        <f>plachta3434[[#This Row],[PURCHASE '[€']]]/plachta3434[[#This Row],[KM]]</f>
        <v>#DIV/0!</v>
      </c>
      <c r="AC121" s="178" t="e">
        <f>plachta3434[[#This Row],[SALES '[€']]]/plachta3434[[#This Row],[KM]]</f>
        <v>#DIV/0!</v>
      </c>
      <c r="AD121" s="178"/>
      <c r="AE121" s="178"/>
      <c r="AF121" s="178"/>
      <c r="AG121" s="178"/>
      <c r="AH121" s="178"/>
      <c r="AI121" s="178"/>
      <c r="AJ121" s="178"/>
      <c r="AK121" s="178"/>
      <c r="AL121" s="178" t="str">
        <f>IF(plachta3434[[#This Row],[DELIVERY TIME]]="STORNO",IF(plachta3434[[#This Row],[CARRIER]]="NEPOTVRDENE","REFUSED","CANCELLED"),"OK")</f>
        <v>OK</v>
      </c>
      <c r="AM121" s="178"/>
      <c r="AN121" s="178" t="str">
        <f>IF(RIGHT(plachta3434[[#This Row],[CARRIER]],3)="-MF",921,"")</f>
        <v/>
      </c>
      <c r="AO121" s="178"/>
    </row>
    <row r="122" spans="1:41" ht="14.1">
      <c r="A122" s="39">
        <f>WEEKNUM(plachta3434[[#This Row],[LOADING DATE]],21)</f>
        <v>10</v>
      </c>
      <c r="B122" s="36" t="s">
        <v>41</v>
      </c>
      <c r="C122" s="125" t="s">
        <v>42</v>
      </c>
      <c r="D122" s="126" t="s">
        <v>43</v>
      </c>
      <c r="E122" s="37" t="s">
        <v>44</v>
      </c>
      <c r="F122" s="127">
        <v>45356</v>
      </c>
      <c r="G122" s="128">
        <v>0.79166666666666663</v>
      </c>
      <c r="H122" s="129" t="s">
        <v>45</v>
      </c>
      <c r="I122" s="130" t="s">
        <v>75</v>
      </c>
      <c r="J122" s="131" t="s">
        <v>76</v>
      </c>
      <c r="K122" s="127">
        <v>45359</v>
      </c>
      <c r="L122" s="128">
        <v>0.54166666666666663</v>
      </c>
      <c r="M122" s="171">
        <v>1003138362</v>
      </c>
      <c r="N122" s="134" t="s">
        <v>49</v>
      </c>
      <c r="O122" s="57" t="s">
        <v>50</v>
      </c>
      <c r="P122" s="36"/>
      <c r="Q122" s="42"/>
      <c r="R122" s="43"/>
      <c r="S122" s="153"/>
      <c r="T122" s="137"/>
      <c r="U122" s="36">
        <f>plachta3434[[#This Row],[SALES '[€']]]-plachta3434[[#This Row],[PURCHASE '[€']]]</f>
        <v>0</v>
      </c>
      <c r="V122" s="177" t="e">
        <f>plachta3434[[#This Row],[MARGIN '[€']]]/plachta3434[[#This Row],[SALES '[€']]]</f>
        <v>#DIV/0!</v>
      </c>
      <c r="W122" s="176"/>
      <c r="X122" s="108"/>
      <c r="Y122" s="36"/>
      <c r="Z122" s="173"/>
      <c r="AA122" s="18" t="s">
        <v>51</v>
      </c>
      <c r="AB122" s="178" t="e">
        <f>plachta3434[[#This Row],[PURCHASE '[€']]]/plachta3434[[#This Row],[KM]]</f>
        <v>#DIV/0!</v>
      </c>
      <c r="AC122" s="178" t="e">
        <f>plachta3434[[#This Row],[SALES '[€']]]/plachta3434[[#This Row],[KM]]</f>
        <v>#DIV/0!</v>
      </c>
      <c r="AD122" s="178"/>
      <c r="AE122" s="178"/>
      <c r="AF122" s="178"/>
      <c r="AG122" s="178"/>
      <c r="AH122" s="178"/>
      <c r="AI122" s="178"/>
      <c r="AJ122" s="178"/>
      <c r="AK122" s="178"/>
      <c r="AL122" s="178" t="str">
        <f>IF(plachta3434[[#This Row],[DELIVERY TIME]]="STORNO",IF(plachta3434[[#This Row],[CARRIER]]="NEPOTVRDENE","REFUSED","CANCELLED"),"OK")</f>
        <v>OK</v>
      </c>
      <c r="AM122" s="178"/>
      <c r="AN122" s="178" t="str">
        <f>IF(RIGHT(plachta3434[[#This Row],[CARRIER]],3)="-MF",921,"")</f>
        <v/>
      </c>
      <c r="AO122" s="178"/>
    </row>
    <row r="123" spans="1:41" ht="14.1">
      <c r="A123" s="214">
        <f>WEEKNUM(plachta3434[[#This Row],[LOADING DATE]],21)</f>
        <v>9</v>
      </c>
      <c r="B123" s="36" t="s">
        <v>41</v>
      </c>
      <c r="C123" s="125" t="s">
        <v>42</v>
      </c>
      <c r="D123" s="126" t="s">
        <v>43</v>
      </c>
      <c r="E123" s="37" t="s">
        <v>44</v>
      </c>
      <c r="F123" s="226">
        <v>45351</v>
      </c>
      <c r="G123" s="128">
        <v>0.79166666666666663</v>
      </c>
      <c r="H123" s="129" t="s">
        <v>45</v>
      </c>
      <c r="I123" s="130" t="s">
        <v>142</v>
      </c>
      <c r="J123" s="131" t="s">
        <v>143</v>
      </c>
      <c r="K123" s="226">
        <v>45326</v>
      </c>
      <c r="L123" s="128" t="s">
        <v>343</v>
      </c>
      <c r="M123" s="171">
        <v>1003138364</v>
      </c>
      <c r="N123" s="134" t="s">
        <v>49</v>
      </c>
      <c r="O123" s="57" t="s">
        <v>50</v>
      </c>
      <c r="P123" s="36" t="s">
        <v>61</v>
      </c>
      <c r="Q123" s="218"/>
      <c r="R123" s="219"/>
      <c r="S123" s="215"/>
      <c r="T123" s="210"/>
      <c r="U123" s="209">
        <f>plachta3434[[#This Row],[SALES '[€']]]-plachta3434[[#This Row],[PURCHASE '[€']]]</f>
        <v>0</v>
      </c>
      <c r="V123" s="216" t="e">
        <f>plachta3434[[#This Row],[MARGIN '[€']]]/plachta3434[[#This Row],[SALES '[€']]]</f>
        <v>#DIV/0!</v>
      </c>
      <c r="W123" s="211"/>
      <c r="X123" s="212"/>
      <c r="Y123" s="209"/>
      <c r="Z123" s="213"/>
      <c r="AA123" s="18" t="s">
        <v>51</v>
      </c>
      <c r="AB123" s="217" t="e">
        <f>plachta3434[[#This Row],[PURCHASE '[€']]]/plachta3434[[#This Row],[KM]]</f>
        <v>#DIV/0!</v>
      </c>
      <c r="AC123" s="217" t="e">
        <f>plachta3434[[#This Row],[SALES '[€']]]/plachta3434[[#This Row],[KM]]</f>
        <v>#DIV/0!</v>
      </c>
      <c r="AD123" s="217"/>
      <c r="AE123" s="217"/>
      <c r="AF123" s="217"/>
      <c r="AG123" s="217"/>
      <c r="AH123" s="217"/>
      <c r="AI123" s="217"/>
      <c r="AJ123" s="217"/>
      <c r="AK123" s="217"/>
      <c r="AL123" s="217" t="str">
        <f>IF(plachta3434[[#This Row],[DELIVERY TIME]]="STORNO",IF(plachta3434[[#This Row],[CARRIER]]="NEPOTVRDENE","REFUSED","CANCELLED"),"OK")</f>
        <v>OK</v>
      </c>
      <c r="AM123" s="217"/>
      <c r="AN123" s="217" t="str">
        <f>IF(RIGHT(plachta3434[[#This Row],[CARRIER]],3)="-MF",921,"")</f>
        <v/>
      </c>
      <c r="AO123" s="217"/>
    </row>
    <row r="124" spans="1:41" ht="14.1">
      <c r="A124" s="39">
        <f>WEEKNUM(plachta3434[[#This Row],[LOADING DATE]],21)</f>
        <v>10</v>
      </c>
      <c r="B124" s="36" t="s">
        <v>41</v>
      </c>
      <c r="C124" s="125" t="s">
        <v>42</v>
      </c>
      <c r="D124" s="126" t="s">
        <v>43</v>
      </c>
      <c r="E124" s="37" t="s">
        <v>44</v>
      </c>
      <c r="F124" s="127">
        <v>45356</v>
      </c>
      <c r="G124" s="128">
        <v>0.85416666666666663</v>
      </c>
      <c r="H124" s="129" t="s">
        <v>45</v>
      </c>
      <c r="I124" s="130" t="s">
        <v>59</v>
      </c>
      <c r="J124" s="131" t="s">
        <v>60</v>
      </c>
      <c r="K124" s="127">
        <v>45359</v>
      </c>
      <c r="L124" s="128">
        <v>0.25</v>
      </c>
      <c r="M124" s="171">
        <v>1003138365</v>
      </c>
      <c r="N124" s="134" t="s">
        <v>49</v>
      </c>
      <c r="O124" s="57" t="s">
        <v>50</v>
      </c>
      <c r="P124" s="36" t="s">
        <v>61</v>
      </c>
      <c r="Q124" s="42"/>
      <c r="R124" s="43"/>
      <c r="S124" s="153"/>
      <c r="T124" s="137"/>
      <c r="U124" s="36">
        <f>plachta3434[[#This Row],[SALES '[€']]]-plachta3434[[#This Row],[PURCHASE '[€']]]</f>
        <v>0</v>
      </c>
      <c r="V124" s="177" t="e">
        <f>plachta3434[[#This Row],[MARGIN '[€']]]/plachta3434[[#This Row],[SALES '[€']]]</f>
        <v>#DIV/0!</v>
      </c>
      <c r="W124" s="176"/>
      <c r="X124" s="108"/>
      <c r="Y124" s="36"/>
      <c r="Z124" s="173"/>
      <c r="AA124" s="18" t="s">
        <v>51</v>
      </c>
      <c r="AB124" s="178" t="e">
        <f>plachta3434[[#This Row],[PURCHASE '[€']]]/plachta3434[[#This Row],[KM]]</f>
        <v>#DIV/0!</v>
      </c>
      <c r="AC124" s="178" t="e">
        <f>plachta3434[[#This Row],[SALES '[€']]]/plachta3434[[#This Row],[KM]]</f>
        <v>#DIV/0!</v>
      </c>
      <c r="AD124" s="178"/>
      <c r="AE124" s="178"/>
      <c r="AF124" s="178"/>
      <c r="AG124" s="178"/>
      <c r="AH124" s="178"/>
      <c r="AI124" s="178"/>
      <c r="AJ124" s="178"/>
      <c r="AK124" s="178"/>
      <c r="AL124" s="178" t="str">
        <f>IF(plachta3434[[#This Row],[DELIVERY TIME]]="STORNO",IF(plachta3434[[#This Row],[CARRIER]]="NEPOTVRDENE","REFUSED","CANCELLED"),"OK")</f>
        <v>OK</v>
      </c>
      <c r="AM124" s="178"/>
      <c r="AN124" s="178" t="str">
        <f>IF(RIGHT(plachta3434[[#This Row],[CARRIER]],3)="-MF",921,"")</f>
        <v/>
      </c>
      <c r="AO124" s="178"/>
    </row>
    <row r="125" spans="1:41" ht="14.1">
      <c r="A125" s="39">
        <f>WEEKNUM(plachta3434[[#This Row],[LOADING DATE]],21)</f>
        <v>10</v>
      </c>
      <c r="B125" s="36" t="s">
        <v>41</v>
      </c>
      <c r="C125" s="125" t="s">
        <v>42</v>
      </c>
      <c r="D125" s="126" t="s">
        <v>43</v>
      </c>
      <c r="E125" s="37" t="s">
        <v>44</v>
      </c>
      <c r="F125" s="127">
        <v>45357</v>
      </c>
      <c r="G125" s="128">
        <v>0.79166666666666663</v>
      </c>
      <c r="H125" s="129" t="s">
        <v>45</v>
      </c>
      <c r="I125" s="130" t="s">
        <v>65</v>
      </c>
      <c r="J125" s="131" t="s">
        <v>66</v>
      </c>
      <c r="K125" s="127">
        <v>45362</v>
      </c>
      <c r="L125" s="128">
        <v>0.70833333333333337</v>
      </c>
      <c r="M125" s="171">
        <v>1003136770</v>
      </c>
      <c r="N125" s="134" t="s">
        <v>49</v>
      </c>
      <c r="O125" s="57" t="s">
        <v>50</v>
      </c>
      <c r="P125" s="36"/>
      <c r="Q125" s="42"/>
      <c r="R125" s="43"/>
      <c r="S125" s="153"/>
      <c r="T125" s="137"/>
      <c r="U125" s="36">
        <f>plachta3434[[#This Row],[SALES '[€']]]-plachta3434[[#This Row],[PURCHASE '[€']]]</f>
        <v>0</v>
      </c>
      <c r="V125" s="177" t="e">
        <f>plachta3434[[#This Row],[MARGIN '[€']]]/plachta3434[[#This Row],[SALES '[€']]]</f>
        <v>#DIV/0!</v>
      </c>
      <c r="W125" s="176"/>
      <c r="X125" s="108"/>
      <c r="Y125" s="36"/>
      <c r="Z125" s="173"/>
      <c r="AA125" s="18" t="s">
        <v>51</v>
      </c>
      <c r="AB125" s="178" t="e">
        <f>plachta3434[[#This Row],[PURCHASE '[€']]]/plachta3434[[#This Row],[KM]]</f>
        <v>#DIV/0!</v>
      </c>
      <c r="AC125" s="178" t="e">
        <f>plachta3434[[#This Row],[SALES '[€']]]/plachta3434[[#This Row],[KM]]</f>
        <v>#DIV/0!</v>
      </c>
      <c r="AD125" s="178"/>
      <c r="AE125" s="178"/>
      <c r="AF125" s="178"/>
      <c r="AG125" s="178"/>
      <c r="AH125" s="178"/>
      <c r="AI125" s="178"/>
      <c r="AJ125" s="178"/>
      <c r="AK125" s="178"/>
      <c r="AL125" s="178" t="str">
        <f>IF(plachta3434[[#This Row],[DELIVERY TIME]]="STORNO",IF(plachta3434[[#This Row],[CARRIER]]="NEPOTVRDENE","REFUSED","CANCELLED"),"OK")</f>
        <v>OK</v>
      </c>
      <c r="AM125" s="178"/>
      <c r="AN125" s="178" t="str">
        <f>IF(RIGHT(plachta3434[[#This Row],[CARRIER]],3)="-MF",921,"")</f>
        <v/>
      </c>
      <c r="AO125" s="178"/>
    </row>
  </sheetData>
  <phoneticPr fontId="30" type="noConversion"/>
  <conditionalFormatting sqref="V1 W2:W1048576">
    <cfRule type="cellIs" dxfId="207" priority="38" stopIfTrue="1" operator="lessThanOrEqual">
      <formula>0</formula>
    </cfRule>
  </conditionalFormatting>
  <dataValidations count="2">
    <dataValidation type="textLength" operator="equal" allowBlank="1" showInputMessage="1" showErrorMessage="1" sqref="J126:J1048576 I1:I125 D1:D1048576" xr:uid="{858BA9B0-CF9A-4A71-B557-0A352EB9C3DE}">
      <formula1>2</formula1>
    </dataValidation>
    <dataValidation type="whole" operator="greaterThan" allowBlank="1" showInputMessage="1" showErrorMessage="1" sqref="Y1:Y125" xr:uid="{6DFBC869-6BA4-47EA-B9E0-021160FD2B5D}">
      <formula1>0</formula1>
    </dataValidation>
  </dataValidations>
  <hyperlinks>
    <hyperlink ref="Z14" r:id="rId1" xr:uid="{ACAA75A8-3789-4A9A-BB50-3400AB6C2D94}"/>
  </hyperlinks>
  <pageMargins left="0.70866141732283472" right="0.70866141732283472" top="0.74803149606299213" bottom="0.74803149606299213" header="0.31496062992125984" footer="0.31496062992125984"/>
  <pageSetup scale="26" orientation="landscape" r:id="rId2"/>
  <customProperties>
    <customPr name="_pios_id" r:id="rId3"/>
  </customPropertie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O66"/>
  <sheetViews>
    <sheetView topLeftCell="A51" zoomScale="85" zoomScaleNormal="85" workbookViewId="0">
      <selection activeCell="F65" sqref="F65"/>
    </sheetView>
  </sheetViews>
  <sheetFormatPr defaultColWidth="9.42578125" defaultRowHeight="14.45"/>
  <cols>
    <col min="1" max="1" width="5.5703125" style="29" customWidth="1"/>
    <col min="2" max="2" width="13.5703125" bestFit="1" customWidth="1"/>
    <col min="3" max="3" width="4.42578125" customWidth="1"/>
    <col min="4" max="4" width="5.42578125" customWidth="1"/>
    <col min="5" max="5" width="15.5703125" customWidth="1"/>
    <col min="6" max="6" width="10.5703125" customWidth="1"/>
    <col min="7" max="7" width="12.42578125" customWidth="1"/>
    <col min="8" max="8" width="4.42578125" customWidth="1"/>
    <col min="9" max="9" width="5.42578125" style="19" customWidth="1"/>
    <col min="10" max="10" width="20.42578125" customWidth="1"/>
    <col min="11" max="11" width="13" customWidth="1"/>
    <col min="12" max="12" width="12.5703125" customWidth="1"/>
    <col min="13" max="13" width="17.42578125" customWidth="1"/>
    <col min="14" max="14" width="11.42578125" style="20" customWidth="1"/>
    <col min="15" max="15" width="15" bestFit="1" customWidth="1"/>
    <col min="16" max="16" width="5.42578125" customWidth="1"/>
    <col min="17" max="17" width="19.42578125" customWidth="1"/>
    <col min="18" max="18" width="17.42578125" customWidth="1"/>
    <col min="19" max="19" width="12.42578125" customWidth="1"/>
    <col min="20" max="20" width="13.42578125" customWidth="1"/>
    <col min="21" max="21" width="11.42578125" customWidth="1"/>
    <col min="22" max="22" width="9.5703125" style="30" customWidth="1"/>
    <col min="23" max="23" width="22.42578125" customWidth="1"/>
    <col min="24" max="24" width="15.42578125" customWidth="1"/>
    <col min="26" max="26" width="25.5703125" customWidth="1"/>
    <col min="28" max="28" width="12" style="20" customWidth="1"/>
    <col min="29" max="29" width="10.42578125" style="20" customWidth="1"/>
  </cols>
  <sheetData>
    <row r="1" spans="1:41" ht="16.5" customHeight="1">
      <c r="A1" s="56" t="s">
        <v>0</v>
      </c>
      <c r="B1" s="44" t="s">
        <v>1</v>
      </c>
      <c r="C1" s="45" t="s">
        <v>2</v>
      </c>
      <c r="D1" s="46" t="s">
        <v>3</v>
      </c>
      <c r="E1" s="44" t="s">
        <v>4</v>
      </c>
      <c r="F1" s="47" t="s">
        <v>5</v>
      </c>
      <c r="G1" s="48" t="s">
        <v>6</v>
      </c>
      <c r="H1" s="45" t="s">
        <v>7</v>
      </c>
      <c r="I1" s="46" t="s">
        <v>8</v>
      </c>
      <c r="J1" s="44" t="s">
        <v>9</v>
      </c>
      <c r="K1" s="47" t="s">
        <v>10</v>
      </c>
      <c r="L1" s="47" t="s">
        <v>11</v>
      </c>
      <c r="M1" s="49" t="s">
        <v>12</v>
      </c>
      <c r="N1" s="44" t="s">
        <v>13</v>
      </c>
      <c r="O1" s="44" t="s">
        <v>14</v>
      </c>
      <c r="P1" s="44" t="s">
        <v>15</v>
      </c>
      <c r="Q1" s="50" t="s">
        <v>16</v>
      </c>
      <c r="R1" s="44" t="s">
        <v>17</v>
      </c>
      <c r="S1" s="44" t="s">
        <v>18</v>
      </c>
      <c r="T1" s="44" t="s">
        <v>19</v>
      </c>
      <c r="U1" s="44" t="s">
        <v>20</v>
      </c>
      <c r="V1" s="51" t="s">
        <v>21</v>
      </c>
      <c r="W1" s="44" t="s">
        <v>22</v>
      </c>
      <c r="X1" s="44" t="s">
        <v>23</v>
      </c>
      <c r="Y1" s="44" t="s">
        <v>24</v>
      </c>
      <c r="Z1" s="44" t="s">
        <v>25</v>
      </c>
      <c r="AA1" s="44" t="s">
        <v>26</v>
      </c>
      <c r="AB1" s="52" t="s">
        <v>27</v>
      </c>
      <c r="AC1" s="52" t="s">
        <v>28</v>
      </c>
      <c r="AD1" s="52" t="s">
        <v>29</v>
      </c>
      <c r="AE1" s="53" t="s">
        <v>30</v>
      </c>
      <c r="AF1" s="52" t="s">
        <v>31</v>
      </c>
      <c r="AG1" s="52" t="s">
        <v>32</v>
      </c>
      <c r="AH1" s="52" t="s">
        <v>33</v>
      </c>
      <c r="AI1" s="52" t="s">
        <v>34</v>
      </c>
      <c r="AJ1" s="52" t="s">
        <v>35</v>
      </c>
      <c r="AK1" s="54" t="s">
        <v>36</v>
      </c>
      <c r="AL1" s="52" t="s">
        <v>37</v>
      </c>
      <c r="AM1" s="54" t="s">
        <v>38</v>
      </c>
      <c r="AN1" s="52" t="s">
        <v>39</v>
      </c>
      <c r="AO1" s="55" t="s">
        <v>40</v>
      </c>
    </row>
    <row r="2" spans="1:41">
      <c r="A2" s="21">
        <f>WEEKNUM(F2,21)</f>
        <v>1</v>
      </c>
      <c r="B2" s="23" t="s">
        <v>344</v>
      </c>
      <c r="C2" s="61" t="s">
        <v>42</v>
      </c>
      <c r="D2" s="24" t="s">
        <v>43</v>
      </c>
      <c r="E2" s="62" t="s">
        <v>44</v>
      </c>
      <c r="F2" s="61">
        <v>45293</v>
      </c>
      <c r="G2" s="25"/>
      <c r="H2" s="23" t="s">
        <v>45</v>
      </c>
      <c r="I2" s="26" t="s">
        <v>345</v>
      </c>
      <c r="J2" s="23" t="s">
        <v>346</v>
      </c>
      <c r="K2" s="27">
        <v>45296</v>
      </c>
      <c r="L2" s="28"/>
      <c r="M2" s="64">
        <v>114921</v>
      </c>
      <c r="N2" s="32"/>
      <c r="O2" s="18" t="s">
        <v>347</v>
      </c>
      <c r="P2" s="18"/>
      <c r="Q2" s="18" t="s">
        <v>118</v>
      </c>
      <c r="R2" s="18" t="s">
        <v>119</v>
      </c>
      <c r="S2" s="23">
        <v>2620</v>
      </c>
      <c r="T2" s="23">
        <v>2350</v>
      </c>
      <c r="U2" s="18">
        <f>Table22[[#This Row],[SALES '[€']]]-Table22[[#This Row],[PURCHASE '[€']]]</f>
        <v>270</v>
      </c>
      <c r="V2" s="60">
        <f>Table22[[#This Row],[MARGIN '[€']]]/Table22[[#This Row],[SALES '[€']]]</f>
        <v>0.10305343511450382</v>
      </c>
      <c r="W2" s="18">
        <v>9215170405</v>
      </c>
      <c r="X2" s="18" t="s">
        <v>348</v>
      </c>
      <c r="Y2" s="18">
        <v>1736</v>
      </c>
      <c r="Z2" s="59"/>
      <c r="AA2" s="18" t="s">
        <v>51</v>
      </c>
      <c r="AB2" s="22">
        <f>Table22[[#This Row],[PURCHASE '[€']]]/Table22[[#This Row],[KM]]</f>
        <v>1.3536866359447004</v>
      </c>
      <c r="AC2" s="22">
        <f>S2/Y2</f>
        <v>1.5092165898617511</v>
      </c>
      <c r="AD2" s="18"/>
      <c r="AE2" s="18"/>
      <c r="AF2" s="18"/>
      <c r="AG2" s="18"/>
      <c r="AH2" s="18"/>
      <c r="AI2" s="18"/>
      <c r="AJ2" s="18"/>
      <c r="AK2" s="18"/>
      <c r="AL2" s="18" t="str">
        <f>IF(Table22[[#This Row],[DELIVERY TIME]]="STORNO","CANCELLED","OK")</f>
        <v>OK</v>
      </c>
      <c r="AM2" s="18"/>
      <c r="AN2" s="18" t="str">
        <f>IF(RIGHT(Table22[[#This Row],[CARRIER]],3)="-MF",921,"")</f>
        <v/>
      </c>
      <c r="AO2" s="18"/>
    </row>
    <row r="3" spans="1:41">
      <c r="A3" s="21">
        <f>WEEKNUM(F3,21)</f>
        <v>2</v>
      </c>
      <c r="B3" s="23" t="s">
        <v>344</v>
      </c>
      <c r="C3" s="61" t="s">
        <v>42</v>
      </c>
      <c r="D3" s="24" t="s">
        <v>43</v>
      </c>
      <c r="E3" s="62" t="s">
        <v>44</v>
      </c>
      <c r="F3" s="61">
        <v>45301</v>
      </c>
      <c r="G3" s="25"/>
      <c r="H3" s="23" t="s">
        <v>45</v>
      </c>
      <c r="I3" s="26" t="s">
        <v>349</v>
      </c>
      <c r="J3" s="23" t="s">
        <v>350</v>
      </c>
      <c r="K3" s="27">
        <v>45309</v>
      </c>
      <c r="L3" s="28">
        <v>0.33333333333333331</v>
      </c>
      <c r="M3" s="64">
        <v>114947</v>
      </c>
      <c r="N3" s="32" t="s">
        <v>351</v>
      </c>
      <c r="O3" s="18" t="s">
        <v>347</v>
      </c>
      <c r="P3" s="18"/>
      <c r="Q3" s="18" t="s">
        <v>352</v>
      </c>
      <c r="R3" s="18" t="s">
        <v>353</v>
      </c>
      <c r="S3" s="23">
        <v>1400</v>
      </c>
      <c r="T3" s="23">
        <v>1350</v>
      </c>
      <c r="U3" s="18">
        <f>Table22[[#This Row],[SALES '[€']]]-Table22[[#This Row],[PURCHASE '[€']]]</f>
        <v>50</v>
      </c>
      <c r="V3" s="60">
        <f>Table22[[#This Row],[MARGIN '[€']]]/Table22[[#This Row],[SALES '[€']]]</f>
        <v>3.5714285714285712E-2</v>
      </c>
      <c r="W3" s="18">
        <v>9215170515</v>
      </c>
      <c r="X3" s="18" t="s">
        <v>354</v>
      </c>
      <c r="Y3" s="18">
        <v>1318</v>
      </c>
      <c r="Z3" s="59"/>
      <c r="AA3" s="18" t="s">
        <v>51</v>
      </c>
      <c r="AB3" s="22">
        <f>Table22[[#This Row],[PURCHASE '[€']]]/Table22[[#This Row],[KM]]</f>
        <v>1.0242792109256449</v>
      </c>
      <c r="AC3" s="22">
        <f>S3/Y3</f>
        <v>1.062215477996965</v>
      </c>
      <c r="AD3" s="18"/>
      <c r="AE3" s="18"/>
      <c r="AF3" s="18"/>
      <c r="AG3" s="18"/>
      <c r="AH3" s="18"/>
      <c r="AI3" s="18"/>
      <c r="AJ3" s="18"/>
      <c r="AK3" s="18"/>
      <c r="AL3" s="18" t="str">
        <f>IF(Table22[[#This Row],[DELIVERY TIME]]="STORNO","CANCELLED","OK")</f>
        <v>OK</v>
      </c>
      <c r="AM3" s="18"/>
      <c r="AN3" s="18" t="str">
        <f>IF(RIGHT(Table22[[#This Row],[CARRIER]],3)="-MF",921,"")</f>
        <v/>
      </c>
      <c r="AO3" s="18"/>
    </row>
    <row r="4" spans="1:41">
      <c r="A4" s="21">
        <f t="shared" ref="A4" si="0">WEEKNUM(F4,21)</f>
        <v>3</v>
      </c>
      <c r="B4" s="23" t="s">
        <v>344</v>
      </c>
      <c r="C4" s="61" t="s">
        <v>42</v>
      </c>
      <c r="D4" s="24" t="s">
        <v>43</v>
      </c>
      <c r="E4" s="62" t="s">
        <v>44</v>
      </c>
      <c r="F4" s="61">
        <v>45310</v>
      </c>
      <c r="G4" s="25">
        <v>0.58333333333333337</v>
      </c>
      <c r="H4" s="23" t="s">
        <v>45</v>
      </c>
      <c r="I4" s="26" t="s">
        <v>349</v>
      </c>
      <c r="J4" s="23" t="s">
        <v>350</v>
      </c>
      <c r="K4" s="27">
        <v>45314</v>
      </c>
      <c r="L4" s="28">
        <v>0.33333333333333331</v>
      </c>
      <c r="M4" s="64">
        <v>114677</v>
      </c>
      <c r="N4" s="32"/>
      <c r="O4" s="18" t="s">
        <v>355</v>
      </c>
      <c r="P4" s="18"/>
      <c r="Q4" s="57" t="s">
        <v>205</v>
      </c>
      <c r="R4" s="119" t="s">
        <v>206</v>
      </c>
      <c r="S4" s="187">
        <f>1722+82</f>
        <v>1804</v>
      </c>
      <c r="T4" s="23">
        <v>1490.5</v>
      </c>
      <c r="U4" s="18">
        <f>Table22[[#This Row],[SALES '[€']]]-Table22[[#This Row],[PURCHASE '[€']]]</f>
        <v>313.5</v>
      </c>
      <c r="V4" s="60">
        <f>Table22[[#This Row],[MARGIN '[€']]]/Table22[[#This Row],[SALES '[€']]]</f>
        <v>0.17378048780487804</v>
      </c>
      <c r="W4" s="18">
        <v>9215170971</v>
      </c>
      <c r="X4" s="18" t="s">
        <v>356</v>
      </c>
      <c r="Y4" s="18">
        <v>1355</v>
      </c>
      <c r="Z4" s="18">
        <v>85</v>
      </c>
      <c r="AA4" s="18" t="s">
        <v>51</v>
      </c>
      <c r="AB4" s="22">
        <f>Table22[[#This Row],[PURCHASE '[€']]]/Table22[[#This Row],[KM]]</f>
        <v>1.1000000000000001</v>
      </c>
      <c r="AC4" s="22">
        <f t="shared" ref="AC4" si="1">S4/Y4</f>
        <v>1.3313653136531365</v>
      </c>
      <c r="AD4" s="18"/>
      <c r="AE4" s="18"/>
      <c r="AF4" s="18"/>
      <c r="AG4" s="18"/>
      <c r="AH4" s="18"/>
      <c r="AI4" s="18"/>
      <c r="AJ4" s="18"/>
      <c r="AK4" s="18"/>
      <c r="AL4" s="18" t="str">
        <f>IF(Table22[[#This Row],[DELIVERY TIME]]="STORNO","CANCELLED","OK")</f>
        <v>OK</v>
      </c>
      <c r="AM4" s="18"/>
      <c r="AN4" s="18">
        <f>IF(RIGHT(Table22[[#This Row],[CARRIER]],3)="-MF",921,"")</f>
        <v>921</v>
      </c>
      <c r="AO4" s="18"/>
    </row>
    <row r="5" spans="1:41">
      <c r="A5" s="21">
        <f t="shared" ref="A5:A10" si="2">WEEKNUM(F5,21)</f>
        <v>1</v>
      </c>
      <c r="B5" s="23" t="s">
        <v>344</v>
      </c>
      <c r="C5" s="61" t="s">
        <v>42</v>
      </c>
      <c r="D5" s="24" t="s">
        <v>43</v>
      </c>
      <c r="E5" s="62" t="s">
        <v>44</v>
      </c>
      <c r="F5" s="61">
        <v>45294</v>
      </c>
      <c r="G5" s="25"/>
      <c r="H5" s="23" t="s">
        <v>45</v>
      </c>
      <c r="I5" s="26" t="s">
        <v>345</v>
      </c>
      <c r="J5" s="23" t="s">
        <v>346</v>
      </c>
      <c r="K5" s="27">
        <v>45299</v>
      </c>
      <c r="L5" s="28">
        <v>0.41666666666666669</v>
      </c>
      <c r="M5" s="64">
        <v>114970</v>
      </c>
      <c r="N5" s="32"/>
      <c r="O5" s="18" t="s">
        <v>355</v>
      </c>
      <c r="P5" s="18"/>
      <c r="Q5" s="67" t="s">
        <v>357</v>
      </c>
      <c r="R5" s="18" t="s">
        <v>85</v>
      </c>
      <c r="S5" s="187">
        <f>2620+82</f>
        <v>2702</v>
      </c>
      <c r="T5" s="23">
        <v>2280</v>
      </c>
      <c r="U5" s="18">
        <f>Table22[[#This Row],[SALES '[€']]]-Table22[[#This Row],[PURCHASE '[€']]]</f>
        <v>422</v>
      </c>
      <c r="V5" s="60">
        <f>Table22[[#This Row],[MARGIN '[€']]]/Table22[[#This Row],[SALES '[€']]]</f>
        <v>0.15618060695780903</v>
      </c>
      <c r="W5" s="18">
        <v>9215170435</v>
      </c>
      <c r="X5" s="18" t="s">
        <v>358</v>
      </c>
      <c r="Y5" s="18">
        <v>1736</v>
      </c>
      <c r="Z5" s="18"/>
      <c r="AA5" s="18" t="s">
        <v>51</v>
      </c>
      <c r="AB5" s="22">
        <f>Table22[[#This Row],[PURCHASE '[€']]]/Table22[[#This Row],[KM]]</f>
        <v>1.3133640552995391</v>
      </c>
      <c r="AC5" s="22">
        <f t="shared" ref="AC5:AC10" si="3">S5/Y5</f>
        <v>1.5564516129032258</v>
      </c>
      <c r="AD5" s="18"/>
      <c r="AE5" s="18"/>
      <c r="AF5" s="18"/>
      <c r="AG5" s="18"/>
      <c r="AH5" s="18"/>
      <c r="AI5" s="18"/>
      <c r="AJ5" s="18"/>
      <c r="AK5" s="18"/>
      <c r="AL5" s="18" t="str">
        <f>IF(Table22[[#This Row],[DELIVERY TIME]]="STORNO","CANCELLED","OK")</f>
        <v>OK</v>
      </c>
      <c r="AM5" s="18"/>
      <c r="AN5" s="18" t="str">
        <f>IF(RIGHT(Table22[[#This Row],[CARRIER]],3)="-MF",921,"")</f>
        <v/>
      </c>
      <c r="AO5" s="18"/>
    </row>
    <row r="6" spans="1:41">
      <c r="A6" s="21">
        <f t="shared" si="2"/>
        <v>2</v>
      </c>
      <c r="B6" s="23" t="s">
        <v>344</v>
      </c>
      <c r="C6" s="61" t="s">
        <v>42</v>
      </c>
      <c r="D6" s="24" t="s">
        <v>43</v>
      </c>
      <c r="E6" s="62" t="s">
        <v>44</v>
      </c>
      <c r="F6" s="61">
        <v>45302</v>
      </c>
      <c r="G6" s="25"/>
      <c r="H6" s="23" t="s">
        <v>359</v>
      </c>
      <c r="I6" s="26" t="s">
        <v>360</v>
      </c>
      <c r="J6" s="23" t="s">
        <v>361</v>
      </c>
      <c r="K6" s="27">
        <v>45306</v>
      </c>
      <c r="L6" s="28"/>
      <c r="M6" s="64">
        <v>115113</v>
      </c>
      <c r="N6" s="32"/>
      <c r="O6" s="18" t="s">
        <v>355</v>
      </c>
      <c r="P6" s="18"/>
      <c r="Q6" s="18" t="s">
        <v>362</v>
      </c>
      <c r="R6" s="18" t="s">
        <v>363</v>
      </c>
      <c r="S6" s="23">
        <v>1400</v>
      </c>
      <c r="T6" s="23">
        <v>1280</v>
      </c>
      <c r="U6" s="18">
        <f>Table22[[#This Row],[SALES '[€']]]-Table22[[#This Row],[PURCHASE '[€']]]</f>
        <v>120</v>
      </c>
      <c r="V6" s="60">
        <f>Table22[[#This Row],[MARGIN '[€']]]/Table22[[#This Row],[SALES '[€']]]</f>
        <v>8.5714285714285715E-2</v>
      </c>
      <c r="W6" s="18">
        <v>9215170475</v>
      </c>
      <c r="X6" s="18" t="s">
        <v>364</v>
      </c>
      <c r="Y6" s="18">
        <v>1140</v>
      </c>
      <c r="Z6" s="59" t="s">
        <v>365</v>
      </c>
      <c r="AA6" s="18" t="s">
        <v>51</v>
      </c>
      <c r="AB6" s="22">
        <f>Table22[[#This Row],[PURCHASE '[€']]]/Table22[[#This Row],[KM]]</f>
        <v>1.1228070175438596</v>
      </c>
      <c r="AC6" s="22">
        <f t="shared" si="3"/>
        <v>1.2280701754385965</v>
      </c>
      <c r="AD6" s="18"/>
      <c r="AE6" s="18"/>
      <c r="AF6" s="18"/>
      <c r="AG6" s="18"/>
      <c r="AH6" s="18"/>
      <c r="AI6" s="18"/>
      <c r="AJ6" s="18"/>
      <c r="AK6" s="18"/>
      <c r="AL6" s="18" t="str">
        <f>IF(Table22[[#This Row],[DELIVERY TIME]]="STORNO","CANCELLED","OK")</f>
        <v>OK</v>
      </c>
      <c r="AM6" s="18"/>
      <c r="AN6" s="18" t="str">
        <f>IF(RIGHT(Table22[[#This Row],[CARRIER]],3)="-MF",921,"")</f>
        <v/>
      </c>
      <c r="AO6" s="18"/>
    </row>
    <row r="7" spans="1:41">
      <c r="A7" s="21">
        <f t="shared" si="2"/>
        <v>1</v>
      </c>
      <c r="B7" s="23" t="s">
        <v>344</v>
      </c>
      <c r="C7" s="61" t="s">
        <v>42</v>
      </c>
      <c r="D7" s="24" t="s">
        <v>43</v>
      </c>
      <c r="E7" s="62" t="s">
        <v>44</v>
      </c>
      <c r="F7" s="61">
        <v>45295</v>
      </c>
      <c r="G7" s="25"/>
      <c r="H7" s="23" t="s">
        <v>366</v>
      </c>
      <c r="I7" s="26" t="s">
        <v>349</v>
      </c>
      <c r="J7" s="23" t="s">
        <v>367</v>
      </c>
      <c r="K7" s="27">
        <v>45299</v>
      </c>
      <c r="L7" s="28"/>
      <c r="M7" s="64">
        <v>115070</v>
      </c>
      <c r="N7" s="32"/>
      <c r="O7" s="18" t="s">
        <v>355</v>
      </c>
      <c r="P7" s="18"/>
      <c r="Q7" s="18" t="s">
        <v>368</v>
      </c>
      <c r="R7" s="18" t="s">
        <v>369</v>
      </c>
      <c r="S7" s="23">
        <v>2244</v>
      </c>
      <c r="T7" s="23">
        <v>2000</v>
      </c>
      <c r="U7" s="18">
        <f>Table22[[#This Row],[SALES '[€']]]-Table22[[#This Row],[PURCHASE '[€']]]</f>
        <v>244</v>
      </c>
      <c r="V7" s="60">
        <f>Table22[[#This Row],[MARGIN '[€']]]/Table22[[#This Row],[SALES '[€']]]</f>
        <v>0.10873440285204991</v>
      </c>
      <c r="W7" s="18">
        <v>9215170477</v>
      </c>
      <c r="X7" s="18" t="s">
        <v>370</v>
      </c>
      <c r="Y7" s="18">
        <v>1353</v>
      </c>
      <c r="Z7" s="59" t="s">
        <v>371</v>
      </c>
      <c r="AA7" s="18" t="s">
        <v>51</v>
      </c>
      <c r="AB7" s="22">
        <f>Table22[[#This Row],[PURCHASE '[€']]]/Table22[[#This Row],[KM]]</f>
        <v>1.4781966001478197</v>
      </c>
      <c r="AC7" s="22">
        <f t="shared" si="3"/>
        <v>1.6585365853658536</v>
      </c>
      <c r="AD7" s="18"/>
      <c r="AE7" s="18"/>
      <c r="AF7" s="18"/>
      <c r="AG7" s="18"/>
      <c r="AH7" s="18"/>
      <c r="AI7" s="18"/>
      <c r="AJ7" s="18"/>
      <c r="AK7" s="18"/>
      <c r="AL7" s="18" t="str">
        <f>IF(Table22[[#This Row],[DELIVERY TIME]]="STORNO","CANCELLED","OK")</f>
        <v>OK</v>
      </c>
      <c r="AM7" s="18"/>
      <c r="AN7" s="18" t="str">
        <f>IF(RIGHT(Table22[[#This Row],[CARRIER]],3)="-MF",921,"")</f>
        <v/>
      </c>
      <c r="AO7" s="18"/>
    </row>
    <row r="8" spans="1:41">
      <c r="A8" s="21">
        <f t="shared" si="2"/>
        <v>1</v>
      </c>
      <c r="B8" s="23" t="s">
        <v>344</v>
      </c>
      <c r="C8" s="61" t="s">
        <v>42</v>
      </c>
      <c r="D8" s="24" t="s">
        <v>43</v>
      </c>
      <c r="E8" s="62" t="s">
        <v>44</v>
      </c>
      <c r="F8" s="61">
        <v>45295</v>
      </c>
      <c r="G8" s="25"/>
      <c r="H8" s="23" t="s">
        <v>45</v>
      </c>
      <c r="I8" s="26" t="s">
        <v>372</v>
      </c>
      <c r="J8" s="23" t="s">
        <v>373</v>
      </c>
      <c r="K8" s="27">
        <v>45299</v>
      </c>
      <c r="L8" s="28">
        <v>0.41666666666666669</v>
      </c>
      <c r="M8" s="64">
        <v>115045</v>
      </c>
      <c r="N8" s="121" t="s">
        <v>100</v>
      </c>
      <c r="O8" s="18" t="s">
        <v>355</v>
      </c>
      <c r="P8" s="18"/>
      <c r="Q8" s="18" t="s">
        <v>374</v>
      </c>
      <c r="R8" s="18" t="s">
        <v>85</v>
      </c>
      <c r="S8" s="187">
        <f>2550+82</f>
        <v>2632</v>
      </c>
      <c r="T8" s="23">
        <v>2300</v>
      </c>
      <c r="U8" s="18">
        <f>Table22[[#This Row],[SALES '[€']]]-Table22[[#This Row],[PURCHASE '[€']]]</f>
        <v>332</v>
      </c>
      <c r="V8" s="60">
        <f>Table22[[#This Row],[MARGIN '[€']]]/Table22[[#This Row],[SALES '[€']]]</f>
        <v>0.12613981762917933</v>
      </c>
      <c r="W8" s="18">
        <v>9215170482</v>
      </c>
      <c r="X8" s="18" t="s">
        <v>375</v>
      </c>
      <c r="Y8" s="18">
        <v>1650</v>
      </c>
      <c r="Z8" s="18"/>
      <c r="AA8" s="18" t="s">
        <v>51</v>
      </c>
      <c r="AB8" s="22">
        <f>Table22[[#This Row],[PURCHASE '[€']]]/Table22[[#This Row],[KM]]</f>
        <v>1.393939393939394</v>
      </c>
      <c r="AC8" s="22">
        <f t="shared" si="3"/>
        <v>1.5951515151515152</v>
      </c>
      <c r="AD8" s="18"/>
      <c r="AE8" s="18"/>
      <c r="AF8" s="18"/>
      <c r="AG8" s="18"/>
      <c r="AH8" s="18"/>
      <c r="AI8" s="18"/>
      <c r="AJ8" s="18"/>
      <c r="AK8" s="18"/>
      <c r="AL8" s="18" t="str">
        <f>IF(Table22[[#This Row],[DELIVERY TIME]]="STORNO","CANCELLED","OK")</f>
        <v>OK</v>
      </c>
      <c r="AM8" s="18"/>
      <c r="AN8" s="18" t="str">
        <f>IF(RIGHT(Table22[[#This Row],[CARRIER]],3)="-MF",921,"")</f>
        <v/>
      </c>
      <c r="AO8" s="18"/>
    </row>
    <row r="9" spans="1:41">
      <c r="A9" s="21">
        <f t="shared" si="2"/>
        <v>2</v>
      </c>
      <c r="B9" s="23" t="s">
        <v>344</v>
      </c>
      <c r="C9" s="61" t="s">
        <v>42</v>
      </c>
      <c r="D9" s="24" t="s">
        <v>43</v>
      </c>
      <c r="E9" s="62" t="s">
        <v>44</v>
      </c>
      <c r="F9" s="61">
        <v>45299</v>
      </c>
      <c r="G9" s="25"/>
      <c r="H9" s="23" t="s">
        <v>45</v>
      </c>
      <c r="I9" s="26" t="s">
        <v>376</v>
      </c>
      <c r="J9" s="23" t="s">
        <v>377</v>
      </c>
      <c r="K9" s="27">
        <v>45302</v>
      </c>
      <c r="L9" s="28">
        <v>0.33333333333333331</v>
      </c>
      <c r="M9" s="64">
        <v>114196</v>
      </c>
      <c r="N9" s="32"/>
      <c r="O9" s="18" t="s">
        <v>355</v>
      </c>
      <c r="P9" s="18"/>
      <c r="Q9" s="18" t="s">
        <v>378</v>
      </c>
      <c r="R9" s="18" t="s">
        <v>85</v>
      </c>
      <c r="S9" s="187">
        <f>3096+82</f>
        <v>3178</v>
      </c>
      <c r="T9" s="23">
        <v>2700</v>
      </c>
      <c r="U9" s="18">
        <f>Table22[[#This Row],[SALES '[€']]]-Table22[[#This Row],[PURCHASE '[€']]]</f>
        <v>478</v>
      </c>
      <c r="V9" s="60">
        <f>Table22[[#This Row],[MARGIN '[€']]]/Table22[[#This Row],[SALES '[€']]]</f>
        <v>0.15040906230333542</v>
      </c>
      <c r="W9" s="18">
        <v>9215170516</v>
      </c>
      <c r="X9" s="18" t="s">
        <v>379</v>
      </c>
      <c r="Y9" s="18">
        <v>2290</v>
      </c>
      <c r="Z9" s="18"/>
      <c r="AA9" s="18" t="s">
        <v>51</v>
      </c>
      <c r="AB9" s="22">
        <f>Table22[[#This Row],[PURCHASE '[€']]]/Table22[[#This Row],[KM]]</f>
        <v>1.1790393013100438</v>
      </c>
      <c r="AC9" s="22">
        <f t="shared" si="3"/>
        <v>1.3877729257641922</v>
      </c>
      <c r="AD9" s="18"/>
      <c r="AE9" s="18"/>
      <c r="AF9" s="18"/>
      <c r="AG9" s="18"/>
      <c r="AH9" s="18"/>
      <c r="AI9" s="18"/>
      <c r="AJ9" s="18"/>
      <c r="AK9" s="18"/>
      <c r="AL9" s="18" t="str">
        <f>IF(Table22[[#This Row],[DELIVERY TIME]]="STORNO","CANCELLED","OK")</f>
        <v>OK</v>
      </c>
      <c r="AM9" s="18"/>
      <c r="AN9" s="18" t="str">
        <f>IF(RIGHT(Table22[[#This Row],[CARRIER]],3)="-MF",921,"")</f>
        <v/>
      </c>
      <c r="AO9" s="18"/>
    </row>
    <row r="10" spans="1:41">
      <c r="A10" s="21">
        <f t="shared" si="2"/>
        <v>3</v>
      </c>
      <c r="B10" s="23" t="s">
        <v>344</v>
      </c>
      <c r="C10" s="61" t="s">
        <v>42</v>
      </c>
      <c r="D10" s="24" t="s">
        <v>43</v>
      </c>
      <c r="E10" s="62" t="s">
        <v>44</v>
      </c>
      <c r="F10" s="61">
        <v>45306</v>
      </c>
      <c r="G10" s="25"/>
      <c r="H10" s="23" t="s">
        <v>45</v>
      </c>
      <c r="I10" s="26" t="s">
        <v>380</v>
      </c>
      <c r="J10" s="23" t="s">
        <v>381</v>
      </c>
      <c r="K10" s="27">
        <v>45309</v>
      </c>
      <c r="L10" s="28">
        <v>0.58333333333333337</v>
      </c>
      <c r="M10" s="64">
        <v>115196</v>
      </c>
      <c r="N10" s="32" t="s">
        <v>382</v>
      </c>
      <c r="O10" s="18" t="s">
        <v>355</v>
      </c>
      <c r="P10" s="18"/>
      <c r="Q10" s="31"/>
      <c r="R10" s="122" t="s">
        <v>85</v>
      </c>
      <c r="S10" s="187">
        <f>2575+82</f>
        <v>2657</v>
      </c>
      <c r="T10" s="23">
        <v>2300</v>
      </c>
      <c r="U10" s="18">
        <f>Table22[[#This Row],[SALES '[€']]]-Table22[[#This Row],[PURCHASE '[€']]]</f>
        <v>357</v>
      </c>
      <c r="V10" s="60">
        <f>Table22[[#This Row],[MARGIN '[€']]]/Table22[[#This Row],[SALES '[€']]]</f>
        <v>0.13436206247647722</v>
      </c>
      <c r="W10" s="18">
        <v>9215170723</v>
      </c>
      <c r="X10" s="18" t="s">
        <v>383</v>
      </c>
      <c r="Y10" s="18">
        <v>1748</v>
      </c>
      <c r="Z10" s="18"/>
      <c r="AA10" s="18" t="s">
        <v>51</v>
      </c>
      <c r="AB10" s="22">
        <f>Table22[[#This Row],[PURCHASE '[€']]]/Table22[[#This Row],[KM]]</f>
        <v>1.3157894736842106</v>
      </c>
      <c r="AC10" s="22">
        <f t="shared" si="3"/>
        <v>1.5200228832951945</v>
      </c>
      <c r="AD10" s="18"/>
      <c r="AE10" s="18"/>
      <c r="AF10" s="18"/>
      <c r="AG10" s="18"/>
      <c r="AH10" s="18"/>
      <c r="AI10" s="18"/>
      <c r="AJ10" s="18"/>
      <c r="AK10" s="18"/>
      <c r="AL10" s="18" t="str">
        <f>IF(Table22[[#This Row],[DELIVERY TIME]]="STORNO","CANCELLED","OK")</f>
        <v>OK</v>
      </c>
      <c r="AM10" s="18"/>
      <c r="AN10" s="18" t="str">
        <f>IF(RIGHT(Table22[[#This Row],[CARRIER]],3)="-MF",921,"")</f>
        <v/>
      </c>
      <c r="AO10" s="18"/>
    </row>
    <row r="11" spans="1:41">
      <c r="A11" s="21">
        <f t="shared" ref="A11:A16" si="4">WEEKNUM(F11,21)</f>
        <v>2</v>
      </c>
      <c r="B11" s="23" t="s">
        <v>344</v>
      </c>
      <c r="C11" s="61" t="s">
        <v>45</v>
      </c>
      <c r="D11" s="24" t="s">
        <v>384</v>
      </c>
      <c r="E11" s="208" t="s">
        <v>385</v>
      </c>
      <c r="F11" s="61">
        <v>45300</v>
      </c>
      <c r="G11" s="25"/>
      <c r="H11" s="23" t="s">
        <v>42</v>
      </c>
      <c r="I11" s="26" t="s">
        <v>43</v>
      </c>
      <c r="J11" s="23" t="s">
        <v>44</v>
      </c>
      <c r="K11" s="27">
        <v>45302</v>
      </c>
      <c r="L11" s="28"/>
      <c r="M11" s="64" t="s">
        <v>386</v>
      </c>
      <c r="N11" s="32" t="s">
        <v>387</v>
      </c>
      <c r="O11" s="18" t="s">
        <v>355</v>
      </c>
      <c r="P11" s="18"/>
      <c r="Q11" s="18" t="s">
        <v>388</v>
      </c>
      <c r="R11" s="18" t="s">
        <v>389</v>
      </c>
      <c r="S11" s="23">
        <v>950</v>
      </c>
      <c r="T11" s="23">
        <v>900</v>
      </c>
      <c r="U11" s="18">
        <f>Table22[[#This Row],[SALES '[€']]]-Table22[[#This Row],[PURCHASE '[€']]]</f>
        <v>50</v>
      </c>
      <c r="V11" s="60">
        <f>Table22[[#This Row],[MARGIN '[€']]]/Table22[[#This Row],[SALES '[€']]]</f>
        <v>5.2631578947368418E-2</v>
      </c>
      <c r="W11" s="18">
        <v>9215170583</v>
      </c>
      <c r="X11" s="18" t="s">
        <v>390</v>
      </c>
      <c r="Y11" s="18">
        <v>1938</v>
      </c>
      <c r="Z11" s="18"/>
      <c r="AA11" s="18" t="s">
        <v>51</v>
      </c>
      <c r="AB11" s="22">
        <f>Table22[[#This Row],[PURCHASE '[€']]]/Table22[[#This Row],[KM]]</f>
        <v>0.46439628482972134</v>
      </c>
      <c r="AC11" s="22">
        <f t="shared" ref="AC11:AC16" si="5">S11/Y11</f>
        <v>0.49019607843137253</v>
      </c>
      <c r="AD11" s="18"/>
      <c r="AE11" s="18"/>
      <c r="AF11" s="18"/>
      <c r="AG11" s="18"/>
      <c r="AH11" s="18"/>
      <c r="AI11" s="18"/>
      <c r="AJ11" s="18"/>
      <c r="AK11" s="18"/>
      <c r="AL11" s="18" t="str">
        <f>IF(Table22[[#This Row],[DELIVERY TIME]]="STORNO","CANCELLED","OK")</f>
        <v>OK</v>
      </c>
      <c r="AM11" s="18"/>
      <c r="AN11" s="18" t="str">
        <f>IF(RIGHT(Table22[[#This Row],[CARRIER]],3)="-MF",921,"")</f>
        <v/>
      </c>
      <c r="AO11" s="18"/>
    </row>
    <row r="12" spans="1:41">
      <c r="A12" s="21">
        <f t="shared" si="4"/>
        <v>2</v>
      </c>
      <c r="B12" s="23" t="s">
        <v>344</v>
      </c>
      <c r="C12" s="61" t="s">
        <v>45</v>
      </c>
      <c r="D12" s="24" t="s">
        <v>384</v>
      </c>
      <c r="E12" s="208" t="s">
        <v>385</v>
      </c>
      <c r="F12" s="61">
        <v>45302</v>
      </c>
      <c r="G12" s="25"/>
      <c r="H12" s="23" t="s">
        <v>42</v>
      </c>
      <c r="I12" s="26" t="s">
        <v>43</v>
      </c>
      <c r="J12" s="23" t="s">
        <v>44</v>
      </c>
      <c r="K12" s="27">
        <v>45306</v>
      </c>
      <c r="L12" s="28"/>
      <c r="M12" s="64" t="s">
        <v>391</v>
      </c>
      <c r="N12" s="32"/>
      <c r="O12" s="18" t="s">
        <v>355</v>
      </c>
      <c r="P12" s="18"/>
      <c r="Q12" s="18" t="s">
        <v>392</v>
      </c>
      <c r="R12" s="18" t="s">
        <v>255</v>
      </c>
      <c r="S12" s="23">
        <v>1950</v>
      </c>
      <c r="T12" s="23">
        <v>1850</v>
      </c>
      <c r="U12" s="18">
        <f>Table22[[#This Row],[SALES '[€']]]-Table22[[#This Row],[PURCHASE '[€']]]</f>
        <v>100</v>
      </c>
      <c r="V12" s="60">
        <f>Table22[[#This Row],[MARGIN '[€']]]/Table22[[#This Row],[SALES '[€']]]</f>
        <v>5.128205128205128E-2</v>
      </c>
      <c r="W12" s="18">
        <v>9215170623</v>
      </c>
      <c r="X12" s="18" t="s">
        <v>393</v>
      </c>
      <c r="Y12" s="18">
        <v>1938</v>
      </c>
      <c r="Z12" s="18"/>
      <c r="AA12" s="18" t="s">
        <v>51</v>
      </c>
      <c r="AB12" s="22">
        <f>Table22[[#This Row],[PURCHASE '[€']]]/Table22[[#This Row],[KM]]</f>
        <v>0.95459236326109387</v>
      </c>
      <c r="AC12" s="22">
        <f t="shared" si="5"/>
        <v>1.0061919504643964</v>
      </c>
      <c r="AD12" s="18"/>
      <c r="AE12" s="18"/>
      <c r="AF12" s="18"/>
      <c r="AG12" s="18"/>
      <c r="AH12" s="18"/>
      <c r="AI12" s="18"/>
      <c r="AJ12" s="18"/>
      <c r="AK12" s="18"/>
      <c r="AL12" s="18" t="str">
        <f>IF(Table22[[#This Row],[DELIVERY TIME]]="STORNO","CANCELLED","OK")</f>
        <v>OK</v>
      </c>
      <c r="AM12" s="18"/>
      <c r="AN12" s="18" t="str">
        <f>IF(RIGHT(Table22[[#This Row],[CARRIER]],3)="-MF",921,"")</f>
        <v/>
      </c>
      <c r="AO12" s="18"/>
    </row>
    <row r="13" spans="1:41">
      <c r="A13" s="21">
        <f t="shared" si="4"/>
        <v>2</v>
      </c>
      <c r="B13" s="23" t="s">
        <v>344</v>
      </c>
      <c r="C13" s="61" t="s">
        <v>42</v>
      </c>
      <c r="D13" s="24" t="s">
        <v>43</v>
      </c>
      <c r="E13" s="62" t="s">
        <v>44</v>
      </c>
      <c r="F13" s="61">
        <v>45300</v>
      </c>
      <c r="G13" s="25"/>
      <c r="H13" s="23" t="s">
        <v>45</v>
      </c>
      <c r="I13" s="26" t="s">
        <v>345</v>
      </c>
      <c r="J13" s="23" t="s">
        <v>346</v>
      </c>
      <c r="K13" s="27">
        <v>45303</v>
      </c>
      <c r="L13" s="28">
        <v>0.375</v>
      </c>
      <c r="M13" s="64">
        <v>115270</v>
      </c>
      <c r="N13" s="32"/>
      <c r="O13" s="18" t="s">
        <v>355</v>
      </c>
      <c r="P13" s="18"/>
      <c r="Q13" s="18" t="s">
        <v>394</v>
      </c>
      <c r="R13" s="18" t="s">
        <v>85</v>
      </c>
      <c r="S13" s="187">
        <f>2620+82</f>
        <v>2702</v>
      </c>
      <c r="T13" s="23">
        <v>2280</v>
      </c>
      <c r="U13" s="18">
        <f>Table22[[#This Row],[SALES '[€']]]-Table22[[#This Row],[PURCHASE '[€']]]</f>
        <v>422</v>
      </c>
      <c r="V13" s="60">
        <f>Table22[[#This Row],[MARGIN '[€']]]/Table22[[#This Row],[SALES '[€']]]</f>
        <v>0.15618060695780903</v>
      </c>
      <c r="W13" s="18">
        <v>9215170616</v>
      </c>
      <c r="X13" s="18" t="s">
        <v>395</v>
      </c>
      <c r="Y13" s="18">
        <v>1736</v>
      </c>
      <c r="Z13" s="18"/>
      <c r="AA13" s="18" t="s">
        <v>51</v>
      </c>
      <c r="AB13" s="22">
        <f>Table22[[#This Row],[PURCHASE '[€']]]/Table22[[#This Row],[KM]]</f>
        <v>1.3133640552995391</v>
      </c>
      <c r="AC13" s="22">
        <f t="shared" si="5"/>
        <v>1.5564516129032258</v>
      </c>
      <c r="AD13" s="18"/>
      <c r="AE13" s="18"/>
      <c r="AF13" s="18"/>
      <c r="AG13" s="18"/>
      <c r="AH13" s="18"/>
      <c r="AI13" s="18"/>
      <c r="AJ13" s="18"/>
      <c r="AK13" s="18"/>
      <c r="AL13" s="18" t="str">
        <f>IF(Table22[[#This Row],[DELIVERY TIME]]="STORNO","CANCELLED","OK")</f>
        <v>OK</v>
      </c>
      <c r="AM13" s="18"/>
      <c r="AN13" s="18" t="str">
        <f>IF(RIGHT(Table22[[#This Row],[CARRIER]],3)="-MF",921,"")</f>
        <v/>
      </c>
      <c r="AO13" s="18"/>
    </row>
    <row r="14" spans="1:41">
      <c r="A14" s="21">
        <f t="shared" si="4"/>
        <v>3</v>
      </c>
      <c r="B14" s="23" t="s">
        <v>344</v>
      </c>
      <c r="C14" s="61" t="s">
        <v>42</v>
      </c>
      <c r="D14" s="24" t="s">
        <v>43</v>
      </c>
      <c r="E14" s="62" t="s">
        <v>44</v>
      </c>
      <c r="F14" s="61">
        <v>45306</v>
      </c>
      <c r="G14" s="25"/>
      <c r="H14" s="23" t="s">
        <v>45</v>
      </c>
      <c r="I14" s="26" t="s">
        <v>372</v>
      </c>
      <c r="J14" s="23" t="s">
        <v>373</v>
      </c>
      <c r="K14" s="27">
        <v>45309</v>
      </c>
      <c r="L14" s="28">
        <v>0.33333333333333331</v>
      </c>
      <c r="M14" s="64">
        <v>115538</v>
      </c>
      <c r="N14" s="32"/>
      <c r="O14" s="18" t="s">
        <v>355</v>
      </c>
      <c r="P14" s="18"/>
      <c r="Q14" s="18" t="s">
        <v>396</v>
      </c>
      <c r="R14" s="18" t="s">
        <v>85</v>
      </c>
      <c r="S14" s="187">
        <f>2550+82</f>
        <v>2632</v>
      </c>
      <c r="T14" s="23">
        <v>2300</v>
      </c>
      <c r="U14" s="18">
        <f>Table22[[#This Row],[SALES '[€']]]-Table22[[#This Row],[PURCHASE '[€']]]</f>
        <v>332</v>
      </c>
      <c r="V14" s="60">
        <f>Table22[[#This Row],[MARGIN '[€']]]/Table22[[#This Row],[SALES '[€']]]</f>
        <v>0.12613981762917933</v>
      </c>
      <c r="W14" s="18">
        <v>9215170721</v>
      </c>
      <c r="X14" s="18" t="s">
        <v>397</v>
      </c>
      <c r="Y14" s="18">
        <v>1650</v>
      </c>
      <c r="Z14" s="18"/>
      <c r="AA14" s="18" t="s">
        <v>51</v>
      </c>
      <c r="AB14" s="22">
        <f>Table22[[#This Row],[PURCHASE '[€']]]/Table22[[#This Row],[KM]]</f>
        <v>1.393939393939394</v>
      </c>
      <c r="AC14" s="22">
        <f t="shared" si="5"/>
        <v>1.5951515151515152</v>
      </c>
      <c r="AD14" s="18"/>
      <c r="AE14" s="18"/>
      <c r="AF14" s="18"/>
      <c r="AG14" s="18"/>
      <c r="AH14" s="18"/>
      <c r="AI14" s="18"/>
      <c r="AJ14" s="18"/>
      <c r="AK14" s="18"/>
      <c r="AL14" s="18" t="str">
        <f>IF(Table22[[#This Row],[DELIVERY TIME]]="STORNO","CANCELLED","OK")</f>
        <v>OK</v>
      </c>
      <c r="AM14" s="18"/>
      <c r="AN14" s="18" t="str">
        <f>IF(RIGHT(Table22[[#This Row],[CARRIER]],3)="-MF",921,"")</f>
        <v/>
      </c>
      <c r="AO14" s="18"/>
    </row>
    <row r="15" spans="1:41">
      <c r="A15" s="21">
        <f t="shared" si="4"/>
        <v>2</v>
      </c>
      <c r="B15" s="23" t="s">
        <v>344</v>
      </c>
      <c r="C15" s="61" t="s">
        <v>42</v>
      </c>
      <c r="D15" s="24" t="s">
        <v>43</v>
      </c>
      <c r="E15" s="62" t="s">
        <v>44</v>
      </c>
      <c r="F15" s="61">
        <v>45303</v>
      </c>
      <c r="G15" s="25"/>
      <c r="H15" s="23" t="s">
        <v>45</v>
      </c>
      <c r="I15" s="26" t="s">
        <v>345</v>
      </c>
      <c r="J15" s="23" t="s">
        <v>346</v>
      </c>
      <c r="K15" s="27">
        <v>45308</v>
      </c>
      <c r="L15" s="28">
        <v>0.375</v>
      </c>
      <c r="M15" s="64">
        <v>115499</v>
      </c>
      <c r="N15" s="32"/>
      <c r="O15" s="18" t="s">
        <v>355</v>
      </c>
      <c r="P15" s="18"/>
      <c r="Q15" s="18" t="s">
        <v>398</v>
      </c>
      <c r="R15" s="18" t="s">
        <v>255</v>
      </c>
      <c r="S15" s="187">
        <f>2620+82</f>
        <v>2702</v>
      </c>
      <c r="T15" s="23">
        <v>2350</v>
      </c>
      <c r="U15" s="18">
        <f>Table22[[#This Row],[SALES '[€']]]-Table22[[#This Row],[PURCHASE '[€']]]</f>
        <v>352</v>
      </c>
      <c r="V15" s="60">
        <f>Table22[[#This Row],[MARGIN '[€']]]/Table22[[#This Row],[SALES '[€']]]</f>
        <v>0.13027387120651368</v>
      </c>
      <c r="W15" s="18">
        <v>9215170714</v>
      </c>
      <c r="X15" s="18" t="s">
        <v>399</v>
      </c>
      <c r="Y15" s="18">
        <v>1736</v>
      </c>
      <c r="Z15" s="18"/>
      <c r="AA15" s="18" t="s">
        <v>51</v>
      </c>
      <c r="AB15" s="22">
        <f>Table22[[#This Row],[PURCHASE '[€']]]/Table22[[#This Row],[KM]]</f>
        <v>1.3536866359447004</v>
      </c>
      <c r="AC15" s="22">
        <f t="shared" si="5"/>
        <v>1.5564516129032258</v>
      </c>
      <c r="AD15" s="18"/>
      <c r="AE15" s="18"/>
      <c r="AF15" s="18"/>
      <c r="AG15" s="18"/>
      <c r="AH15" s="18"/>
      <c r="AI15" s="18"/>
      <c r="AJ15" s="18"/>
      <c r="AK15" s="18"/>
      <c r="AL15" s="18" t="str">
        <f>IF(Table22[[#This Row],[DELIVERY TIME]]="STORNO","CANCELLED","OK")</f>
        <v>OK</v>
      </c>
      <c r="AM15" s="18"/>
      <c r="AN15" s="18" t="str">
        <f>IF(RIGHT(Table22[[#This Row],[CARRIER]],3)="-MF",921,"")</f>
        <v/>
      </c>
      <c r="AO15" s="18"/>
    </row>
    <row r="16" spans="1:41">
      <c r="A16" s="21">
        <f t="shared" si="4"/>
        <v>2</v>
      </c>
      <c r="B16" s="23" t="s">
        <v>344</v>
      </c>
      <c r="C16" s="61" t="s">
        <v>52</v>
      </c>
      <c r="D16" s="24" t="s">
        <v>400</v>
      </c>
      <c r="E16" s="208" t="s">
        <v>401</v>
      </c>
      <c r="F16" s="61">
        <v>45303</v>
      </c>
      <c r="G16" s="25"/>
      <c r="H16" s="23" t="s">
        <v>42</v>
      </c>
      <c r="I16" s="26" t="s">
        <v>43</v>
      </c>
      <c r="J16" s="23" t="s">
        <v>44</v>
      </c>
      <c r="K16" s="27">
        <v>45306</v>
      </c>
      <c r="L16" s="28"/>
      <c r="M16" s="64" t="s">
        <v>402</v>
      </c>
      <c r="N16" s="32"/>
      <c r="O16" s="18" t="s">
        <v>355</v>
      </c>
      <c r="P16" s="18"/>
      <c r="Q16" s="65" t="s">
        <v>403</v>
      </c>
      <c r="R16" s="122" t="s">
        <v>404</v>
      </c>
      <c r="S16" s="23">
        <v>1460</v>
      </c>
      <c r="T16" s="23">
        <v>1400</v>
      </c>
      <c r="U16" s="18">
        <f>Table22[[#This Row],[SALES '[€']]]-Table22[[#This Row],[PURCHASE '[€']]]</f>
        <v>60</v>
      </c>
      <c r="V16" s="60">
        <f>Table22[[#This Row],[MARGIN '[€']]]/Table22[[#This Row],[SALES '[€']]]</f>
        <v>4.1095890410958902E-2</v>
      </c>
      <c r="W16" s="18">
        <v>9215170711</v>
      </c>
      <c r="X16" s="18" t="s">
        <v>405</v>
      </c>
      <c r="Y16" s="18">
        <v>957</v>
      </c>
      <c r="Z16" s="59" t="s">
        <v>406</v>
      </c>
      <c r="AA16" s="18" t="s">
        <v>51</v>
      </c>
      <c r="AB16" s="22">
        <f>Table22[[#This Row],[PURCHASE '[€']]]/Table22[[#This Row],[KM]]</f>
        <v>1.4629049111807733</v>
      </c>
      <c r="AC16" s="22">
        <f t="shared" si="5"/>
        <v>1.5256008359456634</v>
      </c>
      <c r="AD16" s="18"/>
      <c r="AE16" s="18"/>
      <c r="AF16" s="18"/>
      <c r="AG16" s="18"/>
      <c r="AH16" s="18"/>
      <c r="AI16" s="18"/>
      <c r="AJ16" s="18"/>
      <c r="AK16" s="18"/>
      <c r="AL16" s="18" t="str">
        <f>IF(Table22[[#This Row],[DELIVERY TIME]]="STORNO","CANCELLED","OK")</f>
        <v>OK</v>
      </c>
      <c r="AM16" s="18"/>
      <c r="AN16" s="18" t="str">
        <f>IF(RIGHT(Table22[[#This Row],[CARRIER]],3)="-MF",921,"")</f>
        <v/>
      </c>
      <c r="AO16" s="18"/>
    </row>
    <row r="17" spans="1:41">
      <c r="A17" s="21">
        <f t="shared" ref="A17:A25" si="6">WEEKNUM(F17,21)</f>
        <v>3</v>
      </c>
      <c r="B17" s="23" t="s">
        <v>344</v>
      </c>
      <c r="C17" s="61" t="s">
        <v>42</v>
      </c>
      <c r="D17" s="24" t="s">
        <v>43</v>
      </c>
      <c r="E17" s="62" t="s">
        <v>44</v>
      </c>
      <c r="F17" s="61">
        <v>45307</v>
      </c>
      <c r="G17" s="25"/>
      <c r="H17" s="23" t="s">
        <v>45</v>
      </c>
      <c r="I17" s="26" t="s">
        <v>345</v>
      </c>
      <c r="J17" s="23" t="s">
        <v>346</v>
      </c>
      <c r="K17" s="27">
        <v>45310</v>
      </c>
      <c r="L17" s="28">
        <v>0.375</v>
      </c>
      <c r="M17" s="64">
        <v>115149</v>
      </c>
      <c r="N17" s="32"/>
      <c r="O17" s="18" t="s">
        <v>355</v>
      </c>
      <c r="P17" s="18"/>
      <c r="Q17" s="18" t="s">
        <v>407</v>
      </c>
      <c r="R17" s="18" t="s">
        <v>119</v>
      </c>
      <c r="S17" s="187">
        <f>2620+82</f>
        <v>2702</v>
      </c>
      <c r="T17" s="23">
        <v>2470</v>
      </c>
      <c r="U17" s="18">
        <f>Table22[[#This Row],[SALES '[€']]]-Table22[[#This Row],[PURCHASE '[€']]]</f>
        <v>232</v>
      </c>
      <c r="V17" s="60">
        <f>Table22[[#This Row],[MARGIN '[€']]]/Table22[[#This Row],[SALES '[€']]]</f>
        <v>8.5862324204293114E-2</v>
      </c>
      <c r="W17" s="18">
        <v>9215170726</v>
      </c>
      <c r="X17" s="18" t="s">
        <v>408</v>
      </c>
      <c r="Y17" s="18">
        <v>1736</v>
      </c>
      <c r="Z17" s="18"/>
      <c r="AA17" s="18" t="s">
        <v>51</v>
      </c>
      <c r="AB17" s="22">
        <f>Table22[[#This Row],[PURCHASE '[€']]]/Table22[[#This Row],[KM]]</f>
        <v>1.4228110599078341</v>
      </c>
      <c r="AC17" s="22">
        <f t="shared" ref="AC17:AC25" si="7">S17/Y17</f>
        <v>1.5564516129032258</v>
      </c>
      <c r="AD17" s="18"/>
      <c r="AE17" s="18"/>
      <c r="AF17" s="18"/>
      <c r="AG17" s="18"/>
      <c r="AH17" s="18"/>
      <c r="AI17" s="18"/>
      <c r="AJ17" s="18"/>
      <c r="AK17" s="18"/>
      <c r="AL17" s="18" t="str">
        <f>IF(Table22[[#This Row],[DELIVERY TIME]]="STORNO","CANCELLED","OK")</f>
        <v>OK</v>
      </c>
      <c r="AM17" s="18"/>
      <c r="AN17" s="18" t="str">
        <f>IF(RIGHT(Table22[[#This Row],[CARRIER]],3)="-MF",921,"")</f>
        <v/>
      </c>
      <c r="AO17" s="18"/>
    </row>
    <row r="18" spans="1:41">
      <c r="A18" s="21">
        <f t="shared" si="6"/>
        <v>3</v>
      </c>
      <c r="B18" s="23" t="s">
        <v>344</v>
      </c>
      <c r="C18" s="61" t="s">
        <v>42</v>
      </c>
      <c r="D18" s="24" t="s">
        <v>43</v>
      </c>
      <c r="E18" s="62" t="s">
        <v>44</v>
      </c>
      <c r="F18" s="61">
        <v>45306</v>
      </c>
      <c r="G18" s="25"/>
      <c r="H18" s="23" t="s">
        <v>359</v>
      </c>
      <c r="I18" s="26" t="s">
        <v>360</v>
      </c>
      <c r="J18" s="23" t="s">
        <v>409</v>
      </c>
      <c r="K18" s="27">
        <v>45311</v>
      </c>
      <c r="L18" s="28"/>
      <c r="M18" s="64" t="s">
        <v>410</v>
      </c>
      <c r="N18" s="96">
        <v>904578827</v>
      </c>
      <c r="O18" s="18" t="s">
        <v>411</v>
      </c>
      <c r="P18" s="18"/>
      <c r="Q18" s="18" t="s">
        <v>412</v>
      </c>
      <c r="R18" s="18" t="s">
        <v>413</v>
      </c>
      <c r="S18" s="23">
        <v>2561</v>
      </c>
      <c r="T18" s="23">
        <v>2450</v>
      </c>
      <c r="U18" s="18">
        <f>Table22[[#This Row],[SALES '[€']]]-Table22[[#This Row],[PURCHASE '[€']]]</f>
        <v>111</v>
      </c>
      <c r="V18" s="60">
        <f>Table22[[#This Row],[MARGIN '[€']]]/Table22[[#This Row],[SALES '[€']]]</f>
        <v>4.3342444357672781E-2</v>
      </c>
      <c r="W18" s="18" t="s">
        <v>414</v>
      </c>
      <c r="X18" s="18" t="s">
        <v>415</v>
      </c>
      <c r="Y18" s="18">
        <v>2280</v>
      </c>
      <c r="Z18" s="59" t="s">
        <v>416</v>
      </c>
      <c r="AA18" s="18" t="s">
        <v>51</v>
      </c>
      <c r="AB18" s="22">
        <f>Table22[[#This Row],[PURCHASE '[€']]]/Table22[[#This Row],[KM]]</f>
        <v>1.0745614035087718</v>
      </c>
      <c r="AC18" s="22">
        <f t="shared" si="7"/>
        <v>1.1232456140350877</v>
      </c>
      <c r="AD18" s="18"/>
      <c r="AE18" s="18"/>
      <c r="AF18" s="18"/>
      <c r="AG18" s="18"/>
      <c r="AH18" s="18"/>
      <c r="AI18" s="18"/>
      <c r="AJ18" s="18"/>
      <c r="AK18" s="18"/>
      <c r="AL18" s="18" t="str">
        <f>IF(Table22[[#This Row],[DELIVERY TIME]]="STORNO","CANCELLED","OK")</f>
        <v>OK</v>
      </c>
      <c r="AM18" s="18"/>
      <c r="AN18" s="18" t="str">
        <f>IF(RIGHT(Table22[[#This Row],[CARRIER]],3)="-MF",921,"")</f>
        <v/>
      </c>
      <c r="AO18" s="18"/>
    </row>
    <row r="19" spans="1:41">
      <c r="A19" s="21">
        <f t="shared" si="6"/>
        <v>3</v>
      </c>
      <c r="B19" s="23" t="s">
        <v>344</v>
      </c>
      <c r="C19" s="61" t="s">
        <v>42</v>
      </c>
      <c r="D19" s="24" t="s">
        <v>43</v>
      </c>
      <c r="E19" s="62" t="s">
        <v>44</v>
      </c>
      <c r="F19" s="61">
        <v>45310</v>
      </c>
      <c r="G19" s="25"/>
      <c r="H19" s="23" t="s">
        <v>45</v>
      </c>
      <c r="I19" s="26" t="s">
        <v>417</v>
      </c>
      <c r="J19" s="23" t="s">
        <v>418</v>
      </c>
      <c r="K19" s="27">
        <v>45321</v>
      </c>
      <c r="L19" s="28">
        <v>0.33333333333333331</v>
      </c>
      <c r="M19" s="64">
        <v>115586</v>
      </c>
      <c r="N19" s="191" t="s">
        <v>419</v>
      </c>
      <c r="O19" s="18" t="s">
        <v>355</v>
      </c>
      <c r="P19" s="18"/>
      <c r="Q19" s="18" t="s">
        <v>420</v>
      </c>
      <c r="R19" s="18" t="s">
        <v>85</v>
      </c>
      <c r="S19" s="23">
        <v>2900</v>
      </c>
      <c r="T19" s="23">
        <v>2650</v>
      </c>
      <c r="U19" s="18">
        <f>Table22[[#This Row],[SALES '[€']]]-Table22[[#This Row],[PURCHASE '[€']]]</f>
        <v>250</v>
      </c>
      <c r="V19" s="60">
        <f>Table22[[#This Row],[MARGIN '[€']]]/Table22[[#This Row],[SALES '[€']]]</f>
        <v>8.6206896551724144E-2</v>
      </c>
      <c r="W19" s="18">
        <v>9215170866</v>
      </c>
      <c r="X19" s="18" t="s">
        <v>421</v>
      </c>
      <c r="Y19" s="18">
        <v>2089</v>
      </c>
      <c r="Z19" s="18"/>
      <c r="AA19" s="18" t="s">
        <v>51</v>
      </c>
      <c r="AB19" s="22">
        <f>Table22[[#This Row],[PURCHASE '[€']]]/Table22[[#This Row],[KM]]</f>
        <v>1.2685495452369555</v>
      </c>
      <c r="AC19" s="22">
        <f t="shared" si="7"/>
        <v>1.3882240306366682</v>
      </c>
      <c r="AD19" s="18"/>
      <c r="AE19" s="18"/>
      <c r="AF19" s="18"/>
      <c r="AG19" s="18"/>
      <c r="AH19" s="18"/>
      <c r="AI19" s="18"/>
      <c r="AJ19" s="18"/>
      <c r="AK19" s="18"/>
      <c r="AL19" s="18" t="str">
        <f>IF(Table22[[#This Row],[DELIVERY TIME]]="STORNO","CANCELLED","OK")</f>
        <v>OK</v>
      </c>
      <c r="AM19" s="18"/>
      <c r="AN19" s="18" t="str">
        <f>IF(RIGHT(Table22[[#This Row],[CARRIER]],3)="-MF",921,"")</f>
        <v/>
      </c>
      <c r="AO19" s="18"/>
    </row>
    <row r="20" spans="1:41">
      <c r="A20" s="21">
        <f t="shared" si="6"/>
        <v>3</v>
      </c>
      <c r="B20" s="23" t="s">
        <v>344</v>
      </c>
      <c r="C20" s="61" t="s">
        <v>45</v>
      </c>
      <c r="D20" s="24" t="s">
        <v>384</v>
      </c>
      <c r="E20" s="208" t="s">
        <v>385</v>
      </c>
      <c r="F20" s="61">
        <v>45310</v>
      </c>
      <c r="G20" s="25"/>
      <c r="H20" s="23" t="s">
        <v>42</v>
      </c>
      <c r="I20" s="26" t="s">
        <v>43</v>
      </c>
      <c r="J20" s="23" t="s">
        <v>44</v>
      </c>
      <c r="K20" s="27">
        <v>45313</v>
      </c>
      <c r="L20" s="28">
        <v>0.45833333333333331</v>
      </c>
      <c r="M20" s="64" t="s">
        <v>422</v>
      </c>
      <c r="N20" s="32" t="s">
        <v>423</v>
      </c>
      <c r="O20" s="18" t="s">
        <v>347</v>
      </c>
      <c r="P20" s="18"/>
      <c r="Q20" s="18" t="s">
        <v>424</v>
      </c>
      <c r="R20" s="18" t="s">
        <v>425</v>
      </c>
      <c r="S20" s="23">
        <v>1950</v>
      </c>
      <c r="T20" s="23">
        <v>1800</v>
      </c>
      <c r="U20" s="18">
        <f>Table22[[#This Row],[SALES '[€']]]-Table22[[#This Row],[PURCHASE '[€']]]</f>
        <v>150</v>
      </c>
      <c r="V20" s="60">
        <f>Table22[[#This Row],[MARGIN '[€']]]/Table22[[#This Row],[SALES '[€']]]</f>
        <v>7.6923076923076927E-2</v>
      </c>
      <c r="W20" s="18">
        <v>9215170865</v>
      </c>
      <c r="X20" s="18" t="s">
        <v>426</v>
      </c>
      <c r="Y20" s="18">
        <v>1938</v>
      </c>
      <c r="Z20" s="18"/>
      <c r="AA20" s="18" t="s">
        <v>51</v>
      </c>
      <c r="AB20" s="22">
        <f>Table22[[#This Row],[PURCHASE '[€']]]/Table22[[#This Row],[KM]]</f>
        <v>0.92879256965944268</v>
      </c>
      <c r="AC20" s="22">
        <f t="shared" si="7"/>
        <v>1.0061919504643964</v>
      </c>
      <c r="AD20" s="18"/>
      <c r="AE20" s="18"/>
      <c r="AF20" s="18"/>
      <c r="AG20" s="18"/>
      <c r="AH20" s="18"/>
      <c r="AI20" s="18"/>
      <c r="AJ20" s="18"/>
      <c r="AK20" s="18"/>
      <c r="AL20" s="18" t="str">
        <f>IF(Table22[[#This Row],[DELIVERY TIME]]="STORNO","CANCELLED","OK")</f>
        <v>OK</v>
      </c>
      <c r="AM20" s="18"/>
      <c r="AN20" s="18" t="str">
        <f>IF(RIGHT(Table22[[#This Row],[CARRIER]],3)="-MF",921,"")</f>
        <v/>
      </c>
      <c r="AO20" s="18"/>
    </row>
    <row r="21" spans="1:41">
      <c r="A21" s="21">
        <f t="shared" si="6"/>
        <v>3</v>
      </c>
      <c r="B21" s="23" t="s">
        <v>344</v>
      </c>
      <c r="C21" s="61" t="s">
        <v>42</v>
      </c>
      <c r="D21" s="24" t="s">
        <v>43</v>
      </c>
      <c r="E21" s="62" t="s">
        <v>44</v>
      </c>
      <c r="F21" s="61">
        <v>45310</v>
      </c>
      <c r="G21" s="25"/>
      <c r="H21" s="23" t="s">
        <v>45</v>
      </c>
      <c r="I21" s="26" t="s">
        <v>372</v>
      </c>
      <c r="J21" s="23" t="s">
        <v>373</v>
      </c>
      <c r="K21" s="27">
        <v>45315</v>
      </c>
      <c r="L21" s="28"/>
      <c r="M21" s="64">
        <v>115808</v>
      </c>
      <c r="N21" s="32"/>
      <c r="O21" s="18" t="s">
        <v>355</v>
      </c>
      <c r="P21" s="18"/>
      <c r="Q21" s="18" t="s">
        <v>427</v>
      </c>
      <c r="R21" s="18" t="s">
        <v>255</v>
      </c>
      <c r="S21" s="187">
        <f>2550+82</f>
        <v>2632</v>
      </c>
      <c r="T21" s="23">
        <v>2300</v>
      </c>
      <c r="U21" s="18">
        <f>Table22[[#This Row],[SALES '[€']]]-Table22[[#This Row],[PURCHASE '[€']]]</f>
        <v>332</v>
      </c>
      <c r="V21" s="60">
        <f>Table22[[#This Row],[MARGIN '[€']]]/Table22[[#This Row],[SALES '[€']]]</f>
        <v>0.12613981762917933</v>
      </c>
      <c r="W21" s="18">
        <v>9215170914</v>
      </c>
      <c r="X21" s="18" t="s">
        <v>428</v>
      </c>
      <c r="Y21" s="18">
        <v>1650</v>
      </c>
      <c r="Z21" s="18"/>
      <c r="AA21" s="18" t="s">
        <v>51</v>
      </c>
      <c r="AB21" s="22">
        <f>Table22[[#This Row],[PURCHASE '[€']]]/Table22[[#This Row],[KM]]</f>
        <v>1.393939393939394</v>
      </c>
      <c r="AC21" s="22">
        <f t="shared" si="7"/>
        <v>1.5951515151515152</v>
      </c>
      <c r="AD21" s="18"/>
      <c r="AE21" s="18"/>
      <c r="AF21" s="18"/>
      <c r="AG21" s="18"/>
      <c r="AH21" s="18"/>
      <c r="AI21" s="18"/>
      <c r="AJ21" s="18"/>
      <c r="AK21" s="18"/>
      <c r="AL21" s="18" t="str">
        <f>IF(Table22[[#This Row],[DELIVERY TIME]]="STORNO","CANCELLED","OK")</f>
        <v>OK</v>
      </c>
      <c r="AM21" s="18"/>
      <c r="AN21" s="18" t="str">
        <f>IF(RIGHT(Table22[[#This Row],[CARRIER]],3)="-MF",921,"")</f>
        <v/>
      </c>
      <c r="AO21" s="18"/>
    </row>
    <row r="22" spans="1:41">
      <c r="A22" s="21">
        <f t="shared" si="6"/>
        <v>3</v>
      </c>
      <c r="B22" s="23" t="s">
        <v>344</v>
      </c>
      <c r="C22" s="61" t="s">
        <v>42</v>
      </c>
      <c r="D22" s="24" t="s">
        <v>43</v>
      </c>
      <c r="E22" s="62" t="s">
        <v>44</v>
      </c>
      <c r="F22" s="61">
        <v>45310</v>
      </c>
      <c r="G22" s="25"/>
      <c r="H22" s="23" t="s">
        <v>45</v>
      </c>
      <c r="I22" s="26" t="s">
        <v>372</v>
      </c>
      <c r="J22" s="23" t="s">
        <v>373</v>
      </c>
      <c r="K22" s="27">
        <v>45315</v>
      </c>
      <c r="L22" s="28"/>
      <c r="M22" s="64">
        <v>115925</v>
      </c>
      <c r="N22" s="32"/>
      <c r="O22" s="18" t="s">
        <v>355</v>
      </c>
      <c r="P22" s="18"/>
      <c r="Q22" s="18" t="s">
        <v>429</v>
      </c>
      <c r="R22" s="18" t="s">
        <v>255</v>
      </c>
      <c r="S22" s="187">
        <f>2550+82</f>
        <v>2632</v>
      </c>
      <c r="T22" s="23">
        <v>2300</v>
      </c>
      <c r="U22" s="18">
        <f>Table22[[#This Row],[SALES '[€']]]-Table22[[#This Row],[PURCHASE '[€']]]</f>
        <v>332</v>
      </c>
      <c r="V22" s="60">
        <f>Table22[[#This Row],[MARGIN '[€']]]/Table22[[#This Row],[SALES '[€']]]</f>
        <v>0.12613981762917933</v>
      </c>
      <c r="W22" s="18">
        <v>9215170915</v>
      </c>
      <c r="X22" s="18" t="s">
        <v>430</v>
      </c>
      <c r="Y22" s="18">
        <v>1650</v>
      </c>
      <c r="Z22" s="18"/>
      <c r="AA22" s="18" t="s">
        <v>51</v>
      </c>
      <c r="AB22" s="22">
        <f>Table22[[#This Row],[PURCHASE '[€']]]/Table22[[#This Row],[KM]]</f>
        <v>1.393939393939394</v>
      </c>
      <c r="AC22" s="22">
        <f t="shared" si="7"/>
        <v>1.5951515151515152</v>
      </c>
      <c r="AD22" s="18"/>
      <c r="AE22" s="18"/>
      <c r="AF22" s="18"/>
      <c r="AG22" s="18"/>
      <c r="AH22" s="18"/>
      <c r="AI22" s="18"/>
      <c r="AJ22" s="18"/>
      <c r="AK22" s="18"/>
      <c r="AL22" s="18" t="str">
        <f>IF(Table22[[#This Row],[DELIVERY TIME]]="STORNO","CANCELLED","OK")</f>
        <v>OK</v>
      </c>
      <c r="AM22" s="18"/>
      <c r="AN22" s="18" t="str">
        <f>IF(RIGHT(Table22[[#This Row],[CARRIER]],3)="-MF",921,"")</f>
        <v/>
      </c>
      <c r="AO22" s="18"/>
    </row>
    <row r="23" spans="1:41">
      <c r="A23" s="21">
        <f t="shared" si="6"/>
        <v>4</v>
      </c>
      <c r="B23" s="23" t="s">
        <v>344</v>
      </c>
      <c r="C23" s="61" t="s">
        <v>42</v>
      </c>
      <c r="D23" s="24" t="s">
        <v>43</v>
      </c>
      <c r="E23" s="62" t="s">
        <v>44</v>
      </c>
      <c r="F23" s="61">
        <v>45313</v>
      </c>
      <c r="G23" s="25"/>
      <c r="H23" s="23" t="s">
        <v>45</v>
      </c>
      <c r="I23" s="26" t="s">
        <v>417</v>
      </c>
      <c r="J23" s="23" t="s">
        <v>418</v>
      </c>
      <c r="K23" s="27">
        <v>45322</v>
      </c>
      <c r="L23" s="28">
        <v>0.33333333333333331</v>
      </c>
      <c r="M23" s="64">
        <v>115874</v>
      </c>
      <c r="N23" s="32"/>
      <c r="O23" s="18" t="s">
        <v>355</v>
      </c>
      <c r="P23" s="18"/>
      <c r="Q23" s="18" t="s">
        <v>431</v>
      </c>
      <c r="R23" s="18" t="s">
        <v>85</v>
      </c>
      <c r="S23" s="23">
        <v>2900</v>
      </c>
      <c r="T23" s="23">
        <v>2650</v>
      </c>
      <c r="U23" s="18">
        <f>Table22[[#This Row],[SALES '[€']]]-Table22[[#This Row],[PURCHASE '[€']]]</f>
        <v>250</v>
      </c>
      <c r="V23" s="60">
        <f>Table22[[#This Row],[MARGIN '[€']]]/Table22[[#This Row],[SALES '[€']]]</f>
        <v>8.6206896551724144E-2</v>
      </c>
      <c r="W23" s="18">
        <v>9215170892</v>
      </c>
      <c r="X23" s="18" t="s">
        <v>432</v>
      </c>
      <c r="Y23" s="18">
        <v>2089</v>
      </c>
      <c r="Z23" s="18"/>
      <c r="AA23" s="18" t="s">
        <v>51</v>
      </c>
      <c r="AB23" s="22">
        <f>Table22[[#This Row],[PURCHASE '[€']]]/Table22[[#This Row],[KM]]</f>
        <v>1.2685495452369555</v>
      </c>
      <c r="AC23" s="22">
        <f t="shared" si="7"/>
        <v>1.3882240306366682</v>
      </c>
      <c r="AD23" s="18"/>
      <c r="AE23" s="18"/>
      <c r="AF23" s="18"/>
      <c r="AG23" s="18"/>
      <c r="AH23" s="18"/>
      <c r="AI23" s="18"/>
      <c r="AJ23" s="18"/>
      <c r="AK23" s="18"/>
      <c r="AL23" s="18" t="str">
        <f>IF(Table22[[#This Row],[DELIVERY TIME]]="STORNO","CANCELLED","OK")</f>
        <v>OK</v>
      </c>
      <c r="AM23" s="18"/>
      <c r="AN23" s="18" t="str">
        <f>IF(RIGHT(Table22[[#This Row],[CARRIER]],3)="-MF",921,"")</f>
        <v/>
      </c>
      <c r="AO23" s="18"/>
    </row>
    <row r="24" spans="1:41">
      <c r="A24" s="21">
        <f t="shared" si="6"/>
        <v>4</v>
      </c>
      <c r="B24" s="23" t="s">
        <v>344</v>
      </c>
      <c r="C24" s="61" t="s">
        <v>42</v>
      </c>
      <c r="D24" s="24" t="s">
        <v>43</v>
      </c>
      <c r="E24" s="62" t="s">
        <v>44</v>
      </c>
      <c r="F24" s="61">
        <v>45313</v>
      </c>
      <c r="G24" s="25"/>
      <c r="H24" s="23" t="s">
        <v>45</v>
      </c>
      <c r="I24" s="26" t="s">
        <v>433</v>
      </c>
      <c r="J24" s="23" t="s">
        <v>434</v>
      </c>
      <c r="K24" s="27">
        <v>45316</v>
      </c>
      <c r="L24" s="28"/>
      <c r="M24" s="64">
        <v>115151</v>
      </c>
      <c r="N24" s="32"/>
      <c r="O24" s="18" t="s">
        <v>355</v>
      </c>
      <c r="P24" s="18"/>
      <c r="Q24" s="18" t="s">
        <v>435</v>
      </c>
      <c r="R24" s="18" t="s">
        <v>255</v>
      </c>
      <c r="S24" s="187">
        <f>2662+82</f>
        <v>2744</v>
      </c>
      <c r="T24" s="23">
        <v>2400</v>
      </c>
      <c r="U24" s="18">
        <f>Table22[[#This Row],[SALES '[€']]]-Table22[[#This Row],[PURCHASE '[€']]]</f>
        <v>344</v>
      </c>
      <c r="V24" s="60">
        <f>Table22[[#This Row],[MARGIN '[€']]]/Table22[[#This Row],[SALES '[€']]]</f>
        <v>0.12536443148688048</v>
      </c>
      <c r="W24" s="18">
        <v>9215170916</v>
      </c>
      <c r="X24" s="18" t="s">
        <v>436</v>
      </c>
      <c r="Y24" s="18">
        <v>1774</v>
      </c>
      <c r="Z24" s="18"/>
      <c r="AA24" s="18" t="s">
        <v>51</v>
      </c>
      <c r="AB24" s="22">
        <f>Table22[[#This Row],[PURCHASE '[€']]]/Table22[[#This Row],[KM]]</f>
        <v>1.3528748590755355</v>
      </c>
      <c r="AC24" s="22">
        <f t="shared" si="7"/>
        <v>1.5467869222096957</v>
      </c>
      <c r="AD24" s="18"/>
      <c r="AE24" s="18"/>
      <c r="AF24" s="18"/>
      <c r="AG24" s="18"/>
      <c r="AH24" s="18"/>
      <c r="AI24" s="18"/>
      <c r="AJ24" s="18"/>
      <c r="AK24" s="18"/>
      <c r="AL24" s="18" t="str">
        <f>IF(Table22[[#This Row],[DELIVERY TIME]]="STORNO","CANCELLED","OK")</f>
        <v>OK</v>
      </c>
      <c r="AM24" s="18"/>
      <c r="AN24" s="18" t="str">
        <f>IF(RIGHT(Table22[[#This Row],[CARRIER]],3)="-MF",921,"")</f>
        <v/>
      </c>
      <c r="AO24" s="18"/>
    </row>
    <row r="25" spans="1:41">
      <c r="A25" s="21">
        <f t="shared" si="6"/>
        <v>3</v>
      </c>
      <c r="B25" s="23" t="s">
        <v>344</v>
      </c>
      <c r="C25" s="61" t="s">
        <v>42</v>
      </c>
      <c r="D25" s="24" t="s">
        <v>43</v>
      </c>
      <c r="E25" s="62" t="s">
        <v>44</v>
      </c>
      <c r="F25" s="61">
        <v>45308</v>
      </c>
      <c r="G25" s="25"/>
      <c r="H25" s="23" t="s">
        <v>45</v>
      </c>
      <c r="I25" s="26" t="s">
        <v>376</v>
      </c>
      <c r="J25" s="23" t="s">
        <v>377</v>
      </c>
      <c r="K25" s="27">
        <v>45467</v>
      </c>
      <c r="L25" s="28">
        <v>0.25</v>
      </c>
      <c r="M25" s="64">
        <v>115830</v>
      </c>
      <c r="N25" s="32" t="s">
        <v>437</v>
      </c>
      <c r="O25" s="18" t="s">
        <v>347</v>
      </c>
      <c r="P25" s="18"/>
      <c r="Q25" s="18" t="s">
        <v>438</v>
      </c>
      <c r="R25" s="18" t="s">
        <v>389</v>
      </c>
      <c r="S25" s="23">
        <v>1250</v>
      </c>
      <c r="T25" s="23">
        <v>1000</v>
      </c>
      <c r="U25" s="18">
        <f>Table22[[#This Row],[SALES '[€']]]-Table22[[#This Row],[PURCHASE '[€']]]</f>
        <v>250</v>
      </c>
      <c r="V25" s="60">
        <f>Table22[[#This Row],[MARGIN '[€']]]/Table22[[#This Row],[SALES '[€']]]</f>
        <v>0.2</v>
      </c>
      <c r="W25" s="18">
        <v>9215170889</v>
      </c>
      <c r="X25" s="18" t="s">
        <v>439</v>
      </c>
      <c r="Y25" s="18">
        <v>2290</v>
      </c>
      <c r="Z25" s="59" t="s">
        <v>440</v>
      </c>
      <c r="AA25" s="18" t="s">
        <v>51</v>
      </c>
      <c r="AB25" s="22">
        <f>Table22[[#This Row],[PURCHASE '[€']]]/Table22[[#This Row],[KM]]</f>
        <v>0.4366812227074236</v>
      </c>
      <c r="AC25" s="22">
        <f t="shared" si="7"/>
        <v>0.54585152838427953</v>
      </c>
      <c r="AD25" s="18"/>
      <c r="AE25" s="18"/>
      <c r="AF25" s="18"/>
      <c r="AG25" s="18"/>
      <c r="AH25" s="18"/>
      <c r="AI25" s="18"/>
      <c r="AJ25" s="18"/>
      <c r="AK25" s="18"/>
      <c r="AL25" s="18" t="str">
        <f>IF(Table22[[#This Row],[DELIVERY TIME]]="STORNO","CANCELLED","OK")</f>
        <v>OK</v>
      </c>
      <c r="AM25" s="18"/>
      <c r="AN25" s="18" t="str">
        <f>IF(RIGHT(Table22[[#This Row],[CARRIER]],3)="-MF",921,"")</f>
        <v/>
      </c>
      <c r="AO25" s="18"/>
    </row>
    <row r="26" spans="1:41">
      <c r="A26" s="21">
        <f t="shared" ref="A26:A31" si="8">WEEKNUM(F26,21)</f>
        <v>3</v>
      </c>
      <c r="B26" s="23" t="s">
        <v>344</v>
      </c>
      <c r="C26" s="61" t="s">
        <v>42</v>
      </c>
      <c r="D26" s="24" t="s">
        <v>43</v>
      </c>
      <c r="E26" s="62" t="s">
        <v>44</v>
      </c>
      <c r="F26" s="61">
        <v>45309</v>
      </c>
      <c r="G26" s="25"/>
      <c r="H26" s="23" t="s">
        <v>81</v>
      </c>
      <c r="I26" s="26" t="s">
        <v>328</v>
      </c>
      <c r="J26" s="23" t="s">
        <v>441</v>
      </c>
      <c r="K26" s="27">
        <v>45316</v>
      </c>
      <c r="L26" s="28"/>
      <c r="M26" s="64">
        <v>115950</v>
      </c>
      <c r="N26" s="32" t="s">
        <v>442</v>
      </c>
      <c r="O26" s="18" t="s">
        <v>347</v>
      </c>
      <c r="P26" s="18"/>
      <c r="Q26" s="18" t="s">
        <v>443</v>
      </c>
      <c r="R26" s="18" t="s">
        <v>353</v>
      </c>
      <c r="S26" s="23">
        <v>870</v>
      </c>
      <c r="T26" s="23">
        <v>820</v>
      </c>
      <c r="U26" s="18">
        <f>Table22[[#This Row],[SALES '[€']]]-Table22[[#This Row],[PURCHASE '[€']]]</f>
        <v>50</v>
      </c>
      <c r="V26" s="60">
        <f>Table22[[#This Row],[MARGIN '[€']]]/Table22[[#This Row],[SALES '[€']]]</f>
        <v>5.7471264367816091E-2</v>
      </c>
      <c r="W26" s="18">
        <v>9215170931</v>
      </c>
      <c r="X26" s="18" t="s">
        <v>444</v>
      </c>
      <c r="Y26" s="18">
        <v>1465</v>
      </c>
      <c r="Z26" s="18"/>
      <c r="AA26" s="18" t="s">
        <v>51</v>
      </c>
      <c r="AB26" s="22">
        <f>Table22[[#This Row],[PURCHASE '[€']]]/Table22[[#This Row],[KM]]</f>
        <v>0.55972696245733788</v>
      </c>
      <c r="AC26" s="22">
        <f t="shared" ref="AC26:AC31" si="9">S26/Y26</f>
        <v>0.59385665529010234</v>
      </c>
      <c r="AD26" s="18"/>
      <c r="AE26" s="18"/>
      <c r="AF26" s="18"/>
      <c r="AG26" s="18"/>
      <c r="AH26" s="18"/>
      <c r="AI26" s="18"/>
      <c r="AJ26" s="18"/>
      <c r="AK26" s="18"/>
      <c r="AL26" s="18" t="str">
        <f>IF(Table22[[#This Row],[DELIVERY TIME]]="STORNO","CANCELLED","OK")</f>
        <v>OK</v>
      </c>
      <c r="AM26" s="18"/>
      <c r="AN26" s="18" t="str">
        <f>IF(RIGHT(Table22[[#This Row],[CARRIER]],3)="-MF",921,"")</f>
        <v/>
      </c>
      <c r="AO26" s="18"/>
    </row>
    <row r="27" spans="1:41">
      <c r="A27" s="21">
        <f t="shared" si="8"/>
        <v>3</v>
      </c>
      <c r="B27" s="23" t="s">
        <v>344</v>
      </c>
      <c r="C27" s="61" t="s">
        <v>42</v>
      </c>
      <c r="D27" s="24" t="s">
        <v>43</v>
      </c>
      <c r="E27" s="62" t="s">
        <v>44</v>
      </c>
      <c r="F27" s="61">
        <v>45310</v>
      </c>
      <c r="G27" s="25"/>
      <c r="H27" s="23" t="s">
        <v>366</v>
      </c>
      <c r="I27" s="26" t="s">
        <v>268</v>
      </c>
      <c r="J27" s="23" t="s">
        <v>445</v>
      </c>
      <c r="K27" s="27">
        <v>45406</v>
      </c>
      <c r="L27" s="28"/>
      <c r="M27" s="64">
        <v>115879</v>
      </c>
      <c r="N27" s="32"/>
      <c r="O27" s="18" t="s">
        <v>355</v>
      </c>
      <c r="P27" s="18"/>
      <c r="Q27" s="18" t="s">
        <v>446</v>
      </c>
      <c r="R27" s="18" t="s">
        <v>447</v>
      </c>
      <c r="S27" s="23">
        <v>2750</v>
      </c>
      <c r="T27" s="23">
        <v>2600</v>
      </c>
      <c r="U27" s="18">
        <f>Table22[[#This Row],[SALES '[€']]]-Table22[[#This Row],[PURCHASE '[€']]]</f>
        <v>150</v>
      </c>
      <c r="V27" s="60">
        <f>Table22[[#This Row],[MARGIN '[€']]]/Table22[[#This Row],[SALES '[€']]]</f>
        <v>5.4545454545454543E-2</v>
      </c>
      <c r="W27" s="18">
        <v>9215170950</v>
      </c>
      <c r="X27" s="18" t="s">
        <v>448</v>
      </c>
      <c r="Y27" s="18">
        <v>1744</v>
      </c>
      <c r="Z27" s="59" t="s">
        <v>449</v>
      </c>
      <c r="AA27" s="18" t="s">
        <v>51</v>
      </c>
      <c r="AB27" s="22">
        <f>Table22[[#This Row],[PURCHASE '[€']]]/Table22[[#This Row],[KM]]</f>
        <v>1.4908256880733946</v>
      </c>
      <c r="AC27" s="22">
        <f t="shared" si="9"/>
        <v>1.576834862385321</v>
      </c>
      <c r="AD27" s="18"/>
      <c r="AE27" s="18"/>
      <c r="AF27" s="18"/>
      <c r="AG27" s="18"/>
      <c r="AH27" s="18"/>
      <c r="AI27" s="18"/>
      <c r="AJ27" s="18"/>
      <c r="AK27" s="18"/>
      <c r="AL27" s="18" t="str">
        <f>IF(Table22[[#This Row],[DELIVERY TIME]]="STORNO","CANCELLED","OK")</f>
        <v>OK</v>
      </c>
      <c r="AM27" s="18"/>
      <c r="AN27" s="18" t="str">
        <f>IF(RIGHT(Table22[[#This Row],[CARRIER]],3)="-MF",921,"")</f>
        <v/>
      </c>
      <c r="AO27" s="18"/>
    </row>
    <row r="28" spans="1:41">
      <c r="A28" s="21">
        <f t="shared" si="8"/>
        <v>4</v>
      </c>
      <c r="B28" s="23" t="s">
        <v>344</v>
      </c>
      <c r="C28" s="61" t="s">
        <v>42</v>
      </c>
      <c r="D28" s="24" t="s">
        <v>43</v>
      </c>
      <c r="E28" s="62" t="s">
        <v>44</v>
      </c>
      <c r="F28" s="61">
        <v>45313</v>
      </c>
      <c r="G28" s="25"/>
      <c r="H28" s="23" t="s">
        <v>45</v>
      </c>
      <c r="I28" s="26" t="s">
        <v>345</v>
      </c>
      <c r="J28" s="23" t="s">
        <v>346</v>
      </c>
      <c r="K28" s="27">
        <v>45315</v>
      </c>
      <c r="L28" s="28"/>
      <c r="M28" s="64">
        <v>115920</v>
      </c>
      <c r="N28" s="32"/>
      <c r="O28" s="18" t="s">
        <v>355</v>
      </c>
      <c r="P28" s="18"/>
      <c r="Q28" s="18" t="s">
        <v>450</v>
      </c>
      <c r="R28" s="18" t="s">
        <v>220</v>
      </c>
      <c r="S28" s="187">
        <f>2620+82</f>
        <v>2702</v>
      </c>
      <c r="T28" s="23">
        <v>2450</v>
      </c>
      <c r="U28" s="18">
        <f>Table22[[#This Row],[SALES '[€']]]-Table22[[#This Row],[PURCHASE '[€']]]</f>
        <v>252</v>
      </c>
      <c r="V28" s="60">
        <f>Table22[[#This Row],[MARGIN '[€']]]/Table22[[#This Row],[SALES '[€']]]</f>
        <v>9.3264248704663211E-2</v>
      </c>
      <c r="W28" s="18">
        <v>9215170962</v>
      </c>
      <c r="X28" s="18" t="s">
        <v>451</v>
      </c>
      <c r="Y28" s="18">
        <v>1736</v>
      </c>
      <c r="Z28" s="18"/>
      <c r="AA28" s="18" t="s">
        <v>51</v>
      </c>
      <c r="AB28" s="22">
        <f>Table22[[#This Row],[PURCHASE '[€']]]/Table22[[#This Row],[KM]]</f>
        <v>1.4112903225806452</v>
      </c>
      <c r="AC28" s="22">
        <f t="shared" si="9"/>
        <v>1.5564516129032258</v>
      </c>
      <c r="AD28" s="18"/>
      <c r="AE28" s="18"/>
      <c r="AF28" s="18"/>
      <c r="AG28" s="18"/>
      <c r="AH28" s="18"/>
      <c r="AI28" s="18"/>
      <c r="AJ28" s="18"/>
      <c r="AK28" s="18"/>
      <c r="AL28" s="18" t="str">
        <f>IF(Table22[[#This Row],[DELIVERY TIME]]="STORNO","CANCELLED","OK")</f>
        <v>OK</v>
      </c>
      <c r="AM28" s="18"/>
      <c r="AN28" s="18" t="str">
        <f>IF(RIGHT(Table22[[#This Row],[CARRIER]],3)="-MF",921,"")</f>
        <v/>
      </c>
      <c r="AO28" s="18"/>
    </row>
    <row r="29" spans="1:41">
      <c r="A29" s="21">
        <f t="shared" si="8"/>
        <v>4</v>
      </c>
      <c r="B29" s="23" t="s">
        <v>344</v>
      </c>
      <c r="C29" s="61" t="s">
        <v>42</v>
      </c>
      <c r="D29" s="24" t="s">
        <v>43</v>
      </c>
      <c r="E29" s="62" t="s">
        <v>44</v>
      </c>
      <c r="F29" s="61">
        <v>45315</v>
      </c>
      <c r="G29" s="25"/>
      <c r="H29" s="23" t="s">
        <v>452</v>
      </c>
      <c r="I29" s="26" t="s">
        <v>453</v>
      </c>
      <c r="J29" s="23" t="s">
        <v>454</v>
      </c>
      <c r="K29" s="27">
        <v>45321</v>
      </c>
      <c r="L29" s="28"/>
      <c r="M29" s="64">
        <v>115272</v>
      </c>
      <c r="N29" s="32"/>
      <c r="O29" s="18" t="s">
        <v>355</v>
      </c>
      <c r="P29" s="18"/>
      <c r="Q29" s="18" t="s">
        <v>455</v>
      </c>
      <c r="R29" s="18" t="s">
        <v>456</v>
      </c>
      <c r="S29" s="23">
        <v>2331</v>
      </c>
      <c r="T29" s="23">
        <v>2200</v>
      </c>
      <c r="U29" s="18">
        <f>Table22[[#This Row],[SALES '[€']]]-Table22[[#This Row],[PURCHASE '[€']]]</f>
        <v>131</v>
      </c>
      <c r="V29" s="60">
        <f>Table22[[#This Row],[MARGIN '[€']]]/Table22[[#This Row],[SALES '[€']]]</f>
        <v>5.6199056199056199E-2</v>
      </c>
      <c r="W29" s="18">
        <v>9215171030</v>
      </c>
      <c r="X29" s="18" t="s">
        <v>457</v>
      </c>
      <c r="Y29" s="18">
        <v>1744</v>
      </c>
      <c r="Z29" s="59" t="s">
        <v>458</v>
      </c>
      <c r="AA29" s="18" t="s">
        <v>51</v>
      </c>
      <c r="AB29" s="22">
        <f>Table22[[#This Row],[PURCHASE '[€']]]/Table22[[#This Row],[KM]]</f>
        <v>1.261467889908257</v>
      </c>
      <c r="AC29" s="22">
        <f t="shared" si="9"/>
        <v>1.3365825688073394</v>
      </c>
      <c r="AD29" s="18"/>
      <c r="AE29" s="18"/>
      <c r="AF29" s="18"/>
      <c r="AG29" s="18"/>
      <c r="AH29" s="18"/>
      <c r="AI29" s="18"/>
      <c r="AJ29" s="18"/>
      <c r="AK29" s="18"/>
      <c r="AL29" s="18" t="str">
        <f>IF(Table22[[#This Row],[DELIVERY TIME]]="STORNO","CANCELLED","OK")</f>
        <v>OK</v>
      </c>
      <c r="AM29" s="18"/>
      <c r="AN29" s="18" t="str">
        <f>IF(RIGHT(Table22[[#This Row],[CARRIER]],3)="-MF",921,"")</f>
        <v/>
      </c>
      <c r="AO29" s="18"/>
    </row>
    <row r="30" spans="1:41">
      <c r="A30" s="21">
        <f t="shared" si="8"/>
        <v>4</v>
      </c>
      <c r="B30" s="23" t="s">
        <v>344</v>
      </c>
      <c r="C30" s="61" t="s">
        <v>42</v>
      </c>
      <c r="D30" s="24" t="s">
        <v>43</v>
      </c>
      <c r="E30" s="62" t="s">
        <v>44</v>
      </c>
      <c r="F30" s="61">
        <v>45314</v>
      </c>
      <c r="G30" s="25"/>
      <c r="H30" s="23" t="s">
        <v>45</v>
      </c>
      <c r="I30" s="26" t="s">
        <v>345</v>
      </c>
      <c r="J30" s="23" t="s">
        <v>346</v>
      </c>
      <c r="K30" s="27">
        <v>45317</v>
      </c>
      <c r="L30" s="28">
        <v>0.375</v>
      </c>
      <c r="M30" s="64">
        <v>116131</v>
      </c>
      <c r="N30" s="32"/>
      <c r="O30" s="18" t="s">
        <v>355</v>
      </c>
      <c r="P30" s="18"/>
      <c r="Q30" s="18" t="s">
        <v>459</v>
      </c>
      <c r="R30" s="18" t="s">
        <v>85</v>
      </c>
      <c r="S30" s="187">
        <f>2620+82</f>
        <v>2702</v>
      </c>
      <c r="T30" s="23">
        <v>2280</v>
      </c>
      <c r="U30" s="18">
        <f>Table22[[#This Row],[SALES '[€']]]-Table22[[#This Row],[PURCHASE '[€']]]</f>
        <v>422</v>
      </c>
      <c r="V30" s="60">
        <f>Table22[[#This Row],[MARGIN '[€']]]/Table22[[#This Row],[SALES '[€']]]</f>
        <v>0.15618060695780903</v>
      </c>
      <c r="W30" s="18">
        <v>9215171091</v>
      </c>
      <c r="X30" s="18" t="s">
        <v>460</v>
      </c>
      <c r="Y30" s="18">
        <v>1736</v>
      </c>
      <c r="Z30" s="18"/>
      <c r="AA30" s="18" t="s">
        <v>51</v>
      </c>
      <c r="AB30" s="22">
        <f>Table22[[#This Row],[PURCHASE '[€']]]/Table22[[#This Row],[KM]]</f>
        <v>1.3133640552995391</v>
      </c>
      <c r="AC30" s="22">
        <f t="shared" si="9"/>
        <v>1.5564516129032258</v>
      </c>
      <c r="AD30" s="18"/>
      <c r="AE30" s="18"/>
      <c r="AF30" s="18"/>
      <c r="AG30" s="18"/>
      <c r="AH30" s="18"/>
      <c r="AI30" s="18"/>
      <c r="AJ30" s="18"/>
      <c r="AK30" s="18"/>
      <c r="AL30" s="18" t="str">
        <f>IF(Table22[[#This Row],[DELIVERY TIME]]="STORNO","CANCELLED","OK")</f>
        <v>OK</v>
      </c>
      <c r="AM30" s="18"/>
      <c r="AN30" s="18" t="str">
        <f>IF(RIGHT(Table22[[#This Row],[CARRIER]],3)="-MF",921,"")</f>
        <v/>
      </c>
      <c r="AO30" s="18"/>
    </row>
    <row r="31" spans="1:41">
      <c r="A31" s="21">
        <f t="shared" si="8"/>
        <v>4</v>
      </c>
      <c r="B31" s="23" t="s">
        <v>344</v>
      </c>
      <c r="C31" s="61" t="s">
        <v>42</v>
      </c>
      <c r="D31" s="24" t="s">
        <v>43</v>
      </c>
      <c r="E31" s="62" t="s">
        <v>44</v>
      </c>
      <c r="F31" s="61">
        <v>45314</v>
      </c>
      <c r="G31" s="25"/>
      <c r="H31" s="23" t="s">
        <v>45</v>
      </c>
      <c r="I31" s="26" t="s">
        <v>345</v>
      </c>
      <c r="J31" s="23" t="s">
        <v>346</v>
      </c>
      <c r="K31" s="27">
        <v>45316</v>
      </c>
      <c r="L31" s="28"/>
      <c r="M31" s="64">
        <v>116230</v>
      </c>
      <c r="N31" s="32"/>
      <c r="O31" s="18" t="s">
        <v>355</v>
      </c>
      <c r="P31" s="18"/>
      <c r="Q31" s="18" t="s">
        <v>461</v>
      </c>
      <c r="R31" s="18" t="s">
        <v>299</v>
      </c>
      <c r="S31" s="187">
        <f>2620+82</f>
        <v>2702</v>
      </c>
      <c r="T31" s="23">
        <v>2280</v>
      </c>
      <c r="U31" s="18">
        <f>Table22[[#This Row],[SALES '[€']]]-Table22[[#This Row],[PURCHASE '[€']]]</f>
        <v>422</v>
      </c>
      <c r="V31" s="60">
        <f>Table22[[#This Row],[MARGIN '[€']]]/Table22[[#This Row],[SALES '[€']]]</f>
        <v>0.15618060695780903</v>
      </c>
      <c r="W31" s="18">
        <v>9215171105</v>
      </c>
      <c r="X31" s="18" t="s">
        <v>462</v>
      </c>
      <c r="Y31" s="18">
        <v>1736</v>
      </c>
      <c r="Z31" s="18"/>
      <c r="AA31" s="18" t="s">
        <v>51</v>
      </c>
      <c r="AB31" s="22">
        <f>Table22[[#This Row],[PURCHASE '[€']]]/Table22[[#This Row],[KM]]</f>
        <v>1.3133640552995391</v>
      </c>
      <c r="AC31" s="22">
        <f t="shared" si="9"/>
        <v>1.5564516129032258</v>
      </c>
      <c r="AD31" s="18"/>
      <c r="AE31" s="18"/>
      <c r="AF31" s="18"/>
      <c r="AG31" s="18"/>
      <c r="AH31" s="18"/>
      <c r="AI31" s="18"/>
      <c r="AJ31" s="18"/>
      <c r="AK31" s="18"/>
      <c r="AL31" s="18" t="str">
        <f>IF(Table22[[#This Row],[DELIVERY TIME]]="STORNO","CANCELLED","OK")</f>
        <v>OK</v>
      </c>
      <c r="AM31" s="18"/>
      <c r="AN31" s="18" t="str">
        <f>IF(RIGHT(Table22[[#This Row],[CARRIER]],3)="-MF",921,"")</f>
        <v/>
      </c>
      <c r="AO31" s="18"/>
    </row>
    <row r="32" spans="1:41">
      <c r="A32" s="21">
        <f t="shared" ref="A32:A38" si="10">WEEKNUM(F32,21)</f>
        <v>4</v>
      </c>
      <c r="B32" s="23" t="s">
        <v>344</v>
      </c>
      <c r="C32" s="61" t="s">
        <v>45</v>
      </c>
      <c r="D32" s="24" t="s">
        <v>384</v>
      </c>
      <c r="E32" s="208" t="s">
        <v>385</v>
      </c>
      <c r="F32" s="61">
        <v>45316</v>
      </c>
      <c r="G32" s="25"/>
      <c r="H32" s="23" t="s">
        <v>42</v>
      </c>
      <c r="I32" s="26" t="s">
        <v>43</v>
      </c>
      <c r="J32" s="23" t="s">
        <v>44</v>
      </c>
      <c r="K32" s="27">
        <v>45321</v>
      </c>
      <c r="L32" s="28"/>
      <c r="M32" s="64" t="s">
        <v>463</v>
      </c>
      <c r="N32" s="32"/>
      <c r="O32" s="18" t="s">
        <v>355</v>
      </c>
      <c r="P32" s="18"/>
      <c r="Q32" s="65" t="s">
        <v>464</v>
      </c>
      <c r="R32" s="18" t="s">
        <v>465</v>
      </c>
      <c r="S32" s="23">
        <v>1250</v>
      </c>
      <c r="T32" s="23">
        <v>1200</v>
      </c>
      <c r="U32" s="18">
        <f>Table22[[#This Row],[SALES '[€']]]-Table22[[#This Row],[PURCHASE '[€']]]</f>
        <v>50</v>
      </c>
      <c r="V32" s="60">
        <f>Table22[[#This Row],[MARGIN '[€']]]/Table22[[#This Row],[SALES '[€']]]</f>
        <v>0.04</v>
      </c>
      <c r="W32" s="18">
        <v>9215171157</v>
      </c>
      <c r="X32" s="18" t="s">
        <v>466</v>
      </c>
      <c r="Y32" s="18">
        <v>1928</v>
      </c>
      <c r="Z32" s="59" t="s">
        <v>467</v>
      </c>
      <c r="AA32" s="18" t="s">
        <v>51</v>
      </c>
      <c r="AB32" s="22">
        <f>Table22[[#This Row],[PURCHASE '[€']]]/Table22[[#This Row],[KM]]</f>
        <v>0.62240663900414939</v>
      </c>
      <c r="AC32" s="22">
        <f t="shared" ref="AC32:AC38" si="11">S32/Y32</f>
        <v>0.64834024896265563</v>
      </c>
      <c r="AD32" s="18"/>
      <c r="AE32" s="18"/>
      <c r="AF32" s="18"/>
      <c r="AG32" s="18"/>
      <c r="AH32" s="18"/>
      <c r="AI32" s="18"/>
      <c r="AJ32" s="18"/>
      <c r="AK32" s="18"/>
      <c r="AL32" s="18" t="str">
        <f>IF(Table22[[#This Row],[DELIVERY TIME]]="STORNO","CANCELLED","OK")</f>
        <v>OK</v>
      </c>
      <c r="AM32" s="18"/>
      <c r="AN32" s="18" t="str">
        <f>IF(RIGHT(Table22[[#This Row],[CARRIER]],3)="-MF",921,"")</f>
        <v/>
      </c>
      <c r="AO32" s="18"/>
    </row>
    <row r="33" spans="1:41">
      <c r="A33" s="21">
        <f t="shared" si="10"/>
        <v>5</v>
      </c>
      <c r="B33" s="23" t="s">
        <v>344</v>
      </c>
      <c r="C33" s="61" t="s">
        <v>42</v>
      </c>
      <c r="D33" s="24" t="s">
        <v>43</v>
      </c>
      <c r="E33" s="62" t="s">
        <v>44</v>
      </c>
      <c r="F33" s="61">
        <v>45320</v>
      </c>
      <c r="G33" s="25"/>
      <c r="H33" s="23" t="s">
        <v>359</v>
      </c>
      <c r="I33" s="26" t="s">
        <v>360</v>
      </c>
      <c r="J33" s="23" t="s">
        <v>361</v>
      </c>
      <c r="K33" s="27">
        <v>45323</v>
      </c>
      <c r="L33" s="28"/>
      <c r="M33" s="64" t="s">
        <v>468</v>
      </c>
      <c r="N33" s="32"/>
      <c r="O33" s="18" t="s">
        <v>411</v>
      </c>
      <c r="P33" s="18"/>
      <c r="Q33" s="18" t="s">
        <v>469</v>
      </c>
      <c r="R33" s="18" t="s">
        <v>330</v>
      </c>
      <c r="S33" s="23">
        <v>2561</v>
      </c>
      <c r="T33" s="23">
        <v>2400</v>
      </c>
      <c r="U33" s="18">
        <f>Table22[[#This Row],[SALES '[€']]]-Table22[[#This Row],[PURCHASE '[€']]]</f>
        <v>161</v>
      </c>
      <c r="V33" s="60">
        <f>Table22[[#This Row],[MARGIN '[€']]]/Table22[[#This Row],[SALES '[€']]]</f>
        <v>6.2866067942210072E-2</v>
      </c>
      <c r="W33" s="18" t="s">
        <v>470</v>
      </c>
      <c r="X33" s="18" t="s">
        <v>471</v>
      </c>
      <c r="Y33" s="18">
        <v>2280</v>
      </c>
      <c r="Z33" s="18"/>
      <c r="AA33" s="18" t="s">
        <v>51</v>
      </c>
      <c r="AB33" s="22">
        <f>Table22[[#This Row],[PURCHASE '[€']]]/Table22[[#This Row],[KM]]</f>
        <v>1.0526315789473684</v>
      </c>
      <c r="AC33" s="22">
        <f t="shared" si="11"/>
        <v>1.1232456140350877</v>
      </c>
      <c r="AD33" s="18"/>
      <c r="AE33" s="18"/>
      <c r="AF33" s="18"/>
      <c r="AG33" s="18"/>
      <c r="AH33" s="18"/>
      <c r="AI33" s="18"/>
      <c r="AJ33" s="18"/>
      <c r="AK33" s="18"/>
      <c r="AL33" s="18" t="str">
        <f>IF(Table22[[#This Row],[DELIVERY TIME]]="STORNO","CANCELLED","OK")</f>
        <v>OK</v>
      </c>
      <c r="AM33" s="18"/>
      <c r="AN33" s="18" t="str">
        <f>IF(RIGHT(Table22[[#This Row],[CARRIER]],3)="-MF",921,"")</f>
        <v/>
      </c>
      <c r="AO33" s="18"/>
    </row>
    <row r="34" spans="1:41">
      <c r="A34" s="21">
        <f t="shared" si="10"/>
        <v>5</v>
      </c>
      <c r="B34" s="23" t="s">
        <v>344</v>
      </c>
      <c r="C34" s="61" t="s">
        <v>42</v>
      </c>
      <c r="D34" s="24" t="s">
        <v>43</v>
      </c>
      <c r="E34" s="62" t="s">
        <v>44</v>
      </c>
      <c r="F34" s="61">
        <v>45320</v>
      </c>
      <c r="G34" s="25"/>
      <c r="H34" s="23" t="s">
        <v>45</v>
      </c>
      <c r="I34" s="26" t="s">
        <v>433</v>
      </c>
      <c r="J34" s="23" t="s">
        <v>434</v>
      </c>
      <c r="K34" s="27">
        <v>45323</v>
      </c>
      <c r="L34" s="28"/>
      <c r="M34" s="64">
        <v>115937</v>
      </c>
      <c r="N34" s="32"/>
      <c r="O34" s="18" t="s">
        <v>355</v>
      </c>
      <c r="P34" s="18"/>
      <c r="Q34" s="65" t="s">
        <v>472</v>
      </c>
      <c r="R34" s="18" t="s">
        <v>473</v>
      </c>
      <c r="S34" s="187">
        <f>2662+82</f>
        <v>2744</v>
      </c>
      <c r="T34" s="23">
        <v>2350</v>
      </c>
      <c r="U34" s="18">
        <f>Table22[[#This Row],[SALES '[€']]]-Table22[[#This Row],[PURCHASE '[€']]]</f>
        <v>394</v>
      </c>
      <c r="V34" s="60">
        <f>Table22[[#This Row],[MARGIN '[€']]]/Table22[[#This Row],[SALES '[€']]]</f>
        <v>0.14358600583090378</v>
      </c>
      <c r="W34" s="18">
        <v>9215171288</v>
      </c>
      <c r="X34" s="18" t="s">
        <v>474</v>
      </c>
      <c r="Y34" s="18">
        <v>1774</v>
      </c>
      <c r="Z34" s="18"/>
      <c r="AA34" s="18" t="s">
        <v>51</v>
      </c>
      <c r="AB34" s="22">
        <f>Table22[[#This Row],[PURCHASE '[€']]]/Table22[[#This Row],[KM]]</f>
        <v>1.3246899661781286</v>
      </c>
      <c r="AC34" s="22">
        <f t="shared" si="11"/>
        <v>1.5467869222096957</v>
      </c>
      <c r="AD34" s="18"/>
      <c r="AE34" s="18"/>
      <c r="AF34" s="18"/>
      <c r="AG34" s="18"/>
      <c r="AH34" s="18"/>
      <c r="AI34" s="18"/>
      <c r="AJ34" s="18"/>
      <c r="AK34" s="18"/>
      <c r="AL34" s="18" t="str">
        <f>IF(Table22[[#This Row],[DELIVERY TIME]]="STORNO","CANCELLED","OK")</f>
        <v>OK</v>
      </c>
      <c r="AM34" s="18"/>
      <c r="AN34" s="18" t="str">
        <f>IF(RIGHT(Table22[[#This Row],[CARRIER]],3)="-MF",921,"")</f>
        <v/>
      </c>
      <c r="AO34" s="18"/>
    </row>
    <row r="35" spans="1:41">
      <c r="A35" s="21">
        <f t="shared" si="10"/>
        <v>5</v>
      </c>
      <c r="B35" s="23" t="s">
        <v>344</v>
      </c>
      <c r="C35" s="61" t="s">
        <v>42</v>
      </c>
      <c r="D35" s="24" t="s">
        <v>43</v>
      </c>
      <c r="E35" s="62" t="s">
        <v>44</v>
      </c>
      <c r="F35" s="61">
        <v>45321</v>
      </c>
      <c r="G35" s="25"/>
      <c r="H35" s="23" t="s">
        <v>45</v>
      </c>
      <c r="I35" s="26" t="s">
        <v>475</v>
      </c>
      <c r="J35" s="23" t="s">
        <v>476</v>
      </c>
      <c r="K35" s="27">
        <v>45323</v>
      </c>
      <c r="L35" s="28"/>
      <c r="M35" s="64">
        <v>116302</v>
      </c>
      <c r="N35" s="32"/>
      <c r="O35" s="18" t="s">
        <v>355</v>
      </c>
      <c r="P35" s="18"/>
      <c r="Q35" s="18" t="s">
        <v>477</v>
      </c>
      <c r="R35" s="18" t="s">
        <v>119</v>
      </c>
      <c r="S35" s="190">
        <v>2307</v>
      </c>
      <c r="T35" s="23">
        <v>2100</v>
      </c>
      <c r="U35" s="18">
        <f>Table22[[#This Row],[SALES '[€']]]-Table22[[#This Row],[PURCHASE '[€']]]</f>
        <v>207</v>
      </c>
      <c r="V35" s="60">
        <f>Table22[[#This Row],[MARGIN '[€']]]/Table22[[#This Row],[SALES '[€']]]</f>
        <v>8.9726918075422629E-2</v>
      </c>
      <c r="W35" s="18">
        <v>9215171314</v>
      </c>
      <c r="X35" s="18" t="s">
        <v>478</v>
      </c>
      <c r="Y35" s="18">
        <v>1439</v>
      </c>
      <c r="Z35" s="18" t="s">
        <v>479</v>
      </c>
      <c r="AA35" s="18" t="s">
        <v>51</v>
      </c>
      <c r="AB35" s="22">
        <f>Table22[[#This Row],[PURCHASE '[€']]]/Table22[[#This Row],[KM]]</f>
        <v>1.459346768589298</v>
      </c>
      <c r="AC35" s="22">
        <f t="shared" si="11"/>
        <v>1.6031966643502433</v>
      </c>
      <c r="AD35" s="18"/>
      <c r="AE35" s="18"/>
      <c r="AF35" s="18"/>
      <c r="AG35" s="18"/>
      <c r="AH35" s="18"/>
      <c r="AI35" s="18"/>
      <c r="AJ35" s="18"/>
      <c r="AK35" s="18"/>
      <c r="AL35" s="18" t="str">
        <f>IF(Table22[[#This Row],[DELIVERY TIME]]="STORNO","CANCELLED","OK")</f>
        <v>OK</v>
      </c>
      <c r="AM35" s="18"/>
      <c r="AN35" s="18" t="str">
        <f>IF(RIGHT(Table22[[#This Row],[CARRIER]],3)="-MF",921,"")</f>
        <v/>
      </c>
      <c r="AO35" s="18"/>
    </row>
    <row r="36" spans="1:41">
      <c r="A36" s="21">
        <f t="shared" si="10"/>
        <v>5</v>
      </c>
      <c r="B36" s="23" t="s">
        <v>344</v>
      </c>
      <c r="C36" s="61" t="s">
        <v>42</v>
      </c>
      <c r="D36" s="24" t="s">
        <v>43</v>
      </c>
      <c r="E36" s="62" t="s">
        <v>44</v>
      </c>
      <c r="F36" s="61">
        <v>45322</v>
      </c>
      <c r="G36" s="25"/>
      <c r="H36" s="23" t="s">
        <v>45</v>
      </c>
      <c r="I36" s="26" t="s">
        <v>475</v>
      </c>
      <c r="J36" s="23" t="s">
        <v>476</v>
      </c>
      <c r="K36" s="27">
        <v>45324</v>
      </c>
      <c r="L36" s="28"/>
      <c r="M36" s="64">
        <v>116303</v>
      </c>
      <c r="N36" s="32"/>
      <c r="O36" s="18" t="s">
        <v>355</v>
      </c>
      <c r="P36" s="18"/>
      <c r="Q36" s="198" t="s">
        <v>480</v>
      </c>
      <c r="R36" s="18" t="s">
        <v>119</v>
      </c>
      <c r="S36" s="190">
        <v>2307</v>
      </c>
      <c r="T36" s="23">
        <v>2100</v>
      </c>
      <c r="U36" s="18">
        <f>Table22[[#This Row],[SALES '[€']]]-Table22[[#This Row],[PURCHASE '[€']]]</f>
        <v>207</v>
      </c>
      <c r="V36" s="60">
        <f>Table22[[#This Row],[MARGIN '[€']]]/Table22[[#This Row],[SALES '[€']]]</f>
        <v>8.9726918075422629E-2</v>
      </c>
      <c r="W36" s="18">
        <v>9215171315</v>
      </c>
      <c r="X36" s="18" t="s">
        <v>481</v>
      </c>
      <c r="Y36" s="18">
        <v>1439</v>
      </c>
      <c r="Z36" s="18" t="s">
        <v>482</v>
      </c>
      <c r="AA36" s="18" t="s">
        <v>51</v>
      </c>
      <c r="AB36" s="22">
        <f>Table22[[#This Row],[PURCHASE '[€']]]/Table22[[#This Row],[KM]]</f>
        <v>1.459346768589298</v>
      </c>
      <c r="AC36" s="22">
        <f t="shared" si="11"/>
        <v>1.6031966643502433</v>
      </c>
      <c r="AD36" s="18"/>
      <c r="AE36" s="18"/>
      <c r="AF36" s="18"/>
      <c r="AG36" s="18"/>
      <c r="AH36" s="18"/>
      <c r="AI36" s="18"/>
      <c r="AJ36" s="18"/>
      <c r="AK36" s="18"/>
      <c r="AL36" s="18" t="str">
        <f>IF(Table22[[#This Row],[DELIVERY TIME]]="STORNO","CANCELLED","OK")</f>
        <v>OK</v>
      </c>
      <c r="AM36" s="18"/>
      <c r="AN36" s="18" t="str">
        <f>IF(RIGHT(Table22[[#This Row],[CARRIER]],3)="-MF",921,"")</f>
        <v/>
      </c>
      <c r="AO36" s="18"/>
    </row>
    <row r="37" spans="1:41">
      <c r="A37" s="21">
        <f t="shared" si="10"/>
        <v>4</v>
      </c>
      <c r="B37" s="23" t="s">
        <v>344</v>
      </c>
      <c r="C37" s="61" t="s">
        <v>42</v>
      </c>
      <c r="D37" s="24" t="s">
        <v>43</v>
      </c>
      <c r="E37" s="62" t="s">
        <v>44</v>
      </c>
      <c r="F37" s="61">
        <v>45317</v>
      </c>
      <c r="G37" s="25"/>
      <c r="H37" s="23" t="s">
        <v>483</v>
      </c>
      <c r="I37" s="26" t="s">
        <v>484</v>
      </c>
      <c r="J37" s="23" t="s">
        <v>485</v>
      </c>
      <c r="K37" s="27">
        <v>45321</v>
      </c>
      <c r="L37" s="28"/>
      <c r="M37" s="64">
        <v>116338</v>
      </c>
      <c r="N37" s="32"/>
      <c r="O37" s="18" t="s">
        <v>355</v>
      </c>
      <c r="P37" s="18"/>
      <c r="Q37" s="18" t="s">
        <v>486</v>
      </c>
      <c r="R37" s="18" t="s">
        <v>487</v>
      </c>
      <c r="S37" s="23">
        <v>1350</v>
      </c>
      <c r="T37" s="23">
        <v>1300</v>
      </c>
      <c r="U37" s="18">
        <f>Table22[[#This Row],[SALES '[€']]]-Table22[[#This Row],[PURCHASE '[€']]]</f>
        <v>50</v>
      </c>
      <c r="V37" s="60">
        <f>Table22[[#This Row],[MARGIN '[€']]]/Table22[[#This Row],[SALES '[€']]]</f>
        <v>3.7037037037037035E-2</v>
      </c>
      <c r="W37" s="18">
        <v>9215171255</v>
      </c>
      <c r="X37" s="18" t="s">
        <v>488</v>
      </c>
      <c r="Y37" s="18">
        <v>811</v>
      </c>
      <c r="Z37" s="18"/>
      <c r="AA37" s="18" t="s">
        <v>51</v>
      </c>
      <c r="AB37" s="22">
        <f>Table22[[#This Row],[PURCHASE '[€']]]/Table22[[#This Row],[KM]]</f>
        <v>1.6029593094944512</v>
      </c>
      <c r="AC37" s="22">
        <f t="shared" si="11"/>
        <v>1.6646115906288532</v>
      </c>
      <c r="AD37" s="18"/>
      <c r="AE37" s="18"/>
      <c r="AF37" s="18"/>
      <c r="AG37" s="18"/>
      <c r="AH37" s="18"/>
      <c r="AI37" s="18"/>
      <c r="AJ37" s="18"/>
      <c r="AK37" s="18"/>
      <c r="AL37" s="18" t="str">
        <f>IF(Table22[[#This Row],[DELIVERY TIME]]="STORNO","CANCELLED","OK")</f>
        <v>OK</v>
      </c>
      <c r="AM37" s="18"/>
      <c r="AN37" s="18" t="str">
        <f>IF(RIGHT(Table22[[#This Row],[CARRIER]],3)="-MF",921,"")</f>
        <v/>
      </c>
      <c r="AO37" s="18"/>
    </row>
    <row r="38" spans="1:41">
      <c r="A38" s="21">
        <f t="shared" si="10"/>
        <v>5</v>
      </c>
      <c r="B38" s="23" t="s">
        <v>344</v>
      </c>
      <c r="C38" s="61" t="s">
        <v>42</v>
      </c>
      <c r="D38" s="24" t="s">
        <v>43</v>
      </c>
      <c r="E38" s="62" t="s">
        <v>44</v>
      </c>
      <c r="F38" s="61">
        <v>45320</v>
      </c>
      <c r="G38" s="25"/>
      <c r="H38" s="23" t="s">
        <v>45</v>
      </c>
      <c r="I38" s="26" t="s">
        <v>372</v>
      </c>
      <c r="J38" s="23" t="s">
        <v>373</v>
      </c>
      <c r="K38" s="27">
        <v>45323</v>
      </c>
      <c r="L38" s="28">
        <v>0.41666666666666669</v>
      </c>
      <c r="M38" s="64">
        <v>116355</v>
      </c>
      <c r="N38" s="191" t="s">
        <v>419</v>
      </c>
      <c r="O38" s="18" t="s">
        <v>355</v>
      </c>
      <c r="P38" s="18"/>
      <c r="Q38" s="18" t="s">
        <v>489</v>
      </c>
      <c r="R38" s="18" t="s">
        <v>85</v>
      </c>
      <c r="S38" s="187">
        <f>2550+82</f>
        <v>2632</v>
      </c>
      <c r="T38" s="23">
        <v>2300</v>
      </c>
      <c r="U38" s="18">
        <f>Table22[[#This Row],[SALES '[€']]]-Table22[[#This Row],[PURCHASE '[€']]]</f>
        <v>332</v>
      </c>
      <c r="V38" s="60">
        <f>Table22[[#This Row],[MARGIN '[€']]]/Table22[[#This Row],[SALES '[€']]]</f>
        <v>0.12613981762917933</v>
      </c>
      <c r="W38" s="18">
        <v>9215171289</v>
      </c>
      <c r="X38" s="18" t="s">
        <v>490</v>
      </c>
      <c r="Y38" s="18">
        <v>1650</v>
      </c>
      <c r="Z38" s="18"/>
      <c r="AA38" s="18" t="s">
        <v>51</v>
      </c>
      <c r="AB38" s="22">
        <f>Table22[[#This Row],[PURCHASE '[€']]]/Table22[[#This Row],[KM]]</f>
        <v>1.393939393939394</v>
      </c>
      <c r="AC38" s="22">
        <f t="shared" si="11"/>
        <v>1.5951515151515152</v>
      </c>
      <c r="AD38" s="18"/>
      <c r="AE38" s="18"/>
      <c r="AF38" s="18"/>
      <c r="AG38" s="18"/>
      <c r="AH38" s="18"/>
      <c r="AI38" s="18"/>
      <c r="AJ38" s="18"/>
      <c r="AK38" s="18"/>
      <c r="AL38" s="18" t="str">
        <f>IF(Table22[[#This Row],[DELIVERY TIME]]="STORNO","CANCELLED","OK")</f>
        <v>OK</v>
      </c>
      <c r="AM38" s="18"/>
      <c r="AN38" s="18" t="str">
        <f>IF(RIGHT(Table22[[#This Row],[CARRIER]],3)="-MF",921,"")</f>
        <v/>
      </c>
      <c r="AO38" s="18"/>
    </row>
    <row r="39" spans="1:41">
      <c r="A39" s="21">
        <f t="shared" ref="A39:A46" si="12">WEEKNUM(F39,21)</f>
        <v>5</v>
      </c>
      <c r="B39" s="23" t="s">
        <v>344</v>
      </c>
      <c r="C39" s="61" t="s">
        <v>42</v>
      </c>
      <c r="D39" s="24" t="s">
        <v>43</v>
      </c>
      <c r="E39" s="62" t="s">
        <v>44</v>
      </c>
      <c r="F39" s="61">
        <v>45322</v>
      </c>
      <c r="G39" s="25"/>
      <c r="H39" s="23" t="s">
        <v>45</v>
      </c>
      <c r="I39" s="26" t="s">
        <v>491</v>
      </c>
      <c r="J39" s="23" t="s">
        <v>492</v>
      </c>
      <c r="K39" s="27">
        <v>45324</v>
      </c>
      <c r="L39" s="28"/>
      <c r="M39" s="64">
        <v>116003</v>
      </c>
      <c r="N39" s="191" t="s">
        <v>419</v>
      </c>
      <c r="O39" s="18" t="s">
        <v>355</v>
      </c>
      <c r="P39" s="18"/>
      <c r="Q39" s="18" t="s">
        <v>493</v>
      </c>
      <c r="R39" s="18" t="s">
        <v>299</v>
      </c>
      <c r="S39" s="187">
        <f>3011+82</f>
        <v>3093</v>
      </c>
      <c r="T39" s="23">
        <v>2700</v>
      </c>
      <c r="U39" s="18">
        <f>Table22[[#This Row],[SALES '[€']]]-Table22[[#This Row],[PURCHASE '[€']]]</f>
        <v>393</v>
      </c>
      <c r="V39" s="60">
        <f>Table22[[#This Row],[MARGIN '[€']]]/Table22[[#This Row],[SALES '[€']]]</f>
        <v>0.1270611057225994</v>
      </c>
      <c r="W39" s="18">
        <v>9215171471</v>
      </c>
      <c r="X39" s="18" t="s">
        <v>494</v>
      </c>
      <c r="Y39" s="18">
        <v>2046</v>
      </c>
      <c r="Z39" s="18"/>
      <c r="AA39" s="18" t="s">
        <v>51</v>
      </c>
      <c r="AB39" s="22">
        <f>Table22[[#This Row],[PURCHASE '[€']]]/Table22[[#This Row],[KM]]</f>
        <v>1.3196480938416422</v>
      </c>
      <c r="AC39" s="22">
        <f t="shared" ref="AC39:AC46" si="13">S39/Y39</f>
        <v>1.5117302052785924</v>
      </c>
      <c r="AD39" s="18"/>
      <c r="AE39" s="18"/>
      <c r="AF39" s="18"/>
      <c r="AG39" s="18"/>
      <c r="AH39" s="18"/>
      <c r="AI39" s="18"/>
      <c r="AJ39" s="18"/>
      <c r="AK39" s="18"/>
      <c r="AL39" s="18" t="str">
        <f>IF(Table22[[#This Row],[DELIVERY TIME]]="STORNO","CANCELLED","OK")</f>
        <v>OK</v>
      </c>
      <c r="AM39" s="18"/>
      <c r="AN39" s="18" t="str">
        <f>IF(RIGHT(Table22[[#This Row],[CARRIER]],3)="-MF",921,"")</f>
        <v/>
      </c>
      <c r="AO39" s="18"/>
    </row>
    <row r="40" spans="1:41">
      <c r="A40" s="21">
        <f t="shared" si="12"/>
        <v>5</v>
      </c>
      <c r="B40" s="23" t="s">
        <v>344</v>
      </c>
      <c r="C40" s="61" t="s">
        <v>42</v>
      </c>
      <c r="D40" s="24" t="s">
        <v>43</v>
      </c>
      <c r="E40" s="62" t="s">
        <v>44</v>
      </c>
      <c r="F40" s="61">
        <v>45321</v>
      </c>
      <c r="G40" s="25"/>
      <c r="H40" s="23" t="s">
        <v>45</v>
      </c>
      <c r="I40" s="26" t="s">
        <v>345</v>
      </c>
      <c r="J40" s="23" t="s">
        <v>346</v>
      </c>
      <c r="K40" s="27">
        <v>45327</v>
      </c>
      <c r="L40" s="28">
        <v>0.41666666666666669</v>
      </c>
      <c r="M40" s="64">
        <v>116270</v>
      </c>
      <c r="N40" s="32"/>
      <c r="O40" s="18" t="s">
        <v>355</v>
      </c>
      <c r="P40" s="18"/>
      <c r="Q40" s="18" t="s">
        <v>495</v>
      </c>
      <c r="R40" s="18" t="s">
        <v>85</v>
      </c>
      <c r="S40" s="187">
        <f>2620+82</f>
        <v>2702</v>
      </c>
      <c r="T40" s="23">
        <v>2280</v>
      </c>
      <c r="U40" s="18">
        <f>Table22[[#This Row],[SALES '[€']]]-Table22[[#This Row],[PURCHASE '[€']]]</f>
        <v>422</v>
      </c>
      <c r="V40" s="60">
        <f>Table22[[#This Row],[MARGIN '[€']]]/Table22[[#This Row],[SALES '[€']]]</f>
        <v>0.15618060695780903</v>
      </c>
      <c r="W40" s="18">
        <v>9215171348</v>
      </c>
      <c r="X40" s="18" t="s">
        <v>490</v>
      </c>
      <c r="Y40" s="18">
        <v>1736</v>
      </c>
      <c r="Z40" s="18"/>
      <c r="AA40" s="18" t="s">
        <v>51</v>
      </c>
      <c r="AB40" s="22">
        <f>Table22[[#This Row],[PURCHASE '[€']]]/Table22[[#This Row],[KM]]</f>
        <v>1.3133640552995391</v>
      </c>
      <c r="AC40" s="22">
        <f t="shared" si="13"/>
        <v>1.5564516129032258</v>
      </c>
      <c r="AD40" s="18"/>
      <c r="AE40" s="18"/>
      <c r="AF40" s="18"/>
      <c r="AG40" s="18"/>
      <c r="AH40" s="18"/>
      <c r="AI40" s="18"/>
      <c r="AJ40" s="18"/>
      <c r="AK40" s="18"/>
      <c r="AL40" s="18" t="str">
        <f>IF(Table22[[#This Row],[DELIVERY TIME]]="STORNO","CANCELLED","OK")</f>
        <v>OK</v>
      </c>
      <c r="AM40" s="18"/>
      <c r="AN40" s="18" t="str">
        <f>IF(RIGHT(Table22[[#This Row],[CARRIER]],3)="-MF",921,"")</f>
        <v/>
      </c>
      <c r="AO40" s="18"/>
    </row>
    <row r="41" spans="1:41">
      <c r="A41" s="21">
        <f>WEEKNUM(F41,21)</f>
        <v>5</v>
      </c>
      <c r="B41" s="23" t="s">
        <v>344</v>
      </c>
      <c r="C41" s="61" t="s">
        <v>81</v>
      </c>
      <c r="D41" s="24" t="s">
        <v>328</v>
      </c>
      <c r="E41" s="208" t="s">
        <v>441</v>
      </c>
      <c r="F41" s="61">
        <v>45323</v>
      </c>
      <c r="G41" s="25"/>
      <c r="H41" s="23" t="s">
        <v>42</v>
      </c>
      <c r="I41" s="26" t="s">
        <v>43</v>
      </c>
      <c r="J41" s="23" t="s">
        <v>44</v>
      </c>
      <c r="K41" s="27">
        <v>45324</v>
      </c>
      <c r="L41" s="28"/>
      <c r="M41" s="64" t="s">
        <v>496</v>
      </c>
      <c r="N41" s="32" t="s">
        <v>497</v>
      </c>
      <c r="O41" s="18" t="s">
        <v>347</v>
      </c>
      <c r="P41" s="18"/>
      <c r="Q41" s="18" t="s">
        <v>498</v>
      </c>
      <c r="R41" s="18" t="s">
        <v>499</v>
      </c>
      <c r="S41" s="23">
        <v>450</v>
      </c>
      <c r="T41" s="23">
        <v>400</v>
      </c>
      <c r="U41" s="18">
        <f>Table22[[#This Row],[SALES '[€']]]-Table22[[#This Row],[PURCHASE '[€']]]</f>
        <v>50</v>
      </c>
      <c r="V41" s="60">
        <f>Table22[[#This Row],[MARGIN '[€']]]/Table22[[#This Row],[SALES '[€']]]</f>
        <v>0.1111111111111111</v>
      </c>
      <c r="W41" s="18">
        <v>9215171480</v>
      </c>
      <c r="X41" s="18" t="s">
        <v>500</v>
      </c>
      <c r="Y41" s="18">
        <v>1465</v>
      </c>
      <c r="Z41" s="195" t="s">
        <v>501</v>
      </c>
      <c r="AA41" s="18" t="s">
        <v>51</v>
      </c>
      <c r="AB41" s="22">
        <f>Table22[[#This Row],[PURCHASE '[€']]]/Table22[[#This Row],[KM]]</f>
        <v>0.27303754266211605</v>
      </c>
      <c r="AC41" s="22">
        <f>S41/Y41</f>
        <v>0.30716723549488056</v>
      </c>
      <c r="AD41" s="18"/>
      <c r="AE41" s="18"/>
      <c r="AF41" s="18"/>
      <c r="AG41" s="18"/>
      <c r="AH41" s="18"/>
      <c r="AI41" s="18"/>
      <c r="AJ41" s="18"/>
      <c r="AK41" s="18"/>
      <c r="AL41" s="18" t="str">
        <f>IF(Table22[[#This Row],[DELIVERY TIME]]="STORNO","CANCELLED","OK")</f>
        <v>OK</v>
      </c>
      <c r="AM41" s="18"/>
      <c r="AN41" s="18" t="str">
        <f>IF(RIGHT(Table22[[#This Row],[CARRIER]],3)="-MF",921,"")</f>
        <v/>
      </c>
      <c r="AO41" s="18"/>
    </row>
    <row r="42" spans="1:41">
      <c r="A42" s="21">
        <f t="shared" si="12"/>
        <v>5</v>
      </c>
      <c r="B42" s="23" t="s">
        <v>344</v>
      </c>
      <c r="C42" s="61" t="s">
        <v>42</v>
      </c>
      <c r="D42" s="24" t="s">
        <v>43</v>
      </c>
      <c r="E42" s="62" t="s">
        <v>44</v>
      </c>
      <c r="F42" s="61">
        <v>45324</v>
      </c>
      <c r="G42" s="25"/>
      <c r="H42" s="23" t="s">
        <v>45</v>
      </c>
      <c r="I42" s="26" t="s">
        <v>417</v>
      </c>
      <c r="J42" s="23" t="s">
        <v>418</v>
      </c>
      <c r="K42" s="27">
        <v>45330</v>
      </c>
      <c r="L42" s="28">
        <v>0.33333333333333331</v>
      </c>
      <c r="M42" s="64">
        <v>116432</v>
      </c>
      <c r="N42" s="32"/>
      <c r="O42" s="18" t="s">
        <v>355</v>
      </c>
      <c r="P42" s="18"/>
      <c r="Q42" s="18" t="s">
        <v>502</v>
      </c>
      <c r="R42" s="18" t="s">
        <v>299</v>
      </c>
      <c r="S42" s="23">
        <v>2900</v>
      </c>
      <c r="T42" s="23">
        <v>2700</v>
      </c>
      <c r="U42" s="18">
        <f>Table22[[#This Row],[SALES '[€']]]-Table22[[#This Row],[PURCHASE '[€']]]</f>
        <v>200</v>
      </c>
      <c r="V42" s="60">
        <f>Table22[[#This Row],[MARGIN '[€']]]/Table22[[#This Row],[SALES '[€']]]</f>
        <v>6.8965517241379309E-2</v>
      </c>
      <c r="W42" s="18">
        <v>9215171421</v>
      </c>
      <c r="X42" s="18" t="s">
        <v>503</v>
      </c>
      <c r="Y42" s="18">
        <v>2089</v>
      </c>
      <c r="Z42" s="18"/>
      <c r="AA42" s="18" t="s">
        <v>51</v>
      </c>
      <c r="AB42" s="22">
        <f>Table22[[#This Row],[PURCHASE '[€']]]/Table22[[#This Row],[KM]]</f>
        <v>1.292484442316898</v>
      </c>
      <c r="AC42" s="22">
        <f t="shared" si="13"/>
        <v>1.3882240306366682</v>
      </c>
      <c r="AD42" s="18"/>
      <c r="AE42" s="18"/>
      <c r="AF42" s="18"/>
      <c r="AG42" s="18"/>
      <c r="AH42" s="18"/>
      <c r="AI42" s="18"/>
      <c r="AJ42" s="18"/>
      <c r="AK42" s="18"/>
      <c r="AL42" s="18" t="str">
        <f>IF(Table22[[#This Row],[DELIVERY TIME]]="STORNO","CANCELLED","OK")</f>
        <v>OK</v>
      </c>
      <c r="AM42" s="18"/>
      <c r="AN42" s="18" t="str">
        <f>IF(RIGHT(Table22[[#This Row],[CARRIER]],3)="-MF",921,"")</f>
        <v/>
      </c>
      <c r="AO42" s="18"/>
    </row>
    <row r="43" spans="1:41">
      <c r="A43" s="21">
        <f t="shared" si="12"/>
        <v>5</v>
      </c>
      <c r="B43" s="23" t="s">
        <v>344</v>
      </c>
      <c r="C43" s="61" t="s">
        <v>42</v>
      </c>
      <c r="D43" s="24" t="s">
        <v>43</v>
      </c>
      <c r="E43" s="62" t="s">
        <v>44</v>
      </c>
      <c r="F43" s="61">
        <v>45323</v>
      </c>
      <c r="G43" s="25"/>
      <c r="H43" s="23" t="s">
        <v>504</v>
      </c>
      <c r="I43" s="26" t="s">
        <v>505</v>
      </c>
      <c r="J43" s="23" t="s">
        <v>506</v>
      </c>
      <c r="K43" s="27">
        <v>45324</v>
      </c>
      <c r="L43" s="28"/>
      <c r="M43" s="64">
        <v>116524</v>
      </c>
      <c r="N43" s="32"/>
      <c r="O43" s="18" t="s">
        <v>355</v>
      </c>
      <c r="P43" s="18"/>
      <c r="Q43" s="18" t="s">
        <v>507</v>
      </c>
      <c r="R43" s="18" t="s">
        <v>508</v>
      </c>
      <c r="S43" s="23">
        <v>900</v>
      </c>
      <c r="T43" s="23">
        <v>800</v>
      </c>
      <c r="U43" s="18">
        <f>Table22[[#This Row],[SALES '[€']]]-Table22[[#This Row],[PURCHASE '[€']]]</f>
        <v>100</v>
      </c>
      <c r="V43" s="60">
        <f>Table22[[#This Row],[MARGIN '[€']]]/Table22[[#This Row],[SALES '[€']]]</f>
        <v>0.1111111111111111</v>
      </c>
      <c r="W43" s="18">
        <v>9215171404</v>
      </c>
      <c r="X43" s="18" t="s">
        <v>509</v>
      </c>
      <c r="Y43" s="18">
        <v>589</v>
      </c>
      <c r="Z43" s="18"/>
      <c r="AA43" s="18" t="s">
        <v>51</v>
      </c>
      <c r="AB43" s="22">
        <f>Table22[[#This Row],[PURCHASE '[€']]]/Table22[[#This Row],[KM]]</f>
        <v>1.3582342954159592</v>
      </c>
      <c r="AC43" s="22">
        <f t="shared" si="13"/>
        <v>1.5280135823429541</v>
      </c>
      <c r="AD43" s="18"/>
      <c r="AE43" s="18"/>
      <c r="AF43" s="18"/>
      <c r="AG43" s="18"/>
      <c r="AH43" s="18"/>
      <c r="AI43" s="18"/>
      <c r="AJ43" s="18"/>
      <c r="AK43" s="18"/>
      <c r="AL43" s="18" t="str">
        <f>IF(Table22[[#This Row],[DELIVERY TIME]]="STORNO","CANCELLED","OK")</f>
        <v>OK</v>
      </c>
      <c r="AM43" s="18"/>
      <c r="AN43" s="18" t="str">
        <f>IF(RIGHT(Table22[[#This Row],[CARRIER]],3)="-MF",921,"")</f>
        <v/>
      </c>
      <c r="AO43" s="18"/>
    </row>
    <row r="44" spans="1:41">
      <c r="A44" s="21">
        <f t="shared" si="12"/>
        <v>5</v>
      </c>
      <c r="B44" s="23" t="s">
        <v>344</v>
      </c>
      <c r="C44" s="61" t="s">
        <v>42</v>
      </c>
      <c r="D44" s="24" t="s">
        <v>43</v>
      </c>
      <c r="E44" s="62" t="s">
        <v>44</v>
      </c>
      <c r="F44" s="61">
        <v>45324</v>
      </c>
      <c r="G44" s="25"/>
      <c r="H44" s="23" t="s">
        <v>504</v>
      </c>
      <c r="I44" s="26" t="s">
        <v>505</v>
      </c>
      <c r="J44" s="23" t="s">
        <v>506</v>
      </c>
      <c r="K44" s="27">
        <v>45327</v>
      </c>
      <c r="L44" s="28"/>
      <c r="M44" s="64">
        <v>116525</v>
      </c>
      <c r="N44" s="32"/>
      <c r="O44" s="18" t="s">
        <v>355</v>
      </c>
      <c r="P44" s="18"/>
      <c r="Q44" s="18" t="s">
        <v>510</v>
      </c>
      <c r="R44" s="18" t="s">
        <v>508</v>
      </c>
      <c r="S44" s="23">
        <v>900</v>
      </c>
      <c r="T44" s="23">
        <v>800</v>
      </c>
      <c r="U44" s="18">
        <f>Table22[[#This Row],[SALES '[€']]]-Table22[[#This Row],[PURCHASE '[€']]]</f>
        <v>100</v>
      </c>
      <c r="V44" s="60">
        <f>Table22[[#This Row],[MARGIN '[€']]]/Table22[[#This Row],[SALES '[€']]]</f>
        <v>0.1111111111111111</v>
      </c>
      <c r="W44" s="18">
        <v>9215171407</v>
      </c>
      <c r="X44" s="18" t="s">
        <v>511</v>
      </c>
      <c r="Y44" s="18">
        <v>589</v>
      </c>
      <c r="Z44" s="18"/>
      <c r="AA44" s="18" t="s">
        <v>51</v>
      </c>
      <c r="AB44" s="22">
        <f>Table22[[#This Row],[PURCHASE '[€']]]/Table22[[#This Row],[KM]]</f>
        <v>1.3582342954159592</v>
      </c>
      <c r="AC44" s="22">
        <f t="shared" si="13"/>
        <v>1.5280135823429541</v>
      </c>
      <c r="AD44" s="18"/>
      <c r="AE44" s="18"/>
      <c r="AF44" s="18"/>
      <c r="AG44" s="18"/>
      <c r="AH44" s="18"/>
      <c r="AI44" s="18"/>
      <c r="AJ44" s="18"/>
      <c r="AK44" s="18"/>
      <c r="AL44" s="18" t="str">
        <f>IF(Table22[[#This Row],[DELIVERY TIME]]="STORNO","CANCELLED","OK")</f>
        <v>OK</v>
      </c>
      <c r="AM44" s="18"/>
      <c r="AN44" s="18" t="str">
        <f>IF(RIGHT(Table22[[#This Row],[CARRIER]],3)="-MF",921,"")</f>
        <v/>
      </c>
      <c r="AO44" s="18"/>
    </row>
    <row r="45" spans="1:41">
      <c r="A45" s="21">
        <f t="shared" si="12"/>
        <v>6</v>
      </c>
      <c r="B45" s="23" t="s">
        <v>344</v>
      </c>
      <c r="C45" s="61" t="s">
        <v>42</v>
      </c>
      <c r="D45" s="24" t="s">
        <v>43</v>
      </c>
      <c r="E45" s="62" t="s">
        <v>44</v>
      </c>
      <c r="F45" s="61">
        <v>45327</v>
      </c>
      <c r="G45" s="25"/>
      <c r="H45" s="23" t="s">
        <v>504</v>
      </c>
      <c r="I45" s="26" t="s">
        <v>505</v>
      </c>
      <c r="J45" s="23" t="s">
        <v>506</v>
      </c>
      <c r="K45" s="27">
        <v>45327</v>
      </c>
      <c r="L45" s="28"/>
      <c r="M45" s="64">
        <v>116527</v>
      </c>
      <c r="N45" s="32"/>
      <c r="O45" s="18" t="s">
        <v>355</v>
      </c>
      <c r="P45" s="18"/>
      <c r="Q45" s="18" t="s">
        <v>512</v>
      </c>
      <c r="R45" s="18" t="s">
        <v>508</v>
      </c>
      <c r="S45" s="23">
        <v>900</v>
      </c>
      <c r="T45" s="23">
        <v>800</v>
      </c>
      <c r="U45" s="18">
        <f>Table22[[#This Row],[SALES '[€']]]-Table22[[#This Row],[PURCHASE '[€']]]</f>
        <v>100</v>
      </c>
      <c r="V45" s="60">
        <f>Table22[[#This Row],[MARGIN '[€']]]/Table22[[#This Row],[SALES '[€']]]</f>
        <v>0.1111111111111111</v>
      </c>
      <c r="W45" s="18">
        <v>9215171408</v>
      </c>
      <c r="X45" s="18" t="s">
        <v>513</v>
      </c>
      <c r="Y45" s="18">
        <v>589</v>
      </c>
      <c r="Z45" s="18"/>
      <c r="AA45" s="18" t="s">
        <v>51</v>
      </c>
      <c r="AB45" s="22">
        <f>Table22[[#This Row],[PURCHASE '[€']]]/Table22[[#This Row],[KM]]</f>
        <v>1.3582342954159592</v>
      </c>
      <c r="AC45" s="22">
        <f t="shared" si="13"/>
        <v>1.5280135823429541</v>
      </c>
      <c r="AD45" s="18"/>
      <c r="AE45" s="18"/>
      <c r="AF45" s="18"/>
      <c r="AG45" s="18"/>
      <c r="AH45" s="18"/>
      <c r="AI45" s="18"/>
      <c r="AJ45" s="18"/>
      <c r="AK45" s="18"/>
      <c r="AL45" s="18" t="str">
        <f>IF(Table22[[#This Row],[DELIVERY TIME]]="STORNO","CANCELLED","OK")</f>
        <v>OK</v>
      </c>
      <c r="AM45" s="18"/>
      <c r="AN45" s="18" t="str">
        <f>IF(RIGHT(Table22[[#This Row],[CARRIER]],3)="-MF",921,"")</f>
        <v/>
      </c>
      <c r="AO45" s="18"/>
    </row>
    <row r="46" spans="1:41">
      <c r="A46" s="21">
        <f t="shared" si="12"/>
        <v>6</v>
      </c>
      <c r="B46" s="23" t="s">
        <v>344</v>
      </c>
      <c r="C46" s="61" t="s">
        <v>42</v>
      </c>
      <c r="D46" s="24" t="s">
        <v>43</v>
      </c>
      <c r="E46" s="62" t="s">
        <v>44</v>
      </c>
      <c r="F46" s="61">
        <v>45327</v>
      </c>
      <c r="G46" s="25"/>
      <c r="H46" s="23" t="s">
        <v>504</v>
      </c>
      <c r="I46" s="26" t="s">
        <v>505</v>
      </c>
      <c r="J46" s="23" t="s">
        <v>506</v>
      </c>
      <c r="K46" s="27">
        <v>45328</v>
      </c>
      <c r="L46" s="28"/>
      <c r="M46" s="64">
        <v>116528</v>
      </c>
      <c r="N46" s="32"/>
      <c r="O46" s="18" t="s">
        <v>355</v>
      </c>
      <c r="P46" s="18"/>
      <c r="Q46" s="18" t="s">
        <v>507</v>
      </c>
      <c r="R46" s="18" t="s">
        <v>508</v>
      </c>
      <c r="S46" s="23">
        <v>900</v>
      </c>
      <c r="T46" s="23">
        <v>800</v>
      </c>
      <c r="U46" s="18">
        <f>Table22[[#This Row],[SALES '[€']]]-Table22[[#This Row],[PURCHASE '[€']]]</f>
        <v>100</v>
      </c>
      <c r="V46" s="60">
        <f>Table22[[#This Row],[MARGIN '[€']]]/Table22[[#This Row],[SALES '[€']]]</f>
        <v>0.1111111111111111</v>
      </c>
      <c r="W46" s="18">
        <v>9215171409</v>
      </c>
      <c r="X46" s="18" t="s">
        <v>514</v>
      </c>
      <c r="Y46" s="18">
        <v>589</v>
      </c>
      <c r="Z46" s="18"/>
      <c r="AA46" s="18" t="s">
        <v>51</v>
      </c>
      <c r="AB46" s="22">
        <f>Table22[[#This Row],[PURCHASE '[€']]]/Table22[[#This Row],[KM]]</f>
        <v>1.3582342954159592</v>
      </c>
      <c r="AC46" s="22">
        <f t="shared" si="13"/>
        <v>1.5280135823429541</v>
      </c>
      <c r="AD46" s="18"/>
      <c r="AE46" s="18"/>
      <c r="AF46" s="18"/>
      <c r="AG46" s="18"/>
      <c r="AH46" s="18"/>
      <c r="AI46" s="18"/>
      <c r="AJ46" s="18"/>
      <c r="AK46" s="18"/>
      <c r="AL46" s="18" t="str">
        <f>IF(Table22[[#This Row],[DELIVERY TIME]]="STORNO","CANCELLED","OK")</f>
        <v>OK</v>
      </c>
      <c r="AM46" s="18"/>
      <c r="AN46" s="18" t="str">
        <f>IF(RIGHT(Table22[[#This Row],[CARRIER]],3)="-MF",921,"")</f>
        <v/>
      </c>
      <c r="AO46" s="18"/>
    </row>
    <row r="47" spans="1:41">
      <c r="A47" s="21">
        <f t="shared" ref="A47:A53" si="14">WEEKNUM(F47,21)</f>
        <v>6</v>
      </c>
      <c r="B47" s="23" t="s">
        <v>344</v>
      </c>
      <c r="C47" s="61" t="s">
        <v>42</v>
      </c>
      <c r="D47" s="24" t="s">
        <v>43</v>
      </c>
      <c r="E47" s="62" t="s">
        <v>44</v>
      </c>
      <c r="F47" s="61">
        <v>45328</v>
      </c>
      <c r="G47" s="25"/>
      <c r="H47" s="23" t="s">
        <v>452</v>
      </c>
      <c r="I47" s="26" t="s">
        <v>453</v>
      </c>
      <c r="J47" s="23" t="s">
        <v>454</v>
      </c>
      <c r="K47" s="27">
        <v>45335</v>
      </c>
      <c r="L47" s="28"/>
      <c r="M47" s="64">
        <v>116618</v>
      </c>
      <c r="N47" s="32"/>
      <c r="O47" s="18" t="s">
        <v>355</v>
      </c>
      <c r="P47" s="18"/>
      <c r="Q47" s="18" t="s">
        <v>515</v>
      </c>
      <c r="R47" s="18" t="s">
        <v>456</v>
      </c>
      <c r="S47" s="23">
        <v>2331</v>
      </c>
      <c r="T47" s="23">
        <v>2300</v>
      </c>
      <c r="U47" s="18">
        <f>Table22[[#This Row],[SALES '[€']]]-Table22[[#This Row],[PURCHASE '[€']]]</f>
        <v>31</v>
      </c>
      <c r="V47" s="60">
        <f>Table22[[#This Row],[MARGIN '[€']]]/Table22[[#This Row],[SALES '[€']]]</f>
        <v>1.3299013299013299E-2</v>
      </c>
      <c r="W47" s="18">
        <v>9215171483</v>
      </c>
      <c r="X47" s="18" t="s">
        <v>516</v>
      </c>
      <c r="Y47" s="18">
        <v>1744</v>
      </c>
      <c r="Z47" s="59" t="s">
        <v>458</v>
      </c>
      <c r="AA47" s="18" t="s">
        <v>51</v>
      </c>
      <c r="AB47" s="22">
        <f>Table22[[#This Row],[PURCHASE '[€']]]/Table22[[#This Row],[KM]]</f>
        <v>1.3188073394495412</v>
      </c>
      <c r="AC47" s="22">
        <f t="shared" ref="AC47:AC53" si="15">S47/Y47</f>
        <v>1.3365825688073394</v>
      </c>
      <c r="AD47" s="18"/>
      <c r="AE47" s="18"/>
      <c r="AF47" s="18"/>
      <c r="AG47" s="18"/>
      <c r="AH47" s="18"/>
      <c r="AI47" s="18"/>
      <c r="AJ47" s="18"/>
      <c r="AK47" s="18"/>
      <c r="AL47" s="18" t="str">
        <f>IF(Table22[[#This Row],[DELIVERY TIME]]="STORNO","CANCELLED","OK")</f>
        <v>OK</v>
      </c>
      <c r="AM47" s="18"/>
      <c r="AN47" s="18" t="str">
        <f>IF(RIGHT(Table22[[#This Row],[CARRIER]],3)="-MF",921,"")</f>
        <v/>
      </c>
      <c r="AO47" s="18"/>
    </row>
    <row r="48" spans="1:41">
      <c r="A48" s="21">
        <f t="shared" si="14"/>
        <v>6</v>
      </c>
      <c r="B48" s="23" t="s">
        <v>344</v>
      </c>
      <c r="C48" s="61" t="s">
        <v>42</v>
      </c>
      <c r="D48" s="24" t="s">
        <v>43</v>
      </c>
      <c r="E48" s="62" t="s">
        <v>44</v>
      </c>
      <c r="F48" s="61">
        <v>45329</v>
      </c>
      <c r="G48" s="25"/>
      <c r="H48" s="23" t="s">
        <v>366</v>
      </c>
      <c r="I48" s="26" t="s">
        <v>349</v>
      </c>
      <c r="J48" s="196" t="s">
        <v>367</v>
      </c>
      <c r="K48" s="27">
        <v>45334</v>
      </c>
      <c r="L48" s="28"/>
      <c r="M48" s="64">
        <v>116645</v>
      </c>
      <c r="N48" s="32"/>
      <c r="O48" s="18" t="s">
        <v>355</v>
      </c>
      <c r="P48" s="18"/>
      <c r="Q48" s="18" t="s">
        <v>517</v>
      </c>
      <c r="R48" s="18" t="s">
        <v>369</v>
      </c>
      <c r="S48" s="23">
        <v>2244</v>
      </c>
      <c r="T48" s="23">
        <v>2000</v>
      </c>
      <c r="U48" s="18">
        <f>Table22[[#This Row],[SALES '[€']]]-Table22[[#This Row],[PURCHASE '[€']]]</f>
        <v>244</v>
      </c>
      <c r="V48" s="60">
        <f>Table22[[#This Row],[MARGIN '[€']]]/Table22[[#This Row],[SALES '[€']]]</f>
        <v>0.10873440285204991</v>
      </c>
      <c r="W48" s="18">
        <v>9215171518</v>
      </c>
      <c r="X48" s="18" t="s">
        <v>518</v>
      </c>
      <c r="Y48" s="18">
        <v>1353</v>
      </c>
      <c r="Z48" s="18"/>
      <c r="AA48" s="18" t="s">
        <v>51</v>
      </c>
      <c r="AB48" s="22">
        <f>Table22[[#This Row],[PURCHASE '[€']]]/Table22[[#This Row],[KM]]</f>
        <v>1.4781966001478197</v>
      </c>
      <c r="AC48" s="22">
        <f t="shared" si="15"/>
        <v>1.6585365853658536</v>
      </c>
      <c r="AD48" s="18"/>
      <c r="AE48" s="18"/>
      <c r="AF48" s="18"/>
      <c r="AG48" s="18"/>
      <c r="AH48" s="18"/>
      <c r="AI48" s="18"/>
      <c r="AJ48" s="18"/>
      <c r="AK48" s="18"/>
      <c r="AL48" s="18" t="str">
        <f>IF(Table22[[#This Row],[DELIVERY TIME]]="STORNO","CANCELLED","OK")</f>
        <v>OK</v>
      </c>
      <c r="AM48" s="18"/>
      <c r="AN48" s="18" t="str">
        <f>IF(RIGHT(Table22[[#This Row],[CARRIER]],3)="-MF",921,"")</f>
        <v/>
      </c>
      <c r="AO48" s="18"/>
    </row>
    <row r="49" spans="1:41">
      <c r="A49" s="21">
        <f t="shared" si="14"/>
        <v>6</v>
      </c>
      <c r="B49" s="23" t="s">
        <v>344</v>
      </c>
      <c r="C49" s="61" t="s">
        <v>42</v>
      </c>
      <c r="D49" s="24" t="s">
        <v>43</v>
      </c>
      <c r="E49" s="62" t="s">
        <v>44</v>
      </c>
      <c r="F49" s="61">
        <v>45330</v>
      </c>
      <c r="G49" s="25"/>
      <c r="H49" s="23" t="s">
        <v>45</v>
      </c>
      <c r="I49" s="26" t="s">
        <v>372</v>
      </c>
      <c r="J49" s="23" t="s">
        <v>373</v>
      </c>
      <c r="K49" s="27">
        <v>45337</v>
      </c>
      <c r="L49" s="28">
        <v>0.375</v>
      </c>
      <c r="M49" s="64">
        <v>116356</v>
      </c>
      <c r="N49" s="32" t="s">
        <v>519</v>
      </c>
      <c r="O49" s="18" t="s">
        <v>347</v>
      </c>
      <c r="P49" s="18"/>
      <c r="Q49" s="18" t="s">
        <v>352</v>
      </c>
      <c r="R49" s="23" t="s">
        <v>353</v>
      </c>
      <c r="S49" s="23">
        <v>1180</v>
      </c>
      <c r="T49" s="23">
        <v>1080</v>
      </c>
      <c r="U49" s="18">
        <f>Table22[[#This Row],[SALES '[€']]]-Table22[[#This Row],[PURCHASE '[€']]]</f>
        <v>100</v>
      </c>
      <c r="V49" s="60">
        <f>Table22[[#This Row],[MARGIN '[€']]]/Table22[[#This Row],[SALES '[€']]]</f>
        <v>8.4745762711864403E-2</v>
      </c>
      <c r="W49" s="18">
        <v>9215171611</v>
      </c>
      <c r="X49" s="18" t="s">
        <v>520</v>
      </c>
      <c r="Y49" s="18">
        <v>1650</v>
      </c>
      <c r="Z49" s="18"/>
      <c r="AA49" s="18" t="s">
        <v>51</v>
      </c>
      <c r="AB49" s="22">
        <f>Table22[[#This Row],[PURCHASE '[€']]]/Table22[[#This Row],[KM]]</f>
        <v>0.65454545454545454</v>
      </c>
      <c r="AC49" s="22">
        <f t="shared" si="15"/>
        <v>0.7151515151515152</v>
      </c>
      <c r="AD49" s="18"/>
      <c r="AE49" s="18"/>
      <c r="AF49" s="18"/>
      <c r="AG49" s="18"/>
      <c r="AH49" s="18"/>
      <c r="AI49" s="18"/>
      <c r="AJ49" s="18"/>
      <c r="AK49" s="18"/>
      <c r="AL49" s="18" t="str">
        <f>IF(Table22[[#This Row],[DELIVERY TIME]]="STORNO","CANCELLED","OK")</f>
        <v>OK</v>
      </c>
      <c r="AM49" s="18"/>
      <c r="AN49" s="18" t="str">
        <f>IF(RIGHT(Table22[[#This Row],[CARRIER]],3)="-MF",921,"")</f>
        <v/>
      </c>
      <c r="AO49" s="18"/>
    </row>
    <row r="50" spans="1:41">
      <c r="A50" s="21">
        <f t="shared" si="14"/>
        <v>6</v>
      </c>
      <c r="B50" s="23" t="s">
        <v>344</v>
      </c>
      <c r="C50" s="61" t="s">
        <v>42</v>
      </c>
      <c r="D50" s="24" t="s">
        <v>43</v>
      </c>
      <c r="E50" s="62" t="s">
        <v>44</v>
      </c>
      <c r="F50" s="61">
        <v>45330</v>
      </c>
      <c r="G50" s="25"/>
      <c r="H50" s="23" t="s">
        <v>45</v>
      </c>
      <c r="I50" s="26" t="s">
        <v>433</v>
      </c>
      <c r="J50" s="23" t="s">
        <v>434</v>
      </c>
      <c r="K50" s="27">
        <v>45337</v>
      </c>
      <c r="L50" s="28"/>
      <c r="M50" s="64">
        <v>116711</v>
      </c>
      <c r="N50" s="32" t="s">
        <v>521</v>
      </c>
      <c r="O50" s="18" t="s">
        <v>347</v>
      </c>
      <c r="P50" s="18"/>
      <c r="Q50" s="18" t="s">
        <v>352</v>
      </c>
      <c r="R50" s="23" t="s">
        <v>353</v>
      </c>
      <c r="S50" s="23">
        <v>960</v>
      </c>
      <c r="T50" s="23">
        <v>860</v>
      </c>
      <c r="U50" s="18">
        <f>Table22[[#This Row],[SALES '[€']]]-Table22[[#This Row],[PURCHASE '[€']]]</f>
        <v>100</v>
      </c>
      <c r="V50" s="60">
        <f>Table22[[#This Row],[MARGIN '[€']]]/Table22[[#This Row],[SALES '[€']]]</f>
        <v>0.10416666666666667</v>
      </c>
      <c r="W50" s="18">
        <v>9215171687</v>
      </c>
      <c r="X50" s="18" t="s">
        <v>522</v>
      </c>
      <c r="Y50" s="18">
        <v>1774</v>
      </c>
      <c r="Z50" s="18"/>
      <c r="AA50" s="18" t="s">
        <v>51</v>
      </c>
      <c r="AB50" s="22">
        <f>Table22[[#This Row],[PURCHASE '[€']]]/Table22[[#This Row],[KM]]</f>
        <v>0.48478015783540024</v>
      </c>
      <c r="AC50" s="22">
        <f t="shared" si="15"/>
        <v>0.54114994363021418</v>
      </c>
      <c r="AD50" s="18"/>
      <c r="AE50" s="18"/>
      <c r="AF50" s="18"/>
      <c r="AG50" s="18"/>
      <c r="AH50" s="18"/>
      <c r="AI50" s="18"/>
      <c r="AJ50" s="18"/>
      <c r="AK50" s="18"/>
      <c r="AL50" s="18" t="str">
        <f>IF(Table22[[#This Row],[DELIVERY TIME]]="STORNO","CANCELLED","OK")</f>
        <v>OK</v>
      </c>
      <c r="AM50" s="18"/>
      <c r="AN50" s="18" t="str">
        <f>IF(RIGHT(Table22[[#This Row],[CARRIER]],3)="-MF",921,"")</f>
        <v/>
      </c>
      <c r="AO50" s="18"/>
    </row>
    <row r="51" spans="1:41">
      <c r="A51" s="21">
        <f t="shared" si="14"/>
        <v>6</v>
      </c>
      <c r="B51" s="23" t="s">
        <v>344</v>
      </c>
      <c r="C51" s="61" t="s">
        <v>42</v>
      </c>
      <c r="D51" s="24" t="s">
        <v>43</v>
      </c>
      <c r="E51" s="62" t="s">
        <v>44</v>
      </c>
      <c r="F51" s="61">
        <v>45328</v>
      </c>
      <c r="G51" s="25"/>
      <c r="H51" s="23" t="s">
        <v>45</v>
      </c>
      <c r="I51" s="26" t="s">
        <v>433</v>
      </c>
      <c r="J51" s="23" t="s">
        <v>434</v>
      </c>
      <c r="K51" s="27">
        <v>45331</v>
      </c>
      <c r="L51" s="28">
        <v>0.54166666666666663</v>
      </c>
      <c r="M51" s="64">
        <v>116694</v>
      </c>
      <c r="N51" s="32"/>
      <c r="O51" s="18" t="s">
        <v>355</v>
      </c>
      <c r="P51" s="18"/>
      <c r="Q51" s="18" t="s">
        <v>523</v>
      </c>
      <c r="R51" s="18" t="s">
        <v>85</v>
      </c>
      <c r="S51" s="187">
        <f>2662+82</f>
        <v>2744</v>
      </c>
      <c r="T51" s="23">
        <v>2350</v>
      </c>
      <c r="U51" s="18">
        <f>Table22[[#This Row],[SALES '[€']]]-Table22[[#This Row],[PURCHASE '[€']]]</f>
        <v>394</v>
      </c>
      <c r="V51" s="60">
        <f>Table22[[#This Row],[MARGIN '[€']]]/Table22[[#This Row],[SALES '[€']]]</f>
        <v>0.14358600583090378</v>
      </c>
      <c r="W51" s="18">
        <v>9215171612</v>
      </c>
      <c r="X51" s="18" t="s">
        <v>524</v>
      </c>
      <c r="Y51" s="18">
        <v>1774</v>
      </c>
      <c r="Z51" s="18"/>
      <c r="AA51" s="18" t="s">
        <v>51</v>
      </c>
      <c r="AB51" s="22">
        <f>Table22[[#This Row],[PURCHASE '[€']]]/Table22[[#This Row],[KM]]</f>
        <v>1.3246899661781286</v>
      </c>
      <c r="AC51" s="22">
        <f t="shared" si="15"/>
        <v>1.5467869222096957</v>
      </c>
      <c r="AD51" s="18"/>
      <c r="AE51" s="18"/>
      <c r="AF51" s="18"/>
      <c r="AG51" s="18"/>
      <c r="AH51" s="18"/>
      <c r="AI51" s="18"/>
      <c r="AJ51" s="18"/>
      <c r="AK51" s="18"/>
      <c r="AL51" s="18" t="str">
        <f>IF(Table22[[#This Row],[DELIVERY TIME]]="STORNO","CANCELLED","OK")</f>
        <v>OK</v>
      </c>
      <c r="AM51" s="18"/>
      <c r="AN51" s="18" t="str">
        <f>IF(RIGHT(Table22[[#This Row],[CARRIER]],3)="-MF",921,"")</f>
        <v/>
      </c>
      <c r="AO51" s="18"/>
    </row>
    <row r="52" spans="1:41">
      <c r="A52" s="21">
        <f t="shared" si="14"/>
        <v>6</v>
      </c>
      <c r="B52" s="23" t="s">
        <v>344</v>
      </c>
      <c r="C52" s="61" t="s">
        <v>42</v>
      </c>
      <c r="D52" s="24" t="s">
        <v>43</v>
      </c>
      <c r="E52" s="62" t="s">
        <v>44</v>
      </c>
      <c r="F52" s="61">
        <v>45327</v>
      </c>
      <c r="G52" s="25"/>
      <c r="H52" s="23" t="s">
        <v>483</v>
      </c>
      <c r="I52" s="26" t="s">
        <v>525</v>
      </c>
      <c r="J52" s="23" t="s">
        <v>526</v>
      </c>
      <c r="K52" s="27">
        <v>45328</v>
      </c>
      <c r="L52" s="28"/>
      <c r="M52" s="64">
        <v>116726</v>
      </c>
      <c r="N52" s="32"/>
      <c r="O52" s="18" t="s">
        <v>355</v>
      </c>
      <c r="P52" s="18"/>
      <c r="Q52" s="18" t="s">
        <v>527</v>
      </c>
      <c r="R52" s="18" t="s">
        <v>487</v>
      </c>
      <c r="S52" s="23">
        <v>1160</v>
      </c>
      <c r="T52" s="23">
        <v>1100</v>
      </c>
      <c r="U52" s="18">
        <f>Table22[[#This Row],[SALES '[€']]]-Table22[[#This Row],[PURCHASE '[€']]]</f>
        <v>60</v>
      </c>
      <c r="V52" s="60">
        <f>Table22[[#This Row],[MARGIN '[€']]]/Table22[[#This Row],[SALES '[€']]]</f>
        <v>5.1724137931034482E-2</v>
      </c>
      <c r="W52" s="18">
        <v>9215171525</v>
      </c>
      <c r="X52" s="18" t="s">
        <v>528</v>
      </c>
      <c r="Y52" s="18">
        <v>705</v>
      </c>
      <c r="Z52" s="18"/>
      <c r="AA52" s="18" t="s">
        <v>51</v>
      </c>
      <c r="AB52" s="22">
        <f>Table22[[#This Row],[PURCHASE '[€']]]/Table22[[#This Row],[KM]]</f>
        <v>1.5602836879432624</v>
      </c>
      <c r="AC52" s="22">
        <f t="shared" si="15"/>
        <v>1.6453900709219857</v>
      </c>
      <c r="AD52" s="18"/>
      <c r="AE52" s="18"/>
      <c r="AF52" s="18"/>
      <c r="AG52" s="18"/>
      <c r="AH52" s="18"/>
      <c r="AI52" s="18"/>
      <c r="AJ52" s="18"/>
      <c r="AK52" s="18"/>
      <c r="AL52" s="18" t="str">
        <f>IF(Table22[[#This Row],[DELIVERY TIME]]="STORNO","CANCELLED","OK")</f>
        <v>OK</v>
      </c>
      <c r="AM52" s="18"/>
      <c r="AN52" s="18" t="str">
        <f>IF(RIGHT(Table22[[#This Row],[CARRIER]],3)="-MF",921,"")</f>
        <v/>
      </c>
      <c r="AO52" s="18"/>
    </row>
    <row r="53" spans="1:41">
      <c r="A53" s="21">
        <f t="shared" si="14"/>
        <v>6</v>
      </c>
      <c r="B53" s="23" t="s">
        <v>344</v>
      </c>
      <c r="C53" s="61" t="s">
        <v>42</v>
      </c>
      <c r="D53" s="24" t="s">
        <v>43</v>
      </c>
      <c r="E53" s="62" t="s">
        <v>44</v>
      </c>
      <c r="F53" s="61">
        <v>45328</v>
      </c>
      <c r="G53" s="25"/>
      <c r="H53" s="23" t="s">
        <v>483</v>
      </c>
      <c r="I53" s="26" t="s">
        <v>525</v>
      </c>
      <c r="J53" s="23" t="s">
        <v>526</v>
      </c>
      <c r="K53" s="27">
        <v>45329</v>
      </c>
      <c r="L53" s="28"/>
      <c r="M53" s="64">
        <v>116723</v>
      </c>
      <c r="N53" s="222" t="s">
        <v>529</v>
      </c>
      <c r="O53" s="18" t="s">
        <v>355</v>
      </c>
      <c r="P53" s="18"/>
      <c r="Q53" s="18" t="s">
        <v>530</v>
      </c>
      <c r="R53" s="18" t="s">
        <v>487</v>
      </c>
      <c r="S53" s="23">
        <v>1160</v>
      </c>
      <c r="T53" s="23">
        <v>1100</v>
      </c>
      <c r="U53" s="18">
        <f>Table22[[#This Row],[SALES '[€']]]-Table22[[#This Row],[PURCHASE '[€']]]</f>
        <v>60</v>
      </c>
      <c r="V53" s="60">
        <f>Table22[[#This Row],[MARGIN '[€']]]/Table22[[#This Row],[SALES '[€']]]</f>
        <v>5.1724137931034482E-2</v>
      </c>
      <c r="W53" s="18">
        <v>9215171528</v>
      </c>
      <c r="X53" s="18" t="s">
        <v>531</v>
      </c>
      <c r="Y53" s="18">
        <v>705</v>
      </c>
      <c r="Z53" s="18"/>
      <c r="AA53" s="18" t="s">
        <v>51</v>
      </c>
      <c r="AB53" s="22">
        <f>Table22[[#This Row],[PURCHASE '[€']]]/Table22[[#This Row],[KM]]</f>
        <v>1.5602836879432624</v>
      </c>
      <c r="AC53" s="22">
        <f t="shared" si="15"/>
        <v>1.6453900709219857</v>
      </c>
      <c r="AD53" s="18"/>
      <c r="AE53" s="18"/>
      <c r="AF53" s="18"/>
      <c r="AG53" s="18"/>
      <c r="AH53" s="18"/>
      <c r="AI53" s="18"/>
      <c r="AJ53" s="18"/>
      <c r="AK53" s="18"/>
      <c r="AL53" s="18" t="str">
        <f>IF(Table22[[#This Row],[DELIVERY TIME]]="STORNO","CANCELLED","OK")</f>
        <v>OK</v>
      </c>
      <c r="AM53" s="18"/>
      <c r="AN53" s="18" t="str">
        <f>IF(RIGHT(Table22[[#This Row],[CARRIER]],3)="-MF",921,"")</f>
        <v/>
      </c>
      <c r="AO53" s="18"/>
    </row>
    <row r="54" spans="1:41">
      <c r="A54" s="21">
        <f t="shared" ref="A54:A59" si="16">WEEKNUM(F54,21)</f>
        <v>6</v>
      </c>
      <c r="B54" s="23" t="s">
        <v>344</v>
      </c>
      <c r="C54" s="61" t="s">
        <v>42</v>
      </c>
      <c r="D54" s="24" t="s">
        <v>43</v>
      </c>
      <c r="E54" s="62" t="s">
        <v>44</v>
      </c>
      <c r="F54" s="61">
        <v>45330</v>
      </c>
      <c r="G54" s="25"/>
      <c r="H54" s="23" t="s">
        <v>45</v>
      </c>
      <c r="I54" s="26" t="s">
        <v>532</v>
      </c>
      <c r="J54" s="23" t="s">
        <v>533</v>
      </c>
      <c r="K54" s="27">
        <v>45336</v>
      </c>
      <c r="L54" s="28">
        <v>0.35416666666666669</v>
      </c>
      <c r="M54" s="64">
        <v>116728</v>
      </c>
      <c r="N54" s="32"/>
      <c r="O54" s="18" t="s">
        <v>355</v>
      </c>
      <c r="P54" s="18"/>
      <c r="Q54" s="18" t="s">
        <v>534</v>
      </c>
      <c r="R54" s="23" t="s">
        <v>299</v>
      </c>
      <c r="S54" s="23">
        <v>2920</v>
      </c>
      <c r="T54" s="23">
        <v>2500</v>
      </c>
      <c r="U54" s="18">
        <f>Table22[[#This Row],[SALES '[€']]]-Table22[[#This Row],[PURCHASE '[€']]]</f>
        <v>420</v>
      </c>
      <c r="V54" s="60">
        <f>Table22[[#This Row],[MARGIN '[€']]]/Table22[[#This Row],[SALES '[€']]]</f>
        <v>0.14383561643835616</v>
      </c>
      <c r="W54" s="18">
        <v>9215171618</v>
      </c>
      <c r="X54" s="18" t="s">
        <v>535</v>
      </c>
      <c r="Y54" s="18">
        <v>1991</v>
      </c>
      <c r="Z54" s="18"/>
      <c r="AA54" s="18" t="s">
        <v>51</v>
      </c>
      <c r="AB54" s="22">
        <f>Table22[[#This Row],[PURCHASE '[€']]]/Table22[[#This Row],[KM]]</f>
        <v>1.2556504269211453</v>
      </c>
      <c r="AC54" s="22">
        <f t="shared" ref="AC54:AC59" si="17">S54/Y54</f>
        <v>1.4665996986438976</v>
      </c>
      <c r="AD54" s="18"/>
      <c r="AE54" s="18"/>
      <c r="AF54" s="18"/>
      <c r="AG54" s="18"/>
      <c r="AH54" s="18"/>
      <c r="AI54" s="18"/>
      <c r="AJ54" s="18"/>
      <c r="AK54" s="18"/>
      <c r="AL54" s="18" t="str">
        <f>IF(Table22[[#This Row],[DELIVERY TIME]]="STORNO","CANCELLED","OK")</f>
        <v>OK</v>
      </c>
      <c r="AM54" s="18"/>
      <c r="AN54" s="18" t="str">
        <f>IF(RIGHT(Table22[[#This Row],[CARRIER]],3)="-MF",921,"")</f>
        <v/>
      </c>
      <c r="AO54" s="18"/>
    </row>
    <row r="55" spans="1:41">
      <c r="A55" s="21">
        <f t="shared" si="16"/>
        <v>6</v>
      </c>
      <c r="B55" s="23" t="s">
        <v>344</v>
      </c>
      <c r="C55" s="61" t="s">
        <v>42</v>
      </c>
      <c r="D55" s="24" t="s">
        <v>43</v>
      </c>
      <c r="E55" s="62" t="s">
        <v>44</v>
      </c>
      <c r="F55" s="61">
        <v>45330</v>
      </c>
      <c r="G55" s="25"/>
      <c r="H55" s="23" t="s">
        <v>45</v>
      </c>
      <c r="I55" s="26" t="s">
        <v>475</v>
      </c>
      <c r="J55" s="23" t="s">
        <v>476</v>
      </c>
      <c r="K55" s="27">
        <v>45337</v>
      </c>
      <c r="L55" s="28"/>
      <c r="M55" s="64">
        <v>116782</v>
      </c>
      <c r="N55" s="32" t="s">
        <v>536</v>
      </c>
      <c r="O55" s="18" t="s">
        <v>347</v>
      </c>
      <c r="P55" s="18"/>
      <c r="Q55" s="18" t="s">
        <v>352</v>
      </c>
      <c r="R55" s="23" t="s">
        <v>353</v>
      </c>
      <c r="S55" s="23">
        <v>1350</v>
      </c>
      <c r="T55" s="23">
        <v>1240</v>
      </c>
      <c r="U55" s="18">
        <f>Table22[[#This Row],[SALES '[€']]]-Table22[[#This Row],[PURCHASE '[€']]]</f>
        <v>110</v>
      </c>
      <c r="V55" s="60">
        <f>Table22[[#This Row],[MARGIN '[€']]]/Table22[[#This Row],[SALES '[€']]]</f>
        <v>8.1481481481481488E-2</v>
      </c>
      <c r="W55" s="18">
        <v>9215171686</v>
      </c>
      <c r="X55" s="18" t="s">
        <v>537</v>
      </c>
      <c r="Y55" s="18">
        <v>1439</v>
      </c>
      <c r="Z55" s="18"/>
      <c r="AA55" s="18" t="s">
        <v>51</v>
      </c>
      <c r="AB55" s="22">
        <f>Table22[[#This Row],[PURCHASE '[€']]]/Table22[[#This Row],[KM]]</f>
        <v>0.86170952050034744</v>
      </c>
      <c r="AC55" s="22">
        <f t="shared" si="17"/>
        <v>0.93815149409312026</v>
      </c>
      <c r="AD55" s="18"/>
      <c r="AE55" s="18"/>
      <c r="AF55" s="18"/>
      <c r="AG55" s="18"/>
      <c r="AH55" s="18"/>
      <c r="AI55" s="18"/>
      <c r="AJ55" s="18"/>
      <c r="AK55" s="18"/>
      <c r="AL55" s="18" t="str">
        <f>IF(Table22[[#This Row],[DELIVERY TIME]]="STORNO","CANCELLED","OK")</f>
        <v>OK</v>
      </c>
      <c r="AM55" s="18"/>
      <c r="AN55" s="18" t="str">
        <f>IF(RIGHT(Table22[[#This Row],[CARRIER]],3)="-MF",921,"")</f>
        <v/>
      </c>
      <c r="AO55" s="18"/>
    </row>
    <row r="56" spans="1:41">
      <c r="A56" s="21">
        <f t="shared" si="16"/>
        <v>7</v>
      </c>
      <c r="B56" s="23" t="s">
        <v>344</v>
      </c>
      <c r="C56" s="61" t="s">
        <v>42</v>
      </c>
      <c r="D56" s="24" t="s">
        <v>43</v>
      </c>
      <c r="E56" s="62" t="s">
        <v>44</v>
      </c>
      <c r="F56" s="61">
        <v>45334</v>
      </c>
      <c r="G56" s="25"/>
      <c r="H56" s="23" t="s">
        <v>45</v>
      </c>
      <c r="I56" s="26" t="s">
        <v>538</v>
      </c>
      <c r="J56" s="23" t="s">
        <v>539</v>
      </c>
      <c r="K56" s="27">
        <v>45337</v>
      </c>
      <c r="L56" s="28">
        <v>0.41666666666666669</v>
      </c>
      <c r="M56" s="64">
        <v>116920</v>
      </c>
      <c r="N56" s="32"/>
      <c r="O56" s="18" t="s">
        <v>355</v>
      </c>
      <c r="P56" s="18"/>
      <c r="Q56" s="18" t="s">
        <v>540</v>
      </c>
      <c r="R56" s="23" t="s">
        <v>299</v>
      </c>
      <c r="S56" s="187">
        <f>2900+82</f>
        <v>2982</v>
      </c>
      <c r="T56" s="23">
        <v>2450</v>
      </c>
      <c r="U56" s="18">
        <f>Table22[[#This Row],[SALES '[€']]]-Table22[[#This Row],[PURCHASE '[€']]]</f>
        <v>532</v>
      </c>
      <c r="V56" s="60">
        <f>Table22[[#This Row],[MARGIN '[€']]]/Table22[[#This Row],[SALES '[€']]]</f>
        <v>0.17840375586854459</v>
      </c>
      <c r="W56" s="18">
        <v>9215171682</v>
      </c>
      <c r="X56" s="18" t="s">
        <v>541</v>
      </c>
      <c r="Y56" s="18">
        <v>1954</v>
      </c>
      <c r="Z56" s="18"/>
      <c r="AA56" s="18" t="s">
        <v>51</v>
      </c>
      <c r="AB56" s="22">
        <f>Table22[[#This Row],[PURCHASE '[€']]]/Table22[[#This Row],[KM]]</f>
        <v>1.2538382804503583</v>
      </c>
      <c r="AC56" s="22">
        <f t="shared" si="17"/>
        <v>1.5261003070624359</v>
      </c>
      <c r="AD56" s="18"/>
      <c r="AE56" s="18"/>
      <c r="AF56" s="18"/>
      <c r="AG56" s="18"/>
      <c r="AH56" s="18"/>
      <c r="AI56" s="18"/>
      <c r="AJ56" s="18"/>
      <c r="AK56" s="18"/>
      <c r="AL56" s="18" t="str">
        <f>IF(Table22[[#This Row],[DELIVERY TIME]]="STORNO","CANCELLED","OK")</f>
        <v>OK</v>
      </c>
      <c r="AM56" s="18"/>
      <c r="AN56" s="18" t="str">
        <f>IF(RIGHT(Table22[[#This Row],[CARRIER]],3)="-MF",921,"")</f>
        <v/>
      </c>
      <c r="AO56" s="18"/>
    </row>
    <row r="57" spans="1:41">
      <c r="A57" s="21">
        <f t="shared" si="16"/>
        <v>6</v>
      </c>
      <c r="B57" s="23" t="s">
        <v>344</v>
      </c>
      <c r="C57" s="61" t="s">
        <v>45</v>
      </c>
      <c r="D57" s="24" t="s">
        <v>345</v>
      </c>
      <c r="E57" s="114" t="s">
        <v>346</v>
      </c>
      <c r="F57" s="61">
        <v>45330</v>
      </c>
      <c r="G57" s="25"/>
      <c r="H57" s="23" t="s">
        <v>42</v>
      </c>
      <c r="I57" s="26" t="s">
        <v>43</v>
      </c>
      <c r="J57" s="23" t="s">
        <v>44</v>
      </c>
      <c r="K57" s="27">
        <v>45335</v>
      </c>
      <c r="L57" s="28"/>
      <c r="M57" s="207" t="s">
        <v>542</v>
      </c>
      <c r="N57" s="32" t="s">
        <v>543</v>
      </c>
      <c r="O57" s="18" t="s">
        <v>347</v>
      </c>
      <c r="P57" s="18"/>
      <c r="Q57" s="206" t="s">
        <v>544</v>
      </c>
      <c r="R57" s="23" t="s">
        <v>97</v>
      </c>
      <c r="S57" s="23">
        <v>350</v>
      </c>
      <c r="T57" s="23">
        <v>250</v>
      </c>
      <c r="U57" s="18">
        <f>Table22[[#This Row],[SALES '[€']]]-Table22[[#This Row],[PURCHASE '[€']]]</f>
        <v>100</v>
      </c>
      <c r="V57" s="60">
        <f>Table22[[#This Row],[MARGIN '[€']]]/Table22[[#This Row],[SALES '[€']]]</f>
        <v>0.2857142857142857</v>
      </c>
      <c r="W57" s="18">
        <v>9215171700</v>
      </c>
      <c r="X57" s="18" t="s">
        <v>545</v>
      </c>
      <c r="Y57" s="18"/>
      <c r="Z57" s="18"/>
      <c r="AA57" s="18" t="s">
        <v>51</v>
      </c>
      <c r="AB57" s="22" t="e">
        <f>Table22[[#This Row],[PURCHASE '[€']]]/Table22[[#This Row],[KM]]</f>
        <v>#DIV/0!</v>
      </c>
      <c r="AC57" s="22" t="e">
        <f t="shared" si="17"/>
        <v>#DIV/0!</v>
      </c>
      <c r="AD57" s="18"/>
      <c r="AE57" s="18"/>
      <c r="AF57" s="18"/>
      <c r="AG57" s="18"/>
      <c r="AH57" s="18"/>
      <c r="AI57" s="18"/>
      <c r="AJ57" s="18"/>
      <c r="AK57" s="18"/>
      <c r="AL57" s="18" t="str">
        <f>IF(Table22[[#This Row],[DELIVERY TIME]]="STORNO","CANCELLED","OK")</f>
        <v>OK</v>
      </c>
      <c r="AM57" s="18"/>
      <c r="AN57" s="18" t="str">
        <f>IF(RIGHT(Table22[[#This Row],[CARRIER]],3)="-MF",921,"")</f>
        <v/>
      </c>
      <c r="AO57" s="18"/>
    </row>
    <row r="58" spans="1:41">
      <c r="A58" s="21">
        <f t="shared" si="16"/>
        <v>6</v>
      </c>
      <c r="B58" s="23" t="s">
        <v>344</v>
      </c>
      <c r="C58" s="61" t="s">
        <v>42</v>
      </c>
      <c r="D58" s="24" t="s">
        <v>43</v>
      </c>
      <c r="E58" s="62" t="s">
        <v>44</v>
      </c>
      <c r="F58" s="61">
        <v>45331</v>
      </c>
      <c r="G58" s="25"/>
      <c r="H58" s="23" t="s">
        <v>45</v>
      </c>
      <c r="I58" s="26" t="s">
        <v>475</v>
      </c>
      <c r="J58" s="23" t="s">
        <v>546</v>
      </c>
      <c r="K58" s="27">
        <v>45337</v>
      </c>
      <c r="L58" s="28"/>
      <c r="M58" s="64">
        <v>116984</v>
      </c>
      <c r="N58" s="32"/>
      <c r="O58" s="18" t="s">
        <v>347</v>
      </c>
      <c r="P58" s="18"/>
      <c r="Q58" s="18" t="s">
        <v>352</v>
      </c>
      <c r="R58" s="23" t="s">
        <v>353</v>
      </c>
      <c r="S58" s="23">
        <v>470</v>
      </c>
      <c r="T58" s="23">
        <v>430</v>
      </c>
      <c r="U58" s="18">
        <f>Table22[[#This Row],[SALES '[€']]]-Table22[[#This Row],[PURCHASE '[€']]]</f>
        <v>40</v>
      </c>
      <c r="V58" s="60">
        <f>Table22[[#This Row],[MARGIN '[€']]]/Table22[[#This Row],[SALES '[€']]]</f>
        <v>8.5106382978723402E-2</v>
      </c>
      <c r="W58" s="18">
        <v>9215171785</v>
      </c>
      <c r="X58" s="18" t="s">
        <v>547</v>
      </c>
      <c r="Y58" s="18"/>
      <c r="Z58" s="18"/>
      <c r="AA58" s="18" t="s">
        <v>51</v>
      </c>
      <c r="AB58" s="22" t="e">
        <f>Table22[[#This Row],[PURCHASE '[€']]]/Table22[[#This Row],[KM]]</f>
        <v>#DIV/0!</v>
      </c>
      <c r="AC58" s="22" t="e">
        <f t="shared" si="17"/>
        <v>#DIV/0!</v>
      </c>
      <c r="AD58" s="18"/>
      <c r="AE58" s="18"/>
      <c r="AF58" s="18"/>
      <c r="AG58" s="18"/>
      <c r="AH58" s="18"/>
      <c r="AI58" s="18"/>
      <c r="AJ58" s="18"/>
      <c r="AK58" s="18"/>
      <c r="AL58" s="18" t="str">
        <f>IF(Table22[[#This Row],[DELIVERY TIME]]="STORNO","CANCELLED","OK")</f>
        <v>OK</v>
      </c>
      <c r="AM58" s="18"/>
      <c r="AN58" s="18" t="str">
        <f>IF(RIGHT(Table22[[#This Row],[CARRIER]],3)="-MF",921,"")</f>
        <v/>
      </c>
      <c r="AO58" s="18"/>
    </row>
    <row r="59" spans="1:41">
      <c r="A59" s="21">
        <f t="shared" si="16"/>
        <v>7</v>
      </c>
      <c r="B59" s="23" t="s">
        <v>344</v>
      </c>
      <c r="C59" s="61" t="s">
        <v>45</v>
      </c>
      <c r="D59" s="24" t="s">
        <v>384</v>
      </c>
      <c r="E59" s="208" t="s">
        <v>385</v>
      </c>
      <c r="F59" s="61">
        <v>45334</v>
      </c>
      <c r="G59" s="25"/>
      <c r="H59" s="23" t="s">
        <v>42</v>
      </c>
      <c r="I59" s="26" t="s">
        <v>43</v>
      </c>
      <c r="J59" s="23" t="s">
        <v>44</v>
      </c>
      <c r="K59" s="27">
        <v>45336</v>
      </c>
      <c r="L59" s="28"/>
      <c r="M59" s="207" t="s">
        <v>548</v>
      </c>
      <c r="N59" s="32" t="s">
        <v>549</v>
      </c>
      <c r="O59" s="18" t="s">
        <v>355</v>
      </c>
      <c r="P59" s="18"/>
      <c r="Q59" s="18" t="s">
        <v>550</v>
      </c>
      <c r="R59" s="23" t="s">
        <v>551</v>
      </c>
      <c r="S59" s="23">
        <v>1060</v>
      </c>
      <c r="T59" s="23">
        <v>1000</v>
      </c>
      <c r="U59" s="18">
        <f>Table22[[#This Row],[SALES '[€']]]-Table22[[#This Row],[PURCHASE '[€']]]</f>
        <v>60</v>
      </c>
      <c r="V59" s="60">
        <f>Table22[[#This Row],[MARGIN '[€']]]/Table22[[#This Row],[SALES '[€']]]</f>
        <v>5.6603773584905662E-2</v>
      </c>
      <c r="W59" s="18">
        <v>9215171728</v>
      </c>
      <c r="X59" s="18" t="s">
        <v>552</v>
      </c>
      <c r="Y59" s="18"/>
      <c r="Z59" s="59" t="s">
        <v>553</v>
      </c>
      <c r="AA59" s="18" t="s">
        <v>51</v>
      </c>
      <c r="AB59" s="22" t="e">
        <f>Table22[[#This Row],[PURCHASE '[€']]]/Table22[[#This Row],[KM]]</f>
        <v>#DIV/0!</v>
      </c>
      <c r="AC59" s="22" t="e">
        <f t="shared" si="17"/>
        <v>#DIV/0!</v>
      </c>
      <c r="AD59" s="18"/>
      <c r="AE59" s="18"/>
      <c r="AF59" s="18"/>
      <c r="AG59" s="18"/>
      <c r="AH59" s="18"/>
      <c r="AI59" s="18"/>
      <c r="AJ59" s="18"/>
      <c r="AK59" s="18"/>
      <c r="AL59" s="18" t="str">
        <f>IF(Table22[[#This Row],[DELIVERY TIME]]="STORNO","CANCELLED","OK")</f>
        <v>OK</v>
      </c>
      <c r="AM59" s="18"/>
      <c r="AN59" s="18" t="str">
        <f>IF(RIGHT(Table22[[#This Row],[CARRIER]],3)="-MF",921,"")</f>
        <v/>
      </c>
      <c r="AO59" s="18"/>
    </row>
    <row r="60" spans="1:41">
      <c r="A60" s="21">
        <f>WEEKNUM(F60,21)</f>
        <v>7</v>
      </c>
      <c r="B60" s="23" t="s">
        <v>344</v>
      </c>
      <c r="C60" s="61" t="s">
        <v>42</v>
      </c>
      <c r="D60" s="24" t="s">
        <v>43</v>
      </c>
      <c r="E60" s="62" t="s">
        <v>44</v>
      </c>
      <c r="F60" s="61">
        <v>45338</v>
      </c>
      <c r="G60" s="25"/>
      <c r="H60" s="23" t="s">
        <v>45</v>
      </c>
      <c r="I60" s="26" t="s">
        <v>532</v>
      </c>
      <c r="J60" s="23" t="s">
        <v>533</v>
      </c>
      <c r="K60" s="27">
        <v>45343</v>
      </c>
      <c r="L60" s="28">
        <v>0.35416666666666669</v>
      </c>
      <c r="M60" s="64">
        <v>117159</v>
      </c>
      <c r="N60" s="32">
        <v>2.65</v>
      </c>
      <c r="O60" s="18" t="s">
        <v>355</v>
      </c>
      <c r="P60" s="18"/>
      <c r="Q60" s="31"/>
      <c r="R60" s="23" t="s">
        <v>85</v>
      </c>
      <c r="S60" s="23">
        <v>2920</v>
      </c>
      <c r="T60" s="23">
        <v>2500</v>
      </c>
      <c r="U60" s="18">
        <f>Table22[[#This Row],[SALES '[€']]]-Table22[[#This Row],[PURCHASE '[€']]]</f>
        <v>420</v>
      </c>
      <c r="V60" s="60">
        <f>Table22[[#This Row],[MARGIN '[€']]]/Table22[[#This Row],[SALES '[€']]]</f>
        <v>0.14383561643835616</v>
      </c>
      <c r="W60" s="18">
        <v>9215171802</v>
      </c>
      <c r="X60" s="18" t="s">
        <v>554</v>
      </c>
      <c r="Y60" s="18">
        <v>1991</v>
      </c>
      <c r="Z60" s="18"/>
      <c r="AA60" s="18" t="s">
        <v>51</v>
      </c>
      <c r="AB60" s="22">
        <f>Table22[[#This Row],[PURCHASE '[€']]]/Table22[[#This Row],[KM]]</f>
        <v>1.2556504269211453</v>
      </c>
      <c r="AC60" s="22">
        <f>S60/Y60</f>
        <v>1.4665996986438976</v>
      </c>
      <c r="AD60" s="18"/>
      <c r="AE60" s="18"/>
      <c r="AF60" s="18"/>
      <c r="AG60" s="18"/>
      <c r="AH60" s="18"/>
      <c r="AI60" s="18"/>
      <c r="AJ60" s="18"/>
      <c r="AK60" s="18"/>
      <c r="AL60" s="18" t="str">
        <f>IF(Table22[[#This Row],[DELIVERY TIME]]="STORNO","CANCELLED","OK")</f>
        <v>OK</v>
      </c>
      <c r="AM60" s="18"/>
      <c r="AN60" s="18" t="str">
        <f>IF(RIGHT(Table22[[#This Row],[CARRIER]],3)="-MF",921,"")</f>
        <v/>
      </c>
      <c r="AO60" s="18"/>
    </row>
    <row r="61" spans="1:41">
      <c r="A61" s="21">
        <f>WEEKNUM(F61,21)</f>
        <v>7</v>
      </c>
      <c r="B61" s="23" t="s">
        <v>344</v>
      </c>
      <c r="C61" s="61" t="s">
        <v>81</v>
      </c>
      <c r="D61" s="24" t="s">
        <v>328</v>
      </c>
      <c r="E61" s="208" t="s">
        <v>441</v>
      </c>
      <c r="F61" s="61">
        <v>45334</v>
      </c>
      <c r="G61" s="25"/>
      <c r="H61" s="23" t="s">
        <v>42</v>
      </c>
      <c r="I61" s="26" t="s">
        <v>43</v>
      </c>
      <c r="J61" s="23" t="s">
        <v>44</v>
      </c>
      <c r="K61" s="27">
        <v>45335</v>
      </c>
      <c r="L61" s="28"/>
      <c r="M61" s="207" t="s">
        <v>555</v>
      </c>
      <c r="N61" s="32" t="s">
        <v>556</v>
      </c>
      <c r="O61" s="18" t="s">
        <v>347</v>
      </c>
      <c r="P61" s="18"/>
      <c r="Q61" s="18" t="s">
        <v>557</v>
      </c>
      <c r="R61" s="23" t="s">
        <v>558</v>
      </c>
      <c r="S61" s="23">
        <v>823</v>
      </c>
      <c r="T61" s="23">
        <v>400</v>
      </c>
      <c r="U61" s="18">
        <f>Table22[[#This Row],[SALES '[€']]]-Table22[[#This Row],[PURCHASE '[€']]]</f>
        <v>423</v>
      </c>
      <c r="V61" s="60">
        <f>Table22[[#This Row],[MARGIN '[€']]]/Table22[[#This Row],[SALES '[€']]]</f>
        <v>0.5139732685297691</v>
      </c>
      <c r="W61" s="18">
        <v>9215171861</v>
      </c>
      <c r="X61" s="18" t="s">
        <v>559</v>
      </c>
      <c r="Y61" s="18"/>
      <c r="Z61" s="59" t="s">
        <v>560</v>
      </c>
      <c r="AA61" s="18" t="s">
        <v>51</v>
      </c>
      <c r="AB61" s="22" t="e">
        <f>Table22[[#This Row],[PURCHASE '[€']]]/Table22[[#This Row],[KM]]</f>
        <v>#DIV/0!</v>
      </c>
      <c r="AC61" s="22" t="e">
        <f>S61/Y61</f>
        <v>#DIV/0!</v>
      </c>
      <c r="AD61" s="18"/>
      <c r="AE61" s="18"/>
      <c r="AF61" s="18"/>
      <c r="AG61" s="18"/>
      <c r="AH61" s="18"/>
      <c r="AI61" s="18"/>
      <c r="AJ61" s="18"/>
      <c r="AK61" s="18"/>
      <c r="AL61" s="18" t="str">
        <f>IF(Table22[[#This Row],[DELIVERY TIME]]="STORNO","CANCELLED","OK")</f>
        <v>OK</v>
      </c>
      <c r="AM61" s="18"/>
      <c r="AN61" s="18" t="str">
        <f>IF(RIGHT(Table22[[#This Row],[CARRIER]],3)="-MF",921,"")</f>
        <v/>
      </c>
      <c r="AO61" s="18"/>
    </row>
    <row r="62" spans="1:41">
      <c r="A62" s="21">
        <f>WEEKNUM(F62,21)</f>
        <v>7</v>
      </c>
      <c r="B62" s="23" t="s">
        <v>344</v>
      </c>
      <c r="C62" s="61" t="s">
        <v>52</v>
      </c>
      <c r="D62" s="24" t="s">
        <v>561</v>
      </c>
      <c r="E62" s="208" t="s">
        <v>562</v>
      </c>
      <c r="F62" s="61">
        <v>45335</v>
      </c>
      <c r="G62" s="25"/>
      <c r="H62" s="23" t="s">
        <v>42</v>
      </c>
      <c r="I62" s="26" t="s">
        <v>43</v>
      </c>
      <c r="J62" s="23" t="s">
        <v>44</v>
      </c>
      <c r="K62" s="27">
        <v>45336</v>
      </c>
      <c r="L62" s="28"/>
      <c r="M62" s="207" t="s">
        <v>563</v>
      </c>
      <c r="N62" s="32" t="s">
        <v>564</v>
      </c>
      <c r="O62" s="18" t="s">
        <v>565</v>
      </c>
      <c r="P62" s="18"/>
      <c r="Q62" s="31" t="s">
        <v>566</v>
      </c>
      <c r="R62" s="31"/>
      <c r="S62" s="23">
        <v>1300</v>
      </c>
      <c r="T62" s="23">
        <v>1150</v>
      </c>
      <c r="U62" s="18">
        <f>Table22[[#This Row],[SALES '[€']]]-Table22[[#This Row],[PURCHASE '[€']]]</f>
        <v>150</v>
      </c>
      <c r="V62" s="60">
        <f>Table22[[#This Row],[MARGIN '[€']]]/Table22[[#This Row],[SALES '[€']]]</f>
        <v>0.11538461538461539</v>
      </c>
      <c r="W62" s="18" t="s">
        <v>567</v>
      </c>
      <c r="X62" s="18" t="s">
        <v>568</v>
      </c>
      <c r="Y62" s="18"/>
      <c r="Z62" s="59" t="s">
        <v>569</v>
      </c>
      <c r="AA62" s="18" t="s">
        <v>51</v>
      </c>
      <c r="AB62" s="22" t="e">
        <f>Table22[[#This Row],[PURCHASE '[€']]]/Table22[[#This Row],[KM]]</f>
        <v>#DIV/0!</v>
      </c>
      <c r="AC62" s="22" t="e">
        <f>S62/Y62</f>
        <v>#DIV/0!</v>
      </c>
      <c r="AD62" s="18"/>
      <c r="AE62" s="18"/>
      <c r="AF62" s="18"/>
      <c r="AG62" s="18"/>
      <c r="AH62" s="18"/>
      <c r="AI62" s="18"/>
      <c r="AJ62" s="18"/>
      <c r="AK62" s="18"/>
      <c r="AL62" s="18" t="str">
        <f>IF(Table22[[#This Row],[DELIVERY TIME]]="STORNO","CANCELLED","OK")</f>
        <v>OK</v>
      </c>
      <c r="AM62" s="18"/>
      <c r="AN62" s="18" t="str">
        <f>IF(RIGHT(Table22[[#This Row],[CARRIER]],3)="-MF",921,"")</f>
        <v/>
      </c>
      <c r="AO62" s="18"/>
    </row>
    <row r="63" spans="1:41">
      <c r="A63" s="21">
        <f>WEEKNUM(F63,21)</f>
        <v>7</v>
      </c>
      <c r="B63" s="23" t="s">
        <v>344</v>
      </c>
      <c r="C63" s="61" t="s">
        <v>570</v>
      </c>
      <c r="D63" s="24" t="s">
        <v>571</v>
      </c>
      <c r="E63" s="208" t="s">
        <v>572</v>
      </c>
      <c r="F63" s="61">
        <v>45336</v>
      </c>
      <c r="G63" s="25"/>
      <c r="H63" s="23" t="s">
        <v>42</v>
      </c>
      <c r="I63" s="26" t="s">
        <v>43</v>
      </c>
      <c r="J63" s="23" t="s">
        <v>44</v>
      </c>
      <c r="K63" s="27">
        <v>45338</v>
      </c>
      <c r="L63" s="28"/>
      <c r="M63" s="207"/>
      <c r="N63" s="32" t="s">
        <v>573</v>
      </c>
      <c r="O63" s="18" t="s">
        <v>347</v>
      </c>
      <c r="P63" s="18"/>
      <c r="Q63" s="18" t="s">
        <v>574</v>
      </c>
      <c r="R63" s="23" t="s">
        <v>487</v>
      </c>
      <c r="S63" s="23">
        <v>511</v>
      </c>
      <c r="T63" s="23">
        <v>450</v>
      </c>
      <c r="U63" s="18">
        <f>Table22[[#This Row],[SALES '[€']]]-Table22[[#This Row],[PURCHASE '[€']]]</f>
        <v>61</v>
      </c>
      <c r="V63" s="60">
        <f>Table22[[#This Row],[MARGIN '[€']]]/Table22[[#This Row],[SALES '[€']]]</f>
        <v>0.11937377690802348</v>
      </c>
      <c r="W63" s="18">
        <v>9215171896</v>
      </c>
      <c r="X63" s="18" t="s">
        <v>575</v>
      </c>
      <c r="Y63" s="18"/>
      <c r="Z63" s="18"/>
      <c r="AA63" s="18" t="s">
        <v>51</v>
      </c>
      <c r="AB63" s="22" t="e">
        <f>Table22[[#This Row],[PURCHASE '[€']]]/Table22[[#This Row],[KM]]</f>
        <v>#DIV/0!</v>
      </c>
      <c r="AC63" s="22" t="e">
        <f>S63/Y63</f>
        <v>#DIV/0!</v>
      </c>
      <c r="AD63" s="18"/>
      <c r="AE63" s="18"/>
      <c r="AF63" s="18"/>
      <c r="AG63" s="18"/>
      <c r="AH63" s="18"/>
      <c r="AI63" s="18"/>
      <c r="AJ63" s="18"/>
      <c r="AK63" s="18"/>
      <c r="AL63" s="18" t="str">
        <f>IF(Table22[[#This Row],[DELIVERY TIME]]="STORNO","CANCELLED","OK")</f>
        <v>OK</v>
      </c>
      <c r="AM63" s="18"/>
      <c r="AN63" s="18" t="str">
        <f>IF(RIGHT(Table22[[#This Row],[CARRIER]],3)="-MF",921,"")</f>
        <v/>
      </c>
      <c r="AO63" s="18"/>
    </row>
    <row r="64" spans="1:41">
      <c r="A64" s="21">
        <f>WEEKNUM(F64,21)</f>
        <v>7</v>
      </c>
      <c r="B64" s="23" t="s">
        <v>344</v>
      </c>
      <c r="C64" s="61" t="s">
        <v>42</v>
      </c>
      <c r="D64" s="24" t="s">
        <v>43</v>
      </c>
      <c r="E64" s="62" t="s">
        <v>44</v>
      </c>
      <c r="F64" s="61">
        <v>45335</v>
      </c>
      <c r="G64" s="25">
        <v>0.5</v>
      </c>
      <c r="H64" s="23" t="s">
        <v>45</v>
      </c>
      <c r="I64" s="26" t="s">
        <v>345</v>
      </c>
      <c r="J64" s="23" t="s">
        <v>346</v>
      </c>
      <c r="K64" s="27">
        <v>45337</v>
      </c>
      <c r="L64" s="28">
        <v>0.5</v>
      </c>
      <c r="M64" s="64">
        <v>117313</v>
      </c>
      <c r="N64" s="32"/>
      <c r="O64" s="18" t="s">
        <v>355</v>
      </c>
      <c r="P64" s="18"/>
      <c r="Q64" s="18" t="s">
        <v>576</v>
      </c>
      <c r="R64" s="23" t="s">
        <v>299</v>
      </c>
      <c r="S64" s="187">
        <f>2620+82</f>
        <v>2702</v>
      </c>
      <c r="T64" s="23">
        <v>2280</v>
      </c>
      <c r="U64" s="18">
        <f>Table22[[#This Row],[SALES '[€']]]-Table22[[#This Row],[PURCHASE '[€']]]</f>
        <v>422</v>
      </c>
      <c r="V64" s="60">
        <f>Table22[[#This Row],[MARGIN '[€']]]/Table22[[#This Row],[SALES '[€']]]</f>
        <v>0.15618060695780903</v>
      </c>
      <c r="W64" s="18">
        <v>9215171898</v>
      </c>
      <c r="X64" s="18" t="s">
        <v>577</v>
      </c>
      <c r="Y64" s="18"/>
      <c r="Z64" s="18"/>
      <c r="AA64" s="18" t="s">
        <v>51</v>
      </c>
      <c r="AB64" s="22" t="e">
        <f>Table22[[#This Row],[PURCHASE '[€']]]/Table22[[#This Row],[KM]]</f>
        <v>#DIV/0!</v>
      </c>
      <c r="AC64" s="22" t="e">
        <f>S64/Y64</f>
        <v>#DIV/0!</v>
      </c>
      <c r="AD64" s="18"/>
      <c r="AE64" s="18"/>
      <c r="AF64" s="18"/>
      <c r="AG64" s="18"/>
      <c r="AH64" s="18"/>
      <c r="AI64" s="18"/>
      <c r="AJ64" s="18"/>
      <c r="AK64" s="18"/>
      <c r="AL64" s="18" t="str">
        <f>IF(Table22[[#This Row],[DELIVERY TIME]]="STORNO","CANCELLED","OK")</f>
        <v>OK</v>
      </c>
      <c r="AM64" s="18"/>
      <c r="AN64" s="18" t="str">
        <f>IF(RIGHT(Table22[[#This Row],[CARRIER]],3)="-MF",921,"")</f>
        <v/>
      </c>
      <c r="AO64" s="18"/>
    </row>
    <row r="65" spans="1:41">
      <c r="A65" s="21">
        <f>WEEKNUM(F65,21)</f>
        <v>7</v>
      </c>
      <c r="B65" s="23" t="s">
        <v>344</v>
      </c>
      <c r="C65" s="61" t="s">
        <v>42</v>
      </c>
      <c r="D65" s="24" t="s">
        <v>43</v>
      </c>
      <c r="E65" s="62" t="s">
        <v>44</v>
      </c>
      <c r="F65" s="61">
        <v>45338</v>
      </c>
      <c r="G65" s="25"/>
      <c r="H65" s="23" t="s">
        <v>45</v>
      </c>
      <c r="I65" s="26" t="s">
        <v>345</v>
      </c>
      <c r="J65" s="23" t="s">
        <v>346</v>
      </c>
      <c r="K65" s="27">
        <v>45343</v>
      </c>
      <c r="L65" s="28">
        <v>0.375</v>
      </c>
      <c r="M65" s="64">
        <v>117314</v>
      </c>
      <c r="N65" s="32"/>
      <c r="O65" s="18" t="s">
        <v>355</v>
      </c>
      <c r="P65" s="18"/>
      <c r="Q65" s="31" t="s">
        <v>578</v>
      </c>
      <c r="R65" s="119" t="s">
        <v>306</v>
      </c>
      <c r="S65" s="187">
        <f>2620+82</f>
        <v>2702</v>
      </c>
      <c r="T65" s="23"/>
      <c r="U65" s="18">
        <f>Table22[[#This Row],[SALES '[€']]]-Table22[[#This Row],[PURCHASE '[€']]]</f>
        <v>2702</v>
      </c>
      <c r="V65" s="60">
        <f>Table22[[#This Row],[MARGIN '[€']]]/Table22[[#This Row],[SALES '[€']]]</f>
        <v>1</v>
      </c>
      <c r="W65" s="18">
        <v>9215171900</v>
      </c>
      <c r="X65" s="18"/>
      <c r="Y65" s="87">
        <v>1788</v>
      </c>
      <c r="Z65" s="18"/>
      <c r="AA65" s="18" t="s">
        <v>51</v>
      </c>
      <c r="AB65" s="22">
        <f>Table22[[#This Row],[PURCHASE '[€']]]/Table22[[#This Row],[KM]]</f>
        <v>0</v>
      </c>
      <c r="AC65" s="22">
        <f>S65/Y65</f>
        <v>1.5111856823266219</v>
      </c>
      <c r="AD65" s="18"/>
      <c r="AE65" s="18"/>
      <c r="AF65" s="18"/>
      <c r="AG65" s="18"/>
      <c r="AH65" s="18"/>
      <c r="AI65" s="18"/>
      <c r="AJ65" s="18"/>
      <c r="AK65" s="18"/>
      <c r="AL65" s="18" t="str">
        <f>IF(Table22[[#This Row],[DELIVERY TIME]]="STORNO","CANCELLED","OK")</f>
        <v>OK</v>
      </c>
      <c r="AM65" s="18"/>
      <c r="AN65" s="18">
        <f>IF(RIGHT(Table22[[#This Row],[CARRIER]],3)="-MF",921,"")</f>
        <v>921</v>
      </c>
      <c r="AO65" s="18"/>
    </row>
    <row r="66" spans="1:41">
      <c r="A66" s="21">
        <f>WEEKNUM(F66,21)</f>
        <v>7</v>
      </c>
      <c r="B66" s="23" t="s">
        <v>344</v>
      </c>
      <c r="C66" s="61" t="s">
        <v>45</v>
      </c>
      <c r="D66" s="24" t="s">
        <v>384</v>
      </c>
      <c r="E66" s="208" t="s">
        <v>579</v>
      </c>
      <c r="F66" s="61">
        <v>45337</v>
      </c>
      <c r="G66" s="25"/>
      <c r="H66" s="23" t="s">
        <v>42</v>
      </c>
      <c r="I66" s="26" t="s">
        <v>43</v>
      </c>
      <c r="J66" s="23" t="s">
        <v>44</v>
      </c>
      <c r="K66" s="27">
        <v>45341</v>
      </c>
      <c r="L66" s="28"/>
      <c r="M66" s="207" t="s">
        <v>580</v>
      </c>
      <c r="N66" s="32"/>
      <c r="O66" s="18"/>
      <c r="P66" s="18"/>
      <c r="Q66" s="18" t="s">
        <v>581</v>
      </c>
      <c r="R66" s="23" t="s">
        <v>255</v>
      </c>
      <c r="S66" s="23">
        <f>1473+150+50</f>
        <v>1673</v>
      </c>
      <c r="T66" s="23">
        <v>1850</v>
      </c>
      <c r="U66" s="18">
        <f>Table22[[#This Row],[SALES '[€']]]-Table22[[#This Row],[PURCHASE '[€']]]</f>
        <v>-177</v>
      </c>
      <c r="V66" s="60">
        <f>Table22[[#This Row],[MARGIN '[€']]]/Table22[[#This Row],[SALES '[€']]]</f>
        <v>-0.10579796772265392</v>
      </c>
      <c r="W66" s="18" t="s">
        <v>582</v>
      </c>
      <c r="X66" s="18"/>
      <c r="Y66" s="18"/>
      <c r="Z66" s="18"/>
      <c r="AA66" s="18" t="s">
        <v>51</v>
      </c>
      <c r="AB66" s="22" t="e">
        <f>Table22[[#This Row],[PURCHASE '[€']]]/Table22[[#This Row],[KM]]</f>
        <v>#DIV/0!</v>
      </c>
      <c r="AC66" s="22" t="e">
        <f>S66/Y66</f>
        <v>#DIV/0!</v>
      </c>
      <c r="AD66" s="18"/>
      <c r="AE66" s="18"/>
      <c r="AF66" s="18"/>
      <c r="AG66" s="18"/>
      <c r="AH66" s="18"/>
      <c r="AI66" s="18"/>
      <c r="AJ66" s="18"/>
      <c r="AK66" s="18"/>
      <c r="AL66" s="18" t="str">
        <f>IF(Table22[[#This Row],[DELIVERY TIME]]="STORNO","CANCELLED","OK")</f>
        <v>OK</v>
      </c>
      <c r="AM66" s="18"/>
      <c r="AN66" s="18" t="str">
        <f>IF(RIGHT(Table22[[#This Row],[CARRIER]],3)="-MF",921,"")</f>
        <v/>
      </c>
      <c r="AO66" s="18"/>
    </row>
  </sheetData>
  <phoneticPr fontId="30" type="noConversion"/>
  <conditionalFormatting sqref="V1">
    <cfRule type="cellIs" dxfId="128" priority="1" stopIfTrue="1" operator="lessThanOrEqual">
      <formula>0</formula>
    </cfRule>
  </conditionalFormatting>
  <dataValidations disablePrompts="1" count="1">
    <dataValidation type="whole" operator="greaterThan" allowBlank="1" showInputMessage="1" showErrorMessage="1" sqref="Y1" xr:uid="{3B2C0E07-E77A-4E2C-B0E0-AD64A1CF8AFD}">
      <formula1>0</formula1>
    </dataValidation>
  </dataValidations>
  <hyperlinks>
    <hyperlink ref="Z29" r:id="rId1" xr:uid="{60E89972-78BE-44FC-99E2-12168C7D8B7F}"/>
    <hyperlink ref="Z27" r:id="rId2" xr:uid="{D3D310BE-5A39-4D77-BA1F-507D29F8F69F}"/>
    <hyperlink ref="Z18" r:id="rId3" xr:uid="{B37A332F-8522-4553-81BF-33E63DAE133C}"/>
    <hyperlink ref="Z16" r:id="rId4" xr:uid="{70D4B943-11DF-40D3-82F7-44F1FCB25FDB}"/>
    <hyperlink ref="Z7" r:id="rId5" xr:uid="{AC4838B9-38D0-4C76-8F3D-2869E325AACF}"/>
    <hyperlink ref="Z6" r:id="rId6" xr:uid="{60FDDFCC-9F79-406C-AB12-03606A1ADEB9}"/>
    <hyperlink ref="Z32" r:id="rId7" xr:uid="{1CCD7593-52A9-4A43-B26E-60BDB74053C5}"/>
    <hyperlink ref="Z25" r:id="rId8" xr:uid="{863E50E8-8B4B-490A-9581-E67A6121F30D}"/>
    <hyperlink ref="Z41" r:id="rId9" xr:uid="{ACB4CFE8-DB59-49CF-ABBB-14E9A217354A}"/>
    <hyperlink ref="Z47" r:id="rId10" xr:uid="{375669EB-EACE-41DF-8E2E-35546FCE33AB}"/>
    <hyperlink ref="Z59" r:id="rId11" xr:uid="{1966201A-3B24-492E-A791-48BB026FCF71}"/>
    <hyperlink ref="Z61" r:id="rId12" xr:uid="{F6D2AFF4-D972-4A52-B9DD-6D68F72C1238}"/>
    <hyperlink ref="Z62" r:id="rId13" xr:uid="{7375264C-7682-4C2B-955D-54559976041B}"/>
  </hyperlinks>
  <pageMargins left="0.7" right="0.7" top="0.75" bottom="0.75" header="0.3" footer="0.3"/>
  <pageSetup paperSize="9" orientation="portrait" r:id="rId14"/>
  <customProperties>
    <customPr name="_pios_id" r:id="rId15"/>
  </customProperties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O159"/>
  <sheetViews>
    <sheetView zoomScale="91" zoomScaleNormal="100" workbookViewId="0">
      <pane ySplit="1" topLeftCell="B146" activePane="bottomLeft" state="frozen"/>
      <selection pane="bottomLeft" activeCell="R155" sqref="R155"/>
    </sheetView>
  </sheetViews>
  <sheetFormatPr defaultColWidth="9.42578125" defaultRowHeight="12.95"/>
  <cols>
    <col min="1" max="1" width="7" style="15" bestFit="1" customWidth="1"/>
    <col min="2" max="2" width="18.5703125" style="1" bestFit="1" customWidth="1"/>
    <col min="3" max="3" width="4.42578125" style="2" customWidth="1"/>
    <col min="4" max="4" width="5" style="4" customWidth="1"/>
    <col min="5" max="5" width="14.42578125" style="1" bestFit="1" customWidth="1"/>
    <col min="6" max="6" width="9.5703125" style="5" bestFit="1" customWidth="1"/>
    <col min="7" max="7" width="9" style="17" customWidth="1"/>
    <col min="8" max="8" width="3.42578125" style="2" customWidth="1"/>
    <col min="9" max="9" width="3.5703125" style="4" customWidth="1"/>
    <col min="10" max="10" width="16.42578125" style="1" bestFit="1" customWidth="1"/>
    <col min="11" max="11" width="9.5703125" style="5" bestFit="1" customWidth="1"/>
    <col min="12" max="12" width="14.5703125" style="17" customWidth="1"/>
    <col min="13" max="13" width="17.42578125" style="8" customWidth="1"/>
    <col min="14" max="14" width="9.5703125" style="1" customWidth="1"/>
    <col min="15" max="15" width="5.42578125" style="1" customWidth="1"/>
    <col min="16" max="16" width="16.5703125" style="1" customWidth="1"/>
    <col min="17" max="17" width="24.5703125" style="7" customWidth="1"/>
    <col min="18" max="18" width="20.42578125" style="1" customWidth="1"/>
    <col min="19" max="19" width="9.5703125" style="1" customWidth="1"/>
    <col min="20" max="20" width="8.5703125" style="1" customWidth="1"/>
    <col min="21" max="21" width="11.42578125" style="1" bestFit="1" customWidth="1"/>
    <col min="22" max="22" width="14" style="3" bestFit="1" customWidth="1"/>
    <col min="23" max="23" width="22.42578125" style="1" bestFit="1" customWidth="1"/>
    <col min="24" max="24" width="13.5703125" style="1" customWidth="1"/>
    <col min="25" max="25" width="6.42578125" style="1" bestFit="1" customWidth="1"/>
    <col min="26" max="26" width="24.42578125" style="1" customWidth="1"/>
    <col min="27" max="27" width="7.5703125" style="1" customWidth="1"/>
    <col min="28" max="29" width="14.42578125" style="6" bestFit="1" customWidth="1"/>
    <col min="30" max="40" width="9.42578125" style="1"/>
    <col min="41" max="41" width="15.5703125" style="1" bestFit="1" customWidth="1"/>
    <col min="42" max="16384" width="9.42578125" style="1"/>
  </cols>
  <sheetData>
    <row r="1" spans="1:41" ht="31.5">
      <c r="A1" s="75" t="s">
        <v>0</v>
      </c>
      <c r="B1" s="76" t="s">
        <v>1</v>
      </c>
      <c r="C1" s="77" t="s">
        <v>2</v>
      </c>
      <c r="D1" s="78" t="s">
        <v>3</v>
      </c>
      <c r="E1" s="76" t="s">
        <v>4</v>
      </c>
      <c r="F1" s="77" t="s">
        <v>5</v>
      </c>
      <c r="G1" s="79" t="s">
        <v>6</v>
      </c>
      <c r="H1" s="77" t="s">
        <v>7</v>
      </c>
      <c r="I1" s="78" t="s">
        <v>8</v>
      </c>
      <c r="J1" s="80" t="s">
        <v>9</v>
      </c>
      <c r="K1" s="77" t="s">
        <v>10</v>
      </c>
      <c r="L1" s="79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6" t="s">
        <v>19</v>
      </c>
      <c r="U1" s="76" t="s">
        <v>20</v>
      </c>
      <c r="V1" s="81" t="s">
        <v>21</v>
      </c>
      <c r="W1" s="82" t="s">
        <v>22</v>
      </c>
      <c r="X1" s="76" t="s">
        <v>23</v>
      </c>
      <c r="Y1" s="76" t="s">
        <v>24</v>
      </c>
      <c r="Z1" s="76" t="s">
        <v>25</v>
      </c>
      <c r="AA1" s="76" t="s">
        <v>26</v>
      </c>
      <c r="AB1" s="83" t="s">
        <v>27</v>
      </c>
      <c r="AC1" s="83" t="s">
        <v>28</v>
      </c>
      <c r="AD1" s="84" t="s">
        <v>29</v>
      </c>
      <c r="AE1" s="84" t="s">
        <v>30</v>
      </c>
      <c r="AF1" s="84" t="s">
        <v>31</v>
      </c>
      <c r="AG1" s="84" t="s">
        <v>32</v>
      </c>
      <c r="AH1" s="84" t="s">
        <v>33</v>
      </c>
      <c r="AI1" s="84" t="s">
        <v>34</v>
      </c>
      <c r="AJ1" s="84" t="s">
        <v>35</v>
      </c>
      <c r="AK1" s="84" t="s">
        <v>36</v>
      </c>
      <c r="AL1" s="84" t="s">
        <v>37</v>
      </c>
      <c r="AM1" s="40" t="s">
        <v>38</v>
      </c>
      <c r="AN1" s="40" t="s">
        <v>39</v>
      </c>
      <c r="AO1" s="40" t="s">
        <v>40</v>
      </c>
    </row>
    <row r="2" spans="1:41">
      <c r="A2" s="39">
        <f t="shared" ref="A2:A3" si="0">WEEKNUM(F2,21)</f>
        <v>1</v>
      </c>
      <c r="B2" s="116" t="s">
        <v>583</v>
      </c>
      <c r="C2" s="107" t="s">
        <v>42</v>
      </c>
      <c r="D2" s="37" t="s">
        <v>584</v>
      </c>
      <c r="E2" s="36" t="s">
        <v>585</v>
      </c>
      <c r="F2" s="38">
        <v>45293</v>
      </c>
      <c r="G2" s="58">
        <v>0.25</v>
      </c>
      <c r="H2" s="107" t="s">
        <v>197</v>
      </c>
      <c r="I2" s="37" t="s">
        <v>586</v>
      </c>
      <c r="J2" s="36" t="s">
        <v>587</v>
      </c>
      <c r="K2" s="38">
        <v>45294</v>
      </c>
      <c r="L2" s="58">
        <v>0.25</v>
      </c>
      <c r="M2" s="89">
        <v>259624622</v>
      </c>
      <c r="N2" s="18" t="s">
        <v>49</v>
      </c>
      <c r="O2" s="36" t="s">
        <v>411</v>
      </c>
      <c r="P2" s="36">
        <v>4503451458</v>
      </c>
      <c r="Q2" s="63" t="s">
        <v>588</v>
      </c>
      <c r="R2" s="119" t="s">
        <v>312</v>
      </c>
      <c r="S2" s="18">
        <f>1846+77.64</f>
        <v>1923.64</v>
      </c>
      <c r="T2" s="36">
        <v>1773.2</v>
      </c>
      <c r="U2" s="70">
        <f>plachta3434235[[#This Row],[SALES '[€']]]-plachta3434235[[#This Row],[PURCHASE '[€']]]</f>
        <v>150.44000000000005</v>
      </c>
      <c r="V2" s="71">
        <f>plachta3434235[[#This Row],[MARGIN '[€']]]/plachta3434235[[#This Row],[SALES '[€']]]</f>
        <v>7.8205901312095844E-2</v>
      </c>
      <c r="W2" s="116" t="s">
        <v>589</v>
      </c>
      <c r="X2" s="36" t="s">
        <v>590</v>
      </c>
      <c r="Y2" s="36">
        <v>1542</v>
      </c>
      <c r="Z2" s="36">
        <v>50</v>
      </c>
      <c r="AA2" s="36" t="s">
        <v>51</v>
      </c>
      <c r="AB2" s="72">
        <f t="shared" ref="AB2:AB19" si="1">T2/Y2</f>
        <v>1.1499351491569392</v>
      </c>
      <c r="AC2" s="72"/>
      <c r="AD2" s="69"/>
      <c r="AE2" s="69"/>
      <c r="AF2" s="69"/>
      <c r="AG2" s="69"/>
      <c r="AH2" s="69"/>
      <c r="AI2" s="69"/>
      <c r="AJ2" s="69"/>
      <c r="AK2" s="69"/>
      <c r="AL2" s="69" t="str">
        <f>IF(plachta3434235[[#This Row],[DELIVERY TIME]]="STORNO","CANCELLED","OK")</f>
        <v>OK</v>
      </c>
      <c r="AM2" s="69"/>
      <c r="AN2" s="69">
        <f>IF(RIGHT(plachta3434235[[#This Row],[CARRIER]],3)="-MF",921,"")</f>
        <v>921</v>
      </c>
      <c r="AO2" s="69"/>
    </row>
    <row r="3" spans="1:41">
      <c r="A3" s="39">
        <f t="shared" si="0"/>
        <v>1</v>
      </c>
      <c r="B3" s="116" t="s">
        <v>583</v>
      </c>
      <c r="C3" s="107" t="s">
        <v>42</v>
      </c>
      <c r="D3" s="37" t="s">
        <v>584</v>
      </c>
      <c r="E3" s="36" t="s">
        <v>585</v>
      </c>
      <c r="F3" s="38">
        <v>45293</v>
      </c>
      <c r="G3" s="58">
        <v>0.5</v>
      </c>
      <c r="H3" s="107" t="s">
        <v>197</v>
      </c>
      <c r="I3" s="37" t="s">
        <v>586</v>
      </c>
      <c r="J3" s="36" t="s">
        <v>587</v>
      </c>
      <c r="K3" s="38">
        <v>45294</v>
      </c>
      <c r="L3" s="58">
        <v>0.5</v>
      </c>
      <c r="M3" s="89">
        <v>259624625</v>
      </c>
      <c r="N3" s="18" t="s">
        <v>49</v>
      </c>
      <c r="O3" s="36" t="s">
        <v>411</v>
      </c>
      <c r="P3" s="36"/>
      <c r="Q3" s="63" t="s">
        <v>248</v>
      </c>
      <c r="R3" s="94" t="s">
        <v>90</v>
      </c>
      <c r="S3" s="18">
        <f>1846+77.64</f>
        <v>1923.64</v>
      </c>
      <c r="T3" s="36">
        <v>1762.96</v>
      </c>
      <c r="U3" s="70">
        <f>plachta3434235[[#This Row],[SALES '[€']]]-plachta3434235[[#This Row],[PURCHASE '[€']]]</f>
        <v>160.68000000000006</v>
      </c>
      <c r="V3" s="71">
        <f>plachta3434235[[#This Row],[MARGIN '[€']]]/plachta3434235[[#This Row],[SALES '[€']]]</f>
        <v>8.3529142667027129E-2</v>
      </c>
      <c r="W3" s="116" t="s">
        <v>591</v>
      </c>
      <c r="X3" s="36" t="s">
        <v>592</v>
      </c>
      <c r="Y3" s="36">
        <v>1492</v>
      </c>
      <c r="Z3" s="36"/>
      <c r="AA3" s="36" t="s">
        <v>51</v>
      </c>
      <c r="AB3" s="72">
        <f t="shared" si="1"/>
        <v>1.1816085790884718</v>
      </c>
      <c r="AC3" s="72"/>
      <c r="AD3" s="69"/>
      <c r="AE3" s="69"/>
      <c r="AF3" s="69"/>
      <c r="AG3" s="69"/>
      <c r="AH3" s="69"/>
      <c r="AI3" s="69"/>
      <c r="AJ3" s="69"/>
      <c r="AK3" s="69"/>
      <c r="AL3" s="69" t="str">
        <f>IF(plachta3434235[[#This Row],[DELIVERY TIME]]="STORNO","CANCELLED","OK")</f>
        <v>OK</v>
      </c>
      <c r="AM3" s="69"/>
      <c r="AN3" s="69">
        <f>IF(RIGHT(plachta3434235[[#This Row],[CARRIER]],3)="-MF",921,"")</f>
        <v>921</v>
      </c>
      <c r="AO3" s="69"/>
    </row>
    <row r="4" spans="1:41">
      <c r="A4" s="39">
        <f t="shared" ref="A4:A35" si="2">WEEKNUM(F4,21)</f>
        <v>1</v>
      </c>
      <c r="B4" s="116" t="s">
        <v>583</v>
      </c>
      <c r="C4" s="107" t="s">
        <v>42</v>
      </c>
      <c r="D4" s="37" t="s">
        <v>584</v>
      </c>
      <c r="E4" s="36" t="s">
        <v>585</v>
      </c>
      <c r="F4" s="38">
        <v>45293</v>
      </c>
      <c r="G4" s="58">
        <v>0.75</v>
      </c>
      <c r="H4" s="107" t="s">
        <v>197</v>
      </c>
      <c r="I4" s="37" t="s">
        <v>586</v>
      </c>
      <c r="J4" s="36" t="s">
        <v>587</v>
      </c>
      <c r="K4" s="38">
        <v>45294</v>
      </c>
      <c r="L4" s="58">
        <v>0.75</v>
      </c>
      <c r="M4" s="89">
        <v>259624626</v>
      </c>
      <c r="N4" s="18" t="s">
        <v>49</v>
      </c>
      <c r="O4" s="36" t="s">
        <v>411</v>
      </c>
      <c r="P4" s="105" t="s">
        <v>48</v>
      </c>
      <c r="Q4" s="63" t="s">
        <v>593</v>
      </c>
      <c r="R4" s="36" t="s">
        <v>594</v>
      </c>
      <c r="S4" s="18">
        <f t="shared" ref="S4:S8" si="3">1846+77.64</f>
        <v>1923.64</v>
      </c>
      <c r="T4" s="36">
        <v>1698</v>
      </c>
      <c r="U4" s="70">
        <f>plachta3434235[[#This Row],[SALES '[€']]]-plachta3434235[[#This Row],[PURCHASE '[€']]]</f>
        <v>225.6400000000001</v>
      </c>
      <c r="V4" s="71">
        <f>plachta3434235[[#This Row],[MARGIN '[€']]]/plachta3434235[[#This Row],[SALES '[€']]]</f>
        <v>0.11729845501237242</v>
      </c>
      <c r="W4" s="116" t="s">
        <v>595</v>
      </c>
      <c r="X4" s="36" t="s">
        <v>596</v>
      </c>
      <c r="Y4" s="36">
        <v>1492</v>
      </c>
      <c r="Z4" s="36"/>
      <c r="AA4" s="36" t="s">
        <v>51</v>
      </c>
      <c r="AB4" s="72">
        <f t="shared" si="1"/>
        <v>1.1380697050938338</v>
      </c>
      <c r="AC4" s="72"/>
      <c r="AD4" s="69"/>
      <c r="AE4" s="69"/>
      <c r="AF4" s="69"/>
      <c r="AG4" s="69"/>
      <c r="AH4" s="69"/>
      <c r="AI4" s="69"/>
      <c r="AJ4" s="69"/>
      <c r="AK4" s="69"/>
      <c r="AL4" s="69" t="str">
        <f>IF(plachta3434235[[#This Row],[DELIVERY TIME]]="STORNO","CANCELLED","OK")</f>
        <v>OK</v>
      </c>
      <c r="AM4" s="69"/>
      <c r="AN4" s="69" t="str">
        <f>IF(RIGHT(plachta3434235[[#This Row],[CARRIER]],3)="-MF",921,"")</f>
        <v/>
      </c>
      <c r="AO4" s="69"/>
    </row>
    <row r="5" spans="1:41">
      <c r="A5" s="39">
        <f t="shared" si="2"/>
        <v>1</v>
      </c>
      <c r="B5" s="116" t="s">
        <v>583</v>
      </c>
      <c r="C5" s="107" t="s">
        <v>42</v>
      </c>
      <c r="D5" s="37" t="s">
        <v>584</v>
      </c>
      <c r="E5" s="36" t="s">
        <v>585</v>
      </c>
      <c r="F5" s="38">
        <v>45294</v>
      </c>
      <c r="G5" s="58">
        <v>0.25</v>
      </c>
      <c r="H5" s="107" t="s">
        <v>197</v>
      </c>
      <c r="I5" s="37" t="s">
        <v>586</v>
      </c>
      <c r="J5" s="36" t="s">
        <v>587</v>
      </c>
      <c r="K5" s="38">
        <v>45295</v>
      </c>
      <c r="L5" s="58">
        <v>0.25</v>
      </c>
      <c r="M5" s="89">
        <v>259624628</v>
      </c>
      <c r="N5" s="18" t="s">
        <v>49</v>
      </c>
      <c r="O5" s="36" t="s">
        <v>411</v>
      </c>
      <c r="P5" s="36"/>
      <c r="Q5" s="63" t="s">
        <v>593</v>
      </c>
      <c r="R5" s="36" t="s">
        <v>594</v>
      </c>
      <c r="S5" s="18">
        <f t="shared" si="3"/>
        <v>1923.64</v>
      </c>
      <c r="T5" s="36">
        <v>1698</v>
      </c>
      <c r="U5" s="70">
        <f>plachta3434235[[#This Row],[SALES '[€']]]-plachta3434235[[#This Row],[PURCHASE '[€']]]</f>
        <v>225.6400000000001</v>
      </c>
      <c r="V5" s="71">
        <f>plachta3434235[[#This Row],[MARGIN '[€']]]/plachta3434235[[#This Row],[SALES '[€']]]</f>
        <v>0.11729845501237242</v>
      </c>
      <c r="W5" s="116" t="s">
        <v>597</v>
      </c>
      <c r="X5" s="36" t="s">
        <v>598</v>
      </c>
      <c r="Y5" s="36">
        <v>1492</v>
      </c>
      <c r="Z5" s="36"/>
      <c r="AA5" s="36" t="s">
        <v>51</v>
      </c>
      <c r="AB5" s="72">
        <f t="shared" si="1"/>
        <v>1.1380697050938338</v>
      </c>
      <c r="AC5" s="72"/>
      <c r="AD5" s="69"/>
      <c r="AE5" s="69"/>
      <c r="AF5" s="69"/>
      <c r="AG5" s="69"/>
      <c r="AH5" s="69"/>
      <c r="AI5" s="69"/>
      <c r="AJ5" s="69"/>
      <c r="AK5" s="69"/>
      <c r="AL5" s="69" t="str">
        <f>IF(plachta3434235[[#This Row],[DELIVERY TIME]]="STORNO","CANCELLED","OK")</f>
        <v>OK</v>
      </c>
      <c r="AM5" s="69"/>
      <c r="AN5" s="69" t="str">
        <f>IF(RIGHT(plachta3434235[[#This Row],[CARRIER]],3)="-MF",921,"")</f>
        <v/>
      </c>
      <c r="AO5" s="69"/>
    </row>
    <row r="6" spans="1:41">
      <c r="A6" s="39">
        <f t="shared" si="2"/>
        <v>1</v>
      </c>
      <c r="B6" s="116" t="s">
        <v>583</v>
      </c>
      <c r="C6" s="107" t="s">
        <v>42</v>
      </c>
      <c r="D6" s="37" t="s">
        <v>584</v>
      </c>
      <c r="E6" s="36" t="s">
        <v>585</v>
      </c>
      <c r="F6" s="38">
        <v>45294</v>
      </c>
      <c r="G6" s="58">
        <v>0.75</v>
      </c>
      <c r="H6" s="107" t="s">
        <v>197</v>
      </c>
      <c r="I6" s="37" t="s">
        <v>586</v>
      </c>
      <c r="J6" s="36" t="s">
        <v>587</v>
      </c>
      <c r="K6" s="38">
        <v>45295</v>
      </c>
      <c r="L6" s="58">
        <v>0.75</v>
      </c>
      <c r="M6" s="89">
        <v>259624630</v>
      </c>
      <c r="N6" s="18" t="s">
        <v>49</v>
      </c>
      <c r="O6" s="36" t="s">
        <v>411</v>
      </c>
      <c r="P6" s="105" t="s">
        <v>48</v>
      </c>
      <c r="Q6" s="63" t="s">
        <v>599</v>
      </c>
      <c r="R6" s="36" t="s">
        <v>594</v>
      </c>
      <c r="S6" s="18">
        <f t="shared" si="3"/>
        <v>1923.64</v>
      </c>
      <c r="T6" s="36">
        <v>1698</v>
      </c>
      <c r="U6" s="70">
        <f>plachta3434235[[#This Row],[SALES '[€']]]-plachta3434235[[#This Row],[PURCHASE '[€']]]</f>
        <v>225.6400000000001</v>
      </c>
      <c r="V6" s="71">
        <f>plachta3434235[[#This Row],[MARGIN '[€']]]/plachta3434235[[#This Row],[SALES '[€']]]</f>
        <v>0.11729845501237242</v>
      </c>
      <c r="W6" s="116" t="s">
        <v>600</v>
      </c>
      <c r="X6" s="36" t="s">
        <v>601</v>
      </c>
      <c r="Y6" s="36">
        <v>1492</v>
      </c>
      <c r="Z6" s="36"/>
      <c r="AA6" s="36" t="s">
        <v>51</v>
      </c>
      <c r="AB6" s="72">
        <f t="shared" si="1"/>
        <v>1.1380697050938338</v>
      </c>
      <c r="AC6" s="72"/>
      <c r="AD6" s="69"/>
      <c r="AE6" s="69"/>
      <c r="AF6" s="69"/>
      <c r="AG6" s="69"/>
      <c r="AH6" s="69"/>
      <c r="AI6" s="69"/>
      <c r="AJ6" s="69"/>
      <c r="AK6" s="69"/>
      <c r="AL6" s="69" t="str">
        <f>IF(plachta3434235[[#This Row],[DELIVERY TIME]]="STORNO","CANCELLED","OK")</f>
        <v>OK</v>
      </c>
      <c r="AM6" s="69"/>
      <c r="AN6" s="69" t="str">
        <f>IF(RIGHT(plachta3434235[[#This Row],[CARRIER]],3)="-MF",921,"")</f>
        <v/>
      </c>
      <c r="AO6" s="69"/>
    </row>
    <row r="7" spans="1:41">
      <c r="A7" s="39">
        <f t="shared" si="2"/>
        <v>1</v>
      </c>
      <c r="B7" s="116" t="s">
        <v>583</v>
      </c>
      <c r="C7" s="107" t="s">
        <v>42</v>
      </c>
      <c r="D7" s="37" t="s">
        <v>584</v>
      </c>
      <c r="E7" s="36" t="s">
        <v>585</v>
      </c>
      <c r="F7" s="38">
        <v>45295</v>
      </c>
      <c r="G7" s="58">
        <v>0.25</v>
      </c>
      <c r="H7" s="107" t="s">
        <v>197</v>
      </c>
      <c r="I7" s="37" t="s">
        <v>586</v>
      </c>
      <c r="J7" s="36" t="s">
        <v>587</v>
      </c>
      <c r="K7" s="38">
        <v>45296</v>
      </c>
      <c r="L7" s="58">
        <v>0.25</v>
      </c>
      <c r="M7" s="89">
        <v>259624631</v>
      </c>
      <c r="N7" s="18" t="s">
        <v>49</v>
      </c>
      <c r="O7" s="36" t="s">
        <v>411</v>
      </c>
      <c r="P7" s="36"/>
      <c r="Q7" s="63" t="s">
        <v>602</v>
      </c>
      <c r="R7" s="36" t="s">
        <v>594</v>
      </c>
      <c r="S7" s="18">
        <f t="shared" si="3"/>
        <v>1923.64</v>
      </c>
      <c r="T7" s="36">
        <v>1698</v>
      </c>
      <c r="U7" s="70">
        <f>plachta3434235[[#This Row],[SALES '[€']]]-plachta3434235[[#This Row],[PURCHASE '[€']]]</f>
        <v>225.6400000000001</v>
      </c>
      <c r="V7" s="71">
        <f>plachta3434235[[#This Row],[MARGIN '[€']]]/plachta3434235[[#This Row],[SALES '[€']]]</f>
        <v>0.11729845501237242</v>
      </c>
      <c r="W7" s="116" t="s">
        <v>603</v>
      </c>
      <c r="X7" s="36" t="s">
        <v>604</v>
      </c>
      <c r="Y7" s="36">
        <v>1492</v>
      </c>
      <c r="Z7" s="36"/>
      <c r="AA7" s="36" t="s">
        <v>51</v>
      </c>
      <c r="AB7" s="72">
        <f t="shared" si="1"/>
        <v>1.1380697050938338</v>
      </c>
      <c r="AC7" s="72"/>
      <c r="AD7" s="69"/>
      <c r="AE7" s="69"/>
      <c r="AF7" s="69"/>
      <c r="AG7" s="69"/>
      <c r="AH7" s="69"/>
      <c r="AI7" s="69"/>
      <c r="AJ7" s="69"/>
      <c r="AK7" s="69"/>
      <c r="AL7" s="69" t="str">
        <f>IF(plachta3434235[[#This Row],[DELIVERY TIME]]="STORNO","CANCELLED","OK")</f>
        <v>OK</v>
      </c>
      <c r="AM7" s="69"/>
      <c r="AN7" s="69" t="str">
        <f>IF(RIGHT(plachta3434235[[#This Row],[CARRIER]],3)="-MF",921,"")</f>
        <v/>
      </c>
      <c r="AO7" s="69"/>
    </row>
    <row r="8" spans="1:41">
      <c r="A8" s="39">
        <f t="shared" si="2"/>
        <v>1</v>
      </c>
      <c r="B8" s="116" t="s">
        <v>583</v>
      </c>
      <c r="C8" s="107" t="s">
        <v>42</v>
      </c>
      <c r="D8" s="37" t="s">
        <v>584</v>
      </c>
      <c r="E8" s="36" t="s">
        <v>585</v>
      </c>
      <c r="F8" s="38">
        <v>45295</v>
      </c>
      <c r="G8" s="58">
        <v>0.75</v>
      </c>
      <c r="H8" s="107" t="s">
        <v>197</v>
      </c>
      <c r="I8" s="37" t="s">
        <v>586</v>
      </c>
      <c r="J8" s="36" t="s">
        <v>587</v>
      </c>
      <c r="K8" s="38">
        <v>45296</v>
      </c>
      <c r="L8" s="58">
        <v>0.75</v>
      </c>
      <c r="M8" s="89">
        <v>259624635</v>
      </c>
      <c r="N8" s="18" t="s">
        <v>49</v>
      </c>
      <c r="O8" s="36" t="s">
        <v>411</v>
      </c>
      <c r="P8" s="105" t="s">
        <v>48</v>
      </c>
      <c r="Q8" s="63" t="s">
        <v>593</v>
      </c>
      <c r="R8" s="36" t="s">
        <v>594</v>
      </c>
      <c r="S8" s="18">
        <f t="shared" si="3"/>
        <v>1923.64</v>
      </c>
      <c r="T8" s="36">
        <v>1698</v>
      </c>
      <c r="U8" s="70">
        <f>plachta3434235[[#This Row],[SALES '[€']]]-plachta3434235[[#This Row],[PURCHASE '[€']]]</f>
        <v>225.6400000000001</v>
      </c>
      <c r="V8" s="71">
        <f>plachta3434235[[#This Row],[MARGIN '[€']]]/plachta3434235[[#This Row],[SALES '[€']]]</f>
        <v>0.11729845501237242</v>
      </c>
      <c r="W8" s="116" t="s">
        <v>605</v>
      </c>
      <c r="X8" s="36" t="s">
        <v>606</v>
      </c>
      <c r="Y8" s="36">
        <v>1492</v>
      </c>
      <c r="Z8" s="36"/>
      <c r="AA8" s="36" t="s">
        <v>51</v>
      </c>
      <c r="AB8" s="72">
        <f t="shared" si="1"/>
        <v>1.1380697050938338</v>
      </c>
      <c r="AC8" s="72"/>
      <c r="AD8" s="69"/>
      <c r="AE8" s="69"/>
      <c r="AF8" s="69"/>
      <c r="AG8" s="69"/>
      <c r="AH8" s="69"/>
      <c r="AI8" s="69"/>
      <c r="AJ8" s="69"/>
      <c r="AK8" s="69"/>
      <c r="AL8" s="69" t="str">
        <f>IF(plachta3434235[[#This Row],[DELIVERY TIME]]="STORNO","CANCELLED","OK")</f>
        <v>OK</v>
      </c>
      <c r="AM8" s="69"/>
      <c r="AN8" s="69" t="str">
        <f>IF(RIGHT(plachta3434235[[#This Row],[CARRIER]],3)="-MF",921,"")</f>
        <v/>
      </c>
      <c r="AO8" s="69"/>
    </row>
    <row r="9" spans="1:41">
      <c r="A9" s="39">
        <f t="shared" si="2"/>
        <v>51</v>
      </c>
      <c r="B9" s="115" t="s">
        <v>607</v>
      </c>
      <c r="C9" s="107" t="s">
        <v>42</v>
      </c>
      <c r="D9" s="37" t="s">
        <v>608</v>
      </c>
      <c r="E9" s="36" t="s">
        <v>609</v>
      </c>
      <c r="F9" s="38">
        <v>45278</v>
      </c>
      <c r="G9" s="58">
        <v>0.16666666666666666</v>
      </c>
      <c r="H9" s="107" t="s">
        <v>610</v>
      </c>
      <c r="I9" s="37" t="s">
        <v>525</v>
      </c>
      <c r="J9" s="36" t="s">
        <v>611</v>
      </c>
      <c r="K9" s="38">
        <v>45279</v>
      </c>
      <c r="L9" s="58">
        <v>0.1875</v>
      </c>
      <c r="M9" s="73">
        <v>6101189515</v>
      </c>
      <c r="N9" s="18" t="s">
        <v>49</v>
      </c>
      <c r="O9" s="36" t="s">
        <v>411</v>
      </c>
      <c r="P9" s="118" t="s">
        <v>612</v>
      </c>
      <c r="Q9" s="63" t="s">
        <v>613</v>
      </c>
      <c r="R9" s="36" t="s">
        <v>614</v>
      </c>
      <c r="S9" s="36">
        <v>1734</v>
      </c>
      <c r="T9" s="36">
        <v>1530</v>
      </c>
      <c r="U9" s="70">
        <f>plachta3434235[[#This Row],[SALES '[€']]]-plachta3434235[[#This Row],[PURCHASE '[€']]]</f>
        <v>204</v>
      </c>
      <c r="V9" s="71">
        <f>plachta3434235[[#This Row],[MARGIN '[€']]]/plachta3434235[[#This Row],[SALES '[€']]]</f>
        <v>0.11764705882352941</v>
      </c>
      <c r="W9" s="36" t="s">
        <v>615</v>
      </c>
      <c r="X9" s="36" t="s">
        <v>616</v>
      </c>
      <c r="Y9" s="36">
        <v>1252</v>
      </c>
      <c r="Z9" s="36"/>
      <c r="AA9" s="36" t="s">
        <v>51</v>
      </c>
      <c r="AB9" s="72">
        <f t="shared" si="1"/>
        <v>1.2220447284345048</v>
      </c>
      <c r="AC9" s="72"/>
      <c r="AD9" s="69"/>
      <c r="AE9" s="69"/>
      <c r="AF9" s="69"/>
      <c r="AG9" s="69"/>
      <c r="AH9" s="69"/>
      <c r="AI9" s="69"/>
      <c r="AJ9" s="69"/>
      <c r="AK9" s="69"/>
      <c r="AL9" s="69" t="str">
        <f>IF(plachta3434235[[#This Row],[DELIVERY TIME]]="STORNO","CANCELLED","OK")</f>
        <v>OK</v>
      </c>
      <c r="AM9" s="69"/>
      <c r="AN9" s="69" t="str">
        <f>IF(RIGHT(plachta3434235[[#This Row],[CARRIER]],3)="-MF",921,"")</f>
        <v/>
      </c>
      <c r="AO9" s="69"/>
    </row>
    <row r="10" spans="1:41">
      <c r="A10" s="39">
        <f t="shared" si="2"/>
        <v>1</v>
      </c>
      <c r="B10" s="36" t="s">
        <v>617</v>
      </c>
      <c r="C10" s="107" t="s">
        <v>618</v>
      </c>
      <c r="D10" s="37" t="s">
        <v>619</v>
      </c>
      <c r="E10" s="36" t="s">
        <v>620</v>
      </c>
      <c r="F10" s="38">
        <v>45294</v>
      </c>
      <c r="G10" s="58"/>
      <c r="H10" s="107" t="s">
        <v>42</v>
      </c>
      <c r="I10" s="37" t="s">
        <v>621</v>
      </c>
      <c r="J10" s="36" t="s">
        <v>622</v>
      </c>
      <c r="K10" s="38">
        <v>45294</v>
      </c>
      <c r="L10" s="58"/>
      <c r="M10" s="73">
        <v>6101190675</v>
      </c>
      <c r="N10" s="18"/>
      <c r="O10" s="36" t="s">
        <v>355</v>
      </c>
      <c r="P10" s="36"/>
      <c r="Q10" s="63" t="s">
        <v>623</v>
      </c>
      <c r="R10" s="36" t="s">
        <v>624</v>
      </c>
      <c r="S10" s="117">
        <v>450.17</v>
      </c>
      <c r="T10" s="18">
        <v>400</v>
      </c>
      <c r="U10" s="70">
        <f>plachta3434235[[#This Row],[SALES '[€']]]-plachta3434235[[#This Row],[PURCHASE '[€']]]</f>
        <v>50.170000000000016</v>
      </c>
      <c r="V10" s="71">
        <f>plachta3434235[[#This Row],[MARGIN '[€']]]/plachta3434235[[#This Row],[SALES '[€']]]</f>
        <v>0.11144678676944268</v>
      </c>
      <c r="W10" s="36">
        <v>9215170291</v>
      </c>
      <c r="X10" s="36" t="s">
        <v>625</v>
      </c>
      <c r="Y10" s="36">
        <v>265</v>
      </c>
      <c r="Z10" s="36"/>
      <c r="AA10" s="36" t="s">
        <v>51</v>
      </c>
      <c r="AB10" s="72">
        <f t="shared" si="1"/>
        <v>1.5094339622641511</v>
      </c>
      <c r="AC10" s="72"/>
      <c r="AD10" s="69"/>
      <c r="AE10" s="69"/>
      <c r="AF10" s="69"/>
      <c r="AG10" s="69"/>
      <c r="AH10" s="69"/>
      <c r="AI10" s="69"/>
      <c r="AJ10" s="69"/>
      <c r="AK10" s="69"/>
      <c r="AL10" s="69" t="str">
        <f>IF(plachta3434235[[#This Row],[DELIVERY TIME]]="STORNO","CANCELLED","OK")</f>
        <v>OK</v>
      </c>
      <c r="AM10" s="69"/>
      <c r="AN10" s="69" t="str">
        <f>IF(RIGHT(plachta3434235[[#This Row],[CARRIER]],3)="-MF",921,"")</f>
        <v/>
      </c>
      <c r="AO10" s="69"/>
    </row>
    <row r="11" spans="1:41">
      <c r="A11" s="39">
        <f t="shared" si="2"/>
        <v>1</v>
      </c>
      <c r="B11" s="115" t="s">
        <v>607</v>
      </c>
      <c r="C11" s="107" t="s">
        <v>42</v>
      </c>
      <c r="D11" s="37" t="s">
        <v>608</v>
      </c>
      <c r="E11" s="36" t="s">
        <v>609</v>
      </c>
      <c r="F11" s="38">
        <v>45294</v>
      </c>
      <c r="G11" s="58">
        <v>0.16666666666666666</v>
      </c>
      <c r="H11" s="107" t="s">
        <v>610</v>
      </c>
      <c r="I11" s="37" t="s">
        <v>525</v>
      </c>
      <c r="J11" s="36" t="s">
        <v>611</v>
      </c>
      <c r="K11" s="38">
        <v>45295</v>
      </c>
      <c r="L11" s="58">
        <v>0.1875</v>
      </c>
      <c r="M11" s="57">
        <v>6101193965</v>
      </c>
      <c r="N11" s="18" t="s">
        <v>49</v>
      </c>
      <c r="O11" s="36" t="s">
        <v>411</v>
      </c>
      <c r="P11" s="36">
        <v>6101193965</v>
      </c>
      <c r="Q11" s="63" t="s">
        <v>626</v>
      </c>
      <c r="R11" s="36" t="s">
        <v>614</v>
      </c>
      <c r="S11" s="36">
        <v>1734</v>
      </c>
      <c r="T11" s="36">
        <v>1530</v>
      </c>
      <c r="U11" s="70">
        <f>plachta3434235[[#This Row],[SALES '[€']]]-plachta3434235[[#This Row],[PURCHASE '[€']]]</f>
        <v>204</v>
      </c>
      <c r="V11" s="71">
        <f>plachta3434235[[#This Row],[MARGIN '[€']]]/plachta3434235[[#This Row],[SALES '[€']]]</f>
        <v>0.11764705882352941</v>
      </c>
      <c r="W11" s="36" t="s">
        <v>627</v>
      </c>
      <c r="X11" s="36" t="s">
        <v>628</v>
      </c>
      <c r="Y11" s="36">
        <v>1252</v>
      </c>
      <c r="Z11" s="36"/>
      <c r="AA11" s="36" t="s">
        <v>51</v>
      </c>
      <c r="AB11" s="72">
        <f t="shared" si="1"/>
        <v>1.2220447284345048</v>
      </c>
      <c r="AC11" s="72"/>
      <c r="AD11" s="69"/>
      <c r="AE11" s="69"/>
      <c r="AF11" s="69"/>
      <c r="AG11" s="69"/>
      <c r="AH11" s="69"/>
      <c r="AI11" s="69"/>
      <c r="AJ11" s="69"/>
      <c r="AK11" s="69"/>
      <c r="AL11" s="69" t="str">
        <f>IF(plachta3434235[[#This Row],[DELIVERY TIME]]="STORNO","CANCELLED","OK")</f>
        <v>OK</v>
      </c>
      <c r="AM11" s="69"/>
      <c r="AN11" s="69" t="str">
        <f>IF(RIGHT(plachta3434235[[#This Row],[CARRIER]],3)="-MF",921,"")</f>
        <v/>
      </c>
      <c r="AO11" s="69"/>
    </row>
    <row r="12" spans="1:41">
      <c r="A12" s="39">
        <f t="shared" si="2"/>
        <v>1</v>
      </c>
      <c r="B12" s="115" t="s">
        <v>607</v>
      </c>
      <c r="C12" s="107" t="s">
        <v>42</v>
      </c>
      <c r="D12" s="37" t="s">
        <v>608</v>
      </c>
      <c r="E12" s="36" t="s">
        <v>609</v>
      </c>
      <c r="F12" s="38">
        <v>45295</v>
      </c>
      <c r="G12" s="58">
        <v>0.16666666666666666</v>
      </c>
      <c r="H12" s="107" t="s">
        <v>610</v>
      </c>
      <c r="I12" s="37" t="s">
        <v>525</v>
      </c>
      <c r="J12" s="36" t="s">
        <v>611</v>
      </c>
      <c r="K12" s="38">
        <v>45295</v>
      </c>
      <c r="L12" s="58">
        <v>0.1875</v>
      </c>
      <c r="M12" s="57">
        <v>6101193966</v>
      </c>
      <c r="N12" s="18" t="s">
        <v>49</v>
      </c>
      <c r="O12" s="36" t="s">
        <v>411</v>
      </c>
      <c r="P12" s="36">
        <v>6101193966</v>
      </c>
      <c r="Q12" s="63" t="s">
        <v>629</v>
      </c>
      <c r="R12" s="36" t="s">
        <v>614</v>
      </c>
      <c r="S12" s="36">
        <v>1734</v>
      </c>
      <c r="T12" s="36">
        <v>1530</v>
      </c>
      <c r="U12" s="70">
        <f>plachta3434235[[#This Row],[SALES '[€']]]-plachta3434235[[#This Row],[PURCHASE '[€']]]</f>
        <v>204</v>
      </c>
      <c r="V12" s="71">
        <f>plachta3434235[[#This Row],[MARGIN '[€']]]/plachta3434235[[#This Row],[SALES '[€']]]</f>
        <v>0.11764705882352941</v>
      </c>
      <c r="W12" s="36" t="s">
        <v>630</v>
      </c>
      <c r="X12" s="36" t="s">
        <v>631</v>
      </c>
      <c r="Y12" s="36">
        <v>1252</v>
      </c>
      <c r="Z12" s="36"/>
      <c r="AA12" s="36" t="s">
        <v>51</v>
      </c>
      <c r="AB12" s="72">
        <f t="shared" si="1"/>
        <v>1.2220447284345048</v>
      </c>
      <c r="AC12" s="72"/>
      <c r="AD12" s="69"/>
      <c r="AE12" s="69"/>
      <c r="AF12" s="69"/>
      <c r="AG12" s="69"/>
      <c r="AH12" s="69"/>
      <c r="AI12" s="69"/>
      <c r="AJ12" s="69"/>
      <c r="AK12" s="69"/>
      <c r="AL12" s="69" t="str">
        <f>IF(plachta3434235[[#This Row],[DELIVERY TIME]]="STORNO","CANCELLED","OK")</f>
        <v>OK</v>
      </c>
      <c r="AM12" s="69"/>
      <c r="AN12" s="69" t="str">
        <f>IF(RIGHT(plachta3434235[[#This Row],[CARRIER]],3)="-MF",921,"")</f>
        <v/>
      </c>
      <c r="AO12" s="69"/>
    </row>
    <row r="13" spans="1:41">
      <c r="A13" s="39">
        <f t="shared" si="2"/>
        <v>1</v>
      </c>
      <c r="B13" s="36" t="s">
        <v>632</v>
      </c>
      <c r="C13" s="107" t="s">
        <v>42</v>
      </c>
      <c r="D13" s="37" t="s">
        <v>584</v>
      </c>
      <c r="E13" s="36" t="s">
        <v>585</v>
      </c>
      <c r="F13" s="38">
        <v>45295</v>
      </c>
      <c r="G13" s="58"/>
      <c r="H13" s="107" t="s">
        <v>633</v>
      </c>
      <c r="I13" s="37" t="s">
        <v>634</v>
      </c>
      <c r="J13" s="36" t="s">
        <v>635</v>
      </c>
      <c r="K13" s="38">
        <v>45300</v>
      </c>
      <c r="L13" s="58"/>
      <c r="M13" s="57" t="s">
        <v>636</v>
      </c>
      <c r="N13" s="18" t="s">
        <v>49</v>
      </c>
      <c r="O13" s="36" t="s">
        <v>347</v>
      </c>
      <c r="P13" s="36" t="s">
        <v>637</v>
      </c>
      <c r="Q13" s="63" t="s">
        <v>638</v>
      </c>
      <c r="R13" s="36" t="s">
        <v>639</v>
      </c>
      <c r="S13" s="36">
        <v>1477.73</v>
      </c>
      <c r="T13" s="36">
        <v>1300</v>
      </c>
      <c r="U13" s="70">
        <f>plachta3434235[[#This Row],[SALES '[€']]]-plachta3434235[[#This Row],[PURCHASE '[€']]]</f>
        <v>177.73000000000002</v>
      </c>
      <c r="V13" s="71">
        <f>plachta3434235[[#This Row],[MARGIN '[€']]]/plachta3434235[[#This Row],[SALES '[€']]]</f>
        <v>0.12027230955587287</v>
      </c>
      <c r="W13" s="36">
        <v>9215170486</v>
      </c>
      <c r="X13" s="36" t="s">
        <v>640</v>
      </c>
      <c r="Y13" s="36">
        <v>1760</v>
      </c>
      <c r="Z13" s="36"/>
      <c r="AA13" s="36" t="s">
        <v>51</v>
      </c>
      <c r="AB13" s="72">
        <f t="shared" si="1"/>
        <v>0.73863636363636365</v>
      </c>
      <c r="AC13" s="72"/>
      <c r="AD13" s="69"/>
      <c r="AE13" s="69"/>
      <c r="AF13" s="69"/>
      <c r="AG13" s="69"/>
      <c r="AH13" s="69"/>
      <c r="AI13" s="69"/>
      <c r="AJ13" s="69"/>
      <c r="AK13" s="69"/>
      <c r="AL13" s="69" t="str">
        <f>IF(plachta3434235[[#This Row],[DELIVERY TIME]]="STORNO","CANCELLED","OK")</f>
        <v>OK</v>
      </c>
      <c r="AM13" s="69"/>
      <c r="AN13" s="69" t="str">
        <f>IF(RIGHT(plachta3434235[[#This Row],[CARRIER]],3)="-MF",921,"")</f>
        <v/>
      </c>
      <c r="AO13" s="69"/>
    </row>
    <row r="14" spans="1:41">
      <c r="A14" s="39">
        <f t="shared" si="2"/>
        <v>1</v>
      </c>
      <c r="B14" s="116" t="s">
        <v>583</v>
      </c>
      <c r="C14" s="107" t="s">
        <v>42</v>
      </c>
      <c r="D14" s="37" t="s">
        <v>584</v>
      </c>
      <c r="E14" s="36" t="s">
        <v>585</v>
      </c>
      <c r="F14" s="38">
        <v>45296</v>
      </c>
      <c r="G14" s="58">
        <v>0.83333333333333337</v>
      </c>
      <c r="H14" s="107" t="s">
        <v>197</v>
      </c>
      <c r="I14" s="37" t="s">
        <v>586</v>
      </c>
      <c r="J14" s="36" t="s">
        <v>587</v>
      </c>
      <c r="K14" s="38">
        <v>45299</v>
      </c>
      <c r="L14" s="58">
        <v>0.83333333333333337</v>
      </c>
      <c r="M14" s="89">
        <v>259664558</v>
      </c>
      <c r="N14" s="18" t="s">
        <v>49</v>
      </c>
      <c r="O14" s="36" t="s">
        <v>411</v>
      </c>
      <c r="P14" s="36">
        <v>4503451458</v>
      </c>
      <c r="Q14" s="63" t="s">
        <v>641</v>
      </c>
      <c r="R14" s="36" t="s">
        <v>594</v>
      </c>
      <c r="S14" s="18">
        <f t="shared" ref="S14:S22" si="4">1846+77.64</f>
        <v>1923.64</v>
      </c>
      <c r="T14" s="36">
        <v>1698</v>
      </c>
      <c r="U14" s="70">
        <f>plachta3434235[[#This Row],[SALES '[€']]]-plachta3434235[[#This Row],[PURCHASE '[€']]]</f>
        <v>225.6400000000001</v>
      </c>
      <c r="V14" s="71">
        <f>plachta3434235[[#This Row],[MARGIN '[€']]]/plachta3434235[[#This Row],[SALES '[€']]]</f>
        <v>0.11729845501237242</v>
      </c>
      <c r="W14" s="36" t="s">
        <v>642</v>
      </c>
      <c r="X14" s="36" t="s">
        <v>643</v>
      </c>
      <c r="Y14" s="36">
        <v>1492</v>
      </c>
      <c r="Z14" s="36"/>
      <c r="AA14" s="36" t="s">
        <v>51</v>
      </c>
      <c r="AB14" s="72">
        <f t="shared" si="1"/>
        <v>1.1380697050938338</v>
      </c>
      <c r="AC14" s="72"/>
      <c r="AD14" s="69"/>
      <c r="AE14" s="69"/>
      <c r="AF14" s="69"/>
      <c r="AG14" s="69"/>
      <c r="AH14" s="69"/>
      <c r="AI14" s="69"/>
      <c r="AJ14" s="69"/>
      <c r="AK14" s="69"/>
      <c r="AL14" s="69" t="str">
        <f>IF(plachta3434235[[#This Row],[DELIVERY TIME]]="STORNO","CANCELLED","OK")</f>
        <v>OK</v>
      </c>
      <c r="AM14" s="69"/>
      <c r="AN14" s="69" t="str">
        <f>IF(RIGHT(plachta3434235[[#This Row],[CARRIER]],3)="-MF",921,"")</f>
        <v/>
      </c>
      <c r="AO14" s="69"/>
    </row>
    <row r="15" spans="1:41">
      <c r="A15" s="39">
        <f t="shared" si="2"/>
        <v>2</v>
      </c>
      <c r="B15" s="116" t="s">
        <v>583</v>
      </c>
      <c r="C15" s="107" t="s">
        <v>42</v>
      </c>
      <c r="D15" s="37" t="s">
        <v>584</v>
      </c>
      <c r="E15" s="36" t="s">
        <v>585</v>
      </c>
      <c r="F15" s="38">
        <v>45299</v>
      </c>
      <c r="G15" s="58">
        <v>0.25</v>
      </c>
      <c r="H15" s="107" t="s">
        <v>197</v>
      </c>
      <c r="I15" s="37" t="s">
        <v>586</v>
      </c>
      <c r="J15" s="36" t="s">
        <v>587</v>
      </c>
      <c r="K15" s="38">
        <v>45300</v>
      </c>
      <c r="L15" s="58">
        <v>0.25</v>
      </c>
      <c r="M15" s="89">
        <v>259664559</v>
      </c>
      <c r="N15" s="18" t="s">
        <v>49</v>
      </c>
      <c r="O15" s="36" t="s">
        <v>411</v>
      </c>
      <c r="P15" s="36"/>
      <c r="Q15" s="42" t="s">
        <v>205</v>
      </c>
      <c r="R15" s="94" t="s">
        <v>206</v>
      </c>
      <c r="S15" s="18">
        <f t="shared" si="4"/>
        <v>1923.64</v>
      </c>
      <c r="T15" s="36">
        <v>1728</v>
      </c>
      <c r="U15" s="70">
        <f>plachta3434235[[#This Row],[SALES '[€']]]-plachta3434235[[#This Row],[PURCHASE '[€']]]</f>
        <v>195.6400000000001</v>
      </c>
      <c r="V15" s="71">
        <f>plachta3434235[[#This Row],[MARGIN '[€']]]/plachta3434235[[#This Row],[SALES '[€']]]</f>
        <v>0.1017030213553472</v>
      </c>
      <c r="W15" s="36" t="s">
        <v>644</v>
      </c>
      <c r="X15" s="36" t="s">
        <v>645</v>
      </c>
      <c r="Y15" s="36">
        <v>1490</v>
      </c>
      <c r="Z15" s="36"/>
      <c r="AA15" s="36" t="s">
        <v>51</v>
      </c>
      <c r="AB15" s="72">
        <f t="shared" si="1"/>
        <v>1.1597315436241611</v>
      </c>
      <c r="AC15" s="72"/>
      <c r="AD15" s="69"/>
      <c r="AE15" s="69"/>
      <c r="AF15" s="69"/>
      <c r="AG15" s="69"/>
      <c r="AH15" s="69"/>
      <c r="AI15" s="69"/>
      <c r="AJ15" s="69"/>
      <c r="AK15" s="69"/>
      <c r="AL15" s="69" t="str">
        <f>IF(plachta3434235[[#This Row],[DELIVERY TIME]]="STORNO","CANCELLED","OK")</f>
        <v>OK</v>
      </c>
      <c r="AM15" s="69"/>
      <c r="AN15" s="69">
        <f>IF(RIGHT(plachta3434235[[#This Row],[CARRIER]],3)="-MF",921,"")</f>
        <v>921</v>
      </c>
      <c r="AO15" s="69"/>
    </row>
    <row r="16" spans="1:41">
      <c r="A16" s="39">
        <f t="shared" si="2"/>
        <v>2</v>
      </c>
      <c r="B16" s="116" t="s">
        <v>583</v>
      </c>
      <c r="C16" s="107" t="s">
        <v>42</v>
      </c>
      <c r="D16" s="37" t="s">
        <v>584</v>
      </c>
      <c r="E16" s="36" t="s">
        <v>585</v>
      </c>
      <c r="F16" s="38">
        <v>45299</v>
      </c>
      <c r="G16" s="58">
        <v>0.5</v>
      </c>
      <c r="H16" s="107" t="s">
        <v>197</v>
      </c>
      <c r="I16" s="37" t="s">
        <v>586</v>
      </c>
      <c r="J16" s="36" t="s">
        <v>587</v>
      </c>
      <c r="K16" s="38">
        <v>45300</v>
      </c>
      <c r="L16" s="58">
        <v>0.5</v>
      </c>
      <c r="M16" s="89">
        <v>259664561</v>
      </c>
      <c r="N16" s="18" t="s">
        <v>49</v>
      </c>
      <c r="O16" s="36" t="s">
        <v>411</v>
      </c>
      <c r="P16" s="36"/>
      <c r="Q16" s="63" t="s">
        <v>646</v>
      </c>
      <c r="R16" s="36" t="s">
        <v>594</v>
      </c>
      <c r="S16" s="18">
        <f t="shared" si="4"/>
        <v>1923.64</v>
      </c>
      <c r="T16" s="36">
        <v>1698</v>
      </c>
      <c r="U16" s="70">
        <f>plachta3434235[[#This Row],[SALES '[€']]]-plachta3434235[[#This Row],[PURCHASE '[€']]]</f>
        <v>225.6400000000001</v>
      </c>
      <c r="V16" s="71">
        <f>plachta3434235[[#This Row],[MARGIN '[€']]]/plachta3434235[[#This Row],[SALES '[€']]]</f>
        <v>0.11729845501237242</v>
      </c>
      <c r="W16" s="36" t="s">
        <v>647</v>
      </c>
      <c r="X16" s="36" t="s">
        <v>648</v>
      </c>
      <c r="Y16" s="36">
        <v>1492</v>
      </c>
      <c r="Z16" s="36"/>
      <c r="AA16" s="36" t="s">
        <v>51</v>
      </c>
      <c r="AB16" s="72">
        <f t="shared" si="1"/>
        <v>1.1380697050938338</v>
      </c>
      <c r="AC16" s="72"/>
      <c r="AD16" s="69"/>
      <c r="AE16" s="69"/>
      <c r="AF16" s="69"/>
      <c r="AG16" s="69"/>
      <c r="AH16" s="69"/>
      <c r="AI16" s="69"/>
      <c r="AJ16" s="69"/>
      <c r="AK16" s="69"/>
      <c r="AL16" s="69" t="str">
        <f>IF(plachta3434235[[#This Row],[DELIVERY TIME]]="STORNO","CANCELLED","OK")</f>
        <v>OK</v>
      </c>
      <c r="AM16" s="69"/>
      <c r="AN16" s="69" t="str">
        <f>IF(RIGHT(plachta3434235[[#This Row],[CARRIER]],3)="-MF",921,"")</f>
        <v/>
      </c>
      <c r="AO16" s="69"/>
    </row>
    <row r="17" spans="1:41">
      <c r="A17" s="39">
        <f t="shared" si="2"/>
        <v>2</v>
      </c>
      <c r="B17" s="116" t="s">
        <v>583</v>
      </c>
      <c r="C17" s="107" t="s">
        <v>42</v>
      </c>
      <c r="D17" s="37" t="s">
        <v>584</v>
      </c>
      <c r="E17" s="36" t="s">
        <v>585</v>
      </c>
      <c r="F17" s="38">
        <v>45299</v>
      </c>
      <c r="G17" s="58">
        <v>0.83333333333333337</v>
      </c>
      <c r="H17" s="107" t="s">
        <v>197</v>
      </c>
      <c r="I17" s="37" t="s">
        <v>586</v>
      </c>
      <c r="J17" s="36" t="s">
        <v>587</v>
      </c>
      <c r="K17" s="38">
        <v>45300</v>
      </c>
      <c r="L17" s="58">
        <v>0.83333333333333337</v>
      </c>
      <c r="M17" s="89">
        <v>259664562</v>
      </c>
      <c r="N17" s="18" t="s">
        <v>49</v>
      </c>
      <c r="O17" s="36" t="s">
        <v>411</v>
      </c>
      <c r="P17" s="36"/>
      <c r="Q17" s="63" t="s">
        <v>649</v>
      </c>
      <c r="R17" s="36" t="s">
        <v>594</v>
      </c>
      <c r="S17" s="18">
        <f t="shared" si="4"/>
        <v>1923.64</v>
      </c>
      <c r="T17" s="36">
        <v>1698</v>
      </c>
      <c r="U17" s="70">
        <f>plachta3434235[[#This Row],[SALES '[€']]]-plachta3434235[[#This Row],[PURCHASE '[€']]]</f>
        <v>225.6400000000001</v>
      </c>
      <c r="V17" s="71">
        <f>plachta3434235[[#This Row],[MARGIN '[€']]]/plachta3434235[[#This Row],[SALES '[€']]]</f>
        <v>0.11729845501237242</v>
      </c>
      <c r="W17" s="36" t="s">
        <v>650</v>
      </c>
      <c r="X17" s="36" t="s">
        <v>651</v>
      </c>
      <c r="Y17" s="36">
        <v>1492</v>
      </c>
      <c r="Z17" s="36"/>
      <c r="AA17" s="36" t="s">
        <v>51</v>
      </c>
      <c r="AB17" s="72">
        <f t="shared" si="1"/>
        <v>1.1380697050938338</v>
      </c>
      <c r="AC17" s="72"/>
      <c r="AD17" s="69"/>
      <c r="AE17" s="69"/>
      <c r="AF17" s="69"/>
      <c r="AG17" s="69"/>
      <c r="AH17" s="69"/>
      <c r="AI17" s="69"/>
      <c r="AJ17" s="69"/>
      <c r="AK17" s="69"/>
      <c r="AL17" s="69" t="str">
        <f>IF(plachta3434235[[#This Row],[DELIVERY TIME]]="STORNO","CANCELLED","OK")</f>
        <v>OK</v>
      </c>
      <c r="AM17" s="69"/>
      <c r="AN17" s="69" t="str">
        <f>IF(RIGHT(plachta3434235[[#This Row],[CARRIER]],3)="-MF",921,"")</f>
        <v/>
      </c>
      <c r="AO17" s="69"/>
    </row>
    <row r="18" spans="1:41">
      <c r="A18" s="39">
        <f t="shared" si="2"/>
        <v>2</v>
      </c>
      <c r="B18" s="116" t="s">
        <v>583</v>
      </c>
      <c r="C18" s="107" t="s">
        <v>42</v>
      </c>
      <c r="D18" s="37" t="s">
        <v>584</v>
      </c>
      <c r="E18" s="36" t="s">
        <v>585</v>
      </c>
      <c r="F18" s="38">
        <v>45300</v>
      </c>
      <c r="G18" s="58">
        <v>0.25</v>
      </c>
      <c r="H18" s="107" t="s">
        <v>197</v>
      </c>
      <c r="I18" s="37" t="s">
        <v>586</v>
      </c>
      <c r="J18" s="36" t="s">
        <v>587</v>
      </c>
      <c r="K18" s="38">
        <v>45301</v>
      </c>
      <c r="L18" s="58">
        <v>0.25</v>
      </c>
      <c r="M18" s="89">
        <v>259664563</v>
      </c>
      <c r="N18" s="18" t="s">
        <v>49</v>
      </c>
      <c r="O18" s="36" t="s">
        <v>411</v>
      </c>
      <c r="P18" s="36"/>
      <c r="Q18" s="63" t="s">
        <v>602</v>
      </c>
      <c r="R18" s="36" t="s">
        <v>594</v>
      </c>
      <c r="S18" s="18">
        <f t="shared" si="4"/>
        <v>1923.64</v>
      </c>
      <c r="T18" s="36">
        <v>1698</v>
      </c>
      <c r="U18" s="70">
        <f>plachta3434235[[#This Row],[SALES '[€']]]-plachta3434235[[#This Row],[PURCHASE '[€']]]</f>
        <v>225.6400000000001</v>
      </c>
      <c r="V18" s="71">
        <f>plachta3434235[[#This Row],[MARGIN '[€']]]/plachta3434235[[#This Row],[SALES '[€']]]</f>
        <v>0.11729845501237242</v>
      </c>
      <c r="W18" s="36" t="s">
        <v>652</v>
      </c>
      <c r="X18" s="36" t="s">
        <v>653</v>
      </c>
      <c r="Y18" s="36">
        <v>1492</v>
      </c>
      <c r="Z18" s="36"/>
      <c r="AA18" s="36" t="s">
        <v>51</v>
      </c>
      <c r="AB18" s="72">
        <f t="shared" si="1"/>
        <v>1.1380697050938338</v>
      </c>
      <c r="AC18" s="72"/>
      <c r="AD18" s="69"/>
      <c r="AE18" s="69"/>
      <c r="AF18" s="69"/>
      <c r="AG18" s="69"/>
      <c r="AH18" s="69"/>
      <c r="AI18" s="69"/>
      <c r="AJ18" s="69"/>
      <c r="AK18" s="69"/>
      <c r="AL18" s="69" t="str">
        <f>IF(plachta3434235[[#This Row],[DELIVERY TIME]]="STORNO","CANCELLED","OK")</f>
        <v>OK</v>
      </c>
      <c r="AM18" s="69"/>
      <c r="AN18" s="69" t="str">
        <f>IF(RIGHT(plachta3434235[[#This Row],[CARRIER]],3)="-MF",921,"")</f>
        <v/>
      </c>
      <c r="AO18" s="69"/>
    </row>
    <row r="19" spans="1:41">
      <c r="A19" s="39">
        <f t="shared" si="2"/>
        <v>2</v>
      </c>
      <c r="B19" s="116" t="s">
        <v>583</v>
      </c>
      <c r="C19" s="107" t="s">
        <v>42</v>
      </c>
      <c r="D19" s="37" t="s">
        <v>584</v>
      </c>
      <c r="E19" s="36" t="s">
        <v>585</v>
      </c>
      <c r="F19" s="38">
        <v>45300</v>
      </c>
      <c r="G19" s="58">
        <v>0.5</v>
      </c>
      <c r="H19" s="107" t="s">
        <v>197</v>
      </c>
      <c r="I19" s="37" t="s">
        <v>586</v>
      </c>
      <c r="J19" s="36" t="s">
        <v>587</v>
      </c>
      <c r="K19" s="38">
        <v>45301</v>
      </c>
      <c r="L19" s="58">
        <v>0.5</v>
      </c>
      <c r="M19" s="89">
        <v>259664564</v>
      </c>
      <c r="N19" s="18" t="s">
        <v>49</v>
      </c>
      <c r="O19" s="36" t="s">
        <v>411</v>
      </c>
      <c r="P19" s="36"/>
      <c r="Q19" s="63" t="s">
        <v>593</v>
      </c>
      <c r="R19" s="36" t="s">
        <v>594</v>
      </c>
      <c r="S19" s="18">
        <f t="shared" si="4"/>
        <v>1923.64</v>
      </c>
      <c r="T19" s="36">
        <v>1698</v>
      </c>
      <c r="U19" s="70">
        <f>plachta3434235[[#This Row],[SALES '[€']]]-plachta3434235[[#This Row],[PURCHASE '[€']]]</f>
        <v>225.6400000000001</v>
      </c>
      <c r="V19" s="71">
        <f>plachta3434235[[#This Row],[MARGIN '[€']]]/plachta3434235[[#This Row],[SALES '[€']]]</f>
        <v>0.11729845501237242</v>
      </c>
      <c r="W19" s="36" t="s">
        <v>654</v>
      </c>
      <c r="X19" s="36" t="s">
        <v>655</v>
      </c>
      <c r="Y19" s="36">
        <v>1492</v>
      </c>
      <c r="Z19" s="36"/>
      <c r="AA19" s="36" t="s">
        <v>51</v>
      </c>
      <c r="AB19" s="72">
        <f t="shared" si="1"/>
        <v>1.1380697050938338</v>
      </c>
      <c r="AC19" s="72"/>
      <c r="AD19" s="69"/>
      <c r="AE19" s="69"/>
      <c r="AF19" s="69"/>
      <c r="AG19" s="69"/>
      <c r="AH19" s="69"/>
      <c r="AI19" s="69"/>
      <c r="AJ19" s="69"/>
      <c r="AK19" s="69"/>
      <c r="AL19" s="69" t="str">
        <f>IF(plachta3434235[[#This Row],[DELIVERY TIME]]="STORNO","CANCELLED","OK")</f>
        <v>OK</v>
      </c>
      <c r="AM19" s="69"/>
      <c r="AN19" s="69" t="str">
        <f>IF(RIGHT(plachta3434235[[#This Row],[CARRIER]],3)="-MF",921,"")</f>
        <v/>
      </c>
      <c r="AO19" s="69"/>
    </row>
    <row r="20" spans="1:41">
      <c r="A20" s="39">
        <f t="shared" si="2"/>
        <v>2</v>
      </c>
      <c r="B20" s="116" t="s">
        <v>583</v>
      </c>
      <c r="C20" s="107" t="s">
        <v>42</v>
      </c>
      <c r="D20" s="37" t="s">
        <v>584</v>
      </c>
      <c r="E20" s="36" t="s">
        <v>585</v>
      </c>
      <c r="F20" s="38">
        <v>45300</v>
      </c>
      <c r="G20" s="58">
        <v>0.83333333333333337</v>
      </c>
      <c r="H20" s="107" t="s">
        <v>197</v>
      </c>
      <c r="I20" s="37" t="s">
        <v>586</v>
      </c>
      <c r="J20" s="36" t="s">
        <v>587</v>
      </c>
      <c r="K20" s="38">
        <v>45301</v>
      </c>
      <c r="L20" s="58">
        <v>0.83333333333333337</v>
      </c>
      <c r="M20" s="89">
        <v>259664565</v>
      </c>
      <c r="N20" s="18" t="s">
        <v>49</v>
      </c>
      <c r="O20" s="36" t="s">
        <v>411</v>
      </c>
      <c r="P20" s="36"/>
      <c r="Q20" s="42" t="s">
        <v>656</v>
      </c>
      <c r="R20" s="36" t="s">
        <v>594</v>
      </c>
      <c r="S20" s="18">
        <f t="shared" si="4"/>
        <v>1923.64</v>
      </c>
      <c r="T20" s="36">
        <v>1698</v>
      </c>
      <c r="U20" s="70">
        <f>plachta3434235[[#This Row],[SALES '[€']]]-plachta3434235[[#This Row],[PURCHASE '[€']]]</f>
        <v>225.6400000000001</v>
      </c>
      <c r="V20" s="71">
        <f>plachta3434235[[#This Row],[MARGIN '[€']]]/plachta3434235[[#This Row],[SALES '[€']]]</f>
        <v>0.11729845501237242</v>
      </c>
      <c r="W20" s="36" t="s">
        <v>657</v>
      </c>
      <c r="X20" s="36" t="s">
        <v>658</v>
      </c>
      <c r="Y20" s="36">
        <v>1492</v>
      </c>
      <c r="Z20" s="36"/>
      <c r="AA20" s="36" t="s">
        <v>51</v>
      </c>
      <c r="AB20" s="72">
        <f t="shared" ref="AB20:AB82" si="5">T20/Y20</f>
        <v>1.1380697050938338</v>
      </c>
      <c r="AC20" s="72"/>
      <c r="AD20" s="69"/>
      <c r="AE20" s="69"/>
      <c r="AF20" s="69"/>
      <c r="AG20" s="69"/>
      <c r="AH20" s="69"/>
      <c r="AI20" s="69"/>
      <c r="AJ20" s="69"/>
      <c r="AK20" s="69"/>
      <c r="AL20" s="69" t="str">
        <f>IF(plachta3434235[[#This Row],[DELIVERY TIME]]="STORNO","CANCELLED","OK")</f>
        <v>OK</v>
      </c>
      <c r="AM20" s="69"/>
      <c r="AN20" s="69" t="str">
        <f>IF(RIGHT(plachta3434235[[#This Row],[CARRIER]],3)="-MF",921,"")</f>
        <v/>
      </c>
      <c r="AO20" s="69"/>
    </row>
    <row r="21" spans="1:41">
      <c r="A21" s="39">
        <f t="shared" si="2"/>
        <v>2</v>
      </c>
      <c r="B21" s="116" t="s">
        <v>583</v>
      </c>
      <c r="C21" s="107" t="s">
        <v>42</v>
      </c>
      <c r="D21" s="37" t="s">
        <v>584</v>
      </c>
      <c r="E21" s="36" t="s">
        <v>585</v>
      </c>
      <c r="F21" s="38">
        <v>45301</v>
      </c>
      <c r="G21" s="58">
        <v>0.25</v>
      </c>
      <c r="H21" s="107" t="s">
        <v>197</v>
      </c>
      <c r="I21" s="37" t="s">
        <v>586</v>
      </c>
      <c r="J21" s="36" t="s">
        <v>587</v>
      </c>
      <c r="K21" s="38">
        <v>45302</v>
      </c>
      <c r="L21" s="58">
        <v>0.25</v>
      </c>
      <c r="M21" s="89">
        <v>259664567</v>
      </c>
      <c r="N21" s="18" t="s">
        <v>49</v>
      </c>
      <c r="O21" s="36" t="s">
        <v>411</v>
      </c>
      <c r="P21" s="36"/>
      <c r="Q21" s="63" t="s">
        <v>659</v>
      </c>
      <c r="R21" s="36" t="s">
        <v>594</v>
      </c>
      <c r="S21" s="18">
        <f t="shared" si="4"/>
        <v>1923.64</v>
      </c>
      <c r="T21" s="36">
        <v>1698</v>
      </c>
      <c r="U21" s="70">
        <f>plachta3434235[[#This Row],[SALES '[€']]]-plachta3434235[[#This Row],[PURCHASE '[€']]]</f>
        <v>225.6400000000001</v>
      </c>
      <c r="V21" s="71">
        <f>plachta3434235[[#This Row],[MARGIN '[€']]]/plachta3434235[[#This Row],[SALES '[€']]]</f>
        <v>0.11729845501237242</v>
      </c>
      <c r="W21" s="36" t="s">
        <v>660</v>
      </c>
      <c r="X21" s="36" t="s">
        <v>661</v>
      </c>
      <c r="Y21" s="36">
        <v>1492</v>
      </c>
      <c r="Z21" s="36"/>
      <c r="AA21" s="36" t="s">
        <v>51</v>
      </c>
      <c r="AB21" s="72">
        <f t="shared" si="5"/>
        <v>1.1380697050938338</v>
      </c>
      <c r="AC21" s="72"/>
      <c r="AD21" s="69"/>
      <c r="AE21" s="69"/>
      <c r="AF21" s="69"/>
      <c r="AG21" s="69"/>
      <c r="AH21" s="69"/>
      <c r="AI21" s="69"/>
      <c r="AJ21" s="69"/>
      <c r="AK21" s="69"/>
      <c r="AL21" s="69" t="str">
        <f>IF(plachta3434235[[#This Row],[DELIVERY TIME]]="STORNO","CANCELLED","OK")</f>
        <v>OK</v>
      </c>
      <c r="AM21" s="69"/>
      <c r="AN21" s="69" t="str">
        <f>IF(RIGHT(plachta3434235[[#This Row],[CARRIER]],3)="-MF",921,"")</f>
        <v/>
      </c>
      <c r="AO21" s="69"/>
    </row>
    <row r="22" spans="1:41">
      <c r="A22" s="39">
        <f t="shared" si="2"/>
        <v>2</v>
      </c>
      <c r="B22" s="116" t="s">
        <v>583</v>
      </c>
      <c r="C22" s="107" t="s">
        <v>42</v>
      </c>
      <c r="D22" s="37" t="s">
        <v>584</v>
      </c>
      <c r="E22" s="36" t="s">
        <v>585</v>
      </c>
      <c r="F22" s="38">
        <v>45301</v>
      </c>
      <c r="G22" s="58">
        <v>0.5</v>
      </c>
      <c r="H22" s="107" t="s">
        <v>197</v>
      </c>
      <c r="I22" s="37" t="s">
        <v>586</v>
      </c>
      <c r="J22" s="36" t="s">
        <v>587</v>
      </c>
      <c r="K22" s="38">
        <v>45302</v>
      </c>
      <c r="L22" s="58">
        <v>0.5</v>
      </c>
      <c r="M22" s="89">
        <v>259664568</v>
      </c>
      <c r="N22" s="18" t="s">
        <v>49</v>
      </c>
      <c r="O22" s="36" t="s">
        <v>411</v>
      </c>
      <c r="P22" s="36"/>
      <c r="Q22" s="63" t="s">
        <v>662</v>
      </c>
      <c r="R22" s="36" t="s">
        <v>594</v>
      </c>
      <c r="S22" s="18">
        <f t="shared" si="4"/>
        <v>1923.64</v>
      </c>
      <c r="T22" s="36">
        <v>1698</v>
      </c>
      <c r="U22" s="70">
        <f>plachta3434235[[#This Row],[SALES '[€']]]-plachta3434235[[#This Row],[PURCHASE '[€']]]</f>
        <v>225.6400000000001</v>
      </c>
      <c r="V22" s="71">
        <f>plachta3434235[[#This Row],[MARGIN '[€']]]/plachta3434235[[#This Row],[SALES '[€']]]</f>
        <v>0.11729845501237242</v>
      </c>
      <c r="W22" s="36" t="s">
        <v>663</v>
      </c>
      <c r="X22" s="36" t="s">
        <v>664</v>
      </c>
      <c r="Y22" s="36">
        <v>1492</v>
      </c>
      <c r="Z22" s="36"/>
      <c r="AA22" s="36" t="s">
        <v>51</v>
      </c>
      <c r="AB22" s="72">
        <f t="shared" si="5"/>
        <v>1.1380697050938338</v>
      </c>
      <c r="AC22" s="72"/>
      <c r="AD22" s="69"/>
      <c r="AE22" s="69"/>
      <c r="AF22" s="69"/>
      <c r="AG22" s="69"/>
      <c r="AH22" s="69"/>
      <c r="AI22" s="69"/>
      <c r="AJ22" s="69"/>
      <c r="AK22" s="69"/>
      <c r="AL22" s="69" t="str">
        <f>IF(plachta3434235[[#This Row],[DELIVERY TIME]]="STORNO","CANCELLED","OK")</f>
        <v>OK</v>
      </c>
      <c r="AM22" s="69"/>
      <c r="AN22" s="69" t="str">
        <f>IF(RIGHT(plachta3434235[[#This Row],[CARRIER]],3)="-MF",921,"")</f>
        <v/>
      </c>
      <c r="AO22" s="69"/>
    </row>
    <row r="23" spans="1:41">
      <c r="A23" s="39">
        <f t="shared" si="2"/>
        <v>2</v>
      </c>
      <c r="B23" s="116" t="s">
        <v>583</v>
      </c>
      <c r="C23" s="107" t="s">
        <v>42</v>
      </c>
      <c r="D23" s="37" t="s">
        <v>584</v>
      </c>
      <c r="E23" s="36" t="s">
        <v>585</v>
      </c>
      <c r="F23" s="38">
        <v>45301</v>
      </c>
      <c r="G23" s="58">
        <v>0.83333333333333337</v>
      </c>
      <c r="H23" s="107" t="s">
        <v>197</v>
      </c>
      <c r="I23" s="37" t="s">
        <v>586</v>
      </c>
      <c r="J23" s="36" t="s">
        <v>587</v>
      </c>
      <c r="K23" s="38">
        <v>45302</v>
      </c>
      <c r="L23" s="58">
        <v>0.83333333333333337</v>
      </c>
      <c r="M23" s="89">
        <v>259664569</v>
      </c>
      <c r="N23" s="18" t="s">
        <v>49</v>
      </c>
      <c r="O23" s="36" t="s">
        <v>411</v>
      </c>
      <c r="P23" s="36"/>
      <c r="Q23" s="42" t="s">
        <v>205</v>
      </c>
      <c r="R23" s="119" t="s">
        <v>206</v>
      </c>
      <c r="S23" s="18">
        <f>1846+77.64</f>
        <v>1923.64</v>
      </c>
      <c r="T23" s="36">
        <v>1728</v>
      </c>
      <c r="U23" s="70">
        <f>plachta3434235[[#This Row],[SALES '[€']]]-plachta3434235[[#This Row],[PURCHASE '[€']]]</f>
        <v>195.6400000000001</v>
      </c>
      <c r="V23" s="71">
        <f>plachta3434235[[#This Row],[MARGIN '[€']]]/plachta3434235[[#This Row],[SALES '[€']]]</f>
        <v>0.1017030213553472</v>
      </c>
      <c r="W23" s="36" t="s">
        <v>665</v>
      </c>
      <c r="X23" s="36" t="s">
        <v>666</v>
      </c>
      <c r="Y23" s="36">
        <v>1492</v>
      </c>
      <c r="Z23" s="36"/>
      <c r="AA23" s="36" t="s">
        <v>51</v>
      </c>
      <c r="AB23" s="72">
        <f t="shared" si="5"/>
        <v>1.158176943699732</v>
      </c>
      <c r="AC23" s="72"/>
      <c r="AD23" s="69"/>
      <c r="AE23" s="69"/>
      <c r="AF23" s="69"/>
      <c r="AG23" s="69"/>
      <c r="AH23" s="69"/>
      <c r="AI23" s="69"/>
      <c r="AJ23" s="69"/>
      <c r="AK23" s="69"/>
      <c r="AL23" s="69" t="str">
        <f>IF(plachta3434235[[#This Row],[DELIVERY TIME]]="STORNO","CANCELLED","OK")</f>
        <v>OK</v>
      </c>
      <c r="AM23" s="69"/>
      <c r="AN23" s="69">
        <f>IF(RIGHT(plachta3434235[[#This Row],[CARRIER]],3)="-MF",921,"")</f>
        <v>921</v>
      </c>
      <c r="AO23" s="69"/>
    </row>
    <row r="24" spans="1:41">
      <c r="A24" s="39">
        <f t="shared" si="2"/>
        <v>2</v>
      </c>
      <c r="B24" s="116" t="s">
        <v>583</v>
      </c>
      <c r="C24" s="107" t="s">
        <v>42</v>
      </c>
      <c r="D24" s="37" t="s">
        <v>584</v>
      </c>
      <c r="E24" s="36" t="s">
        <v>585</v>
      </c>
      <c r="F24" s="38">
        <v>45302</v>
      </c>
      <c r="G24" s="58">
        <v>0.25</v>
      </c>
      <c r="H24" s="107" t="s">
        <v>197</v>
      </c>
      <c r="I24" s="37" t="s">
        <v>586</v>
      </c>
      <c r="J24" s="36" t="s">
        <v>587</v>
      </c>
      <c r="K24" s="38">
        <v>45303</v>
      </c>
      <c r="L24" s="58">
        <v>0.25</v>
      </c>
      <c r="M24" s="89">
        <v>259664570</v>
      </c>
      <c r="N24" s="18" t="s">
        <v>49</v>
      </c>
      <c r="O24" s="36" t="s">
        <v>411</v>
      </c>
      <c r="P24" s="36"/>
      <c r="Q24" s="63" t="s">
        <v>602</v>
      </c>
      <c r="R24" s="36" t="s">
        <v>594</v>
      </c>
      <c r="S24" s="18">
        <f t="shared" ref="S24:S25" si="6">1846+77.64</f>
        <v>1923.64</v>
      </c>
      <c r="T24" s="36">
        <v>1698</v>
      </c>
      <c r="U24" s="70">
        <f>plachta3434235[[#This Row],[SALES '[€']]]-plachta3434235[[#This Row],[PURCHASE '[€']]]</f>
        <v>225.6400000000001</v>
      </c>
      <c r="V24" s="71">
        <f>plachta3434235[[#This Row],[MARGIN '[€']]]/plachta3434235[[#This Row],[SALES '[€']]]</f>
        <v>0.11729845501237242</v>
      </c>
      <c r="W24" s="36" t="s">
        <v>667</v>
      </c>
      <c r="X24" s="36" t="s">
        <v>668</v>
      </c>
      <c r="Y24" s="36">
        <v>1492</v>
      </c>
      <c r="Z24" s="36"/>
      <c r="AA24" s="36" t="s">
        <v>51</v>
      </c>
      <c r="AB24" s="72">
        <f t="shared" si="5"/>
        <v>1.1380697050938338</v>
      </c>
      <c r="AC24" s="72"/>
      <c r="AD24" s="69"/>
      <c r="AE24" s="69"/>
      <c r="AF24" s="69"/>
      <c r="AG24" s="69"/>
      <c r="AH24" s="69"/>
      <c r="AI24" s="69"/>
      <c r="AJ24" s="69"/>
      <c r="AK24" s="69"/>
      <c r="AL24" s="69" t="str">
        <f>IF(plachta3434235[[#This Row],[DELIVERY TIME]]="STORNO","CANCELLED","OK")</f>
        <v>OK</v>
      </c>
      <c r="AM24" s="69"/>
      <c r="AN24" s="69" t="str">
        <f>IF(RIGHT(plachta3434235[[#This Row],[CARRIER]],3)="-MF",921,"")</f>
        <v/>
      </c>
      <c r="AO24" s="69"/>
    </row>
    <row r="25" spans="1:41">
      <c r="A25" s="39">
        <f t="shared" si="2"/>
        <v>2</v>
      </c>
      <c r="B25" s="116" t="s">
        <v>583</v>
      </c>
      <c r="C25" s="107" t="s">
        <v>42</v>
      </c>
      <c r="D25" s="37" t="s">
        <v>584</v>
      </c>
      <c r="E25" s="36" t="s">
        <v>585</v>
      </c>
      <c r="F25" s="38">
        <v>45302</v>
      </c>
      <c r="G25" s="58">
        <v>0.66666666666666663</v>
      </c>
      <c r="H25" s="107" t="s">
        <v>197</v>
      </c>
      <c r="I25" s="37" t="s">
        <v>586</v>
      </c>
      <c r="J25" s="36" t="s">
        <v>587</v>
      </c>
      <c r="K25" s="38">
        <v>45303</v>
      </c>
      <c r="L25" s="58">
        <v>0.66666666666666663</v>
      </c>
      <c r="M25" s="89">
        <v>259664571</v>
      </c>
      <c r="N25" s="18" t="s">
        <v>49</v>
      </c>
      <c r="O25" s="36" t="s">
        <v>411</v>
      </c>
      <c r="P25" s="36"/>
      <c r="Q25" s="63" t="s">
        <v>593</v>
      </c>
      <c r="R25" s="36" t="s">
        <v>594</v>
      </c>
      <c r="S25" s="18">
        <f t="shared" si="6"/>
        <v>1923.64</v>
      </c>
      <c r="T25" s="36">
        <v>1698</v>
      </c>
      <c r="U25" s="70">
        <f>plachta3434235[[#This Row],[SALES '[€']]]-plachta3434235[[#This Row],[PURCHASE '[€']]]</f>
        <v>225.6400000000001</v>
      </c>
      <c r="V25" s="71">
        <f>plachta3434235[[#This Row],[MARGIN '[€']]]/plachta3434235[[#This Row],[SALES '[€']]]</f>
        <v>0.11729845501237242</v>
      </c>
      <c r="W25" s="36" t="s">
        <v>669</v>
      </c>
      <c r="X25" s="36" t="s">
        <v>670</v>
      </c>
      <c r="Y25" s="36">
        <v>1492</v>
      </c>
      <c r="Z25" s="36"/>
      <c r="AA25" s="36" t="s">
        <v>51</v>
      </c>
      <c r="AB25" s="72">
        <f t="shared" si="5"/>
        <v>1.1380697050938338</v>
      </c>
      <c r="AC25" s="72"/>
      <c r="AD25" s="69"/>
      <c r="AE25" s="69"/>
      <c r="AF25" s="69"/>
      <c r="AG25" s="69"/>
      <c r="AH25" s="69"/>
      <c r="AI25" s="69"/>
      <c r="AJ25" s="69"/>
      <c r="AK25" s="69"/>
      <c r="AL25" s="69" t="str">
        <f>IF(plachta3434235[[#This Row],[DELIVERY TIME]]="STORNO","CANCELLED","OK")</f>
        <v>OK</v>
      </c>
      <c r="AM25" s="69"/>
      <c r="AN25" s="69" t="str">
        <f>IF(RIGHT(plachta3434235[[#This Row],[CARRIER]],3)="-MF",921,"")</f>
        <v/>
      </c>
      <c r="AO25" s="69"/>
    </row>
    <row r="26" spans="1:41" ht="14.45">
      <c r="A26" s="39">
        <f t="shared" si="2"/>
        <v>2</v>
      </c>
      <c r="B26" s="116" t="s">
        <v>583</v>
      </c>
      <c r="C26" s="107" t="s">
        <v>197</v>
      </c>
      <c r="D26" s="37" t="s">
        <v>586</v>
      </c>
      <c r="E26" s="36" t="s">
        <v>587</v>
      </c>
      <c r="F26" s="38">
        <v>45299</v>
      </c>
      <c r="G26" s="58">
        <v>0.5</v>
      </c>
      <c r="H26" s="107" t="s">
        <v>42</v>
      </c>
      <c r="I26" s="37" t="s">
        <v>584</v>
      </c>
      <c r="J26" s="36" t="s">
        <v>585</v>
      </c>
      <c r="K26" s="38">
        <v>45300</v>
      </c>
      <c r="L26" s="58">
        <v>0.58333333333333337</v>
      </c>
      <c r="M26" s="124">
        <v>4503483802</v>
      </c>
      <c r="N26" s="18" t="s">
        <v>49</v>
      </c>
      <c r="O26" s="36" t="s">
        <v>671</v>
      </c>
      <c r="P26" s="36">
        <v>4503451458</v>
      </c>
      <c r="Q26" s="63" t="s">
        <v>672</v>
      </c>
      <c r="R26" s="36" t="s">
        <v>673</v>
      </c>
      <c r="S26" s="18">
        <v>1100</v>
      </c>
      <c r="T26" s="36">
        <v>1050</v>
      </c>
      <c r="U26" s="70">
        <f>plachta3434235[[#This Row],[SALES '[€']]]-plachta3434235[[#This Row],[PURCHASE '[€']]]</f>
        <v>50</v>
      </c>
      <c r="V26" s="71">
        <f>plachta3434235[[#This Row],[MARGIN '[€']]]/plachta3434235[[#This Row],[SALES '[€']]]</f>
        <v>4.5454545454545456E-2</v>
      </c>
      <c r="W26" s="36">
        <v>9215170562</v>
      </c>
      <c r="X26" s="36" t="s">
        <v>674</v>
      </c>
      <c r="Y26" s="36">
        <v>746</v>
      </c>
      <c r="Z26" s="59" t="s">
        <v>675</v>
      </c>
      <c r="AA26" s="36" t="s">
        <v>51</v>
      </c>
      <c r="AB26" s="72">
        <f t="shared" si="5"/>
        <v>1.4075067024128687</v>
      </c>
      <c r="AC26" s="72"/>
      <c r="AD26" s="69"/>
      <c r="AE26" s="69"/>
      <c r="AF26" s="69"/>
      <c r="AG26" s="69"/>
      <c r="AH26" s="69"/>
      <c r="AI26" s="69"/>
      <c r="AJ26" s="69"/>
      <c r="AK26" s="69"/>
      <c r="AL26" s="69" t="str">
        <f>IF(plachta3434235[[#This Row],[DELIVERY TIME]]="STORNO","CANCELLED","OK")</f>
        <v>OK</v>
      </c>
      <c r="AM26" s="69"/>
      <c r="AN26" s="69" t="str">
        <f>IF(RIGHT(plachta3434235[[#This Row],[CARRIER]],3)="-MF",921,"")</f>
        <v/>
      </c>
      <c r="AO26" s="69"/>
    </row>
    <row r="27" spans="1:41" ht="14.45">
      <c r="A27" s="39">
        <f t="shared" si="2"/>
        <v>2</v>
      </c>
      <c r="B27" s="116" t="s">
        <v>583</v>
      </c>
      <c r="C27" s="107" t="s">
        <v>197</v>
      </c>
      <c r="D27" s="37" t="s">
        <v>586</v>
      </c>
      <c r="E27" s="36" t="s">
        <v>587</v>
      </c>
      <c r="F27" s="38">
        <v>45300</v>
      </c>
      <c r="G27" s="58">
        <v>0.5</v>
      </c>
      <c r="H27" s="107" t="s">
        <v>42</v>
      </c>
      <c r="I27" s="37" t="s">
        <v>584</v>
      </c>
      <c r="J27" s="36" t="s">
        <v>585</v>
      </c>
      <c r="K27" s="38">
        <v>45301</v>
      </c>
      <c r="L27" s="58"/>
      <c r="M27" s="124">
        <v>4503493332</v>
      </c>
      <c r="N27" s="18" t="s">
        <v>49</v>
      </c>
      <c r="O27" s="36" t="s">
        <v>671</v>
      </c>
      <c r="P27" s="36"/>
      <c r="Q27" s="63" t="s">
        <v>676</v>
      </c>
      <c r="R27" s="36" t="s">
        <v>677</v>
      </c>
      <c r="S27" s="18">
        <v>1100</v>
      </c>
      <c r="T27" s="36">
        <v>1000</v>
      </c>
      <c r="U27" s="70">
        <f>plachta3434235[[#This Row],[SALES '[€']]]-plachta3434235[[#This Row],[PURCHASE '[€']]]</f>
        <v>100</v>
      </c>
      <c r="V27" s="71">
        <f>plachta3434235[[#This Row],[MARGIN '[€']]]/plachta3434235[[#This Row],[SALES '[€']]]</f>
        <v>9.0909090909090912E-2</v>
      </c>
      <c r="W27" s="36">
        <v>9215170644</v>
      </c>
      <c r="X27" s="36" t="s">
        <v>678</v>
      </c>
      <c r="Y27" s="36">
        <v>746</v>
      </c>
      <c r="Z27" s="59" t="s">
        <v>679</v>
      </c>
      <c r="AA27" s="36" t="s">
        <v>51</v>
      </c>
      <c r="AB27" s="72">
        <f t="shared" si="5"/>
        <v>1.3404825737265416</v>
      </c>
      <c r="AC27" s="72"/>
      <c r="AD27" s="69"/>
      <c r="AE27" s="69"/>
      <c r="AF27" s="69"/>
      <c r="AG27" s="69"/>
      <c r="AH27" s="69"/>
      <c r="AI27" s="69"/>
      <c r="AJ27" s="69"/>
      <c r="AK27" s="69"/>
      <c r="AL27" s="69" t="str">
        <f>IF(plachta3434235[[#This Row],[DELIVERY TIME]]="STORNO","CANCELLED","OK")</f>
        <v>OK</v>
      </c>
      <c r="AM27" s="69"/>
      <c r="AN27" s="69" t="str">
        <f>IF(RIGHT(plachta3434235[[#This Row],[CARRIER]],3)="-MF",921,"")</f>
        <v/>
      </c>
      <c r="AO27" s="69"/>
    </row>
    <row r="28" spans="1:41">
      <c r="A28" s="39">
        <f t="shared" si="2"/>
        <v>2</v>
      </c>
      <c r="B28" s="115" t="s">
        <v>607</v>
      </c>
      <c r="C28" s="107" t="s">
        <v>42</v>
      </c>
      <c r="D28" s="37" t="s">
        <v>608</v>
      </c>
      <c r="E28" s="36" t="s">
        <v>609</v>
      </c>
      <c r="F28" s="38">
        <v>45299</v>
      </c>
      <c r="G28" s="58">
        <v>0.16666666666666666</v>
      </c>
      <c r="H28" s="107" t="s">
        <v>610</v>
      </c>
      <c r="I28" s="37" t="s">
        <v>525</v>
      </c>
      <c r="J28" s="36" t="s">
        <v>611</v>
      </c>
      <c r="K28" s="38">
        <v>45300</v>
      </c>
      <c r="L28" s="58">
        <v>0.1875</v>
      </c>
      <c r="M28" s="73">
        <v>6101211807</v>
      </c>
      <c r="N28" s="18" t="s">
        <v>49</v>
      </c>
      <c r="O28" s="36" t="s">
        <v>411</v>
      </c>
      <c r="P28" s="36"/>
      <c r="Q28" s="63" t="s">
        <v>680</v>
      </c>
      <c r="R28" s="36" t="s">
        <v>614</v>
      </c>
      <c r="S28" s="36">
        <v>1734</v>
      </c>
      <c r="T28" s="36">
        <v>1530</v>
      </c>
      <c r="U28" s="70">
        <f>plachta3434235[[#This Row],[SALES '[€']]]-plachta3434235[[#This Row],[PURCHASE '[€']]]</f>
        <v>204</v>
      </c>
      <c r="V28" s="71">
        <f>plachta3434235[[#This Row],[MARGIN '[€']]]/plachta3434235[[#This Row],[SALES '[€']]]</f>
        <v>0.11764705882352941</v>
      </c>
      <c r="W28" s="36" t="s">
        <v>681</v>
      </c>
      <c r="X28" s="36" t="s">
        <v>682</v>
      </c>
      <c r="Y28" s="36">
        <v>1252</v>
      </c>
      <c r="Z28" s="36"/>
      <c r="AA28" s="36" t="s">
        <v>51</v>
      </c>
      <c r="AB28" s="72">
        <f t="shared" si="5"/>
        <v>1.2220447284345048</v>
      </c>
      <c r="AC28" s="72"/>
      <c r="AD28" s="69"/>
      <c r="AE28" s="69"/>
      <c r="AF28" s="69"/>
      <c r="AG28" s="69"/>
      <c r="AH28" s="69"/>
      <c r="AI28" s="69"/>
      <c r="AJ28" s="69"/>
      <c r="AK28" s="69"/>
      <c r="AL28" s="69" t="str">
        <f>IF(plachta3434235[[#This Row],[DELIVERY TIME]]="STORNO","CANCELLED","OK")</f>
        <v>OK</v>
      </c>
      <c r="AM28" s="69"/>
      <c r="AN28" s="69" t="str">
        <f>IF(RIGHT(plachta3434235[[#This Row],[CARRIER]],3)="-MF",921,"")</f>
        <v/>
      </c>
      <c r="AO28" s="69"/>
    </row>
    <row r="29" spans="1:41">
      <c r="A29" s="39">
        <f t="shared" si="2"/>
        <v>2</v>
      </c>
      <c r="B29" s="115" t="s">
        <v>607</v>
      </c>
      <c r="C29" s="107" t="s">
        <v>42</v>
      </c>
      <c r="D29" s="37" t="s">
        <v>608</v>
      </c>
      <c r="E29" s="36" t="s">
        <v>609</v>
      </c>
      <c r="F29" s="38">
        <v>45301</v>
      </c>
      <c r="G29" s="58">
        <v>0.16666666666666666</v>
      </c>
      <c r="H29" s="107" t="s">
        <v>610</v>
      </c>
      <c r="I29" s="37" t="s">
        <v>525</v>
      </c>
      <c r="J29" s="36" t="s">
        <v>611</v>
      </c>
      <c r="K29" s="38">
        <v>45302</v>
      </c>
      <c r="L29" s="58">
        <v>0.1875</v>
      </c>
      <c r="M29" s="73">
        <v>6101211808</v>
      </c>
      <c r="N29" s="18" t="s">
        <v>49</v>
      </c>
      <c r="O29" s="36" t="s">
        <v>411</v>
      </c>
      <c r="P29" s="36"/>
      <c r="Q29" s="63" t="s">
        <v>683</v>
      </c>
      <c r="R29" s="36" t="s">
        <v>614</v>
      </c>
      <c r="S29" s="36">
        <v>1734</v>
      </c>
      <c r="T29" s="36">
        <v>1530</v>
      </c>
      <c r="U29" s="70">
        <f>plachta3434235[[#This Row],[SALES '[€']]]-plachta3434235[[#This Row],[PURCHASE '[€']]]</f>
        <v>204</v>
      </c>
      <c r="V29" s="71">
        <f>plachta3434235[[#This Row],[MARGIN '[€']]]/plachta3434235[[#This Row],[SALES '[€']]]</f>
        <v>0.11764705882352941</v>
      </c>
      <c r="W29" s="36" t="s">
        <v>684</v>
      </c>
      <c r="X29" s="36" t="s">
        <v>685</v>
      </c>
      <c r="Y29" s="36">
        <v>1252</v>
      </c>
      <c r="Z29" s="36"/>
      <c r="AA29" s="36" t="s">
        <v>51</v>
      </c>
      <c r="AB29" s="72">
        <f t="shared" si="5"/>
        <v>1.2220447284345048</v>
      </c>
      <c r="AC29" s="72"/>
      <c r="AD29" s="69"/>
      <c r="AE29" s="69"/>
      <c r="AF29" s="69"/>
      <c r="AG29" s="69"/>
      <c r="AH29" s="69"/>
      <c r="AI29" s="69"/>
      <c r="AJ29" s="69"/>
      <c r="AK29" s="69"/>
      <c r="AL29" s="69" t="str">
        <f>IF(plachta3434235[[#This Row],[DELIVERY TIME]]="STORNO","CANCELLED","OK")</f>
        <v>OK</v>
      </c>
      <c r="AM29" s="69"/>
      <c r="AN29" s="69" t="str">
        <f>IF(RIGHT(plachta3434235[[#This Row],[CARRIER]],3)="-MF",921,"")</f>
        <v/>
      </c>
      <c r="AO29" s="69"/>
    </row>
    <row r="30" spans="1:41">
      <c r="A30" s="39">
        <f t="shared" si="2"/>
        <v>2</v>
      </c>
      <c r="B30" s="115" t="s">
        <v>607</v>
      </c>
      <c r="C30" s="107" t="s">
        <v>42</v>
      </c>
      <c r="D30" s="37" t="s">
        <v>608</v>
      </c>
      <c r="E30" s="36" t="s">
        <v>609</v>
      </c>
      <c r="F30" s="38">
        <v>45302</v>
      </c>
      <c r="G30" s="58">
        <v>0.16666666666666666</v>
      </c>
      <c r="H30" s="107" t="s">
        <v>610</v>
      </c>
      <c r="I30" s="37" t="s">
        <v>525</v>
      </c>
      <c r="J30" s="36" t="s">
        <v>611</v>
      </c>
      <c r="K30" s="38">
        <v>45303</v>
      </c>
      <c r="L30" s="58">
        <v>0.1875</v>
      </c>
      <c r="M30" s="73">
        <v>6101211809</v>
      </c>
      <c r="N30" s="18" t="s">
        <v>49</v>
      </c>
      <c r="O30" s="36" t="s">
        <v>411</v>
      </c>
      <c r="P30" s="36"/>
      <c r="Q30" s="63" t="s">
        <v>686</v>
      </c>
      <c r="R30" s="36" t="s">
        <v>614</v>
      </c>
      <c r="S30" s="36">
        <v>1734</v>
      </c>
      <c r="T30" s="36">
        <v>1530</v>
      </c>
      <c r="U30" s="70">
        <f>plachta3434235[[#This Row],[SALES '[€']]]-plachta3434235[[#This Row],[PURCHASE '[€']]]</f>
        <v>204</v>
      </c>
      <c r="V30" s="71">
        <f>plachta3434235[[#This Row],[MARGIN '[€']]]/plachta3434235[[#This Row],[SALES '[€']]]</f>
        <v>0.11764705882352941</v>
      </c>
      <c r="W30" s="36" t="s">
        <v>687</v>
      </c>
      <c r="X30" s="36" t="s">
        <v>688</v>
      </c>
      <c r="Y30" s="36">
        <v>1252</v>
      </c>
      <c r="Z30" s="36"/>
      <c r="AA30" s="36" t="s">
        <v>51</v>
      </c>
      <c r="AB30" s="72">
        <f t="shared" si="5"/>
        <v>1.2220447284345048</v>
      </c>
      <c r="AC30" s="72"/>
      <c r="AD30" s="69"/>
      <c r="AE30" s="69"/>
      <c r="AF30" s="69"/>
      <c r="AG30" s="69"/>
      <c r="AH30" s="69"/>
      <c r="AI30" s="69"/>
      <c r="AJ30" s="69"/>
      <c r="AK30" s="69"/>
      <c r="AL30" s="69" t="str">
        <f>IF(plachta3434235[[#This Row],[DELIVERY TIME]]="STORNO","CANCELLED","OK")</f>
        <v>OK</v>
      </c>
      <c r="AM30" s="69"/>
      <c r="AN30" s="69" t="str">
        <f>IF(RIGHT(plachta3434235[[#This Row],[CARRIER]],3)="-MF",921,"")</f>
        <v/>
      </c>
      <c r="AO30" s="69"/>
    </row>
    <row r="31" spans="1:41">
      <c r="A31" s="39">
        <f t="shared" si="2"/>
        <v>2</v>
      </c>
      <c r="B31" s="115" t="s">
        <v>607</v>
      </c>
      <c r="C31" s="107" t="s">
        <v>42</v>
      </c>
      <c r="D31" s="37" t="s">
        <v>608</v>
      </c>
      <c r="E31" s="36" t="s">
        <v>609</v>
      </c>
      <c r="F31" s="38">
        <v>45303</v>
      </c>
      <c r="G31" s="58">
        <v>0.16666666666666666</v>
      </c>
      <c r="H31" s="107" t="s">
        <v>610</v>
      </c>
      <c r="I31" s="37" t="s">
        <v>525</v>
      </c>
      <c r="J31" s="36" t="s">
        <v>611</v>
      </c>
      <c r="K31" s="38">
        <v>45306</v>
      </c>
      <c r="L31" s="58">
        <v>0.1875</v>
      </c>
      <c r="M31" s="73">
        <v>6101211810</v>
      </c>
      <c r="N31" s="18" t="s">
        <v>49</v>
      </c>
      <c r="O31" s="36" t="s">
        <v>411</v>
      </c>
      <c r="P31" s="36"/>
      <c r="Q31" s="63" t="s">
        <v>689</v>
      </c>
      <c r="R31" s="36" t="s">
        <v>614</v>
      </c>
      <c r="S31" s="36">
        <v>1734</v>
      </c>
      <c r="T31" s="36">
        <v>1530</v>
      </c>
      <c r="U31" s="70">
        <f>plachta3434235[[#This Row],[SALES '[€']]]-plachta3434235[[#This Row],[PURCHASE '[€']]]</f>
        <v>204</v>
      </c>
      <c r="V31" s="71">
        <f>plachta3434235[[#This Row],[MARGIN '[€']]]/plachta3434235[[#This Row],[SALES '[€']]]</f>
        <v>0.11764705882352941</v>
      </c>
      <c r="W31" s="36" t="s">
        <v>690</v>
      </c>
      <c r="X31" s="36" t="s">
        <v>691</v>
      </c>
      <c r="Y31" s="36">
        <v>1252</v>
      </c>
      <c r="Z31" s="36"/>
      <c r="AA31" s="36" t="s">
        <v>51</v>
      </c>
      <c r="AB31" s="72">
        <f t="shared" si="5"/>
        <v>1.2220447284345048</v>
      </c>
      <c r="AC31" s="72"/>
      <c r="AD31" s="69"/>
      <c r="AE31" s="69"/>
      <c r="AF31" s="69"/>
      <c r="AG31" s="69"/>
      <c r="AH31" s="69"/>
      <c r="AI31" s="69"/>
      <c r="AJ31" s="69"/>
      <c r="AK31" s="69"/>
      <c r="AL31" s="69" t="str">
        <f>IF(plachta3434235[[#This Row],[DELIVERY TIME]]="STORNO","CANCELLED","OK")</f>
        <v>OK</v>
      </c>
      <c r="AM31" s="69"/>
      <c r="AN31" s="69" t="str">
        <f>IF(RIGHT(plachta3434235[[#This Row],[CARRIER]],3)="-MF",921,"")</f>
        <v/>
      </c>
      <c r="AO31" s="69"/>
    </row>
    <row r="32" spans="1:41">
      <c r="A32" s="39">
        <f t="shared" si="2"/>
        <v>2</v>
      </c>
      <c r="B32" s="36" t="s">
        <v>617</v>
      </c>
      <c r="C32" s="107" t="s">
        <v>618</v>
      </c>
      <c r="D32" s="37" t="s">
        <v>619</v>
      </c>
      <c r="E32" s="36" t="s">
        <v>620</v>
      </c>
      <c r="F32" s="38">
        <v>45299</v>
      </c>
      <c r="G32" s="58"/>
      <c r="H32" s="107" t="s">
        <v>42</v>
      </c>
      <c r="I32" s="37" t="s">
        <v>621</v>
      </c>
      <c r="J32" s="36" t="s">
        <v>622</v>
      </c>
      <c r="K32" s="38">
        <v>45300</v>
      </c>
      <c r="L32" s="58"/>
      <c r="M32" s="73">
        <v>6101199404</v>
      </c>
      <c r="N32" s="36" t="s">
        <v>692</v>
      </c>
      <c r="O32" s="36" t="s">
        <v>355</v>
      </c>
      <c r="P32" s="36"/>
      <c r="Q32" s="63" t="s">
        <v>693</v>
      </c>
      <c r="R32" s="36" t="s">
        <v>624</v>
      </c>
      <c r="S32" s="117">
        <v>450.17</v>
      </c>
      <c r="T32" s="18">
        <v>400</v>
      </c>
      <c r="U32" s="70">
        <f>plachta3434235[[#This Row],[SALES '[€']]]-plachta3434235[[#This Row],[PURCHASE '[€']]]</f>
        <v>50.170000000000016</v>
      </c>
      <c r="V32" s="71">
        <f>plachta3434235[[#This Row],[MARGIN '[€']]]/plachta3434235[[#This Row],[SALES '[€']]]</f>
        <v>0.11144678676944268</v>
      </c>
      <c r="W32" s="36">
        <v>9215170512</v>
      </c>
      <c r="X32" s="36" t="s">
        <v>694</v>
      </c>
      <c r="Y32" s="36">
        <v>265</v>
      </c>
      <c r="Z32" s="36"/>
      <c r="AA32" s="36" t="s">
        <v>51</v>
      </c>
      <c r="AB32" s="72">
        <f t="shared" si="5"/>
        <v>1.5094339622641511</v>
      </c>
      <c r="AC32" s="72"/>
      <c r="AD32" s="69"/>
      <c r="AE32" s="69"/>
      <c r="AF32" s="69"/>
      <c r="AG32" s="69"/>
      <c r="AH32" s="69"/>
      <c r="AI32" s="69"/>
      <c r="AJ32" s="69"/>
      <c r="AK32" s="69"/>
      <c r="AL32" s="69" t="str">
        <f>IF(plachta3434235[[#This Row],[DELIVERY TIME]]="STORNO","CANCELLED","OK")</f>
        <v>OK</v>
      </c>
      <c r="AM32" s="69"/>
      <c r="AN32" s="69" t="str">
        <f>IF(RIGHT(plachta3434235[[#This Row],[CARRIER]],3)="-MF",921,"")</f>
        <v/>
      </c>
      <c r="AO32" s="69"/>
    </row>
    <row r="33" spans="1:41">
      <c r="A33" s="39">
        <f t="shared" si="2"/>
        <v>2</v>
      </c>
      <c r="B33" s="36" t="s">
        <v>617</v>
      </c>
      <c r="C33" s="107" t="s">
        <v>618</v>
      </c>
      <c r="D33" s="37" t="s">
        <v>619</v>
      </c>
      <c r="E33" s="36" t="s">
        <v>620</v>
      </c>
      <c r="F33" s="38">
        <v>45300</v>
      </c>
      <c r="G33" s="58"/>
      <c r="H33" s="107" t="s">
        <v>42</v>
      </c>
      <c r="I33" s="37" t="s">
        <v>621</v>
      </c>
      <c r="J33" s="36" t="s">
        <v>622</v>
      </c>
      <c r="K33" s="38">
        <v>45301</v>
      </c>
      <c r="L33" s="58"/>
      <c r="M33" s="73">
        <v>6101199405</v>
      </c>
      <c r="N33" s="36" t="s">
        <v>692</v>
      </c>
      <c r="O33" s="36" t="s">
        <v>355</v>
      </c>
      <c r="P33" s="36"/>
      <c r="Q33" s="63" t="s">
        <v>695</v>
      </c>
      <c r="R33" s="36" t="s">
        <v>624</v>
      </c>
      <c r="S33" s="117">
        <v>450.17</v>
      </c>
      <c r="T33" s="18">
        <v>400</v>
      </c>
      <c r="U33" s="70">
        <f>plachta3434235[[#This Row],[SALES '[€']]]-plachta3434235[[#This Row],[PURCHASE '[€']]]</f>
        <v>50.170000000000016</v>
      </c>
      <c r="V33" s="71">
        <f>plachta3434235[[#This Row],[MARGIN '[€']]]/plachta3434235[[#This Row],[SALES '[€']]]</f>
        <v>0.11144678676944268</v>
      </c>
      <c r="W33" s="36">
        <v>9215170513</v>
      </c>
      <c r="X33" s="36" t="s">
        <v>696</v>
      </c>
      <c r="Y33" s="36">
        <v>265</v>
      </c>
      <c r="Z33" s="36"/>
      <c r="AA33" s="36" t="s">
        <v>51</v>
      </c>
      <c r="AB33" s="72">
        <f t="shared" si="5"/>
        <v>1.5094339622641511</v>
      </c>
      <c r="AC33" s="72"/>
      <c r="AD33" s="69"/>
      <c r="AE33" s="69"/>
      <c r="AF33" s="69"/>
      <c r="AG33" s="69"/>
      <c r="AH33" s="69"/>
      <c r="AI33" s="69"/>
      <c r="AJ33" s="69"/>
      <c r="AK33" s="69"/>
      <c r="AL33" s="69" t="str">
        <f>IF(plachta3434235[[#This Row],[DELIVERY TIME]]="STORNO","CANCELLED","OK")</f>
        <v>OK</v>
      </c>
      <c r="AM33" s="69"/>
      <c r="AN33" s="69" t="str">
        <f>IF(RIGHT(plachta3434235[[#This Row],[CARRIER]],3)="-MF",921,"")</f>
        <v/>
      </c>
      <c r="AO33" s="69"/>
    </row>
    <row r="34" spans="1:41">
      <c r="A34" s="39">
        <f t="shared" si="2"/>
        <v>2</v>
      </c>
      <c r="B34" s="36" t="s">
        <v>617</v>
      </c>
      <c r="C34" s="107" t="s">
        <v>45</v>
      </c>
      <c r="D34" s="37" t="s">
        <v>121</v>
      </c>
      <c r="E34" s="36" t="s">
        <v>697</v>
      </c>
      <c r="F34" s="38">
        <v>45301</v>
      </c>
      <c r="G34" s="58"/>
      <c r="H34" s="107" t="s">
        <v>42</v>
      </c>
      <c r="I34" s="37" t="s">
        <v>621</v>
      </c>
      <c r="J34" s="36" t="s">
        <v>622</v>
      </c>
      <c r="K34" s="38">
        <v>45303</v>
      </c>
      <c r="L34" s="58"/>
      <c r="M34" s="73">
        <v>6101199401</v>
      </c>
      <c r="N34" s="97" t="s">
        <v>698</v>
      </c>
      <c r="O34" s="36" t="s">
        <v>355</v>
      </c>
      <c r="P34" s="36" t="s">
        <v>699</v>
      </c>
      <c r="Q34" s="63" t="s">
        <v>700</v>
      </c>
      <c r="R34" s="36" t="s">
        <v>701</v>
      </c>
      <c r="S34" s="68">
        <v>1583.39</v>
      </c>
      <c r="T34" s="36">
        <v>1510</v>
      </c>
      <c r="U34" s="70">
        <f>plachta3434235[[#This Row],[SALES '[€']]]-plachta3434235[[#This Row],[PURCHASE '[€']]]</f>
        <v>73.3900000000001</v>
      </c>
      <c r="V34" s="71">
        <f>plachta3434235[[#This Row],[MARGIN '[€']]]/plachta3434235[[#This Row],[SALES '[€']]]</f>
        <v>4.6349920108122507E-2</v>
      </c>
      <c r="W34" s="36">
        <v>9215170514</v>
      </c>
      <c r="X34" s="36" t="s">
        <v>702</v>
      </c>
      <c r="Y34" s="36">
        <v>1428</v>
      </c>
      <c r="Z34" s="36"/>
      <c r="AA34" s="36" t="s">
        <v>51</v>
      </c>
      <c r="AB34" s="72">
        <f t="shared" si="5"/>
        <v>1.0574229691876751</v>
      </c>
      <c r="AC34" s="72"/>
      <c r="AD34" s="69"/>
      <c r="AE34" s="69"/>
      <c r="AF34" s="69"/>
      <c r="AG34" s="69"/>
      <c r="AH34" s="69"/>
      <c r="AI34" s="69"/>
      <c r="AJ34" s="69"/>
      <c r="AK34" s="69"/>
      <c r="AL34" s="69" t="str">
        <f>IF(plachta3434235[[#This Row],[DELIVERY TIME]]="STORNO","CANCELLED","OK")</f>
        <v>OK</v>
      </c>
      <c r="AM34" s="69"/>
      <c r="AN34" s="69" t="str">
        <f>IF(RIGHT(plachta3434235[[#This Row],[CARRIER]],3)="-MF",921,"")</f>
        <v/>
      </c>
      <c r="AO34" s="69"/>
    </row>
    <row r="35" spans="1:41">
      <c r="A35" s="39">
        <f t="shared" si="2"/>
        <v>2</v>
      </c>
      <c r="B35" s="36" t="s">
        <v>703</v>
      </c>
      <c r="C35" s="107" t="s">
        <v>42</v>
      </c>
      <c r="D35" s="37" t="s">
        <v>43</v>
      </c>
      <c r="E35" s="36" t="s">
        <v>44</v>
      </c>
      <c r="F35" s="38">
        <v>45302</v>
      </c>
      <c r="G35" s="58"/>
      <c r="H35" s="107" t="s">
        <v>267</v>
      </c>
      <c r="I35" s="37"/>
      <c r="J35" s="36" t="s">
        <v>704</v>
      </c>
      <c r="K35" s="38">
        <v>45306</v>
      </c>
      <c r="L35" s="58">
        <v>0.5</v>
      </c>
      <c r="M35" s="73"/>
      <c r="N35" s="18" t="s">
        <v>692</v>
      </c>
      <c r="O35" s="36" t="s">
        <v>355</v>
      </c>
      <c r="P35" s="36"/>
      <c r="Q35" s="63" t="s">
        <v>705</v>
      </c>
      <c r="R35" s="36" t="s">
        <v>85</v>
      </c>
      <c r="S35" s="36">
        <v>3000</v>
      </c>
      <c r="T35" s="36">
        <v>2700</v>
      </c>
      <c r="U35" s="70">
        <f>plachta3434235[[#This Row],[SALES '[€']]]-plachta3434235[[#This Row],[PURCHASE '[€']]]</f>
        <v>300</v>
      </c>
      <c r="V35" s="71">
        <f>plachta3434235[[#This Row],[MARGIN '[€']]]/plachta3434235[[#This Row],[SALES '[€']]]</f>
        <v>0.1</v>
      </c>
      <c r="W35" s="36">
        <v>9215170640</v>
      </c>
      <c r="X35" s="36" t="s">
        <v>706</v>
      </c>
      <c r="Y35" s="36">
        <v>2813</v>
      </c>
      <c r="Z35" s="36"/>
      <c r="AA35" s="36" t="s">
        <v>51</v>
      </c>
      <c r="AB35" s="72">
        <f t="shared" si="5"/>
        <v>0.9598293636686811</v>
      </c>
      <c r="AC35" s="72"/>
      <c r="AD35" s="69"/>
      <c r="AE35" s="69"/>
      <c r="AF35" s="69"/>
      <c r="AG35" s="69"/>
      <c r="AH35" s="69"/>
      <c r="AI35" s="69"/>
      <c r="AJ35" s="69"/>
      <c r="AK35" s="69"/>
      <c r="AL35" s="69" t="str">
        <f>IF(plachta3434235[[#This Row],[DELIVERY TIME]]="STORNO","CANCELLED","OK")</f>
        <v>OK</v>
      </c>
      <c r="AM35" s="69"/>
      <c r="AN35" s="69" t="str">
        <f>IF(RIGHT(plachta3434235[[#This Row],[CARRIER]],3)="-MF",921,"")</f>
        <v/>
      </c>
      <c r="AO35" s="69"/>
    </row>
    <row r="36" spans="1:41">
      <c r="A36" s="39">
        <f t="shared" ref="A36:A67" si="7">WEEKNUM(F36,21)</f>
        <v>2</v>
      </c>
      <c r="B36" s="36" t="s">
        <v>617</v>
      </c>
      <c r="C36" s="107" t="s">
        <v>197</v>
      </c>
      <c r="D36" s="37" t="s">
        <v>707</v>
      </c>
      <c r="E36" s="36" t="s">
        <v>708</v>
      </c>
      <c r="F36" s="38">
        <v>45303</v>
      </c>
      <c r="G36" s="58">
        <v>0.625</v>
      </c>
      <c r="H36" s="107" t="s">
        <v>42</v>
      </c>
      <c r="I36" s="37" t="s">
        <v>621</v>
      </c>
      <c r="J36" s="36" t="s">
        <v>622</v>
      </c>
      <c r="K36" s="38">
        <v>45306</v>
      </c>
      <c r="L36" s="58">
        <v>0.41666666666666669</v>
      </c>
      <c r="M36" s="73">
        <v>6101204155</v>
      </c>
      <c r="N36" s="18" t="s">
        <v>692</v>
      </c>
      <c r="O36" s="36" t="s">
        <v>355</v>
      </c>
      <c r="P36" s="36"/>
      <c r="Q36" s="63" t="s">
        <v>709</v>
      </c>
      <c r="R36" s="36" t="s">
        <v>57</v>
      </c>
      <c r="S36" s="116">
        <v>1534.95</v>
      </c>
      <c r="T36" s="36">
        <v>1450</v>
      </c>
      <c r="U36" s="70">
        <f>plachta3434235[[#This Row],[SALES '[€']]]-plachta3434235[[#This Row],[PURCHASE '[€']]]</f>
        <v>84.950000000000045</v>
      </c>
      <c r="V36" s="71">
        <f>plachta3434235[[#This Row],[MARGIN '[€']]]/plachta3434235[[#This Row],[SALES '[€']]]</f>
        <v>5.534382227434121E-2</v>
      </c>
      <c r="W36" s="36">
        <v>9215170662</v>
      </c>
      <c r="X36" s="36" t="s">
        <v>710</v>
      </c>
      <c r="Y36" s="36">
        <v>1283</v>
      </c>
      <c r="Z36" s="36"/>
      <c r="AA36" s="36" t="s">
        <v>51</v>
      </c>
      <c r="AB36" s="72">
        <f t="shared" si="5"/>
        <v>1.1301636788776306</v>
      </c>
      <c r="AC36" s="72">
        <f>S36/Y36</f>
        <v>1.1963756819953235</v>
      </c>
      <c r="AD36" s="69"/>
      <c r="AE36" s="69"/>
      <c r="AF36" s="69"/>
      <c r="AG36" s="69"/>
      <c r="AH36" s="69"/>
      <c r="AI36" s="69"/>
      <c r="AJ36" s="69"/>
      <c r="AK36" s="69"/>
      <c r="AL36" s="69" t="str">
        <f>IF(plachta3434235[[#This Row],[DELIVERY TIME]]="STORNO","CANCELLED","OK")</f>
        <v>OK</v>
      </c>
      <c r="AM36" s="69"/>
      <c r="AN36" s="69" t="str">
        <f>IF(RIGHT(plachta3434235[[#This Row],[CARRIER]],3)="-MF",921,"")</f>
        <v/>
      </c>
      <c r="AO36" s="69"/>
    </row>
    <row r="37" spans="1:41">
      <c r="A37" s="39">
        <f t="shared" si="7"/>
        <v>2</v>
      </c>
      <c r="B37" s="36" t="s">
        <v>632</v>
      </c>
      <c r="C37" s="107" t="s">
        <v>42</v>
      </c>
      <c r="D37" s="37" t="s">
        <v>584</v>
      </c>
      <c r="E37" s="36" t="s">
        <v>585</v>
      </c>
      <c r="F37" s="38">
        <v>45303</v>
      </c>
      <c r="G37" s="58"/>
      <c r="H37" s="107" t="s">
        <v>633</v>
      </c>
      <c r="I37" s="37" t="s">
        <v>634</v>
      </c>
      <c r="J37" s="36" t="s">
        <v>635</v>
      </c>
      <c r="K37" s="38">
        <v>45308</v>
      </c>
      <c r="L37" s="58"/>
      <c r="M37" s="73" t="s">
        <v>711</v>
      </c>
      <c r="N37" s="18" t="s">
        <v>49</v>
      </c>
      <c r="O37" s="36" t="s">
        <v>347</v>
      </c>
      <c r="P37" s="36" t="s">
        <v>712</v>
      </c>
      <c r="Q37" s="63" t="s">
        <v>713</v>
      </c>
      <c r="R37" s="36" t="s">
        <v>639</v>
      </c>
      <c r="S37" s="43">
        <v>2800.94</v>
      </c>
      <c r="T37" s="36">
        <v>2450</v>
      </c>
      <c r="U37" s="70">
        <f>plachta3434235[[#This Row],[SALES '[€']]]-plachta3434235[[#This Row],[PURCHASE '[€']]]</f>
        <v>350.94000000000005</v>
      </c>
      <c r="V37" s="71">
        <f>plachta3434235[[#This Row],[MARGIN '[€']]]/plachta3434235[[#This Row],[SALES '[€']]]</f>
        <v>0.12529365141702431</v>
      </c>
      <c r="W37" s="36">
        <v>9215170745</v>
      </c>
      <c r="X37" s="36" t="s">
        <v>714</v>
      </c>
      <c r="Y37" s="36">
        <v>1760</v>
      </c>
      <c r="Z37" s="36"/>
      <c r="AA37" s="36" t="s">
        <v>51</v>
      </c>
      <c r="AB37" s="72">
        <f t="shared" si="5"/>
        <v>1.3920454545454546</v>
      </c>
      <c r="AC37" s="72"/>
      <c r="AD37" s="69"/>
      <c r="AE37" s="69"/>
      <c r="AF37" s="69"/>
      <c r="AG37" s="69"/>
      <c r="AH37" s="69"/>
      <c r="AI37" s="69"/>
      <c r="AJ37" s="69"/>
      <c r="AK37" s="69"/>
      <c r="AL37" s="69" t="str">
        <f>IF(plachta3434235[[#This Row],[DELIVERY TIME]]="STORNO","CANCELLED","OK")</f>
        <v>OK</v>
      </c>
      <c r="AM37" s="69"/>
      <c r="AN37" s="69" t="str">
        <f>IF(RIGHT(plachta3434235[[#This Row],[CARRIER]],3)="-MF",921,"")</f>
        <v/>
      </c>
      <c r="AO37" s="69"/>
    </row>
    <row r="38" spans="1:41">
      <c r="A38" s="39">
        <f t="shared" si="7"/>
        <v>2</v>
      </c>
      <c r="B38" s="116" t="s">
        <v>583</v>
      </c>
      <c r="C38" s="107" t="s">
        <v>42</v>
      </c>
      <c r="D38" s="37" t="s">
        <v>584</v>
      </c>
      <c r="E38" s="36" t="s">
        <v>585</v>
      </c>
      <c r="F38" s="38">
        <v>45303</v>
      </c>
      <c r="G38" s="58">
        <v>0.25</v>
      </c>
      <c r="H38" s="107" t="s">
        <v>197</v>
      </c>
      <c r="I38" s="37" t="s">
        <v>586</v>
      </c>
      <c r="J38" s="36" t="s">
        <v>587</v>
      </c>
      <c r="K38" s="38">
        <v>45306</v>
      </c>
      <c r="L38" s="58">
        <v>0.25</v>
      </c>
      <c r="M38" s="89">
        <v>259683110</v>
      </c>
      <c r="N38" s="18" t="s">
        <v>49</v>
      </c>
      <c r="O38" s="36" t="s">
        <v>411</v>
      </c>
      <c r="P38" s="36" t="s">
        <v>715</v>
      </c>
      <c r="Q38" s="63" t="s">
        <v>716</v>
      </c>
      <c r="R38" s="94" t="s">
        <v>312</v>
      </c>
      <c r="S38" s="18">
        <f t="shared" ref="S38:S53" si="8">1846+77.64</f>
        <v>1923.64</v>
      </c>
      <c r="T38" s="36">
        <v>1775.4</v>
      </c>
      <c r="U38" s="70">
        <f>plachta3434235[[#This Row],[SALES '[€']]]-plachta3434235[[#This Row],[PURCHASE '[€']]]</f>
        <v>148.24</v>
      </c>
      <c r="V38" s="71">
        <f>plachta3434235[[#This Row],[MARGIN '[€']]]/plachta3434235[[#This Row],[SALES '[€']]]</f>
        <v>7.7062236177247306E-2</v>
      </c>
      <c r="W38" s="36" t="s">
        <v>717</v>
      </c>
      <c r="X38" s="36" t="s">
        <v>718</v>
      </c>
      <c r="Y38" s="36">
        <v>1544</v>
      </c>
      <c r="Z38" s="36">
        <v>52</v>
      </c>
      <c r="AA38" s="36" t="s">
        <v>208</v>
      </c>
      <c r="AB38" s="72">
        <f t="shared" si="5"/>
        <v>1.1498704663212436</v>
      </c>
      <c r="AC38" s="72"/>
      <c r="AD38" s="69"/>
      <c r="AE38" s="69"/>
      <c r="AF38" s="69"/>
      <c r="AG38" s="69"/>
      <c r="AH38" s="69"/>
      <c r="AI38" s="69"/>
      <c r="AJ38" s="69"/>
      <c r="AK38" s="69"/>
      <c r="AL38" s="69" t="str">
        <f>IF(plachta3434235[[#This Row],[DELIVERY TIME]]="STORNO","CANCELLED","OK")</f>
        <v>OK</v>
      </c>
      <c r="AM38" s="69"/>
      <c r="AN38" s="69">
        <f>IF(RIGHT(plachta3434235[[#This Row],[CARRIER]],3)="-MF",921,"")</f>
        <v>921</v>
      </c>
      <c r="AO38" s="69"/>
    </row>
    <row r="39" spans="1:41">
      <c r="A39" s="39">
        <f t="shared" si="7"/>
        <v>2</v>
      </c>
      <c r="B39" s="116" t="s">
        <v>583</v>
      </c>
      <c r="C39" s="107" t="s">
        <v>42</v>
      </c>
      <c r="D39" s="37" t="s">
        <v>584</v>
      </c>
      <c r="E39" s="36" t="s">
        <v>585</v>
      </c>
      <c r="F39" s="38">
        <v>45303</v>
      </c>
      <c r="G39" s="58">
        <v>0.33333333333333331</v>
      </c>
      <c r="H39" s="107" t="s">
        <v>197</v>
      </c>
      <c r="I39" s="37" t="s">
        <v>586</v>
      </c>
      <c r="J39" s="36" t="s">
        <v>587</v>
      </c>
      <c r="K39" s="38">
        <v>45306</v>
      </c>
      <c r="L39" s="58">
        <v>0.33333333333333331</v>
      </c>
      <c r="M39" s="89">
        <v>259683111</v>
      </c>
      <c r="N39" s="18" t="s">
        <v>49</v>
      </c>
      <c r="O39" s="36" t="s">
        <v>411</v>
      </c>
      <c r="P39" s="36">
        <v>4503451458</v>
      </c>
      <c r="Q39" s="63" t="s">
        <v>641</v>
      </c>
      <c r="R39" s="36" t="s">
        <v>594</v>
      </c>
      <c r="S39" s="18">
        <f t="shared" si="8"/>
        <v>1923.64</v>
      </c>
      <c r="T39" s="36">
        <v>1698</v>
      </c>
      <c r="U39" s="70">
        <f>plachta3434235[[#This Row],[SALES '[€']]]-plachta3434235[[#This Row],[PURCHASE '[€']]]</f>
        <v>225.6400000000001</v>
      </c>
      <c r="V39" s="71">
        <f>plachta3434235[[#This Row],[MARGIN '[€']]]/plachta3434235[[#This Row],[SALES '[€']]]</f>
        <v>0.11729845501237242</v>
      </c>
      <c r="W39" s="36" t="s">
        <v>719</v>
      </c>
      <c r="X39" s="36" t="s">
        <v>720</v>
      </c>
      <c r="Y39" s="36">
        <v>1492</v>
      </c>
      <c r="Z39" s="36"/>
      <c r="AA39" s="36" t="s">
        <v>51</v>
      </c>
      <c r="AB39" s="72">
        <f t="shared" si="5"/>
        <v>1.1380697050938338</v>
      </c>
      <c r="AC39" s="72"/>
      <c r="AD39" s="69"/>
      <c r="AE39" s="69"/>
      <c r="AF39" s="69"/>
      <c r="AG39" s="69"/>
      <c r="AH39" s="69"/>
      <c r="AI39" s="69"/>
      <c r="AJ39" s="69"/>
      <c r="AK39" s="69"/>
      <c r="AL39" s="69" t="str">
        <f>IF(plachta3434235[[#This Row],[DELIVERY TIME]]="STORNO","CANCELLED","OK")</f>
        <v>OK</v>
      </c>
      <c r="AM39" s="69"/>
      <c r="AN39" s="69" t="str">
        <f>IF(RIGHT(plachta3434235[[#This Row],[CARRIER]],3)="-MF",921,"")</f>
        <v/>
      </c>
      <c r="AO39" s="69"/>
    </row>
    <row r="40" spans="1:41">
      <c r="A40" s="39">
        <f t="shared" si="7"/>
        <v>2</v>
      </c>
      <c r="B40" s="116" t="s">
        <v>583</v>
      </c>
      <c r="C40" s="107" t="s">
        <v>42</v>
      </c>
      <c r="D40" s="37" t="s">
        <v>584</v>
      </c>
      <c r="E40" s="36" t="s">
        <v>585</v>
      </c>
      <c r="F40" s="38">
        <v>45303</v>
      </c>
      <c r="G40" s="58">
        <v>0.5</v>
      </c>
      <c r="H40" s="107" t="s">
        <v>197</v>
      </c>
      <c r="I40" s="37" t="s">
        <v>586</v>
      </c>
      <c r="J40" s="36" t="s">
        <v>587</v>
      </c>
      <c r="K40" s="38">
        <v>45306</v>
      </c>
      <c r="L40" s="58">
        <v>0.5</v>
      </c>
      <c r="M40" s="89">
        <v>259683112</v>
      </c>
      <c r="N40" s="18" t="s">
        <v>49</v>
      </c>
      <c r="O40" s="36" t="s">
        <v>411</v>
      </c>
      <c r="P40" s="36"/>
      <c r="Q40" s="63" t="s">
        <v>721</v>
      </c>
      <c r="R40" s="36" t="s">
        <v>594</v>
      </c>
      <c r="S40" s="18">
        <f t="shared" si="8"/>
        <v>1923.64</v>
      </c>
      <c r="T40" s="36">
        <v>1698</v>
      </c>
      <c r="U40" s="70">
        <f>plachta3434235[[#This Row],[SALES '[€']]]-plachta3434235[[#This Row],[PURCHASE '[€']]]</f>
        <v>225.6400000000001</v>
      </c>
      <c r="V40" s="71">
        <f>plachta3434235[[#This Row],[MARGIN '[€']]]/plachta3434235[[#This Row],[SALES '[€']]]</f>
        <v>0.11729845501237242</v>
      </c>
      <c r="W40" s="36" t="s">
        <v>722</v>
      </c>
      <c r="X40" s="36" t="s">
        <v>723</v>
      </c>
      <c r="Y40" s="36">
        <v>1492</v>
      </c>
      <c r="Z40" s="36"/>
      <c r="AA40" s="36" t="s">
        <v>51</v>
      </c>
      <c r="AB40" s="72">
        <f t="shared" si="5"/>
        <v>1.1380697050938338</v>
      </c>
      <c r="AC40" s="72"/>
      <c r="AD40" s="69"/>
      <c r="AE40" s="69"/>
      <c r="AF40" s="69"/>
      <c r="AG40" s="69"/>
      <c r="AH40" s="69"/>
      <c r="AI40" s="69"/>
      <c r="AJ40" s="69"/>
      <c r="AK40" s="69"/>
      <c r="AL40" s="69" t="str">
        <f>IF(plachta3434235[[#This Row],[DELIVERY TIME]]="STORNO","CANCELLED","OK")</f>
        <v>OK</v>
      </c>
      <c r="AM40" s="69"/>
      <c r="AN40" s="69" t="str">
        <f>IF(RIGHT(plachta3434235[[#This Row],[CARRIER]],3)="-MF",921,"")</f>
        <v/>
      </c>
      <c r="AO40" s="69"/>
    </row>
    <row r="41" spans="1:41">
      <c r="A41" s="39">
        <f t="shared" si="7"/>
        <v>2</v>
      </c>
      <c r="B41" s="116" t="s">
        <v>583</v>
      </c>
      <c r="C41" s="107" t="s">
        <v>42</v>
      </c>
      <c r="D41" s="37" t="s">
        <v>584</v>
      </c>
      <c r="E41" s="36" t="s">
        <v>585</v>
      </c>
      <c r="F41" s="38">
        <v>45303</v>
      </c>
      <c r="G41" s="58">
        <v>0.75</v>
      </c>
      <c r="H41" s="107" t="s">
        <v>197</v>
      </c>
      <c r="I41" s="37" t="s">
        <v>586</v>
      </c>
      <c r="J41" s="36" t="s">
        <v>587</v>
      </c>
      <c r="K41" s="38">
        <v>45306</v>
      </c>
      <c r="L41" s="58">
        <v>0.75</v>
      </c>
      <c r="M41" s="89">
        <v>259683114</v>
      </c>
      <c r="N41" s="18" t="s">
        <v>49</v>
      </c>
      <c r="O41" s="36" t="s">
        <v>411</v>
      </c>
      <c r="P41" s="36"/>
      <c r="Q41" s="63" t="s">
        <v>205</v>
      </c>
      <c r="R41" s="119" t="s">
        <v>206</v>
      </c>
      <c r="S41" s="18">
        <f t="shared" si="8"/>
        <v>1923.64</v>
      </c>
      <c r="T41" s="36">
        <v>1728</v>
      </c>
      <c r="U41" s="70">
        <f>plachta3434235[[#This Row],[SALES '[€']]]-plachta3434235[[#This Row],[PURCHASE '[€']]]</f>
        <v>195.6400000000001</v>
      </c>
      <c r="V41" s="71">
        <f>plachta3434235[[#This Row],[MARGIN '[€']]]/plachta3434235[[#This Row],[SALES '[€']]]</f>
        <v>0.1017030213553472</v>
      </c>
      <c r="W41" s="36" t="s">
        <v>724</v>
      </c>
      <c r="X41" s="36" t="s">
        <v>725</v>
      </c>
      <c r="Y41" s="36">
        <v>1492</v>
      </c>
      <c r="Z41" s="36"/>
      <c r="AA41" s="36" t="s">
        <v>208</v>
      </c>
      <c r="AB41" s="72">
        <f t="shared" si="5"/>
        <v>1.158176943699732</v>
      </c>
      <c r="AC41" s="72"/>
      <c r="AD41" s="69"/>
      <c r="AE41" s="69"/>
      <c r="AF41" s="69"/>
      <c r="AG41" s="69"/>
      <c r="AH41" s="69"/>
      <c r="AI41" s="69"/>
      <c r="AJ41" s="69"/>
      <c r="AK41" s="69"/>
      <c r="AL41" s="69" t="str">
        <f>IF(plachta3434235[[#This Row],[DELIVERY TIME]]="STORNO","CANCELLED","OK")</f>
        <v>OK</v>
      </c>
      <c r="AM41" s="69"/>
      <c r="AN41" s="69">
        <f>IF(RIGHT(plachta3434235[[#This Row],[CARRIER]],3)="-MF",921,"")</f>
        <v>921</v>
      </c>
      <c r="AO41" s="69"/>
    </row>
    <row r="42" spans="1:41">
      <c r="A42" s="39">
        <f t="shared" si="7"/>
        <v>3</v>
      </c>
      <c r="B42" s="116" t="s">
        <v>583</v>
      </c>
      <c r="C42" s="107" t="s">
        <v>42</v>
      </c>
      <c r="D42" s="37" t="s">
        <v>584</v>
      </c>
      <c r="E42" s="36" t="s">
        <v>585</v>
      </c>
      <c r="F42" s="38">
        <v>45306</v>
      </c>
      <c r="G42" s="58">
        <v>0.25</v>
      </c>
      <c r="H42" s="107" t="s">
        <v>197</v>
      </c>
      <c r="I42" s="37" t="s">
        <v>586</v>
      </c>
      <c r="J42" s="36" t="s">
        <v>587</v>
      </c>
      <c r="K42" s="38">
        <v>45307</v>
      </c>
      <c r="L42" s="58">
        <v>0.25</v>
      </c>
      <c r="M42" s="89">
        <v>259683115</v>
      </c>
      <c r="N42" s="18" t="s">
        <v>49</v>
      </c>
      <c r="O42" s="36" t="s">
        <v>411</v>
      </c>
      <c r="P42" s="36"/>
      <c r="Q42" s="63" t="s">
        <v>602</v>
      </c>
      <c r="R42" s="36" t="s">
        <v>594</v>
      </c>
      <c r="S42" s="18">
        <f t="shared" si="8"/>
        <v>1923.64</v>
      </c>
      <c r="T42" s="36">
        <v>1698</v>
      </c>
      <c r="U42" s="70">
        <f>plachta3434235[[#This Row],[SALES '[€']]]-plachta3434235[[#This Row],[PURCHASE '[€']]]</f>
        <v>225.6400000000001</v>
      </c>
      <c r="V42" s="71">
        <f>plachta3434235[[#This Row],[MARGIN '[€']]]/plachta3434235[[#This Row],[SALES '[€']]]</f>
        <v>0.11729845501237242</v>
      </c>
      <c r="W42" s="36" t="s">
        <v>726</v>
      </c>
      <c r="X42" s="36" t="s">
        <v>727</v>
      </c>
      <c r="Y42" s="36">
        <v>1492</v>
      </c>
      <c r="Z42" s="36"/>
      <c r="AA42" s="36" t="s">
        <v>51</v>
      </c>
      <c r="AB42" s="72">
        <f t="shared" si="5"/>
        <v>1.1380697050938338</v>
      </c>
      <c r="AC42" s="72">
        <f t="shared" ref="AC42:AC67" si="9">S42/Y42</f>
        <v>1.2893029490616623</v>
      </c>
      <c r="AD42" s="69"/>
      <c r="AE42" s="69"/>
      <c r="AF42" s="69"/>
      <c r="AG42" s="69"/>
      <c r="AH42" s="69"/>
      <c r="AI42" s="69"/>
      <c r="AJ42" s="69"/>
      <c r="AK42" s="69"/>
      <c r="AL42" s="69" t="str">
        <f>IF(plachta3434235[[#This Row],[DELIVERY TIME]]="STORNO","CANCELLED","OK")</f>
        <v>OK</v>
      </c>
      <c r="AM42" s="69"/>
      <c r="AN42" s="69" t="str">
        <f>IF(RIGHT(plachta3434235[[#This Row],[CARRIER]],3)="-MF",921,"")</f>
        <v/>
      </c>
      <c r="AO42" s="69"/>
    </row>
    <row r="43" spans="1:41">
      <c r="A43" s="39">
        <f t="shared" si="7"/>
        <v>3</v>
      </c>
      <c r="B43" s="116" t="s">
        <v>583</v>
      </c>
      <c r="C43" s="107" t="s">
        <v>42</v>
      </c>
      <c r="D43" s="37" t="s">
        <v>584</v>
      </c>
      <c r="E43" s="36" t="s">
        <v>585</v>
      </c>
      <c r="F43" s="38">
        <v>45306</v>
      </c>
      <c r="G43" s="58">
        <v>0.5</v>
      </c>
      <c r="H43" s="107" t="s">
        <v>197</v>
      </c>
      <c r="I43" s="37" t="s">
        <v>586</v>
      </c>
      <c r="J43" s="36" t="s">
        <v>587</v>
      </c>
      <c r="K43" s="38">
        <v>45307</v>
      </c>
      <c r="L43" s="58">
        <v>0.5</v>
      </c>
      <c r="M43" s="89">
        <v>259683117</v>
      </c>
      <c r="N43" s="18" t="s">
        <v>49</v>
      </c>
      <c r="O43" s="36" t="s">
        <v>411</v>
      </c>
      <c r="P43" s="36"/>
      <c r="Q43" s="63" t="s">
        <v>593</v>
      </c>
      <c r="R43" s="36" t="s">
        <v>594</v>
      </c>
      <c r="S43" s="18">
        <f t="shared" si="8"/>
        <v>1923.64</v>
      </c>
      <c r="T43" s="36">
        <v>1698</v>
      </c>
      <c r="U43" s="70">
        <f>plachta3434235[[#This Row],[SALES '[€']]]-plachta3434235[[#This Row],[PURCHASE '[€']]]</f>
        <v>225.6400000000001</v>
      </c>
      <c r="V43" s="71">
        <f>plachta3434235[[#This Row],[MARGIN '[€']]]/plachta3434235[[#This Row],[SALES '[€']]]</f>
        <v>0.11729845501237242</v>
      </c>
      <c r="W43" s="36" t="s">
        <v>728</v>
      </c>
      <c r="X43" s="36" t="s">
        <v>729</v>
      </c>
      <c r="Y43" s="36">
        <v>1492</v>
      </c>
      <c r="Z43" s="36"/>
      <c r="AA43" s="36" t="s">
        <v>51</v>
      </c>
      <c r="AB43" s="72">
        <f t="shared" si="5"/>
        <v>1.1380697050938338</v>
      </c>
      <c r="AC43" s="72">
        <f t="shared" si="9"/>
        <v>1.2893029490616623</v>
      </c>
      <c r="AD43" s="69"/>
      <c r="AE43" s="69"/>
      <c r="AF43" s="69"/>
      <c r="AG43" s="69"/>
      <c r="AH43" s="69"/>
      <c r="AI43" s="69"/>
      <c r="AJ43" s="69"/>
      <c r="AK43" s="69"/>
      <c r="AL43" s="69" t="str">
        <f>IF(plachta3434235[[#This Row],[DELIVERY TIME]]="STORNO","CANCELLED","OK")</f>
        <v>OK</v>
      </c>
      <c r="AM43" s="69"/>
      <c r="AN43" s="69" t="str">
        <f>IF(RIGHT(plachta3434235[[#This Row],[CARRIER]],3)="-MF",921,"")</f>
        <v/>
      </c>
      <c r="AO43" s="69"/>
    </row>
    <row r="44" spans="1:41">
      <c r="A44" s="39">
        <f t="shared" si="7"/>
        <v>3</v>
      </c>
      <c r="B44" s="116" t="s">
        <v>583</v>
      </c>
      <c r="C44" s="107" t="s">
        <v>42</v>
      </c>
      <c r="D44" s="37" t="s">
        <v>584</v>
      </c>
      <c r="E44" s="36" t="s">
        <v>585</v>
      </c>
      <c r="F44" s="38">
        <v>45306</v>
      </c>
      <c r="G44" s="58">
        <v>0.75</v>
      </c>
      <c r="H44" s="107" t="s">
        <v>197</v>
      </c>
      <c r="I44" s="37" t="s">
        <v>586</v>
      </c>
      <c r="J44" s="36" t="s">
        <v>587</v>
      </c>
      <c r="K44" s="38">
        <v>45307</v>
      </c>
      <c r="L44" s="58">
        <v>0.75</v>
      </c>
      <c r="M44" s="89">
        <v>259683119</v>
      </c>
      <c r="N44" s="18" t="s">
        <v>49</v>
      </c>
      <c r="O44" s="36" t="s">
        <v>411</v>
      </c>
      <c r="P44" s="36"/>
      <c r="Q44" s="63" t="s">
        <v>248</v>
      </c>
      <c r="R44" s="94" t="s">
        <v>90</v>
      </c>
      <c r="S44" s="18">
        <f t="shared" si="8"/>
        <v>1923.64</v>
      </c>
      <c r="T44" s="36">
        <v>1819.46</v>
      </c>
      <c r="U44" s="70">
        <f>plachta3434235[[#This Row],[SALES '[€']]]-plachta3434235[[#This Row],[PURCHASE '[€']]]</f>
        <v>104.18000000000006</v>
      </c>
      <c r="V44" s="71">
        <f>plachta3434235[[#This Row],[MARGIN '[€']]]/plachta3434235[[#This Row],[SALES '[€']]]</f>
        <v>5.4157742612962953E-2</v>
      </c>
      <c r="W44" s="36" t="s">
        <v>730</v>
      </c>
      <c r="X44" s="36" t="s">
        <v>731</v>
      </c>
      <c r="Y44" s="36">
        <v>1542</v>
      </c>
      <c r="Z44" s="36"/>
      <c r="AA44" s="36" t="s">
        <v>208</v>
      </c>
      <c r="AB44" s="72">
        <f t="shared" si="5"/>
        <v>1.179935149156939</v>
      </c>
      <c r="AC44" s="72">
        <f t="shared" si="9"/>
        <v>1.247496757457847</v>
      </c>
      <c r="AD44" s="69"/>
      <c r="AE44" s="69"/>
      <c r="AF44" s="69"/>
      <c r="AG44" s="69"/>
      <c r="AH44" s="69"/>
      <c r="AI44" s="69"/>
      <c r="AJ44" s="69"/>
      <c r="AK44" s="69"/>
      <c r="AL44" s="69" t="str">
        <f>IF(plachta3434235[[#This Row],[DELIVERY TIME]]="STORNO","CANCELLED","OK")</f>
        <v>OK</v>
      </c>
      <c r="AM44" s="69"/>
      <c r="AN44" s="69">
        <f>IF(RIGHT(plachta3434235[[#This Row],[CARRIER]],3)="-MF",921,"")</f>
        <v>921</v>
      </c>
      <c r="AO44" s="69"/>
    </row>
    <row r="45" spans="1:41">
      <c r="A45" s="39">
        <f t="shared" si="7"/>
        <v>3</v>
      </c>
      <c r="B45" s="116" t="s">
        <v>583</v>
      </c>
      <c r="C45" s="107" t="s">
        <v>42</v>
      </c>
      <c r="D45" s="37" t="s">
        <v>584</v>
      </c>
      <c r="E45" s="36" t="s">
        <v>585</v>
      </c>
      <c r="F45" s="38">
        <v>45307</v>
      </c>
      <c r="G45" s="58">
        <v>0.25</v>
      </c>
      <c r="H45" s="107" t="s">
        <v>197</v>
      </c>
      <c r="I45" s="37" t="s">
        <v>586</v>
      </c>
      <c r="J45" s="36" t="s">
        <v>587</v>
      </c>
      <c r="K45" s="38">
        <v>45308</v>
      </c>
      <c r="L45" s="58">
        <v>0.25</v>
      </c>
      <c r="M45" s="89">
        <v>259683120</v>
      </c>
      <c r="N45" s="18" t="s">
        <v>49</v>
      </c>
      <c r="O45" s="36" t="s">
        <v>411</v>
      </c>
      <c r="P45" s="36"/>
      <c r="Q45" s="63" t="s">
        <v>662</v>
      </c>
      <c r="R45" s="36" t="s">
        <v>594</v>
      </c>
      <c r="S45" s="18">
        <f t="shared" si="8"/>
        <v>1923.64</v>
      </c>
      <c r="T45" s="36">
        <v>1698</v>
      </c>
      <c r="U45" s="70">
        <f>plachta3434235[[#This Row],[SALES '[€']]]-plachta3434235[[#This Row],[PURCHASE '[€']]]</f>
        <v>225.6400000000001</v>
      </c>
      <c r="V45" s="71">
        <f>plachta3434235[[#This Row],[MARGIN '[€']]]/plachta3434235[[#This Row],[SALES '[€']]]</f>
        <v>0.11729845501237242</v>
      </c>
      <c r="W45" s="36" t="s">
        <v>732</v>
      </c>
      <c r="X45" s="36" t="s">
        <v>733</v>
      </c>
      <c r="Y45" s="36">
        <v>1492</v>
      </c>
      <c r="Z45" s="36"/>
      <c r="AA45" s="36" t="s">
        <v>51</v>
      </c>
      <c r="AB45" s="72">
        <f t="shared" si="5"/>
        <v>1.1380697050938338</v>
      </c>
      <c r="AC45" s="72">
        <f t="shared" si="9"/>
        <v>1.2893029490616623</v>
      </c>
      <c r="AD45" s="69"/>
      <c r="AE45" s="69"/>
      <c r="AF45" s="69"/>
      <c r="AG45" s="69"/>
      <c r="AH45" s="69"/>
      <c r="AI45" s="69"/>
      <c r="AJ45" s="69"/>
      <c r="AK45" s="69"/>
      <c r="AL45" s="69" t="str">
        <f>IF(plachta3434235[[#This Row],[DELIVERY TIME]]="STORNO","CANCELLED","OK")</f>
        <v>OK</v>
      </c>
      <c r="AM45" s="69"/>
      <c r="AN45" s="69" t="str">
        <f>IF(RIGHT(plachta3434235[[#This Row],[CARRIER]],3)="-MF",921,"")</f>
        <v/>
      </c>
      <c r="AO45" s="69"/>
    </row>
    <row r="46" spans="1:41">
      <c r="A46" s="39">
        <f t="shared" si="7"/>
        <v>3</v>
      </c>
      <c r="B46" s="116" t="s">
        <v>583</v>
      </c>
      <c r="C46" s="107" t="s">
        <v>42</v>
      </c>
      <c r="D46" s="37" t="s">
        <v>584</v>
      </c>
      <c r="E46" s="36" t="s">
        <v>585</v>
      </c>
      <c r="F46" s="38">
        <v>45307</v>
      </c>
      <c r="G46" s="58">
        <v>0.5</v>
      </c>
      <c r="H46" s="107" t="s">
        <v>197</v>
      </c>
      <c r="I46" s="37" t="s">
        <v>586</v>
      </c>
      <c r="J46" s="36" t="s">
        <v>587</v>
      </c>
      <c r="K46" s="38">
        <v>45308</v>
      </c>
      <c r="L46" s="58">
        <v>0.5</v>
      </c>
      <c r="M46" s="89">
        <v>259683121</v>
      </c>
      <c r="N46" s="18" t="s">
        <v>49</v>
      </c>
      <c r="O46" s="36" t="s">
        <v>411</v>
      </c>
      <c r="P46" s="36"/>
      <c r="Q46" s="63" t="s">
        <v>646</v>
      </c>
      <c r="R46" s="36" t="s">
        <v>594</v>
      </c>
      <c r="S46" s="18">
        <f t="shared" si="8"/>
        <v>1923.64</v>
      </c>
      <c r="T46" s="36">
        <v>1698</v>
      </c>
      <c r="U46" s="70">
        <f>plachta3434235[[#This Row],[SALES '[€']]]-plachta3434235[[#This Row],[PURCHASE '[€']]]</f>
        <v>225.6400000000001</v>
      </c>
      <c r="V46" s="71">
        <f>plachta3434235[[#This Row],[MARGIN '[€']]]/plachta3434235[[#This Row],[SALES '[€']]]</f>
        <v>0.11729845501237242</v>
      </c>
      <c r="W46" s="36" t="s">
        <v>734</v>
      </c>
      <c r="X46" s="36" t="s">
        <v>735</v>
      </c>
      <c r="Y46" s="36">
        <v>1492</v>
      </c>
      <c r="Z46" s="36"/>
      <c r="AA46" s="36" t="s">
        <v>51</v>
      </c>
      <c r="AB46" s="72">
        <f t="shared" si="5"/>
        <v>1.1380697050938338</v>
      </c>
      <c r="AC46" s="72">
        <f t="shared" si="9"/>
        <v>1.2893029490616623</v>
      </c>
      <c r="AD46" s="69"/>
      <c r="AE46" s="69"/>
      <c r="AF46" s="69"/>
      <c r="AG46" s="69"/>
      <c r="AH46" s="69"/>
      <c r="AI46" s="69"/>
      <c r="AJ46" s="69"/>
      <c r="AK46" s="69"/>
      <c r="AL46" s="69" t="str">
        <f>IF(plachta3434235[[#This Row],[DELIVERY TIME]]="STORNO","CANCELLED","OK")</f>
        <v>OK</v>
      </c>
      <c r="AM46" s="69"/>
      <c r="AN46" s="69" t="str">
        <f>IF(RIGHT(plachta3434235[[#This Row],[CARRIER]],3)="-MF",921,"")</f>
        <v/>
      </c>
      <c r="AO46" s="69"/>
    </row>
    <row r="47" spans="1:41">
      <c r="A47" s="39">
        <f t="shared" si="7"/>
        <v>3</v>
      </c>
      <c r="B47" s="116" t="s">
        <v>583</v>
      </c>
      <c r="C47" s="107" t="s">
        <v>42</v>
      </c>
      <c r="D47" s="37" t="s">
        <v>584</v>
      </c>
      <c r="E47" s="36" t="s">
        <v>585</v>
      </c>
      <c r="F47" s="38">
        <v>45307</v>
      </c>
      <c r="G47" s="58">
        <v>0.75</v>
      </c>
      <c r="H47" s="107" t="s">
        <v>197</v>
      </c>
      <c r="I47" s="37" t="s">
        <v>586</v>
      </c>
      <c r="J47" s="36" t="s">
        <v>587</v>
      </c>
      <c r="K47" s="38">
        <v>45308</v>
      </c>
      <c r="L47" s="58">
        <v>0.75</v>
      </c>
      <c r="M47" s="89">
        <v>259683124</v>
      </c>
      <c r="N47" s="18" t="s">
        <v>49</v>
      </c>
      <c r="O47" s="36" t="s">
        <v>411</v>
      </c>
      <c r="P47" s="36"/>
      <c r="Q47" s="63" t="s">
        <v>205</v>
      </c>
      <c r="R47" s="119" t="s">
        <v>206</v>
      </c>
      <c r="S47" s="18">
        <f t="shared" si="8"/>
        <v>1923.64</v>
      </c>
      <c r="T47" s="36">
        <v>1728</v>
      </c>
      <c r="U47" s="70">
        <f>plachta3434235[[#This Row],[SALES '[€']]]-plachta3434235[[#This Row],[PURCHASE '[€']]]</f>
        <v>195.6400000000001</v>
      </c>
      <c r="V47" s="71">
        <f>plachta3434235[[#This Row],[MARGIN '[€']]]/plachta3434235[[#This Row],[SALES '[€']]]</f>
        <v>0.1017030213553472</v>
      </c>
      <c r="W47" s="36" t="s">
        <v>736</v>
      </c>
      <c r="X47" s="36" t="s">
        <v>737</v>
      </c>
      <c r="Y47" s="36">
        <v>1492</v>
      </c>
      <c r="Z47" s="36"/>
      <c r="AA47" s="36" t="s">
        <v>208</v>
      </c>
      <c r="AB47" s="72">
        <f t="shared" si="5"/>
        <v>1.158176943699732</v>
      </c>
      <c r="AC47" s="72">
        <f t="shared" si="9"/>
        <v>1.2893029490616623</v>
      </c>
      <c r="AD47" s="69"/>
      <c r="AE47" s="69"/>
      <c r="AF47" s="69"/>
      <c r="AG47" s="69"/>
      <c r="AH47" s="69"/>
      <c r="AI47" s="69"/>
      <c r="AJ47" s="69"/>
      <c r="AK47" s="69"/>
      <c r="AL47" s="69" t="str">
        <f>IF(plachta3434235[[#This Row],[DELIVERY TIME]]="STORNO","CANCELLED","OK")</f>
        <v>OK</v>
      </c>
      <c r="AM47" s="69"/>
      <c r="AN47" s="69">
        <f>IF(RIGHT(plachta3434235[[#This Row],[CARRIER]],3)="-MF",921,"")</f>
        <v>921</v>
      </c>
      <c r="AO47" s="69"/>
    </row>
    <row r="48" spans="1:41">
      <c r="A48" s="39">
        <f t="shared" si="7"/>
        <v>3</v>
      </c>
      <c r="B48" s="116" t="s">
        <v>583</v>
      </c>
      <c r="C48" s="107" t="s">
        <v>42</v>
      </c>
      <c r="D48" s="37" t="s">
        <v>584</v>
      </c>
      <c r="E48" s="36" t="s">
        <v>585</v>
      </c>
      <c r="F48" s="38">
        <v>45308</v>
      </c>
      <c r="G48" s="58">
        <v>0.25</v>
      </c>
      <c r="H48" s="107" t="s">
        <v>197</v>
      </c>
      <c r="I48" s="37" t="s">
        <v>586</v>
      </c>
      <c r="J48" s="36" t="s">
        <v>587</v>
      </c>
      <c r="K48" s="38">
        <v>45309</v>
      </c>
      <c r="L48" s="58">
        <v>0.25</v>
      </c>
      <c r="M48" s="89">
        <v>259683126</v>
      </c>
      <c r="N48" s="18" t="s">
        <v>49</v>
      </c>
      <c r="O48" s="36" t="s">
        <v>411</v>
      </c>
      <c r="P48" s="36"/>
      <c r="Q48" s="63" t="s">
        <v>602</v>
      </c>
      <c r="R48" s="36" t="s">
        <v>594</v>
      </c>
      <c r="S48" s="18">
        <f t="shared" si="8"/>
        <v>1923.64</v>
      </c>
      <c r="T48" s="36">
        <v>1698</v>
      </c>
      <c r="U48" s="70">
        <f>plachta3434235[[#This Row],[SALES '[€']]]-plachta3434235[[#This Row],[PURCHASE '[€']]]</f>
        <v>225.6400000000001</v>
      </c>
      <c r="V48" s="71">
        <f>plachta3434235[[#This Row],[MARGIN '[€']]]/plachta3434235[[#This Row],[SALES '[€']]]</f>
        <v>0.11729845501237242</v>
      </c>
      <c r="W48" s="36" t="s">
        <v>738</v>
      </c>
      <c r="X48" s="36" t="s">
        <v>739</v>
      </c>
      <c r="Y48" s="36">
        <v>1492</v>
      </c>
      <c r="Z48" s="36"/>
      <c r="AA48" s="36" t="s">
        <v>51</v>
      </c>
      <c r="AB48" s="72">
        <f t="shared" si="5"/>
        <v>1.1380697050938338</v>
      </c>
      <c r="AC48" s="72">
        <f t="shared" si="9"/>
        <v>1.2893029490616623</v>
      </c>
      <c r="AD48" s="69"/>
      <c r="AE48" s="69"/>
      <c r="AF48" s="69"/>
      <c r="AG48" s="69"/>
      <c r="AH48" s="69"/>
      <c r="AI48" s="69"/>
      <c r="AJ48" s="69"/>
      <c r="AK48" s="69"/>
      <c r="AL48" s="69" t="str">
        <f>IF(plachta3434235[[#This Row],[DELIVERY TIME]]="STORNO","CANCELLED","OK")</f>
        <v>OK</v>
      </c>
      <c r="AM48" s="69"/>
      <c r="AN48" s="69" t="str">
        <f>IF(RIGHT(plachta3434235[[#This Row],[CARRIER]],3)="-MF",921,"")</f>
        <v/>
      </c>
      <c r="AO48" s="69"/>
    </row>
    <row r="49" spans="1:41">
      <c r="A49" s="39">
        <f t="shared" si="7"/>
        <v>3</v>
      </c>
      <c r="B49" s="116" t="s">
        <v>583</v>
      </c>
      <c r="C49" s="107" t="s">
        <v>42</v>
      </c>
      <c r="D49" s="37" t="s">
        <v>584</v>
      </c>
      <c r="E49" s="36" t="s">
        <v>585</v>
      </c>
      <c r="F49" s="38">
        <v>45308</v>
      </c>
      <c r="G49" s="58">
        <v>0.5</v>
      </c>
      <c r="H49" s="107" t="s">
        <v>197</v>
      </c>
      <c r="I49" s="37" t="s">
        <v>586</v>
      </c>
      <c r="J49" s="36" t="s">
        <v>587</v>
      </c>
      <c r="K49" s="38">
        <v>45309</v>
      </c>
      <c r="L49" s="58">
        <v>0.5</v>
      </c>
      <c r="M49" s="89">
        <v>259683128</v>
      </c>
      <c r="N49" s="18" t="s">
        <v>49</v>
      </c>
      <c r="O49" s="36" t="s">
        <v>411</v>
      </c>
      <c r="P49" s="36" t="s">
        <v>740</v>
      </c>
      <c r="Q49" s="63" t="s">
        <v>593</v>
      </c>
      <c r="R49" s="36" t="s">
        <v>594</v>
      </c>
      <c r="S49" s="18">
        <f t="shared" si="8"/>
        <v>1923.64</v>
      </c>
      <c r="T49" s="36">
        <v>1698</v>
      </c>
      <c r="U49" s="70">
        <f>plachta3434235[[#This Row],[SALES '[€']]]-plachta3434235[[#This Row],[PURCHASE '[€']]]</f>
        <v>225.6400000000001</v>
      </c>
      <c r="V49" s="71">
        <f>plachta3434235[[#This Row],[MARGIN '[€']]]/plachta3434235[[#This Row],[SALES '[€']]]</f>
        <v>0.11729845501237242</v>
      </c>
      <c r="W49" s="18" t="s">
        <v>741</v>
      </c>
      <c r="X49" s="36" t="s">
        <v>742</v>
      </c>
      <c r="Y49" s="36">
        <v>1492</v>
      </c>
      <c r="Z49" s="36"/>
      <c r="AA49" s="36" t="s">
        <v>51</v>
      </c>
      <c r="AB49" s="72">
        <f t="shared" si="5"/>
        <v>1.1380697050938338</v>
      </c>
      <c r="AC49" s="72">
        <f t="shared" si="9"/>
        <v>1.2893029490616623</v>
      </c>
      <c r="AD49" s="69"/>
      <c r="AE49" s="69"/>
      <c r="AF49" s="69"/>
      <c r="AG49" s="69"/>
      <c r="AH49" s="69"/>
      <c r="AI49" s="69"/>
      <c r="AJ49" s="69"/>
      <c r="AK49" s="69"/>
      <c r="AL49" s="69" t="str">
        <f>IF(plachta3434235[[#This Row],[DELIVERY TIME]]="STORNO","CANCELLED","OK")</f>
        <v>OK</v>
      </c>
      <c r="AM49" s="69"/>
      <c r="AN49" s="69" t="str">
        <f>IF(RIGHT(plachta3434235[[#This Row],[CARRIER]],3)="-MF",921,"")</f>
        <v/>
      </c>
      <c r="AO49" s="69"/>
    </row>
    <row r="50" spans="1:41">
      <c r="A50" s="39">
        <f t="shared" si="7"/>
        <v>3</v>
      </c>
      <c r="B50" s="116" t="s">
        <v>583</v>
      </c>
      <c r="C50" s="107" t="s">
        <v>42</v>
      </c>
      <c r="D50" s="37" t="s">
        <v>584</v>
      </c>
      <c r="E50" s="36" t="s">
        <v>585</v>
      </c>
      <c r="F50" s="38">
        <v>45308</v>
      </c>
      <c r="G50" s="58">
        <v>0.75</v>
      </c>
      <c r="H50" s="107" t="s">
        <v>197</v>
      </c>
      <c r="I50" s="37" t="s">
        <v>586</v>
      </c>
      <c r="J50" s="36" t="s">
        <v>587</v>
      </c>
      <c r="K50" s="38">
        <v>45309</v>
      </c>
      <c r="L50" s="58">
        <v>0.75</v>
      </c>
      <c r="M50" s="89">
        <v>259683129</v>
      </c>
      <c r="N50" s="18" t="s">
        <v>49</v>
      </c>
      <c r="O50" s="36" t="s">
        <v>411</v>
      </c>
      <c r="P50" s="36"/>
      <c r="Q50" s="63" t="s">
        <v>248</v>
      </c>
      <c r="R50" s="119" t="s">
        <v>90</v>
      </c>
      <c r="S50" s="18">
        <f t="shared" si="8"/>
        <v>1923.64</v>
      </c>
      <c r="T50" s="36">
        <v>1819.46</v>
      </c>
      <c r="U50" s="70">
        <f>plachta3434235[[#This Row],[SALES '[€']]]-plachta3434235[[#This Row],[PURCHASE '[€']]]</f>
        <v>104.18000000000006</v>
      </c>
      <c r="V50" s="71">
        <f>plachta3434235[[#This Row],[MARGIN '[€']]]/plachta3434235[[#This Row],[SALES '[€']]]</f>
        <v>5.4157742612962953E-2</v>
      </c>
      <c r="W50" s="18" t="s">
        <v>743</v>
      </c>
      <c r="X50" s="36" t="s">
        <v>744</v>
      </c>
      <c r="Y50" s="36">
        <v>1492</v>
      </c>
      <c r="Z50" s="36"/>
      <c r="AA50" s="36" t="s">
        <v>208</v>
      </c>
      <c r="AB50" s="72">
        <f t="shared" si="5"/>
        <v>1.2194772117962467</v>
      </c>
      <c r="AC50" s="72">
        <f t="shared" si="9"/>
        <v>1.2893029490616623</v>
      </c>
      <c r="AD50" s="69"/>
      <c r="AE50" s="69"/>
      <c r="AF50" s="69"/>
      <c r="AG50" s="69"/>
      <c r="AH50" s="69"/>
      <c r="AI50" s="69"/>
      <c r="AJ50" s="69"/>
      <c r="AK50" s="69"/>
      <c r="AL50" s="69" t="str">
        <f>IF(plachta3434235[[#This Row],[DELIVERY TIME]]="STORNO","CANCELLED","OK")</f>
        <v>OK</v>
      </c>
      <c r="AM50" s="69"/>
      <c r="AN50" s="69">
        <f>IF(RIGHT(plachta3434235[[#This Row],[CARRIER]],3)="-MF",921,"")</f>
        <v>921</v>
      </c>
      <c r="AO50" s="69"/>
    </row>
    <row r="51" spans="1:41">
      <c r="A51" s="39">
        <f t="shared" si="7"/>
        <v>3</v>
      </c>
      <c r="B51" s="116" t="s">
        <v>583</v>
      </c>
      <c r="C51" s="107" t="s">
        <v>42</v>
      </c>
      <c r="D51" s="37" t="s">
        <v>584</v>
      </c>
      <c r="E51" s="36" t="s">
        <v>585</v>
      </c>
      <c r="F51" s="38">
        <v>45309</v>
      </c>
      <c r="G51" s="58">
        <v>0.25</v>
      </c>
      <c r="H51" s="107" t="s">
        <v>197</v>
      </c>
      <c r="I51" s="37" t="s">
        <v>586</v>
      </c>
      <c r="J51" s="36" t="s">
        <v>587</v>
      </c>
      <c r="K51" s="38">
        <v>45310</v>
      </c>
      <c r="L51" s="58">
        <v>0.25</v>
      </c>
      <c r="M51" s="89">
        <v>259683132</v>
      </c>
      <c r="N51" s="18" t="s">
        <v>49</v>
      </c>
      <c r="O51" s="36" t="s">
        <v>411</v>
      </c>
      <c r="P51" s="36"/>
      <c r="Q51" s="63" t="s">
        <v>662</v>
      </c>
      <c r="R51" s="36" t="s">
        <v>594</v>
      </c>
      <c r="S51" s="18">
        <f t="shared" si="8"/>
        <v>1923.64</v>
      </c>
      <c r="T51" s="36">
        <v>1698</v>
      </c>
      <c r="U51" s="70">
        <f>plachta3434235[[#This Row],[SALES '[€']]]-plachta3434235[[#This Row],[PURCHASE '[€']]]</f>
        <v>225.6400000000001</v>
      </c>
      <c r="V51" s="71">
        <f>plachta3434235[[#This Row],[MARGIN '[€']]]/plachta3434235[[#This Row],[SALES '[€']]]</f>
        <v>0.11729845501237242</v>
      </c>
      <c r="W51" s="36" t="s">
        <v>745</v>
      </c>
      <c r="X51" s="36" t="s">
        <v>746</v>
      </c>
      <c r="Y51" s="36">
        <v>1492</v>
      </c>
      <c r="Z51" s="36"/>
      <c r="AA51" s="36" t="s">
        <v>51</v>
      </c>
      <c r="AB51" s="72">
        <f t="shared" si="5"/>
        <v>1.1380697050938338</v>
      </c>
      <c r="AC51" s="72">
        <f t="shared" si="9"/>
        <v>1.2893029490616623</v>
      </c>
      <c r="AD51" s="69"/>
      <c r="AE51" s="69"/>
      <c r="AF51" s="69"/>
      <c r="AG51" s="69"/>
      <c r="AH51" s="69"/>
      <c r="AI51" s="69"/>
      <c r="AJ51" s="69"/>
      <c r="AK51" s="69"/>
      <c r="AL51" s="69" t="str">
        <f>IF(plachta3434235[[#This Row],[DELIVERY TIME]]="STORNO","CANCELLED","OK")</f>
        <v>OK</v>
      </c>
      <c r="AM51" s="69"/>
      <c r="AN51" s="69" t="str">
        <f>IF(RIGHT(plachta3434235[[#This Row],[CARRIER]],3)="-MF",921,"")</f>
        <v/>
      </c>
      <c r="AO51" s="69"/>
    </row>
    <row r="52" spans="1:41">
      <c r="A52" s="39">
        <f t="shared" si="7"/>
        <v>3</v>
      </c>
      <c r="B52" s="116" t="s">
        <v>583</v>
      </c>
      <c r="C52" s="107" t="s">
        <v>42</v>
      </c>
      <c r="D52" s="37" t="s">
        <v>584</v>
      </c>
      <c r="E52" s="36" t="s">
        <v>585</v>
      </c>
      <c r="F52" s="38">
        <v>45309</v>
      </c>
      <c r="G52" s="58">
        <v>0.5</v>
      </c>
      <c r="H52" s="107" t="s">
        <v>197</v>
      </c>
      <c r="I52" s="37" t="s">
        <v>586</v>
      </c>
      <c r="J52" s="36" t="s">
        <v>587</v>
      </c>
      <c r="K52" s="38">
        <v>45310</v>
      </c>
      <c r="L52" s="58">
        <v>0.5</v>
      </c>
      <c r="M52" s="89">
        <v>259683135</v>
      </c>
      <c r="N52" s="18" t="s">
        <v>49</v>
      </c>
      <c r="O52" s="36" t="s">
        <v>411</v>
      </c>
      <c r="P52" s="36" t="s">
        <v>100</v>
      </c>
      <c r="Q52" s="63" t="s">
        <v>747</v>
      </c>
      <c r="R52" s="36" t="s">
        <v>245</v>
      </c>
      <c r="S52" s="18">
        <f t="shared" si="8"/>
        <v>1923.64</v>
      </c>
      <c r="T52" s="36">
        <v>1698</v>
      </c>
      <c r="U52" s="70">
        <f>plachta3434235[[#This Row],[SALES '[€']]]-plachta3434235[[#This Row],[PURCHASE '[€']]]</f>
        <v>225.6400000000001</v>
      </c>
      <c r="V52" s="71">
        <f>plachta3434235[[#This Row],[MARGIN '[€']]]/plachta3434235[[#This Row],[SALES '[€']]]</f>
        <v>0.11729845501237242</v>
      </c>
      <c r="W52" s="36" t="s">
        <v>748</v>
      </c>
      <c r="X52" s="36" t="s">
        <v>749</v>
      </c>
      <c r="Y52" s="36">
        <v>1492</v>
      </c>
      <c r="Z52" s="36"/>
      <c r="AA52" s="36" t="s">
        <v>51</v>
      </c>
      <c r="AB52" s="72">
        <f t="shared" si="5"/>
        <v>1.1380697050938338</v>
      </c>
      <c r="AC52" s="72">
        <f t="shared" si="9"/>
        <v>1.2893029490616623</v>
      </c>
      <c r="AD52" s="69"/>
      <c r="AE52" s="69"/>
      <c r="AF52" s="69"/>
      <c r="AG52" s="69"/>
      <c r="AH52" s="69"/>
      <c r="AI52" s="69"/>
      <c r="AJ52" s="69"/>
      <c r="AK52" s="69"/>
      <c r="AL52" s="69" t="str">
        <f>IF(plachta3434235[[#This Row],[DELIVERY TIME]]="STORNO","CANCELLED","OK")</f>
        <v>OK</v>
      </c>
      <c r="AM52" s="69"/>
      <c r="AN52" s="69" t="str">
        <f>IF(RIGHT(plachta3434235[[#This Row],[CARRIER]],3)="-MF",921,"")</f>
        <v/>
      </c>
      <c r="AO52" s="69"/>
    </row>
    <row r="53" spans="1:41">
      <c r="A53" s="39">
        <f t="shared" si="7"/>
        <v>3</v>
      </c>
      <c r="B53" s="116" t="s">
        <v>583</v>
      </c>
      <c r="C53" s="107" t="s">
        <v>42</v>
      </c>
      <c r="D53" s="37" t="s">
        <v>584</v>
      </c>
      <c r="E53" s="36" t="s">
        <v>585</v>
      </c>
      <c r="F53" s="38">
        <v>45309</v>
      </c>
      <c r="G53" s="58">
        <v>0.75</v>
      </c>
      <c r="H53" s="107" t="s">
        <v>197</v>
      </c>
      <c r="I53" s="37" t="s">
        <v>586</v>
      </c>
      <c r="J53" s="36" t="s">
        <v>587</v>
      </c>
      <c r="K53" s="38">
        <v>45310</v>
      </c>
      <c r="L53" s="58">
        <v>0.75</v>
      </c>
      <c r="M53" s="89">
        <v>259683137</v>
      </c>
      <c r="N53" s="18" t="s">
        <v>49</v>
      </c>
      <c r="O53" s="36" t="s">
        <v>411</v>
      </c>
      <c r="P53" s="36"/>
      <c r="Q53" s="63" t="s">
        <v>641</v>
      </c>
      <c r="R53" s="36" t="s">
        <v>594</v>
      </c>
      <c r="S53" s="18">
        <f t="shared" si="8"/>
        <v>1923.64</v>
      </c>
      <c r="T53" s="36">
        <v>1698</v>
      </c>
      <c r="U53" s="70">
        <f>plachta3434235[[#This Row],[SALES '[€']]]-plachta3434235[[#This Row],[PURCHASE '[€']]]</f>
        <v>225.6400000000001</v>
      </c>
      <c r="V53" s="71">
        <f>plachta3434235[[#This Row],[MARGIN '[€']]]/plachta3434235[[#This Row],[SALES '[€']]]</f>
        <v>0.11729845501237242</v>
      </c>
      <c r="W53" s="36" t="s">
        <v>750</v>
      </c>
      <c r="X53" s="36" t="s">
        <v>751</v>
      </c>
      <c r="Y53" s="36">
        <v>1492</v>
      </c>
      <c r="Z53" s="36"/>
      <c r="AA53" s="36" t="s">
        <v>51</v>
      </c>
      <c r="AB53" s="72">
        <f t="shared" si="5"/>
        <v>1.1380697050938338</v>
      </c>
      <c r="AC53" s="72">
        <f t="shared" si="9"/>
        <v>1.2893029490616623</v>
      </c>
      <c r="AD53" s="69"/>
      <c r="AE53" s="69"/>
      <c r="AF53" s="69"/>
      <c r="AG53" s="69"/>
      <c r="AH53" s="69"/>
      <c r="AI53" s="69"/>
      <c r="AJ53" s="69"/>
      <c r="AK53" s="69"/>
      <c r="AL53" s="69" t="str">
        <f>IF(plachta3434235[[#This Row],[DELIVERY TIME]]="STORNO","CANCELLED","OK")</f>
        <v>OK</v>
      </c>
      <c r="AM53" s="69"/>
      <c r="AN53" s="69" t="str">
        <f>IF(RIGHT(plachta3434235[[#This Row],[CARRIER]],3)="-MF",921,"")</f>
        <v/>
      </c>
      <c r="AO53" s="69"/>
    </row>
    <row r="54" spans="1:41">
      <c r="A54" s="39">
        <f t="shared" si="7"/>
        <v>3</v>
      </c>
      <c r="B54" s="115" t="s">
        <v>607</v>
      </c>
      <c r="C54" s="107" t="s">
        <v>42</v>
      </c>
      <c r="D54" s="37" t="s">
        <v>608</v>
      </c>
      <c r="E54" s="36" t="s">
        <v>609</v>
      </c>
      <c r="F54" s="38">
        <v>45306</v>
      </c>
      <c r="G54" s="58">
        <v>0.16666666666666666</v>
      </c>
      <c r="H54" s="107" t="s">
        <v>610</v>
      </c>
      <c r="I54" s="37" t="s">
        <v>525</v>
      </c>
      <c r="J54" s="36" t="s">
        <v>611</v>
      </c>
      <c r="K54" s="38">
        <v>45307</v>
      </c>
      <c r="L54" s="58">
        <v>0.1875</v>
      </c>
      <c r="M54" s="89">
        <v>259683527</v>
      </c>
      <c r="N54" s="18" t="s">
        <v>49</v>
      </c>
      <c r="O54" s="36" t="s">
        <v>411</v>
      </c>
      <c r="P54" s="36"/>
      <c r="Q54" s="63" t="s">
        <v>680</v>
      </c>
      <c r="R54" s="36" t="s">
        <v>614</v>
      </c>
      <c r="S54" s="36">
        <v>1734</v>
      </c>
      <c r="T54" s="36">
        <v>1530</v>
      </c>
      <c r="U54" s="70">
        <f>plachta3434235[[#This Row],[SALES '[€']]]-plachta3434235[[#This Row],[PURCHASE '[€']]]</f>
        <v>204</v>
      </c>
      <c r="V54" s="71">
        <f>plachta3434235[[#This Row],[MARGIN '[€']]]/plachta3434235[[#This Row],[SALES '[€']]]</f>
        <v>0.11764705882352941</v>
      </c>
      <c r="W54" s="36" t="s">
        <v>752</v>
      </c>
      <c r="X54" s="36" t="s">
        <v>753</v>
      </c>
      <c r="Y54" s="36">
        <v>1252</v>
      </c>
      <c r="Z54" s="36"/>
      <c r="AA54" s="36" t="s">
        <v>51</v>
      </c>
      <c r="AB54" s="72">
        <f t="shared" si="5"/>
        <v>1.2220447284345048</v>
      </c>
      <c r="AC54" s="72">
        <f t="shared" si="9"/>
        <v>1.3849840255591055</v>
      </c>
      <c r="AD54" s="69"/>
      <c r="AE54" s="69"/>
      <c r="AF54" s="69"/>
      <c r="AG54" s="69"/>
      <c r="AH54" s="69"/>
      <c r="AI54" s="69"/>
      <c r="AJ54" s="69"/>
      <c r="AK54" s="69"/>
      <c r="AL54" s="69" t="str">
        <f>IF(plachta3434235[[#This Row],[DELIVERY TIME]]="STORNO","CANCELLED","OK")</f>
        <v>OK</v>
      </c>
      <c r="AM54" s="69"/>
      <c r="AN54" s="69" t="str">
        <f>IF(RIGHT(plachta3434235[[#This Row],[CARRIER]],3)="-MF",921,"")</f>
        <v/>
      </c>
      <c r="AO54" s="69"/>
    </row>
    <row r="55" spans="1:41">
      <c r="A55" s="39">
        <f t="shared" si="7"/>
        <v>3</v>
      </c>
      <c r="B55" s="115" t="s">
        <v>607</v>
      </c>
      <c r="C55" s="107" t="s">
        <v>42</v>
      </c>
      <c r="D55" s="37" t="s">
        <v>608</v>
      </c>
      <c r="E55" s="36" t="s">
        <v>609</v>
      </c>
      <c r="F55" s="38">
        <v>45306</v>
      </c>
      <c r="G55" s="58">
        <v>0.52083333333333337</v>
      </c>
      <c r="H55" s="107" t="s">
        <v>610</v>
      </c>
      <c r="I55" s="37" t="s">
        <v>525</v>
      </c>
      <c r="J55" s="36" t="s">
        <v>611</v>
      </c>
      <c r="K55" s="38">
        <v>45307</v>
      </c>
      <c r="L55" s="58">
        <v>0.5</v>
      </c>
      <c r="M55" s="89">
        <v>259683528</v>
      </c>
      <c r="N55" s="18" t="s">
        <v>49</v>
      </c>
      <c r="O55" s="36" t="s">
        <v>411</v>
      </c>
      <c r="P55" s="36"/>
      <c r="Q55" s="63" t="s">
        <v>754</v>
      </c>
      <c r="R55" s="36" t="s">
        <v>614</v>
      </c>
      <c r="S55" s="36">
        <v>1734</v>
      </c>
      <c r="T55" s="36">
        <v>1530</v>
      </c>
      <c r="U55" s="70">
        <f>plachta3434235[[#This Row],[SALES '[€']]]-plachta3434235[[#This Row],[PURCHASE '[€']]]</f>
        <v>204</v>
      </c>
      <c r="V55" s="71">
        <f>plachta3434235[[#This Row],[MARGIN '[€']]]/plachta3434235[[#This Row],[SALES '[€']]]</f>
        <v>0.11764705882352941</v>
      </c>
      <c r="W55" s="36" t="s">
        <v>755</v>
      </c>
      <c r="X55" s="36" t="s">
        <v>756</v>
      </c>
      <c r="Y55" s="36">
        <v>1252</v>
      </c>
      <c r="Z55" s="36"/>
      <c r="AA55" s="36" t="s">
        <v>51</v>
      </c>
      <c r="AB55" s="72">
        <f t="shared" si="5"/>
        <v>1.2220447284345048</v>
      </c>
      <c r="AC55" s="72">
        <f t="shared" si="9"/>
        <v>1.3849840255591055</v>
      </c>
      <c r="AD55" s="69"/>
      <c r="AE55" s="69"/>
      <c r="AF55" s="69"/>
      <c r="AG55" s="69"/>
      <c r="AH55" s="69"/>
      <c r="AI55" s="69"/>
      <c r="AJ55" s="69"/>
      <c r="AK55" s="69"/>
      <c r="AL55" s="69" t="str">
        <f>IF(plachta3434235[[#This Row],[DELIVERY TIME]]="STORNO","CANCELLED","OK")</f>
        <v>OK</v>
      </c>
      <c r="AM55" s="69"/>
      <c r="AN55" s="69" t="str">
        <f>IF(RIGHT(plachta3434235[[#This Row],[CARRIER]],3)="-MF",921,"")</f>
        <v/>
      </c>
      <c r="AO55" s="69"/>
    </row>
    <row r="56" spans="1:41">
      <c r="A56" s="39">
        <f t="shared" si="7"/>
        <v>3</v>
      </c>
      <c r="B56" s="115" t="s">
        <v>607</v>
      </c>
      <c r="C56" s="107" t="s">
        <v>42</v>
      </c>
      <c r="D56" s="37" t="s">
        <v>608</v>
      </c>
      <c r="E56" s="36" t="s">
        <v>609</v>
      </c>
      <c r="F56" s="38">
        <v>45306</v>
      </c>
      <c r="G56" s="58">
        <v>0.83333333333333337</v>
      </c>
      <c r="H56" s="107" t="s">
        <v>610</v>
      </c>
      <c r="I56" s="37" t="s">
        <v>525</v>
      </c>
      <c r="J56" s="36" t="s">
        <v>611</v>
      </c>
      <c r="K56" s="38">
        <v>45307</v>
      </c>
      <c r="L56" s="58">
        <v>0.79166666666666663</v>
      </c>
      <c r="M56" s="89">
        <v>259684072</v>
      </c>
      <c r="N56" s="18" t="s">
        <v>49</v>
      </c>
      <c r="O56" s="36" t="s">
        <v>411</v>
      </c>
      <c r="P56" s="36"/>
      <c r="Q56" s="63" t="s">
        <v>757</v>
      </c>
      <c r="R56" s="36" t="s">
        <v>614</v>
      </c>
      <c r="S56" s="36">
        <v>1734</v>
      </c>
      <c r="T56" s="36">
        <v>1530</v>
      </c>
      <c r="U56" s="70">
        <f>plachta3434235[[#This Row],[SALES '[€']]]-plachta3434235[[#This Row],[PURCHASE '[€']]]</f>
        <v>204</v>
      </c>
      <c r="V56" s="71">
        <f>plachta3434235[[#This Row],[MARGIN '[€']]]/plachta3434235[[#This Row],[SALES '[€']]]</f>
        <v>0.11764705882352941</v>
      </c>
      <c r="W56" s="36" t="s">
        <v>758</v>
      </c>
      <c r="X56" s="36" t="s">
        <v>759</v>
      </c>
      <c r="Y56" s="36">
        <v>1252</v>
      </c>
      <c r="Z56" s="36"/>
      <c r="AA56" s="36" t="s">
        <v>51</v>
      </c>
      <c r="AB56" s="72">
        <f t="shared" si="5"/>
        <v>1.2220447284345048</v>
      </c>
      <c r="AC56" s="72">
        <f t="shared" si="9"/>
        <v>1.3849840255591055</v>
      </c>
      <c r="AD56" s="69"/>
      <c r="AE56" s="69"/>
      <c r="AF56" s="69"/>
      <c r="AG56" s="69"/>
      <c r="AH56" s="69"/>
      <c r="AI56" s="69"/>
      <c r="AJ56" s="69"/>
      <c r="AK56" s="69"/>
      <c r="AL56" s="69" t="str">
        <f>IF(plachta3434235[[#This Row],[DELIVERY TIME]]="STORNO","CANCELLED","OK")</f>
        <v>OK</v>
      </c>
      <c r="AM56" s="69"/>
      <c r="AN56" s="69" t="str">
        <f>IF(RIGHT(plachta3434235[[#This Row],[CARRIER]],3)="-MF",921,"")</f>
        <v/>
      </c>
      <c r="AO56" s="69"/>
    </row>
    <row r="57" spans="1:41">
      <c r="A57" s="39">
        <f t="shared" si="7"/>
        <v>3</v>
      </c>
      <c r="B57" s="115" t="s">
        <v>607</v>
      </c>
      <c r="C57" s="107" t="s">
        <v>42</v>
      </c>
      <c r="D57" s="37" t="s">
        <v>608</v>
      </c>
      <c r="E57" s="36" t="s">
        <v>609</v>
      </c>
      <c r="F57" s="38">
        <v>45307</v>
      </c>
      <c r="G57" s="58">
        <v>0.16666666666666666</v>
      </c>
      <c r="H57" s="107" t="s">
        <v>610</v>
      </c>
      <c r="I57" s="37" t="s">
        <v>525</v>
      </c>
      <c r="J57" s="36" t="s">
        <v>611</v>
      </c>
      <c r="K57" s="38">
        <v>45308</v>
      </c>
      <c r="L57" s="58">
        <v>0.1875</v>
      </c>
      <c r="M57" s="89">
        <v>259683529</v>
      </c>
      <c r="N57" s="18" t="s">
        <v>49</v>
      </c>
      <c r="O57" s="36" t="s">
        <v>411</v>
      </c>
      <c r="P57" s="36"/>
      <c r="Q57" s="63" t="s">
        <v>760</v>
      </c>
      <c r="R57" s="36" t="s">
        <v>614</v>
      </c>
      <c r="S57" s="36">
        <v>1734</v>
      </c>
      <c r="T57" s="36">
        <v>1530</v>
      </c>
      <c r="U57" s="70">
        <f>plachta3434235[[#This Row],[SALES '[€']]]-plachta3434235[[#This Row],[PURCHASE '[€']]]</f>
        <v>204</v>
      </c>
      <c r="V57" s="71">
        <f>plachta3434235[[#This Row],[MARGIN '[€']]]/plachta3434235[[#This Row],[SALES '[€']]]</f>
        <v>0.11764705882352941</v>
      </c>
      <c r="W57" s="36" t="s">
        <v>761</v>
      </c>
      <c r="X57" s="36" t="s">
        <v>762</v>
      </c>
      <c r="Y57" s="36">
        <v>1252</v>
      </c>
      <c r="Z57" s="36"/>
      <c r="AA57" s="36" t="s">
        <v>51</v>
      </c>
      <c r="AB57" s="72">
        <f t="shared" si="5"/>
        <v>1.2220447284345048</v>
      </c>
      <c r="AC57" s="72">
        <f t="shared" si="9"/>
        <v>1.3849840255591055</v>
      </c>
      <c r="AD57" s="69"/>
      <c r="AE57" s="69"/>
      <c r="AF57" s="69"/>
      <c r="AG57" s="69"/>
      <c r="AH57" s="69"/>
      <c r="AI57" s="69"/>
      <c r="AJ57" s="69"/>
      <c r="AK57" s="69"/>
      <c r="AL57" s="69" t="str">
        <f>IF(plachta3434235[[#This Row],[DELIVERY TIME]]="STORNO","CANCELLED","OK")</f>
        <v>OK</v>
      </c>
      <c r="AM57" s="69"/>
      <c r="AN57" s="69" t="str">
        <f>IF(RIGHT(plachta3434235[[#This Row],[CARRIER]],3)="-MF",921,"")</f>
        <v/>
      </c>
      <c r="AO57" s="69"/>
    </row>
    <row r="58" spans="1:41">
      <c r="A58" s="39">
        <f t="shared" si="7"/>
        <v>3</v>
      </c>
      <c r="B58" s="115" t="s">
        <v>607</v>
      </c>
      <c r="C58" s="107" t="s">
        <v>42</v>
      </c>
      <c r="D58" s="37" t="s">
        <v>608</v>
      </c>
      <c r="E58" s="36" t="s">
        <v>609</v>
      </c>
      <c r="F58" s="38">
        <v>45307</v>
      </c>
      <c r="G58" s="58">
        <v>0.625</v>
      </c>
      <c r="H58" s="107" t="s">
        <v>610</v>
      </c>
      <c r="I58" s="37" t="s">
        <v>525</v>
      </c>
      <c r="J58" s="36" t="s">
        <v>611</v>
      </c>
      <c r="K58" s="38">
        <v>45308</v>
      </c>
      <c r="L58" s="58">
        <v>0.58333333333333337</v>
      </c>
      <c r="M58" s="89">
        <v>259684087</v>
      </c>
      <c r="N58" s="18" t="s">
        <v>49</v>
      </c>
      <c r="O58" s="36" t="s">
        <v>411</v>
      </c>
      <c r="P58" s="36"/>
      <c r="Q58" s="63" t="s">
        <v>763</v>
      </c>
      <c r="R58" s="36" t="s">
        <v>614</v>
      </c>
      <c r="S58" s="36">
        <v>1734</v>
      </c>
      <c r="T58" s="36">
        <v>1530</v>
      </c>
      <c r="U58" s="70">
        <f>plachta3434235[[#This Row],[SALES '[€']]]-plachta3434235[[#This Row],[PURCHASE '[€']]]</f>
        <v>204</v>
      </c>
      <c r="V58" s="71">
        <f>plachta3434235[[#This Row],[MARGIN '[€']]]/plachta3434235[[#This Row],[SALES '[€']]]</f>
        <v>0.11764705882352941</v>
      </c>
      <c r="W58" s="36" t="s">
        <v>764</v>
      </c>
      <c r="X58" s="36" t="s">
        <v>765</v>
      </c>
      <c r="Y58" s="36">
        <v>1252</v>
      </c>
      <c r="Z58" s="36"/>
      <c r="AA58" s="36" t="s">
        <v>51</v>
      </c>
      <c r="AB58" s="72">
        <f t="shared" si="5"/>
        <v>1.2220447284345048</v>
      </c>
      <c r="AC58" s="72">
        <f t="shared" si="9"/>
        <v>1.3849840255591055</v>
      </c>
      <c r="AD58" s="69"/>
      <c r="AE58" s="69"/>
      <c r="AF58" s="69"/>
      <c r="AG58" s="69"/>
      <c r="AH58" s="69"/>
      <c r="AI58" s="69"/>
      <c r="AJ58" s="69"/>
      <c r="AK58" s="69"/>
      <c r="AL58" s="69" t="str">
        <f>IF(plachta3434235[[#This Row],[DELIVERY TIME]]="STORNO","CANCELLED","OK")</f>
        <v>OK</v>
      </c>
      <c r="AM58" s="69"/>
      <c r="AN58" s="69" t="str">
        <f>IF(RIGHT(plachta3434235[[#This Row],[CARRIER]],3)="-MF",921,"")</f>
        <v/>
      </c>
      <c r="AO58" s="69"/>
    </row>
    <row r="59" spans="1:41">
      <c r="A59" s="39">
        <f t="shared" si="7"/>
        <v>3</v>
      </c>
      <c r="B59" s="115" t="s">
        <v>607</v>
      </c>
      <c r="C59" s="107" t="s">
        <v>42</v>
      </c>
      <c r="D59" s="37" t="s">
        <v>608</v>
      </c>
      <c r="E59" s="36" t="s">
        <v>609</v>
      </c>
      <c r="F59" s="38">
        <v>45308</v>
      </c>
      <c r="G59" s="58">
        <v>0.16666666666666666</v>
      </c>
      <c r="H59" s="107" t="s">
        <v>610</v>
      </c>
      <c r="I59" s="37" t="s">
        <v>525</v>
      </c>
      <c r="J59" s="36" t="s">
        <v>611</v>
      </c>
      <c r="K59" s="38">
        <v>45309</v>
      </c>
      <c r="L59" s="58">
        <v>0.1875</v>
      </c>
      <c r="M59" s="89">
        <v>259683530</v>
      </c>
      <c r="N59" s="18" t="s">
        <v>49</v>
      </c>
      <c r="O59" s="36" t="s">
        <v>411</v>
      </c>
      <c r="P59" s="36"/>
      <c r="Q59" s="63" t="s">
        <v>766</v>
      </c>
      <c r="R59" s="36" t="s">
        <v>614</v>
      </c>
      <c r="S59" s="36">
        <v>1734</v>
      </c>
      <c r="T59" s="36">
        <v>1530</v>
      </c>
      <c r="U59" s="70">
        <f>plachta3434235[[#This Row],[SALES '[€']]]-plachta3434235[[#This Row],[PURCHASE '[€']]]</f>
        <v>204</v>
      </c>
      <c r="V59" s="71">
        <f>plachta3434235[[#This Row],[MARGIN '[€']]]/plachta3434235[[#This Row],[SALES '[€']]]</f>
        <v>0.11764705882352941</v>
      </c>
      <c r="W59" s="36" t="s">
        <v>767</v>
      </c>
      <c r="X59" s="36" t="s">
        <v>768</v>
      </c>
      <c r="Y59" s="36">
        <v>1252</v>
      </c>
      <c r="Z59" s="36"/>
      <c r="AA59" s="36" t="s">
        <v>51</v>
      </c>
      <c r="AB59" s="72">
        <f t="shared" si="5"/>
        <v>1.2220447284345048</v>
      </c>
      <c r="AC59" s="72">
        <f t="shared" si="9"/>
        <v>1.3849840255591055</v>
      </c>
      <c r="AD59" s="69"/>
      <c r="AE59" s="69"/>
      <c r="AF59" s="69"/>
      <c r="AG59" s="69"/>
      <c r="AH59" s="69"/>
      <c r="AI59" s="69"/>
      <c r="AJ59" s="69"/>
      <c r="AK59" s="69"/>
      <c r="AL59" s="69" t="str">
        <f>IF(plachta3434235[[#This Row],[DELIVERY TIME]]="STORNO","CANCELLED","OK")</f>
        <v>OK</v>
      </c>
      <c r="AM59" s="69"/>
      <c r="AN59" s="69" t="str">
        <f>IF(RIGHT(plachta3434235[[#This Row],[CARRIER]],3)="-MF",921,"")</f>
        <v/>
      </c>
      <c r="AO59" s="69"/>
    </row>
    <row r="60" spans="1:41">
      <c r="A60" s="39">
        <f t="shared" si="7"/>
        <v>3</v>
      </c>
      <c r="B60" s="115" t="s">
        <v>607</v>
      </c>
      <c r="C60" s="107" t="s">
        <v>42</v>
      </c>
      <c r="D60" s="37" t="s">
        <v>608</v>
      </c>
      <c r="E60" s="36" t="s">
        <v>609</v>
      </c>
      <c r="F60" s="38">
        <v>45308</v>
      </c>
      <c r="G60" s="58">
        <v>0.41666666666666669</v>
      </c>
      <c r="H60" s="107" t="s">
        <v>610</v>
      </c>
      <c r="I60" s="37" t="s">
        <v>525</v>
      </c>
      <c r="J60" s="36" t="s">
        <v>611</v>
      </c>
      <c r="K60" s="38">
        <v>45309</v>
      </c>
      <c r="L60" s="58">
        <v>0.375</v>
      </c>
      <c r="M60" s="89">
        <v>259684098</v>
      </c>
      <c r="N60" s="18" t="s">
        <v>49</v>
      </c>
      <c r="O60" s="36" t="s">
        <v>411</v>
      </c>
      <c r="P60" s="36"/>
      <c r="Q60" s="63" t="s">
        <v>754</v>
      </c>
      <c r="R60" s="36" t="s">
        <v>614</v>
      </c>
      <c r="S60" s="36">
        <v>1734</v>
      </c>
      <c r="T60" s="36">
        <v>1530</v>
      </c>
      <c r="U60" s="70">
        <f>plachta3434235[[#This Row],[SALES '[€']]]-plachta3434235[[#This Row],[PURCHASE '[€']]]</f>
        <v>204</v>
      </c>
      <c r="V60" s="71">
        <f>plachta3434235[[#This Row],[MARGIN '[€']]]/plachta3434235[[#This Row],[SALES '[€']]]</f>
        <v>0.11764705882352941</v>
      </c>
      <c r="W60" s="36" t="s">
        <v>769</v>
      </c>
      <c r="X60" s="36" t="s">
        <v>770</v>
      </c>
      <c r="Y60" s="36">
        <v>1252</v>
      </c>
      <c r="Z60" s="36"/>
      <c r="AA60" s="36" t="s">
        <v>51</v>
      </c>
      <c r="AB60" s="72">
        <f t="shared" si="5"/>
        <v>1.2220447284345048</v>
      </c>
      <c r="AC60" s="72">
        <f t="shared" si="9"/>
        <v>1.3849840255591055</v>
      </c>
      <c r="AD60" s="69"/>
      <c r="AE60" s="69"/>
      <c r="AF60" s="69"/>
      <c r="AG60" s="69"/>
      <c r="AH60" s="69"/>
      <c r="AI60" s="69"/>
      <c r="AJ60" s="69"/>
      <c r="AK60" s="69"/>
      <c r="AL60" s="69" t="str">
        <f>IF(plachta3434235[[#This Row],[DELIVERY TIME]]="STORNO","CANCELLED","OK")</f>
        <v>OK</v>
      </c>
      <c r="AM60" s="69"/>
      <c r="AN60" s="69" t="str">
        <f>IF(RIGHT(plachta3434235[[#This Row],[CARRIER]],3)="-MF",921,"")</f>
        <v/>
      </c>
      <c r="AO60" s="69"/>
    </row>
    <row r="61" spans="1:41">
      <c r="A61" s="39">
        <f t="shared" si="7"/>
        <v>3</v>
      </c>
      <c r="B61" s="115" t="s">
        <v>607</v>
      </c>
      <c r="C61" s="107" t="s">
        <v>42</v>
      </c>
      <c r="D61" s="37" t="s">
        <v>608</v>
      </c>
      <c r="E61" s="36" t="s">
        <v>609</v>
      </c>
      <c r="F61" s="38">
        <v>45309</v>
      </c>
      <c r="G61" s="58">
        <v>0.16666666666666666</v>
      </c>
      <c r="H61" s="107" t="s">
        <v>610</v>
      </c>
      <c r="I61" s="37" t="s">
        <v>525</v>
      </c>
      <c r="J61" s="36" t="s">
        <v>611</v>
      </c>
      <c r="K61" s="38">
        <v>45310</v>
      </c>
      <c r="L61" s="58">
        <v>0.1875</v>
      </c>
      <c r="M61" s="89">
        <v>259683531</v>
      </c>
      <c r="N61" s="18" t="s">
        <v>49</v>
      </c>
      <c r="O61" s="36" t="s">
        <v>411</v>
      </c>
      <c r="P61" s="36"/>
      <c r="Q61" s="63" t="s">
        <v>771</v>
      </c>
      <c r="R61" s="36" t="s">
        <v>614</v>
      </c>
      <c r="S61" s="36">
        <v>1734</v>
      </c>
      <c r="T61" s="36">
        <v>1530</v>
      </c>
      <c r="U61" s="70">
        <f>plachta3434235[[#This Row],[SALES '[€']]]-plachta3434235[[#This Row],[PURCHASE '[€']]]</f>
        <v>204</v>
      </c>
      <c r="V61" s="71">
        <f>plachta3434235[[#This Row],[MARGIN '[€']]]/plachta3434235[[#This Row],[SALES '[€']]]</f>
        <v>0.11764705882352941</v>
      </c>
      <c r="W61" s="36" t="s">
        <v>772</v>
      </c>
      <c r="X61" s="36" t="s">
        <v>773</v>
      </c>
      <c r="Y61" s="36">
        <v>1252</v>
      </c>
      <c r="Z61" s="36"/>
      <c r="AA61" s="36" t="s">
        <v>51</v>
      </c>
      <c r="AB61" s="72">
        <f t="shared" si="5"/>
        <v>1.2220447284345048</v>
      </c>
      <c r="AC61" s="72">
        <f t="shared" si="9"/>
        <v>1.3849840255591055</v>
      </c>
      <c r="AD61" s="69"/>
      <c r="AE61" s="69"/>
      <c r="AF61" s="69"/>
      <c r="AG61" s="69"/>
      <c r="AH61" s="69"/>
      <c r="AI61" s="69"/>
      <c r="AJ61" s="69"/>
      <c r="AK61" s="69"/>
      <c r="AL61" s="69" t="str">
        <f>IF(plachta3434235[[#This Row],[DELIVERY TIME]]="STORNO","CANCELLED","OK")</f>
        <v>OK</v>
      </c>
      <c r="AM61" s="69"/>
      <c r="AN61" s="69" t="str">
        <f>IF(RIGHT(plachta3434235[[#This Row],[CARRIER]],3)="-MF",921,"")</f>
        <v/>
      </c>
      <c r="AO61" s="69"/>
    </row>
    <row r="62" spans="1:41">
      <c r="A62" s="39">
        <f t="shared" si="7"/>
        <v>3</v>
      </c>
      <c r="B62" s="115" t="s">
        <v>607</v>
      </c>
      <c r="C62" s="107" t="s">
        <v>42</v>
      </c>
      <c r="D62" s="37" t="s">
        <v>608</v>
      </c>
      <c r="E62" s="36" t="s">
        <v>609</v>
      </c>
      <c r="F62" s="38">
        <v>45309</v>
      </c>
      <c r="G62" s="58">
        <v>0.52083333333333337</v>
      </c>
      <c r="H62" s="107" t="s">
        <v>610</v>
      </c>
      <c r="I62" s="37" t="s">
        <v>525</v>
      </c>
      <c r="J62" s="36" t="s">
        <v>611</v>
      </c>
      <c r="K62" s="38">
        <v>45310</v>
      </c>
      <c r="L62" s="58">
        <v>0.5</v>
      </c>
      <c r="M62" s="89">
        <v>259684302</v>
      </c>
      <c r="N62" s="18" t="s">
        <v>49</v>
      </c>
      <c r="O62" s="36" t="s">
        <v>411</v>
      </c>
      <c r="P62" s="36"/>
      <c r="Q62" s="63" t="s">
        <v>757</v>
      </c>
      <c r="R62" s="36" t="s">
        <v>614</v>
      </c>
      <c r="S62" s="36">
        <v>1734</v>
      </c>
      <c r="T62" s="36">
        <v>1530</v>
      </c>
      <c r="U62" s="70">
        <f>plachta3434235[[#This Row],[SALES '[€']]]-plachta3434235[[#This Row],[PURCHASE '[€']]]</f>
        <v>204</v>
      </c>
      <c r="V62" s="71">
        <f>plachta3434235[[#This Row],[MARGIN '[€']]]/plachta3434235[[#This Row],[SALES '[€']]]</f>
        <v>0.11764705882352941</v>
      </c>
      <c r="W62" s="36" t="s">
        <v>774</v>
      </c>
      <c r="X62" s="36" t="s">
        <v>775</v>
      </c>
      <c r="Y62" s="36">
        <v>1252</v>
      </c>
      <c r="Z62" s="36"/>
      <c r="AA62" s="36" t="s">
        <v>51</v>
      </c>
      <c r="AB62" s="72">
        <f t="shared" si="5"/>
        <v>1.2220447284345048</v>
      </c>
      <c r="AC62" s="72">
        <f t="shared" si="9"/>
        <v>1.3849840255591055</v>
      </c>
      <c r="AD62" s="69"/>
      <c r="AE62" s="69"/>
      <c r="AF62" s="69"/>
      <c r="AG62" s="69"/>
      <c r="AH62" s="69"/>
      <c r="AI62" s="69"/>
      <c r="AJ62" s="69"/>
      <c r="AK62" s="69"/>
      <c r="AL62" s="69" t="str">
        <f>IF(plachta3434235[[#This Row],[DELIVERY TIME]]="STORNO","CANCELLED","OK")</f>
        <v>OK</v>
      </c>
      <c r="AM62" s="69"/>
      <c r="AN62" s="69" t="str">
        <f>IF(RIGHT(plachta3434235[[#This Row],[CARRIER]],3)="-MF",921,"")</f>
        <v/>
      </c>
      <c r="AO62" s="69"/>
    </row>
    <row r="63" spans="1:41">
      <c r="A63" s="39">
        <f t="shared" si="7"/>
        <v>3</v>
      </c>
      <c r="B63" s="115" t="s">
        <v>607</v>
      </c>
      <c r="C63" s="107" t="s">
        <v>42</v>
      </c>
      <c r="D63" s="37" t="s">
        <v>608</v>
      </c>
      <c r="E63" s="36" t="s">
        <v>609</v>
      </c>
      <c r="F63" s="38">
        <v>45310</v>
      </c>
      <c r="G63" s="58">
        <v>0.41666666666666669</v>
      </c>
      <c r="H63" s="107" t="s">
        <v>610</v>
      </c>
      <c r="I63" s="37" t="s">
        <v>525</v>
      </c>
      <c r="J63" s="36" t="s">
        <v>611</v>
      </c>
      <c r="K63" s="38">
        <v>45313</v>
      </c>
      <c r="L63" s="58">
        <v>0.1875</v>
      </c>
      <c r="M63" s="89">
        <v>259683532</v>
      </c>
      <c r="N63" s="18" t="s">
        <v>49</v>
      </c>
      <c r="O63" s="36" t="s">
        <v>411</v>
      </c>
      <c r="P63" s="36"/>
      <c r="Q63" s="63" t="s">
        <v>680</v>
      </c>
      <c r="R63" s="36" t="s">
        <v>614</v>
      </c>
      <c r="S63" s="36">
        <v>1734</v>
      </c>
      <c r="T63" s="36">
        <v>1530</v>
      </c>
      <c r="U63" s="70">
        <f>plachta3434235[[#This Row],[SALES '[€']]]-plachta3434235[[#This Row],[PURCHASE '[€']]]</f>
        <v>204</v>
      </c>
      <c r="V63" s="71">
        <f>plachta3434235[[#This Row],[MARGIN '[€']]]/plachta3434235[[#This Row],[SALES '[€']]]</f>
        <v>0.11764705882352941</v>
      </c>
      <c r="W63" s="36" t="s">
        <v>776</v>
      </c>
      <c r="X63" s="36" t="s">
        <v>777</v>
      </c>
      <c r="Y63" s="36">
        <v>1252</v>
      </c>
      <c r="Z63" s="36"/>
      <c r="AA63" s="36" t="s">
        <v>51</v>
      </c>
      <c r="AB63" s="72">
        <f t="shared" si="5"/>
        <v>1.2220447284345048</v>
      </c>
      <c r="AC63" s="72">
        <f t="shared" si="9"/>
        <v>1.3849840255591055</v>
      </c>
      <c r="AD63" s="69"/>
      <c r="AE63" s="69"/>
      <c r="AF63" s="69"/>
      <c r="AG63" s="69"/>
      <c r="AH63" s="69"/>
      <c r="AI63" s="69"/>
      <c r="AJ63" s="69"/>
      <c r="AK63" s="69"/>
      <c r="AL63" s="69" t="str">
        <f>IF(plachta3434235[[#This Row],[DELIVERY TIME]]="STORNO","CANCELLED","OK")</f>
        <v>OK</v>
      </c>
      <c r="AM63" s="69"/>
      <c r="AN63" s="69" t="str">
        <f>IF(RIGHT(plachta3434235[[#This Row],[CARRIER]],3)="-MF",921,"")</f>
        <v/>
      </c>
      <c r="AO63" s="69"/>
    </row>
    <row r="64" spans="1:41">
      <c r="A64" s="39">
        <f t="shared" si="7"/>
        <v>3</v>
      </c>
      <c r="B64" s="115" t="s">
        <v>607</v>
      </c>
      <c r="C64" s="107" t="s">
        <v>42</v>
      </c>
      <c r="D64" s="37" t="s">
        <v>608</v>
      </c>
      <c r="E64" s="36" t="s">
        <v>609</v>
      </c>
      <c r="F64" s="38">
        <v>45310</v>
      </c>
      <c r="G64" s="58">
        <v>0.79166666666666663</v>
      </c>
      <c r="H64" s="107" t="s">
        <v>610</v>
      </c>
      <c r="I64" s="37" t="s">
        <v>525</v>
      </c>
      <c r="J64" s="36" t="s">
        <v>611</v>
      </c>
      <c r="K64" s="38">
        <v>45313</v>
      </c>
      <c r="L64" s="58">
        <v>0.75</v>
      </c>
      <c r="M64" s="89">
        <v>259684305</v>
      </c>
      <c r="N64" s="18" t="s">
        <v>49</v>
      </c>
      <c r="O64" s="36" t="s">
        <v>411</v>
      </c>
      <c r="P64" s="36"/>
      <c r="Q64" s="63" t="s">
        <v>778</v>
      </c>
      <c r="R64" s="36" t="s">
        <v>614</v>
      </c>
      <c r="S64" s="36">
        <v>1734</v>
      </c>
      <c r="T64" s="36">
        <v>1530</v>
      </c>
      <c r="U64" s="70">
        <f>plachta3434235[[#This Row],[SALES '[€']]]-plachta3434235[[#This Row],[PURCHASE '[€']]]</f>
        <v>204</v>
      </c>
      <c r="V64" s="71">
        <f>plachta3434235[[#This Row],[MARGIN '[€']]]/plachta3434235[[#This Row],[SALES '[€']]]</f>
        <v>0.11764705882352941</v>
      </c>
      <c r="W64" s="36" t="s">
        <v>779</v>
      </c>
      <c r="X64" s="36" t="s">
        <v>780</v>
      </c>
      <c r="Y64" s="36">
        <v>1252</v>
      </c>
      <c r="Z64" s="36"/>
      <c r="AA64" s="36" t="s">
        <v>51</v>
      </c>
      <c r="AB64" s="72">
        <f t="shared" si="5"/>
        <v>1.2220447284345048</v>
      </c>
      <c r="AC64" s="72">
        <f t="shared" si="9"/>
        <v>1.3849840255591055</v>
      </c>
      <c r="AD64" s="69"/>
      <c r="AE64" s="69"/>
      <c r="AF64" s="69"/>
      <c r="AG64" s="69"/>
      <c r="AH64" s="69"/>
      <c r="AI64" s="69"/>
      <c r="AJ64" s="69"/>
      <c r="AK64" s="69"/>
      <c r="AL64" s="69" t="str">
        <f>IF(plachta3434235[[#This Row],[DELIVERY TIME]]="STORNO","CANCELLED","OK")</f>
        <v>OK</v>
      </c>
      <c r="AM64" s="69"/>
      <c r="AN64" s="69" t="str">
        <f>IF(RIGHT(plachta3434235[[#This Row],[CARRIER]],3)="-MF",921,"")</f>
        <v/>
      </c>
      <c r="AO64" s="69"/>
    </row>
    <row r="65" spans="1:41">
      <c r="A65" s="39">
        <f t="shared" si="7"/>
        <v>3</v>
      </c>
      <c r="B65" s="36" t="s">
        <v>617</v>
      </c>
      <c r="C65" s="107" t="s">
        <v>618</v>
      </c>
      <c r="D65" s="37" t="s">
        <v>619</v>
      </c>
      <c r="E65" s="36" t="s">
        <v>620</v>
      </c>
      <c r="F65" s="38">
        <v>45306</v>
      </c>
      <c r="G65" s="58"/>
      <c r="H65" s="107" t="s">
        <v>42</v>
      </c>
      <c r="I65" s="37" t="s">
        <v>621</v>
      </c>
      <c r="J65" s="36" t="s">
        <v>622</v>
      </c>
      <c r="K65" s="38">
        <v>45307</v>
      </c>
      <c r="L65" s="58"/>
      <c r="M65" s="73">
        <v>6101203990</v>
      </c>
      <c r="N65" s="18" t="s">
        <v>692</v>
      </c>
      <c r="O65" s="36" t="s">
        <v>355</v>
      </c>
      <c r="P65" s="36"/>
      <c r="Q65" s="63" t="s">
        <v>693</v>
      </c>
      <c r="R65" s="36" t="s">
        <v>624</v>
      </c>
      <c r="S65" s="117">
        <v>450.17</v>
      </c>
      <c r="T65" s="18">
        <v>400</v>
      </c>
      <c r="U65" s="70">
        <f>plachta3434235[[#This Row],[SALES '[€']]]-plachta3434235[[#This Row],[PURCHASE '[€']]]</f>
        <v>50.170000000000016</v>
      </c>
      <c r="V65" s="71">
        <f>plachta3434235[[#This Row],[MARGIN '[€']]]/plachta3434235[[#This Row],[SALES '[€']]]</f>
        <v>0.11144678676944268</v>
      </c>
      <c r="W65" s="36">
        <v>9215170663</v>
      </c>
      <c r="X65" s="36" t="s">
        <v>781</v>
      </c>
      <c r="Y65" s="36">
        <v>265</v>
      </c>
      <c r="Z65" s="36"/>
      <c r="AA65" s="36" t="s">
        <v>51</v>
      </c>
      <c r="AB65" s="72">
        <f t="shared" si="5"/>
        <v>1.5094339622641511</v>
      </c>
      <c r="AC65" s="72">
        <f t="shared" si="9"/>
        <v>1.6987547169811321</v>
      </c>
      <c r="AD65" s="69"/>
      <c r="AE65" s="69"/>
      <c r="AF65" s="69"/>
      <c r="AG65" s="69"/>
      <c r="AH65" s="69"/>
      <c r="AI65" s="69"/>
      <c r="AJ65" s="69"/>
      <c r="AK65" s="69"/>
      <c r="AL65" s="69" t="str">
        <f>IF(plachta3434235[[#This Row],[DELIVERY TIME]]="STORNO","CANCELLED","OK")</f>
        <v>OK</v>
      </c>
      <c r="AM65" s="69"/>
      <c r="AN65" s="69" t="str">
        <f>IF(RIGHT(plachta3434235[[#This Row],[CARRIER]],3)="-MF",921,"")</f>
        <v/>
      </c>
      <c r="AO65" s="69"/>
    </row>
    <row r="66" spans="1:41">
      <c r="A66" s="39">
        <f t="shared" si="7"/>
        <v>3</v>
      </c>
      <c r="B66" s="36" t="s">
        <v>617</v>
      </c>
      <c r="C66" s="107" t="s">
        <v>618</v>
      </c>
      <c r="D66" s="37" t="s">
        <v>619</v>
      </c>
      <c r="E66" s="36" t="s">
        <v>620</v>
      </c>
      <c r="F66" s="38">
        <v>45308</v>
      </c>
      <c r="G66" s="58"/>
      <c r="H66" s="107" t="s">
        <v>42</v>
      </c>
      <c r="I66" s="37" t="s">
        <v>621</v>
      </c>
      <c r="J66" s="36" t="s">
        <v>622</v>
      </c>
      <c r="K66" s="38">
        <v>45309</v>
      </c>
      <c r="L66" s="58"/>
      <c r="M66" s="73">
        <v>6101203991</v>
      </c>
      <c r="N66" s="18" t="s">
        <v>692</v>
      </c>
      <c r="O66" s="36" t="s">
        <v>355</v>
      </c>
      <c r="P66" s="36"/>
      <c r="Q66" s="63" t="s">
        <v>693</v>
      </c>
      <c r="R66" s="36" t="s">
        <v>624</v>
      </c>
      <c r="S66" s="117">
        <v>450.17</v>
      </c>
      <c r="T66" s="18">
        <v>400</v>
      </c>
      <c r="U66" s="70">
        <f>plachta3434235[[#This Row],[SALES '[€']]]-plachta3434235[[#This Row],[PURCHASE '[€']]]</f>
        <v>50.170000000000016</v>
      </c>
      <c r="V66" s="71">
        <f>plachta3434235[[#This Row],[MARGIN '[€']]]/plachta3434235[[#This Row],[SALES '[€']]]</f>
        <v>0.11144678676944268</v>
      </c>
      <c r="W66" s="36">
        <v>9215170664</v>
      </c>
      <c r="X66" s="36" t="s">
        <v>782</v>
      </c>
      <c r="Y66" s="36">
        <v>265</v>
      </c>
      <c r="Z66" s="36"/>
      <c r="AA66" s="36" t="s">
        <v>51</v>
      </c>
      <c r="AB66" s="72">
        <f t="shared" si="5"/>
        <v>1.5094339622641511</v>
      </c>
      <c r="AC66" s="72">
        <f t="shared" si="9"/>
        <v>1.6987547169811321</v>
      </c>
      <c r="AD66" s="69"/>
      <c r="AE66" s="69"/>
      <c r="AF66" s="69"/>
      <c r="AG66" s="69"/>
      <c r="AH66" s="69"/>
      <c r="AI66" s="69"/>
      <c r="AJ66" s="69"/>
      <c r="AK66" s="69"/>
      <c r="AL66" s="69" t="str">
        <f>IF(plachta3434235[[#This Row],[DELIVERY TIME]]="STORNO","CANCELLED","OK")</f>
        <v>OK</v>
      </c>
      <c r="AM66" s="69"/>
      <c r="AN66" s="69" t="str">
        <f>IF(RIGHT(plachta3434235[[#This Row],[CARRIER]],3)="-MF",921,"")</f>
        <v/>
      </c>
      <c r="AO66" s="69"/>
    </row>
    <row r="67" spans="1:41">
      <c r="A67" s="39">
        <f t="shared" si="7"/>
        <v>3</v>
      </c>
      <c r="B67" s="36" t="s">
        <v>617</v>
      </c>
      <c r="C67" s="107" t="s">
        <v>45</v>
      </c>
      <c r="D67" s="37" t="s">
        <v>121</v>
      </c>
      <c r="E67" s="36" t="s">
        <v>697</v>
      </c>
      <c r="F67" s="38">
        <v>45308</v>
      </c>
      <c r="G67" s="58"/>
      <c r="H67" s="107" t="s">
        <v>42</v>
      </c>
      <c r="I67" s="37" t="s">
        <v>621</v>
      </c>
      <c r="J67" s="36" t="s">
        <v>622</v>
      </c>
      <c r="K67" s="38">
        <v>45310</v>
      </c>
      <c r="L67" s="58"/>
      <c r="M67" s="73">
        <v>6101199424</v>
      </c>
      <c r="N67" s="97" t="s">
        <v>698</v>
      </c>
      <c r="O67" s="36" t="s">
        <v>355</v>
      </c>
      <c r="P67" s="36" t="s">
        <v>783</v>
      </c>
      <c r="Q67" s="63" t="s">
        <v>784</v>
      </c>
      <c r="R67" s="36" t="s">
        <v>701</v>
      </c>
      <c r="S67" s="36">
        <v>1651.37</v>
      </c>
      <c r="T67" s="36">
        <v>1365</v>
      </c>
      <c r="U67" s="70">
        <f>plachta3434235[[#This Row],[SALES '[€']]]-plachta3434235[[#This Row],[PURCHASE '[€']]]</f>
        <v>286.36999999999989</v>
      </c>
      <c r="V67" s="71">
        <f>plachta3434235[[#This Row],[MARGIN '[€']]]/plachta3434235[[#This Row],[SALES '[€']]]</f>
        <v>0.17341358992836245</v>
      </c>
      <c r="W67" s="36">
        <v>9215170835</v>
      </c>
      <c r="X67" s="36" t="s">
        <v>785</v>
      </c>
      <c r="Y67" s="36">
        <v>1428</v>
      </c>
      <c r="Z67" s="36"/>
      <c r="AA67" s="36" t="s">
        <v>51</v>
      </c>
      <c r="AB67" s="72">
        <f t="shared" si="5"/>
        <v>0.95588235294117652</v>
      </c>
      <c r="AC67" s="72">
        <f t="shared" si="9"/>
        <v>1.1564215686274508</v>
      </c>
      <c r="AD67" s="69"/>
      <c r="AE67" s="69"/>
      <c r="AF67" s="69"/>
      <c r="AG67" s="69"/>
      <c r="AH67" s="69"/>
      <c r="AI67" s="69"/>
      <c r="AJ67" s="69"/>
      <c r="AK67" s="69"/>
      <c r="AL67" s="69" t="str">
        <f>IF(plachta3434235[[#This Row],[DELIVERY TIME]]="STORNO","CANCELLED","OK")</f>
        <v>OK</v>
      </c>
      <c r="AM67" s="69"/>
      <c r="AN67" s="69" t="str">
        <f>IF(RIGHT(plachta3434235[[#This Row],[CARRIER]],3)="-MF",921,"")</f>
        <v/>
      </c>
      <c r="AO67" s="69"/>
    </row>
    <row r="68" spans="1:41" ht="14.45">
      <c r="A68" s="39">
        <f t="shared" ref="A68:A141" si="10">WEEKNUM(F68,21)</f>
        <v>3</v>
      </c>
      <c r="B68" s="36" t="s">
        <v>617</v>
      </c>
      <c r="C68" s="107" t="s">
        <v>197</v>
      </c>
      <c r="D68" s="37" t="s">
        <v>707</v>
      </c>
      <c r="E68" s="36" t="s">
        <v>708</v>
      </c>
      <c r="F68" s="38">
        <v>45308</v>
      </c>
      <c r="G68" s="58"/>
      <c r="H68" s="107" t="s">
        <v>42</v>
      </c>
      <c r="I68" s="37" t="s">
        <v>621</v>
      </c>
      <c r="J68" s="36" t="s">
        <v>622</v>
      </c>
      <c r="K68" s="38">
        <v>45309</v>
      </c>
      <c r="L68" s="58"/>
      <c r="M68" s="73">
        <v>6101208457</v>
      </c>
      <c r="N68" s="18" t="s">
        <v>692</v>
      </c>
      <c r="O68" s="36" t="s">
        <v>355</v>
      </c>
      <c r="P68" s="59"/>
      <c r="Q68" s="63" t="s">
        <v>786</v>
      </c>
      <c r="R68" s="36" t="s">
        <v>787</v>
      </c>
      <c r="S68" s="116">
        <v>1534.95</v>
      </c>
      <c r="T68" s="36">
        <v>1460</v>
      </c>
      <c r="U68" s="70">
        <f>plachta3434235[[#This Row],[SALES '[€']]]-plachta3434235[[#This Row],[PURCHASE '[€']]]</f>
        <v>74.950000000000045</v>
      </c>
      <c r="V68" s="71">
        <f>plachta3434235[[#This Row],[MARGIN '[€']]]/plachta3434235[[#This Row],[SALES '[€']]]</f>
        <v>4.8828952083129769E-2</v>
      </c>
      <c r="W68" s="36">
        <v>9215170789</v>
      </c>
      <c r="X68" s="36" t="s">
        <v>788</v>
      </c>
      <c r="Y68" s="36">
        <v>1283</v>
      </c>
      <c r="Z68" s="66" t="s">
        <v>789</v>
      </c>
      <c r="AA68" s="36" t="s">
        <v>208</v>
      </c>
      <c r="AB68" s="72">
        <f t="shared" si="5"/>
        <v>1.1379579111457521</v>
      </c>
      <c r="AC68" s="72">
        <f t="shared" ref="AC68:AC82" si="11">S68/Y68</f>
        <v>1.1963756819953235</v>
      </c>
      <c r="AD68" s="69"/>
      <c r="AE68" s="69"/>
      <c r="AF68" s="69"/>
      <c r="AG68" s="69"/>
      <c r="AH68" s="69"/>
      <c r="AI68" s="69"/>
      <c r="AJ68" s="69"/>
      <c r="AK68" s="69"/>
      <c r="AL68" s="69" t="str">
        <f>IF(plachta3434235[[#This Row],[DELIVERY TIME]]="STORNO","CANCELLED","OK")</f>
        <v>OK</v>
      </c>
      <c r="AM68" s="69"/>
      <c r="AN68" s="69" t="str">
        <f>IF(RIGHT(plachta3434235[[#This Row],[CARRIER]],3)="-MF",921,"")</f>
        <v/>
      </c>
      <c r="AO68" s="69"/>
    </row>
    <row r="69" spans="1:41">
      <c r="A69" s="39">
        <f t="shared" si="10"/>
        <v>3</v>
      </c>
      <c r="B69" s="116" t="s">
        <v>583</v>
      </c>
      <c r="C69" s="107" t="s">
        <v>42</v>
      </c>
      <c r="D69" s="37" t="s">
        <v>584</v>
      </c>
      <c r="E69" s="36" t="s">
        <v>585</v>
      </c>
      <c r="F69" s="38">
        <v>45310</v>
      </c>
      <c r="G69" s="58">
        <v>0.33333333333333331</v>
      </c>
      <c r="H69" s="107" t="s">
        <v>197</v>
      </c>
      <c r="I69" s="37" t="s">
        <v>586</v>
      </c>
      <c r="J69" s="36" t="s">
        <v>587</v>
      </c>
      <c r="K69" s="38">
        <v>45313</v>
      </c>
      <c r="L69" s="58">
        <v>0.33333333333333331</v>
      </c>
      <c r="M69" s="89">
        <v>259703582</v>
      </c>
      <c r="N69" s="18" t="s">
        <v>49</v>
      </c>
      <c r="O69" s="36" t="s">
        <v>411</v>
      </c>
      <c r="P69" s="123">
        <v>4503451458</v>
      </c>
      <c r="Q69" s="63" t="s">
        <v>790</v>
      </c>
      <c r="R69" s="94" t="s">
        <v>312</v>
      </c>
      <c r="S69" s="18">
        <f t="shared" ref="S69:S77" si="12">1846+77.64</f>
        <v>1923.64</v>
      </c>
      <c r="T69" s="36">
        <v>1718.2</v>
      </c>
      <c r="U69" s="111">
        <f>plachta3434235[[#This Row],[SALES '[€']]]-plachta3434235[[#This Row],[PURCHASE '[€']]]</f>
        <v>205.44000000000005</v>
      </c>
      <c r="V69" s="112">
        <f>plachta3434235[[#This Row],[MARGIN '[€']]]/plachta3434235[[#This Row],[SALES '[€']]]</f>
        <v>0.10679752968330875</v>
      </c>
      <c r="W69" s="92" t="s">
        <v>791</v>
      </c>
      <c r="X69" s="92" t="s">
        <v>792</v>
      </c>
      <c r="Y69" s="92">
        <v>1493</v>
      </c>
      <c r="Z69" s="106">
        <v>1</v>
      </c>
      <c r="AA69" s="36" t="s">
        <v>208</v>
      </c>
      <c r="AB69" s="72">
        <f t="shared" si="5"/>
        <v>1.1508372404554588</v>
      </c>
      <c r="AC69" s="72">
        <f t="shared" si="11"/>
        <v>1.2884393837910249</v>
      </c>
      <c r="AD69" s="69"/>
      <c r="AE69" s="69"/>
      <c r="AF69" s="69"/>
      <c r="AG69" s="69"/>
      <c r="AH69" s="69"/>
      <c r="AI69" s="69"/>
      <c r="AJ69" s="69"/>
      <c r="AK69" s="69"/>
      <c r="AL69" s="69" t="str">
        <f>IF(plachta3434235[[#This Row],[DELIVERY TIME]]="STORNO","CANCELLED","OK")</f>
        <v>OK</v>
      </c>
      <c r="AM69" s="69"/>
      <c r="AN69" s="69">
        <f>IF(RIGHT(plachta3434235[[#This Row],[CARRIER]],3)="-MF",921,"")</f>
        <v>921</v>
      </c>
      <c r="AO69" s="69"/>
    </row>
    <row r="70" spans="1:41">
      <c r="A70" s="39">
        <f t="shared" si="10"/>
        <v>3</v>
      </c>
      <c r="B70" s="116" t="s">
        <v>583</v>
      </c>
      <c r="C70" s="107" t="s">
        <v>42</v>
      </c>
      <c r="D70" s="37" t="s">
        <v>584</v>
      </c>
      <c r="E70" s="36" t="s">
        <v>585</v>
      </c>
      <c r="F70" s="38">
        <v>45310</v>
      </c>
      <c r="G70" s="58">
        <v>0.66666666666666663</v>
      </c>
      <c r="H70" s="107" t="s">
        <v>197</v>
      </c>
      <c r="I70" s="37" t="s">
        <v>586</v>
      </c>
      <c r="J70" s="36" t="s">
        <v>587</v>
      </c>
      <c r="K70" s="38">
        <v>45313</v>
      </c>
      <c r="L70" s="58">
        <v>0.66666666666666663</v>
      </c>
      <c r="M70" s="89">
        <v>259703586</v>
      </c>
      <c r="N70" s="18" t="s">
        <v>49</v>
      </c>
      <c r="O70" s="36" t="s">
        <v>411</v>
      </c>
      <c r="P70" s="123"/>
      <c r="Q70" s="63" t="s">
        <v>602</v>
      </c>
      <c r="R70" s="36" t="s">
        <v>594</v>
      </c>
      <c r="S70" s="18">
        <f t="shared" si="12"/>
        <v>1923.64</v>
      </c>
      <c r="T70" s="36">
        <v>1698</v>
      </c>
      <c r="U70" s="111">
        <f>plachta3434235[[#This Row],[SALES '[€']]]-plachta3434235[[#This Row],[PURCHASE '[€']]]</f>
        <v>225.6400000000001</v>
      </c>
      <c r="V70" s="112">
        <f>plachta3434235[[#This Row],[MARGIN '[€']]]/plachta3434235[[#This Row],[SALES '[€']]]</f>
        <v>0.11729845501237242</v>
      </c>
      <c r="W70" s="92" t="s">
        <v>793</v>
      </c>
      <c r="X70" s="92" t="s">
        <v>794</v>
      </c>
      <c r="Y70" s="92">
        <v>1492</v>
      </c>
      <c r="Z70" s="106"/>
      <c r="AA70" s="36" t="s">
        <v>51</v>
      </c>
      <c r="AB70" s="72">
        <f t="shared" si="5"/>
        <v>1.1380697050938338</v>
      </c>
      <c r="AC70" s="72">
        <f t="shared" si="11"/>
        <v>1.2893029490616623</v>
      </c>
      <c r="AD70" s="69"/>
      <c r="AE70" s="69"/>
      <c r="AF70" s="69"/>
      <c r="AG70" s="69"/>
      <c r="AH70" s="69"/>
      <c r="AI70" s="69"/>
      <c r="AJ70" s="69"/>
      <c r="AK70" s="69"/>
      <c r="AL70" s="69" t="str">
        <f>IF(plachta3434235[[#This Row],[DELIVERY TIME]]="STORNO","CANCELLED","OK")</f>
        <v>OK</v>
      </c>
      <c r="AM70" s="69"/>
      <c r="AN70" s="69" t="str">
        <f>IF(RIGHT(plachta3434235[[#This Row],[CARRIER]],3)="-MF",921,"")</f>
        <v/>
      </c>
      <c r="AO70" s="69"/>
    </row>
    <row r="71" spans="1:41">
      <c r="A71" s="39">
        <f t="shared" si="10"/>
        <v>3</v>
      </c>
      <c r="B71" s="116" t="s">
        <v>583</v>
      </c>
      <c r="C71" s="107" t="s">
        <v>42</v>
      </c>
      <c r="D71" s="37" t="s">
        <v>584</v>
      </c>
      <c r="E71" s="36" t="s">
        <v>585</v>
      </c>
      <c r="F71" s="38">
        <v>45310</v>
      </c>
      <c r="G71" s="58">
        <v>0.83333333333333337</v>
      </c>
      <c r="H71" s="107" t="s">
        <v>197</v>
      </c>
      <c r="I71" s="37" t="s">
        <v>586</v>
      </c>
      <c r="J71" s="36" t="s">
        <v>587</v>
      </c>
      <c r="K71" s="38">
        <v>45313</v>
      </c>
      <c r="L71" s="58">
        <v>0.83333333333333337</v>
      </c>
      <c r="M71" s="89">
        <v>259703588</v>
      </c>
      <c r="N71" s="18" t="s">
        <v>49</v>
      </c>
      <c r="O71" s="36" t="s">
        <v>411</v>
      </c>
      <c r="P71" s="123"/>
      <c r="Q71" s="63" t="s">
        <v>593</v>
      </c>
      <c r="R71" s="36" t="s">
        <v>594</v>
      </c>
      <c r="S71" s="18">
        <f t="shared" si="12"/>
        <v>1923.64</v>
      </c>
      <c r="T71" s="36">
        <v>1698</v>
      </c>
      <c r="U71" s="111">
        <f>plachta3434235[[#This Row],[SALES '[€']]]-plachta3434235[[#This Row],[PURCHASE '[€']]]</f>
        <v>225.6400000000001</v>
      </c>
      <c r="V71" s="112">
        <f>plachta3434235[[#This Row],[MARGIN '[€']]]/plachta3434235[[#This Row],[SALES '[€']]]</f>
        <v>0.11729845501237242</v>
      </c>
      <c r="W71" s="92" t="s">
        <v>795</v>
      </c>
      <c r="X71" s="92" t="s">
        <v>796</v>
      </c>
      <c r="Y71" s="92">
        <v>1492</v>
      </c>
      <c r="Z71" s="106"/>
      <c r="AA71" s="36" t="s">
        <v>51</v>
      </c>
      <c r="AB71" s="72">
        <f t="shared" si="5"/>
        <v>1.1380697050938338</v>
      </c>
      <c r="AC71" s="72">
        <f t="shared" si="11"/>
        <v>1.2893029490616623</v>
      </c>
      <c r="AD71" s="69"/>
      <c r="AE71" s="69"/>
      <c r="AF71" s="69"/>
      <c r="AG71" s="69"/>
      <c r="AH71" s="69"/>
      <c r="AI71" s="69"/>
      <c r="AJ71" s="69"/>
      <c r="AK71" s="69"/>
      <c r="AL71" s="69" t="str">
        <f>IF(plachta3434235[[#This Row],[DELIVERY TIME]]="STORNO","CANCELLED","OK")</f>
        <v>OK</v>
      </c>
      <c r="AM71" s="69"/>
      <c r="AN71" s="69" t="str">
        <f>IF(RIGHT(plachta3434235[[#This Row],[CARRIER]],3)="-MF",921,"")</f>
        <v/>
      </c>
      <c r="AO71" s="69"/>
    </row>
    <row r="72" spans="1:41">
      <c r="A72" s="39">
        <f t="shared" si="10"/>
        <v>4</v>
      </c>
      <c r="B72" s="116" t="s">
        <v>583</v>
      </c>
      <c r="C72" s="107" t="s">
        <v>42</v>
      </c>
      <c r="D72" s="37" t="s">
        <v>584</v>
      </c>
      <c r="E72" s="36" t="s">
        <v>585</v>
      </c>
      <c r="F72" s="38">
        <v>45313</v>
      </c>
      <c r="G72" s="58">
        <v>0.33333333333333331</v>
      </c>
      <c r="H72" s="107" t="s">
        <v>197</v>
      </c>
      <c r="I72" s="37" t="s">
        <v>586</v>
      </c>
      <c r="J72" s="36" t="s">
        <v>587</v>
      </c>
      <c r="K72" s="38">
        <v>45314</v>
      </c>
      <c r="L72" s="58">
        <v>0.33333333333333331</v>
      </c>
      <c r="M72" s="89">
        <v>259703591</v>
      </c>
      <c r="N72" s="18" t="s">
        <v>49</v>
      </c>
      <c r="O72" s="36" t="s">
        <v>411</v>
      </c>
      <c r="P72" s="123"/>
      <c r="Q72" s="63" t="s">
        <v>599</v>
      </c>
      <c r="R72" s="36" t="s">
        <v>594</v>
      </c>
      <c r="S72" s="18">
        <f t="shared" si="12"/>
        <v>1923.64</v>
      </c>
      <c r="T72" s="36">
        <v>1698</v>
      </c>
      <c r="U72" s="111">
        <f>plachta3434235[[#This Row],[SALES '[€']]]-plachta3434235[[#This Row],[PURCHASE '[€']]]</f>
        <v>225.6400000000001</v>
      </c>
      <c r="V72" s="112">
        <f>plachta3434235[[#This Row],[MARGIN '[€']]]/plachta3434235[[#This Row],[SALES '[€']]]</f>
        <v>0.11729845501237242</v>
      </c>
      <c r="W72" s="92" t="s">
        <v>797</v>
      </c>
      <c r="X72" s="92" t="s">
        <v>798</v>
      </c>
      <c r="Y72" s="92">
        <v>1492</v>
      </c>
      <c r="Z72" s="106"/>
      <c r="AA72" s="36" t="s">
        <v>51</v>
      </c>
      <c r="AB72" s="72">
        <f t="shared" si="5"/>
        <v>1.1380697050938338</v>
      </c>
      <c r="AC72" s="72">
        <f t="shared" si="11"/>
        <v>1.2893029490616623</v>
      </c>
      <c r="AD72" s="69"/>
      <c r="AE72" s="69"/>
      <c r="AF72" s="69"/>
      <c r="AG72" s="69"/>
      <c r="AH72" s="69"/>
      <c r="AI72" s="69"/>
      <c r="AJ72" s="69"/>
      <c r="AK72" s="69"/>
      <c r="AL72" s="69" t="str">
        <f>IF(plachta3434235[[#This Row],[DELIVERY TIME]]="STORNO","CANCELLED","OK")</f>
        <v>OK</v>
      </c>
      <c r="AM72" s="69"/>
      <c r="AN72" s="69" t="str">
        <f>IF(RIGHT(plachta3434235[[#This Row],[CARRIER]],3)="-MF",921,"")</f>
        <v/>
      </c>
      <c r="AO72" s="69"/>
    </row>
    <row r="73" spans="1:41">
      <c r="A73" s="39">
        <f t="shared" si="10"/>
        <v>4</v>
      </c>
      <c r="B73" s="116" t="s">
        <v>583</v>
      </c>
      <c r="C73" s="107" t="s">
        <v>42</v>
      </c>
      <c r="D73" s="37" t="s">
        <v>584</v>
      </c>
      <c r="E73" s="36" t="s">
        <v>585</v>
      </c>
      <c r="F73" s="38">
        <v>45313</v>
      </c>
      <c r="G73" s="58">
        <v>0.66666666666666663</v>
      </c>
      <c r="H73" s="107" t="s">
        <v>197</v>
      </c>
      <c r="I73" s="37" t="s">
        <v>586</v>
      </c>
      <c r="J73" s="36" t="s">
        <v>587</v>
      </c>
      <c r="K73" s="38">
        <v>45314</v>
      </c>
      <c r="L73" s="58">
        <v>0.66666666666666663</v>
      </c>
      <c r="M73" s="89">
        <v>259703592</v>
      </c>
      <c r="N73" s="18" t="s">
        <v>49</v>
      </c>
      <c r="O73" s="36" t="s">
        <v>411</v>
      </c>
      <c r="P73" s="123"/>
      <c r="Q73" s="63" t="s">
        <v>662</v>
      </c>
      <c r="R73" s="36" t="s">
        <v>594</v>
      </c>
      <c r="S73" s="18">
        <f t="shared" si="12"/>
        <v>1923.64</v>
      </c>
      <c r="T73" s="36">
        <v>1698</v>
      </c>
      <c r="U73" s="111">
        <f>plachta3434235[[#This Row],[SALES '[€']]]-plachta3434235[[#This Row],[PURCHASE '[€']]]</f>
        <v>225.6400000000001</v>
      </c>
      <c r="V73" s="112">
        <f>plachta3434235[[#This Row],[MARGIN '[€']]]/plachta3434235[[#This Row],[SALES '[€']]]</f>
        <v>0.11729845501237242</v>
      </c>
      <c r="W73" s="92" t="s">
        <v>799</v>
      </c>
      <c r="X73" s="92" t="s">
        <v>800</v>
      </c>
      <c r="Y73" s="92">
        <v>1492</v>
      </c>
      <c r="Z73" s="106"/>
      <c r="AA73" s="36" t="s">
        <v>51</v>
      </c>
      <c r="AB73" s="72">
        <f t="shared" si="5"/>
        <v>1.1380697050938338</v>
      </c>
      <c r="AC73" s="72">
        <f t="shared" si="11"/>
        <v>1.2893029490616623</v>
      </c>
      <c r="AD73" s="69"/>
      <c r="AE73" s="69"/>
      <c r="AF73" s="69"/>
      <c r="AG73" s="69"/>
      <c r="AH73" s="69"/>
      <c r="AI73" s="69"/>
      <c r="AJ73" s="69"/>
      <c r="AK73" s="69"/>
      <c r="AL73" s="69" t="str">
        <f>IF(plachta3434235[[#This Row],[DELIVERY TIME]]="STORNO","CANCELLED","OK")</f>
        <v>OK</v>
      </c>
      <c r="AM73" s="69"/>
      <c r="AN73" s="69" t="str">
        <f>IF(RIGHT(plachta3434235[[#This Row],[CARRIER]],3)="-MF",921,"")</f>
        <v/>
      </c>
      <c r="AO73" s="69"/>
    </row>
    <row r="74" spans="1:41">
      <c r="A74" s="39">
        <f t="shared" si="10"/>
        <v>4</v>
      </c>
      <c r="B74" s="116" t="s">
        <v>583</v>
      </c>
      <c r="C74" s="107" t="s">
        <v>42</v>
      </c>
      <c r="D74" s="37" t="s">
        <v>584</v>
      </c>
      <c r="E74" s="36" t="s">
        <v>585</v>
      </c>
      <c r="F74" s="38">
        <v>45314</v>
      </c>
      <c r="G74" s="58">
        <v>0.33333333333333331</v>
      </c>
      <c r="H74" s="107" t="s">
        <v>197</v>
      </c>
      <c r="I74" s="37" t="s">
        <v>586</v>
      </c>
      <c r="J74" s="36" t="s">
        <v>587</v>
      </c>
      <c r="K74" s="38">
        <v>45315</v>
      </c>
      <c r="L74" s="58">
        <v>0.33333333333333331</v>
      </c>
      <c r="M74" s="89">
        <v>259703593</v>
      </c>
      <c r="N74" s="18" t="s">
        <v>49</v>
      </c>
      <c r="O74" s="36" t="s">
        <v>411</v>
      </c>
      <c r="P74" s="123"/>
      <c r="Q74" s="42" t="s">
        <v>72</v>
      </c>
      <c r="R74" s="119" t="s">
        <v>73</v>
      </c>
      <c r="S74" s="18">
        <f t="shared" si="12"/>
        <v>1923.64</v>
      </c>
      <c r="T74" s="36">
        <v>1799.72</v>
      </c>
      <c r="U74" s="111">
        <f>plachta3434235[[#This Row],[SALES '[€']]]-plachta3434235[[#This Row],[PURCHASE '[€']]]</f>
        <v>123.92000000000007</v>
      </c>
      <c r="V74" s="112">
        <f>plachta3434235[[#This Row],[MARGIN '[€']]]/plachta3434235[[#This Row],[SALES '[€']]]</f>
        <v>6.4419537959285553E-2</v>
      </c>
      <c r="W74" s="92" t="s">
        <v>801</v>
      </c>
      <c r="X74" s="92" t="s">
        <v>802</v>
      </c>
      <c r="Y74" s="92">
        <v>1552</v>
      </c>
      <c r="Z74" s="106">
        <v>51</v>
      </c>
      <c r="AA74" s="36" t="s">
        <v>208</v>
      </c>
      <c r="AB74" s="72">
        <f t="shared" si="5"/>
        <v>1.1596134020618556</v>
      </c>
      <c r="AC74" s="72">
        <f t="shared" si="11"/>
        <v>1.2394587628865981</v>
      </c>
      <c r="AD74" s="69"/>
      <c r="AE74" s="69"/>
      <c r="AF74" s="69"/>
      <c r="AG74" s="69"/>
      <c r="AH74" s="69"/>
      <c r="AI74" s="69"/>
      <c r="AJ74" s="69"/>
      <c r="AK74" s="69"/>
      <c r="AL74" s="69" t="str">
        <f>IF(plachta3434235[[#This Row],[DELIVERY TIME]]="STORNO","CANCELLED","OK")</f>
        <v>OK</v>
      </c>
      <c r="AM74" s="69"/>
      <c r="AN74" s="69">
        <f>IF(RIGHT(plachta3434235[[#This Row],[CARRIER]],3)="-MF",921,"")</f>
        <v>921</v>
      </c>
      <c r="AO74" s="69"/>
    </row>
    <row r="75" spans="1:41">
      <c r="A75" s="39">
        <f t="shared" si="10"/>
        <v>4</v>
      </c>
      <c r="B75" s="116" t="s">
        <v>583</v>
      </c>
      <c r="C75" s="107" t="s">
        <v>42</v>
      </c>
      <c r="D75" s="37" t="s">
        <v>584</v>
      </c>
      <c r="E75" s="36" t="s">
        <v>585</v>
      </c>
      <c r="F75" s="38">
        <v>45314</v>
      </c>
      <c r="G75" s="58">
        <v>0.66666666666666663</v>
      </c>
      <c r="H75" s="107" t="s">
        <v>197</v>
      </c>
      <c r="I75" s="37" t="s">
        <v>586</v>
      </c>
      <c r="J75" s="36" t="s">
        <v>587</v>
      </c>
      <c r="K75" s="38">
        <v>45315</v>
      </c>
      <c r="L75" s="58">
        <v>0.66666666666666663</v>
      </c>
      <c r="M75" s="89">
        <v>259703595</v>
      </c>
      <c r="N75" s="18" t="s">
        <v>49</v>
      </c>
      <c r="O75" s="36" t="s">
        <v>411</v>
      </c>
      <c r="P75" s="123"/>
      <c r="Q75" s="63" t="s">
        <v>659</v>
      </c>
      <c r="R75" s="36" t="s">
        <v>594</v>
      </c>
      <c r="S75" s="18">
        <f t="shared" si="12"/>
        <v>1923.64</v>
      </c>
      <c r="T75" s="36">
        <v>1698</v>
      </c>
      <c r="U75" s="111">
        <f>plachta3434235[[#This Row],[SALES '[€']]]-plachta3434235[[#This Row],[PURCHASE '[€']]]</f>
        <v>225.6400000000001</v>
      </c>
      <c r="V75" s="112">
        <f>plachta3434235[[#This Row],[MARGIN '[€']]]/plachta3434235[[#This Row],[SALES '[€']]]</f>
        <v>0.11729845501237242</v>
      </c>
      <c r="W75" s="92" t="s">
        <v>803</v>
      </c>
      <c r="X75" s="92" t="s">
        <v>804</v>
      </c>
      <c r="Y75" s="92">
        <v>1492</v>
      </c>
      <c r="Z75" s="106"/>
      <c r="AA75" s="36" t="s">
        <v>51</v>
      </c>
      <c r="AB75" s="72">
        <f t="shared" si="5"/>
        <v>1.1380697050938338</v>
      </c>
      <c r="AC75" s="72">
        <f t="shared" si="11"/>
        <v>1.2893029490616623</v>
      </c>
      <c r="AD75" s="69"/>
      <c r="AE75" s="69"/>
      <c r="AF75" s="69"/>
      <c r="AG75" s="69"/>
      <c r="AH75" s="69"/>
      <c r="AI75" s="69"/>
      <c r="AJ75" s="69"/>
      <c r="AK75" s="69"/>
      <c r="AL75" s="69" t="str">
        <f>IF(plachta3434235[[#This Row],[DELIVERY TIME]]="STORNO","CANCELLED","OK")</f>
        <v>OK</v>
      </c>
      <c r="AM75" s="69"/>
      <c r="AN75" s="69" t="str">
        <f>IF(RIGHT(plachta3434235[[#This Row],[CARRIER]],3)="-MF",921,"")</f>
        <v/>
      </c>
      <c r="AO75" s="69"/>
    </row>
    <row r="76" spans="1:41">
      <c r="A76" s="39">
        <f t="shared" si="10"/>
        <v>4</v>
      </c>
      <c r="B76" s="116" t="s">
        <v>583</v>
      </c>
      <c r="C76" s="107" t="s">
        <v>42</v>
      </c>
      <c r="D76" s="37" t="s">
        <v>584</v>
      </c>
      <c r="E76" s="36" t="s">
        <v>585</v>
      </c>
      <c r="F76" s="38">
        <v>45314</v>
      </c>
      <c r="G76" s="58">
        <v>0.83333333333333337</v>
      </c>
      <c r="H76" s="107" t="s">
        <v>197</v>
      </c>
      <c r="I76" s="37" t="s">
        <v>586</v>
      </c>
      <c r="J76" s="36" t="s">
        <v>587</v>
      </c>
      <c r="K76" s="38">
        <v>45315</v>
      </c>
      <c r="L76" s="58">
        <v>0.83333333333333337</v>
      </c>
      <c r="M76" s="89">
        <v>259703596</v>
      </c>
      <c r="N76" s="18" t="s">
        <v>49</v>
      </c>
      <c r="O76" s="36" t="s">
        <v>411</v>
      </c>
      <c r="P76" s="123"/>
      <c r="Q76" s="63" t="s">
        <v>593</v>
      </c>
      <c r="R76" s="36" t="s">
        <v>594</v>
      </c>
      <c r="S76" s="18">
        <f t="shared" si="12"/>
        <v>1923.64</v>
      </c>
      <c r="T76" s="36">
        <v>1698</v>
      </c>
      <c r="U76" s="111">
        <f>plachta3434235[[#This Row],[SALES '[€']]]-plachta3434235[[#This Row],[PURCHASE '[€']]]</f>
        <v>225.6400000000001</v>
      </c>
      <c r="V76" s="112">
        <f>plachta3434235[[#This Row],[MARGIN '[€']]]/plachta3434235[[#This Row],[SALES '[€']]]</f>
        <v>0.11729845501237242</v>
      </c>
      <c r="W76" s="92" t="s">
        <v>805</v>
      </c>
      <c r="X76" s="92" t="s">
        <v>806</v>
      </c>
      <c r="Y76" s="92">
        <v>1492</v>
      </c>
      <c r="Z76" s="106"/>
      <c r="AA76" s="36" t="s">
        <v>51</v>
      </c>
      <c r="AB76" s="72">
        <f t="shared" si="5"/>
        <v>1.1380697050938338</v>
      </c>
      <c r="AC76" s="72">
        <f t="shared" si="11"/>
        <v>1.2893029490616623</v>
      </c>
      <c r="AD76" s="69"/>
      <c r="AE76" s="69"/>
      <c r="AF76" s="69"/>
      <c r="AG76" s="69"/>
      <c r="AH76" s="69"/>
      <c r="AI76" s="69"/>
      <c r="AJ76" s="69"/>
      <c r="AK76" s="69"/>
      <c r="AL76" s="69" t="str">
        <f>IF(plachta3434235[[#This Row],[DELIVERY TIME]]="STORNO","CANCELLED","OK")</f>
        <v>OK</v>
      </c>
      <c r="AM76" s="69"/>
      <c r="AN76" s="69" t="str">
        <f>IF(RIGHT(plachta3434235[[#This Row],[CARRIER]],3)="-MF",921,"")</f>
        <v/>
      </c>
      <c r="AO76" s="69"/>
    </row>
    <row r="77" spans="1:41">
      <c r="A77" s="39">
        <f t="shared" si="10"/>
        <v>4</v>
      </c>
      <c r="B77" s="116" t="s">
        <v>583</v>
      </c>
      <c r="C77" s="107" t="s">
        <v>42</v>
      </c>
      <c r="D77" s="37" t="s">
        <v>584</v>
      </c>
      <c r="E77" s="36" t="s">
        <v>585</v>
      </c>
      <c r="F77" s="38">
        <v>45315</v>
      </c>
      <c r="G77" s="58">
        <v>0.33333333333333331</v>
      </c>
      <c r="H77" s="107" t="s">
        <v>197</v>
      </c>
      <c r="I77" s="37" t="s">
        <v>586</v>
      </c>
      <c r="J77" s="36" t="s">
        <v>587</v>
      </c>
      <c r="K77" s="38">
        <v>45316</v>
      </c>
      <c r="L77" s="58">
        <v>0.33333333333333331</v>
      </c>
      <c r="M77" s="89">
        <v>259703598</v>
      </c>
      <c r="N77" s="18" t="s">
        <v>49</v>
      </c>
      <c r="O77" s="36" t="s">
        <v>411</v>
      </c>
      <c r="P77" s="123"/>
      <c r="Q77" s="63" t="s">
        <v>599</v>
      </c>
      <c r="R77" s="36" t="s">
        <v>594</v>
      </c>
      <c r="S77" s="18">
        <f t="shared" si="12"/>
        <v>1923.64</v>
      </c>
      <c r="T77" s="36">
        <v>1698</v>
      </c>
      <c r="U77" s="111">
        <f>plachta3434235[[#This Row],[SALES '[€']]]-plachta3434235[[#This Row],[PURCHASE '[€']]]</f>
        <v>225.6400000000001</v>
      </c>
      <c r="V77" s="112">
        <f>plachta3434235[[#This Row],[MARGIN '[€']]]/plachta3434235[[#This Row],[SALES '[€']]]</f>
        <v>0.11729845501237242</v>
      </c>
      <c r="W77" s="92" t="s">
        <v>807</v>
      </c>
      <c r="X77" s="92" t="s">
        <v>808</v>
      </c>
      <c r="Y77" s="92">
        <v>1492</v>
      </c>
      <c r="Z77" s="106"/>
      <c r="AA77" s="36" t="s">
        <v>51</v>
      </c>
      <c r="AB77" s="72">
        <f t="shared" si="5"/>
        <v>1.1380697050938338</v>
      </c>
      <c r="AC77" s="72">
        <f t="shared" si="11"/>
        <v>1.2893029490616623</v>
      </c>
      <c r="AD77" s="69"/>
      <c r="AE77" s="69"/>
      <c r="AF77" s="69"/>
      <c r="AG77" s="69"/>
      <c r="AH77" s="69"/>
      <c r="AI77" s="69"/>
      <c r="AJ77" s="69"/>
      <c r="AK77" s="69"/>
      <c r="AL77" s="69" t="str">
        <f>IF(plachta3434235[[#This Row],[DELIVERY TIME]]="STORNO","CANCELLED","OK")</f>
        <v>OK</v>
      </c>
      <c r="AM77" s="69"/>
      <c r="AN77" s="69" t="str">
        <f>IF(RIGHT(plachta3434235[[#This Row],[CARRIER]],3)="-MF",921,"")</f>
        <v/>
      </c>
      <c r="AO77" s="69"/>
    </row>
    <row r="78" spans="1:41">
      <c r="A78" s="39">
        <f t="shared" si="10"/>
        <v>4</v>
      </c>
      <c r="B78" s="116" t="s">
        <v>583</v>
      </c>
      <c r="C78" s="107" t="s">
        <v>42</v>
      </c>
      <c r="D78" s="37" t="s">
        <v>584</v>
      </c>
      <c r="E78" s="36" t="s">
        <v>585</v>
      </c>
      <c r="F78" s="38">
        <v>45315</v>
      </c>
      <c r="G78" s="58">
        <v>0.66666666666666663</v>
      </c>
      <c r="H78" s="107" t="s">
        <v>197</v>
      </c>
      <c r="I78" s="37" t="s">
        <v>586</v>
      </c>
      <c r="J78" s="36" t="s">
        <v>587</v>
      </c>
      <c r="K78" s="38">
        <v>45316</v>
      </c>
      <c r="L78" s="58">
        <v>0.66666666666666663</v>
      </c>
      <c r="M78" s="89">
        <v>259703599</v>
      </c>
      <c r="N78" s="18" t="s">
        <v>49</v>
      </c>
      <c r="O78" s="36" t="s">
        <v>411</v>
      </c>
      <c r="P78" s="123"/>
      <c r="Q78" s="42" t="s">
        <v>809</v>
      </c>
      <c r="R78" s="36" t="s">
        <v>245</v>
      </c>
      <c r="S78" s="18">
        <f t="shared" ref="S78:S82" si="13">1846+77.64</f>
        <v>1923.64</v>
      </c>
      <c r="T78" s="36">
        <v>1698</v>
      </c>
      <c r="U78" s="111">
        <f>plachta3434235[[#This Row],[SALES '[€']]]-plachta3434235[[#This Row],[PURCHASE '[€']]]</f>
        <v>225.6400000000001</v>
      </c>
      <c r="V78" s="112">
        <f>plachta3434235[[#This Row],[MARGIN '[€']]]/plachta3434235[[#This Row],[SALES '[€']]]</f>
        <v>0.11729845501237242</v>
      </c>
      <c r="W78" s="92" t="s">
        <v>810</v>
      </c>
      <c r="X78" s="92" t="s">
        <v>811</v>
      </c>
      <c r="Y78" s="92">
        <v>1492</v>
      </c>
      <c r="Z78" s="106"/>
      <c r="AA78" s="36" t="s">
        <v>51</v>
      </c>
      <c r="AB78" s="72">
        <f t="shared" si="5"/>
        <v>1.1380697050938338</v>
      </c>
      <c r="AC78" s="72">
        <f t="shared" si="11"/>
        <v>1.2893029490616623</v>
      </c>
      <c r="AD78" s="69"/>
      <c r="AE78" s="69"/>
      <c r="AF78" s="69"/>
      <c r="AG78" s="69"/>
      <c r="AH78" s="69"/>
      <c r="AI78" s="69"/>
      <c r="AJ78" s="69"/>
      <c r="AK78" s="69"/>
      <c r="AL78" s="69" t="str">
        <f>IF(plachta3434235[[#This Row],[DELIVERY TIME]]="STORNO","CANCELLED","OK")</f>
        <v>OK</v>
      </c>
      <c r="AM78" s="69"/>
      <c r="AN78" s="69" t="str">
        <f>IF(RIGHT(plachta3434235[[#This Row],[CARRIER]],3)="-MF",921,"")</f>
        <v/>
      </c>
      <c r="AO78" s="69"/>
    </row>
    <row r="79" spans="1:41">
      <c r="A79" s="39">
        <f t="shared" si="10"/>
        <v>4</v>
      </c>
      <c r="B79" s="116" t="s">
        <v>583</v>
      </c>
      <c r="C79" s="107" t="s">
        <v>42</v>
      </c>
      <c r="D79" s="37" t="s">
        <v>584</v>
      </c>
      <c r="E79" s="36" t="s">
        <v>585</v>
      </c>
      <c r="F79" s="38">
        <v>45315</v>
      </c>
      <c r="G79" s="58">
        <v>0.83333333333333337</v>
      </c>
      <c r="H79" s="107" t="s">
        <v>197</v>
      </c>
      <c r="I79" s="37" t="s">
        <v>586</v>
      </c>
      <c r="J79" s="36" t="s">
        <v>587</v>
      </c>
      <c r="K79" s="38">
        <v>45316</v>
      </c>
      <c r="L79" s="58">
        <v>0.83333333333333337</v>
      </c>
      <c r="M79" s="89">
        <v>259703901</v>
      </c>
      <c r="N79" s="18" t="s">
        <v>49</v>
      </c>
      <c r="O79" s="36" t="s">
        <v>411</v>
      </c>
      <c r="P79" s="123"/>
      <c r="Q79" s="63" t="s">
        <v>662</v>
      </c>
      <c r="R79" s="36" t="s">
        <v>594</v>
      </c>
      <c r="S79" s="18">
        <f t="shared" si="13"/>
        <v>1923.64</v>
      </c>
      <c r="T79" s="36">
        <v>1698</v>
      </c>
      <c r="U79" s="111">
        <f>plachta3434235[[#This Row],[SALES '[€']]]-plachta3434235[[#This Row],[PURCHASE '[€']]]</f>
        <v>225.6400000000001</v>
      </c>
      <c r="V79" s="112">
        <f>plachta3434235[[#This Row],[MARGIN '[€']]]/plachta3434235[[#This Row],[SALES '[€']]]</f>
        <v>0.11729845501237242</v>
      </c>
      <c r="W79" s="92" t="s">
        <v>812</v>
      </c>
      <c r="X79" s="92" t="s">
        <v>813</v>
      </c>
      <c r="Y79" s="92">
        <v>1492</v>
      </c>
      <c r="Z79" s="106"/>
      <c r="AA79" s="36" t="s">
        <v>51</v>
      </c>
      <c r="AB79" s="72">
        <f t="shared" si="5"/>
        <v>1.1380697050938338</v>
      </c>
      <c r="AC79" s="72">
        <f t="shared" si="11"/>
        <v>1.2893029490616623</v>
      </c>
      <c r="AD79" s="69"/>
      <c r="AE79" s="69"/>
      <c r="AF79" s="69"/>
      <c r="AG79" s="69"/>
      <c r="AH79" s="69"/>
      <c r="AI79" s="69"/>
      <c r="AJ79" s="69"/>
      <c r="AK79" s="69"/>
      <c r="AL79" s="69" t="str">
        <f>IF(plachta3434235[[#This Row],[DELIVERY TIME]]="STORNO","CANCELLED","OK")</f>
        <v>OK</v>
      </c>
      <c r="AM79" s="69"/>
      <c r="AN79" s="69" t="str">
        <f>IF(RIGHT(plachta3434235[[#This Row],[CARRIER]],3)="-MF",921,"")</f>
        <v/>
      </c>
      <c r="AO79" s="69"/>
    </row>
    <row r="80" spans="1:41">
      <c r="A80" s="39">
        <f t="shared" si="10"/>
        <v>4</v>
      </c>
      <c r="B80" s="116" t="s">
        <v>583</v>
      </c>
      <c r="C80" s="107" t="s">
        <v>42</v>
      </c>
      <c r="D80" s="37" t="s">
        <v>584</v>
      </c>
      <c r="E80" s="36" t="s">
        <v>585</v>
      </c>
      <c r="F80" s="38">
        <v>45316</v>
      </c>
      <c r="G80" s="58">
        <v>0.33333333333333331</v>
      </c>
      <c r="H80" s="107" t="s">
        <v>197</v>
      </c>
      <c r="I80" s="37" t="s">
        <v>586</v>
      </c>
      <c r="J80" s="36" t="s">
        <v>587</v>
      </c>
      <c r="K80" s="38">
        <v>45317</v>
      </c>
      <c r="L80" s="58">
        <v>0.33333333333333331</v>
      </c>
      <c r="M80" s="89">
        <v>259703902</v>
      </c>
      <c r="N80" s="18" t="s">
        <v>49</v>
      </c>
      <c r="O80" s="36" t="s">
        <v>411</v>
      </c>
      <c r="P80" s="123"/>
      <c r="Q80" s="42" t="s">
        <v>72</v>
      </c>
      <c r="R80" s="119" t="s">
        <v>73</v>
      </c>
      <c r="S80" s="18">
        <f t="shared" si="13"/>
        <v>1923.64</v>
      </c>
      <c r="T80" s="36">
        <v>1733.12</v>
      </c>
      <c r="U80" s="111">
        <f>plachta3434235[[#This Row],[SALES '[€']]]-plachta3434235[[#This Row],[PURCHASE '[€']]]</f>
        <v>190.52000000000021</v>
      </c>
      <c r="V80" s="112">
        <f>plachta3434235[[#This Row],[MARGIN '[€']]]/plachta3434235[[#This Row],[SALES '[€']]]</f>
        <v>9.9041400677881614E-2</v>
      </c>
      <c r="W80" s="92" t="s">
        <v>814</v>
      </c>
      <c r="X80" s="92" t="s">
        <v>815</v>
      </c>
      <c r="Y80" s="92">
        <v>1492</v>
      </c>
      <c r="Z80" s="106"/>
      <c r="AA80" s="36" t="s">
        <v>208</v>
      </c>
      <c r="AB80" s="72">
        <f t="shared" si="5"/>
        <v>1.1616085790884718</v>
      </c>
      <c r="AC80" s="72">
        <f t="shared" si="11"/>
        <v>1.2893029490616623</v>
      </c>
      <c r="AD80" s="69"/>
      <c r="AE80" s="69"/>
      <c r="AF80" s="69"/>
      <c r="AG80" s="69"/>
      <c r="AH80" s="69"/>
      <c r="AI80" s="69"/>
      <c r="AJ80" s="69"/>
      <c r="AK80" s="69"/>
      <c r="AL80" s="69" t="str">
        <f>IF(plachta3434235[[#This Row],[DELIVERY TIME]]="STORNO","CANCELLED","OK")</f>
        <v>OK</v>
      </c>
      <c r="AM80" s="69"/>
      <c r="AN80" s="69">
        <f>IF(RIGHT(plachta3434235[[#This Row],[CARRIER]],3)="-MF",921,"")</f>
        <v>921</v>
      </c>
      <c r="AO80" s="69"/>
    </row>
    <row r="81" spans="1:41">
      <c r="A81" s="39">
        <f t="shared" si="10"/>
        <v>4</v>
      </c>
      <c r="B81" s="116" t="s">
        <v>583</v>
      </c>
      <c r="C81" s="107" t="s">
        <v>42</v>
      </c>
      <c r="D81" s="37" t="s">
        <v>584</v>
      </c>
      <c r="E81" s="36" t="s">
        <v>585</v>
      </c>
      <c r="F81" s="38">
        <v>45316</v>
      </c>
      <c r="G81" s="58">
        <v>0.66666666666666663</v>
      </c>
      <c r="H81" s="107" t="s">
        <v>197</v>
      </c>
      <c r="I81" s="37" t="s">
        <v>586</v>
      </c>
      <c r="J81" s="36" t="s">
        <v>587</v>
      </c>
      <c r="K81" s="38">
        <v>45317</v>
      </c>
      <c r="L81" s="58">
        <v>0.66666666666666663</v>
      </c>
      <c r="M81" s="89">
        <v>259703903</v>
      </c>
      <c r="N81" s="18" t="s">
        <v>49</v>
      </c>
      <c r="O81" s="36" t="s">
        <v>411</v>
      </c>
      <c r="P81" s="123"/>
      <c r="Q81" s="63" t="s">
        <v>659</v>
      </c>
      <c r="R81" s="36" t="s">
        <v>594</v>
      </c>
      <c r="S81" s="18">
        <f t="shared" si="13"/>
        <v>1923.64</v>
      </c>
      <c r="T81" s="36">
        <v>1698</v>
      </c>
      <c r="U81" s="111">
        <f>plachta3434235[[#This Row],[SALES '[€']]]-plachta3434235[[#This Row],[PURCHASE '[€']]]</f>
        <v>225.6400000000001</v>
      </c>
      <c r="V81" s="112">
        <f>plachta3434235[[#This Row],[MARGIN '[€']]]/plachta3434235[[#This Row],[SALES '[€']]]</f>
        <v>0.11729845501237242</v>
      </c>
      <c r="W81" s="92" t="s">
        <v>816</v>
      </c>
      <c r="X81" s="92" t="s">
        <v>817</v>
      </c>
      <c r="Y81" s="92">
        <v>1492</v>
      </c>
      <c r="Z81" s="106"/>
      <c r="AA81" s="36" t="s">
        <v>51</v>
      </c>
      <c r="AB81" s="72">
        <f t="shared" si="5"/>
        <v>1.1380697050938338</v>
      </c>
      <c r="AC81" s="72">
        <f t="shared" si="11"/>
        <v>1.2893029490616623</v>
      </c>
      <c r="AD81" s="69"/>
      <c r="AE81" s="69"/>
      <c r="AF81" s="69"/>
      <c r="AG81" s="69"/>
      <c r="AH81" s="69"/>
      <c r="AI81" s="69"/>
      <c r="AJ81" s="69"/>
      <c r="AK81" s="69"/>
      <c r="AL81" s="69" t="str">
        <f>IF(plachta3434235[[#This Row],[DELIVERY TIME]]="STORNO","CANCELLED","OK")</f>
        <v>OK</v>
      </c>
      <c r="AM81" s="69"/>
      <c r="AN81" s="69" t="str">
        <f>IF(RIGHT(plachta3434235[[#This Row],[CARRIER]],3)="-MF",921,"")</f>
        <v/>
      </c>
      <c r="AO81" s="69"/>
    </row>
    <row r="82" spans="1:41">
      <c r="A82" s="39">
        <f t="shared" si="10"/>
        <v>4</v>
      </c>
      <c r="B82" s="116" t="s">
        <v>583</v>
      </c>
      <c r="C82" s="107" t="s">
        <v>42</v>
      </c>
      <c r="D82" s="37" t="s">
        <v>584</v>
      </c>
      <c r="E82" s="36" t="s">
        <v>585</v>
      </c>
      <c r="F82" s="38">
        <v>45316</v>
      </c>
      <c r="G82" s="58">
        <v>0.83333333333333337</v>
      </c>
      <c r="H82" s="107" t="s">
        <v>197</v>
      </c>
      <c r="I82" s="37" t="s">
        <v>586</v>
      </c>
      <c r="J82" s="36" t="s">
        <v>587</v>
      </c>
      <c r="K82" s="38">
        <v>45317</v>
      </c>
      <c r="L82" s="58">
        <v>0.83333333333333337</v>
      </c>
      <c r="M82" s="89">
        <v>259703904</v>
      </c>
      <c r="N82" s="18" t="s">
        <v>49</v>
      </c>
      <c r="O82" s="36" t="s">
        <v>411</v>
      </c>
      <c r="P82" s="123"/>
      <c r="Q82" s="63" t="s">
        <v>602</v>
      </c>
      <c r="R82" s="36" t="s">
        <v>594</v>
      </c>
      <c r="S82" s="18">
        <f t="shared" si="13"/>
        <v>1923.64</v>
      </c>
      <c r="T82" s="36">
        <v>1698</v>
      </c>
      <c r="U82" s="70">
        <f>plachta3434235[[#This Row],[SALES '[€']]]-plachta3434235[[#This Row],[PURCHASE '[€']]]</f>
        <v>225.6400000000001</v>
      </c>
      <c r="V82" s="71">
        <f>plachta3434235[[#This Row],[MARGIN '[€']]]/plachta3434235[[#This Row],[SALES '[€']]]</f>
        <v>0.11729845501237242</v>
      </c>
      <c r="W82" s="92" t="s">
        <v>818</v>
      </c>
      <c r="X82" s="36" t="s">
        <v>819</v>
      </c>
      <c r="Y82" s="36">
        <v>1492</v>
      </c>
      <c r="Z82" s="109"/>
      <c r="AA82" s="36" t="s">
        <v>51</v>
      </c>
      <c r="AB82" s="72">
        <f t="shared" si="5"/>
        <v>1.1380697050938338</v>
      </c>
      <c r="AC82" s="72">
        <f t="shared" si="11"/>
        <v>1.2893029490616623</v>
      </c>
      <c r="AD82" s="69"/>
      <c r="AE82" s="69"/>
      <c r="AF82" s="69"/>
      <c r="AG82" s="69"/>
      <c r="AH82" s="69"/>
      <c r="AI82" s="69"/>
      <c r="AJ82" s="69"/>
      <c r="AK82" s="69"/>
      <c r="AL82" s="69" t="str">
        <f>IF(plachta3434235[[#This Row],[DELIVERY TIME]]="STORNO","CANCELLED","OK")</f>
        <v>OK</v>
      </c>
      <c r="AM82" s="69"/>
      <c r="AN82" s="69" t="str">
        <f>IF(RIGHT(plachta3434235[[#This Row],[CARRIER]],3)="-MF",921,"")</f>
        <v/>
      </c>
      <c r="AO82" s="69"/>
    </row>
    <row r="83" spans="1:41" ht="14.45">
      <c r="A83" s="39"/>
      <c r="B83" s="116" t="s">
        <v>583</v>
      </c>
      <c r="C83" s="107" t="s">
        <v>197</v>
      </c>
      <c r="D83" s="37" t="s">
        <v>586</v>
      </c>
      <c r="E83" s="36" t="s">
        <v>587</v>
      </c>
      <c r="F83" s="38">
        <v>45317</v>
      </c>
      <c r="G83" s="58">
        <v>0.54166666666666663</v>
      </c>
      <c r="H83" s="107" t="s">
        <v>820</v>
      </c>
      <c r="I83" s="37" t="s">
        <v>821</v>
      </c>
      <c r="J83" s="36" t="s">
        <v>822</v>
      </c>
      <c r="K83" s="38">
        <v>45320</v>
      </c>
      <c r="L83" s="58">
        <v>0.33333333333333331</v>
      </c>
      <c r="M83" s="124"/>
      <c r="N83" s="18" t="s">
        <v>49</v>
      </c>
      <c r="O83" s="36" t="s">
        <v>671</v>
      </c>
      <c r="P83" s="123"/>
      <c r="Q83" s="63" t="s">
        <v>823</v>
      </c>
      <c r="R83" s="36" t="s">
        <v>824</v>
      </c>
      <c r="S83" s="18">
        <v>750</v>
      </c>
      <c r="T83" s="36">
        <v>650</v>
      </c>
      <c r="U83" s="70">
        <f>plachta3434235[[#This Row],[SALES '[€']]]-plachta3434235[[#This Row],[PURCHASE '[€']]]</f>
        <v>100</v>
      </c>
      <c r="V83" s="71">
        <f>plachta3434235[[#This Row],[MARGIN '[€']]]/plachta3434235[[#This Row],[SALES '[€']]]</f>
        <v>0.13333333333333333</v>
      </c>
      <c r="W83" s="36">
        <v>9215171257</v>
      </c>
      <c r="X83" s="36" t="s">
        <v>825</v>
      </c>
      <c r="Y83" s="36">
        <v>550</v>
      </c>
      <c r="Z83" s="66" t="s">
        <v>826</v>
      </c>
      <c r="AA83" s="36" t="s">
        <v>51</v>
      </c>
      <c r="AB83" s="72">
        <f t="shared" ref="AB83:AB98" si="14">T83/Y83</f>
        <v>1.1818181818181819</v>
      </c>
      <c r="AC83" s="72">
        <f t="shared" ref="AC83:AC98" si="15">S83/Y83</f>
        <v>1.3636363636363635</v>
      </c>
      <c r="AD83" s="69"/>
      <c r="AE83" s="69"/>
      <c r="AF83" s="69"/>
      <c r="AG83" s="69"/>
      <c r="AH83" s="69"/>
      <c r="AI83" s="69"/>
      <c r="AJ83" s="69"/>
      <c r="AK83" s="69"/>
      <c r="AL83" s="69" t="str">
        <f>IF(plachta3434235[[#This Row],[DELIVERY TIME]]="STORNO","CANCELLED","OK")</f>
        <v>OK</v>
      </c>
      <c r="AM83" s="69"/>
      <c r="AN83" s="69" t="str">
        <f>IF(RIGHT(plachta3434235[[#This Row],[CARRIER]],3)="-MF",921,"")</f>
        <v/>
      </c>
      <c r="AO83" s="69"/>
    </row>
    <row r="84" spans="1:41">
      <c r="A84" s="39">
        <f t="shared" si="10"/>
        <v>4</v>
      </c>
      <c r="B84" s="114" t="s">
        <v>607</v>
      </c>
      <c r="C84" s="107" t="s">
        <v>42</v>
      </c>
      <c r="D84" s="37" t="s">
        <v>608</v>
      </c>
      <c r="E84" s="36" t="s">
        <v>609</v>
      </c>
      <c r="F84" s="85">
        <v>45313</v>
      </c>
      <c r="G84" s="86">
        <v>0.16666666666666666</v>
      </c>
      <c r="H84" s="107" t="s">
        <v>610</v>
      </c>
      <c r="I84" s="37" t="s">
        <v>525</v>
      </c>
      <c r="J84" s="36" t="s">
        <v>611</v>
      </c>
      <c r="K84" s="38">
        <v>45314</v>
      </c>
      <c r="L84" s="58">
        <v>0.1875</v>
      </c>
      <c r="M84" s="73">
        <v>6101225532</v>
      </c>
      <c r="N84" s="18" t="s">
        <v>49</v>
      </c>
      <c r="O84" s="36" t="s">
        <v>411</v>
      </c>
      <c r="P84" s="123"/>
      <c r="Q84" s="63" t="s">
        <v>827</v>
      </c>
      <c r="R84" s="36" t="s">
        <v>614</v>
      </c>
      <c r="S84" s="36">
        <v>1734</v>
      </c>
      <c r="T84" s="36">
        <v>1530</v>
      </c>
      <c r="U84" s="70">
        <f>plachta3434235[[#This Row],[SALES '[€']]]-plachta3434235[[#This Row],[PURCHASE '[€']]]</f>
        <v>204</v>
      </c>
      <c r="V84" s="71">
        <f>plachta3434235[[#This Row],[MARGIN '[€']]]/plachta3434235[[#This Row],[SALES '[€']]]</f>
        <v>0.11764705882352941</v>
      </c>
      <c r="W84" s="36" t="s">
        <v>828</v>
      </c>
      <c r="X84" s="36" t="s">
        <v>829</v>
      </c>
      <c r="Y84" s="36">
        <v>1252</v>
      </c>
      <c r="Z84" s="109"/>
      <c r="AA84" s="36" t="s">
        <v>51</v>
      </c>
      <c r="AB84" s="72">
        <f t="shared" si="14"/>
        <v>1.2220447284345048</v>
      </c>
      <c r="AC84" s="72">
        <f t="shared" si="15"/>
        <v>1.3849840255591055</v>
      </c>
      <c r="AD84" s="69"/>
      <c r="AE84" s="69"/>
      <c r="AF84" s="69"/>
      <c r="AG84" s="69"/>
      <c r="AH84" s="69"/>
      <c r="AI84" s="69"/>
      <c r="AJ84" s="69"/>
      <c r="AK84" s="69"/>
      <c r="AL84" s="69" t="str">
        <f>IF(plachta3434235[[#This Row],[DELIVERY TIME]]="STORNO","CANCELLED","OK")</f>
        <v>OK</v>
      </c>
      <c r="AM84" s="69"/>
      <c r="AN84" s="69" t="str">
        <f>IF(RIGHT(plachta3434235[[#This Row],[CARRIER]],3)="-MF",921,"")</f>
        <v/>
      </c>
      <c r="AO84" s="69"/>
    </row>
    <row r="85" spans="1:41">
      <c r="A85" s="39">
        <f t="shared" si="10"/>
        <v>4</v>
      </c>
      <c r="B85" s="114" t="s">
        <v>607</v>
      </c>
      <c r="C85" s="107" t="s">
        <v>42</v>
      </c>
      <c r="D85" s="37" t="s">
        <v>608</v>
      </c>
      <c r="E85" s="36" t="s">
        <v>609</v>
      </c>
      <c r="F85" s="85">
        <v>45313</v>
      </c>
      <c r="G85" s="86">
        <v>0.66666666666666663</v>
      </c>
      <c r="H85" s="107" t="s">
        <v>610</v>
      </c>
      <c r="I85" s="37" t="s">
        <v>525</v>
      </c>
      <c r="J85" s="36" t="s">
        <v>611</v>
      </c>
      <c r="K85" s="38">
        <v>45314</v>
      </c>
      <c r="L85" s="58">
        <v>0.6875</v>
      </c>
      <c r="M85" s="73">
        <v>6101225541</v>
      </c>
      <c r="N85" s="18" t="s">
        <v>49</v>
      </c>
      <c r="O85" s="36" t="s">
        <v>411</v>
      </c>
      <c r="P85" s="123"/>
      <c r="Q85" s="63" t="s">
        <v>763</v>
      </c>
      <c r="R85" s="36" t="s">
        <v>614</v>
      </c>
      <c r="S85" s="36">
        <v>1734</v>
      </c>
      <c r="T85" s="36">
        <v>1530</v>
      </c>
      <c r="U85" s="70">
        <f>plachta3434235[[#This Row],[SALES '[€']]]-plachta3434235[[#This Row],[PURCHASE '[€']]]</f>
        <v>204</v>
      </c>
      <c r="V85" s="71">
        <f>plachta3434235[[#This Row],[MARGIN '[€']]]/plachta3434235[[#This Row],[SALES '[€']]]</f>
        <v>0.11764705882352941</v>
      </c>
      <c r="W85" s="36" t="s">
        <v>830</v>
      </c>
      <c r="X85" s="36" t="s">
        <v>831</v>
      </c>
      <c r="Y85" s="36">
        <v>1252</v>
      </c>
      <c r="Z85" s="109"/>
      <c r="AA85" s="36" t="s">
        <v>51</v>
      </c>
      <c r="AB85" s="72">
        <f t="shared" si="14"/>
        <v>1.2220447284345048</v>
      </c>
      <c r="AC85" s="72">
        <f t="shared" si="15"/>
        <v>1.3849840255591055</v>
      </c>
      <c r="AD85" s="69"/>
      <c r="AE85" s="69"/>
      <c r="AF85" s="69"/>
      <c r="AG85" s="69"/>
      <c r="AH85" s="69"/>
      <c r="AI85" s="69"/>
      <c r="AJ85" s="69"/>
      <c r="AK85" s="69"/>
      <c r="AL85" s="69" t="str">
        <f>IF(plachta3434235[[#This Row],[DELIVERY TIME]]="STORNO","CANCELLED","OK")</f>
        <v>OK</v>
      </c>
      <c r="AM85" s="69"/>
      <c r="AN85" s="69" t="str">
        <f>IF(RIGHT(plachta3434235[[#This Row],[CARRIER]],3)="-MF",921,"")</f>
        <v/>
      </c>
      <c r="AO85" s="69"/>
    </row>
    <row r="86" spans="1:41">
      <c r="A86" s="39">
        <f t="shared" si="10"/>
        <v>4</v>
      </c>
      <c r="B86" s="114" t="s">
        <v>607</v>
      </c>
      <c r="C86" s="107" t="s">
        <v>42</v>
      </c>
      <c r="D86" s="37" t="s">
        <v>608</v>
      </c>
      <c r="E86" s="36" t="s">
        <v>609</v>
      </c>
      <c r="F86" s="85">
        <v>45313</v>
      </c>
      <c r="G86" s="58">
        <v>0.79166666666666663</v>
      </c>
      <c r="H86" s="107" t="s">
        <v>610</v>
      </c>
      <c r="I86" s="37" t="s">
        <v>525</v>
      </c>
      <c r="J86" s="36" t="s">
        <v>611</v>
      </c>
      <c r="K86" s="38">
        <v>45314</v>
      </c>
      <c r="L86" s="58">
        <v>0.8125</v>
      </c>
      <c r="M86" s="73">
        <v>6101225534</v>
      </c>
      <c r="N86" s="18" t="s">
        <v>49</v>
      </c>
      <c r="O86" s="36" t="s">
        <v>411</v>
      </c>
      <c r="P86" s="123"/>
      <c r="Q86" s="63" t="s">
        <v>832</v>
      </c>
      <c r="R86" s="36" t="s">
        <v>614</v>
      </c>
      <c r="S86" s="36">
        <v>1734</v>
      </c>
      <c r="T86" s="36">
        <v>1530</v>
      </c>
      <c r="U86" s="70">
        <f>plachta3434235[[#This Row],[SALES '[€']]]-plachta3434235[[#This Row],[PURCHASE '[€']]]</f>
        <v>204</v>
      </c>
      <c r="V86" s="71">
        <f>plachta3434235[[#This Row],[MARGIN '[€']]]/plachta3434235[[#This Row],[SALES '[€']]]</f>
        <v>0.11764705882352941</v>
      </c>
      <c r="W86" s="36" t="s">
        <v>833</v>
      </c>
      <c r="X86" s="36" t="s">
        <v>834</v>
      </c>
      <c r="Y86" s="36">
        <v>1252</v>
      </c>
      <c r="Z86" s="109"/>
      <c r="AA86" s="36" t="s">
        <v>51</v>
      </c>
      <c r="AB86" s="72">
        <f t="shared" si="14"/>
        <v>1.2220447284345048</v>
      </c>
      <c r="AC86" s="72">
        <f t="shared" si="15"/>
        <v>1.3849840255591055</v>
      </c>
      <c r="AD86" s="69"/>
      <c r="AE86" s="69"/>
      <c r="AF86" s="69"/>
      <c r="AG86" s="69"/>
      <c r="AH86" s="69"/>
      <c r="AI86" s="69"/>
      <c r="AJ86" s="69"/>
      <c r="AK86" s="69"/>
      <c r="AL86" s="69" t="str">
        <f>IF(plachta3434235[[#This Row],[DELIVERY TIME]]="STORNO","CANCELLED","OK")</f>
        <v>OK</v>
      </c>
      <c r="AM86" s="69"/>
      <c r="AN86" s="69" t="str">
        <f>IF(RIGHT(plachta3434235[[#This Row],[CARRIER]],3)="-MF",921,"")</f>
        <v/>
      </c>
      <c r="AO86" s="69"/>
    </row>
    <row r="87" spans="1:41">
      <c r="A87" s="39">
        <f t="shared" si="10"/>
        <v>4</v>
      </c>
      <c r="B87" s="114" t="s">
        <v>607</v>
      </c>
      <c r="C87" s="107" t="s">
        <v>42</v>
      </c>
      <c r="D87" s="37" t="s">
        <v>608</v>
      </c>
      <c r="E87" s="36" t="s">
        <v>609</v>
      </c>
      <c r="F87" s="38">
        <v>45314</v>
      </c>
      <c r="G87" s="86">
        <v>0.16666666666666666</v>
      </c>
      <c r="H87" s="107" t="s">
        <v>610</v>
      </c>
      <c r="I87" s="37" t="s">
        <v>525</v>
      </c>
      <c r="J87" s="36" t="s">
        <v>611</v>
      </c>
      <c r="K87" s="38">
        <v>45315</v>
      </c>
      <c r="L87" s="58">
        <v>0.1875</v>
      </c>
      <c r="M87" s="73">
        <v>6101225535</v>
      </c>
      <c r="N87" s="18" t="s">
        <v>49</v>
      </c>
      <c r="O87" s="36" t="s">
        <v>411</v>
      </c>
      <c r="P87" s="123"/>
      <c r="Q87" s="63" t="s">
        <v>686</v>
      </c>
      <c r="R87" s="36" t="s">
        <v>614</v>
      </c>
      <c r="S87" s="36">
        <v>1734</v>
      </c>
      <c r="T87" s="36">
        <v>1530</v>
      </c>
      <c r="U87" s="70">
        <f>plachta3434235[[#This Row],[SALES '[€']]]-plachta3434235[[#This Row],[PURCHASE '[€']]]</f>
        <v>204</v>
      </c>
      <c r="V87" s="71">
        <f>plachta3434235[[#This Row],[MARGIN '[€']]]/plachta3434235[[#This Row],[SALES '[€']]]</f>
        <v>0.11764705882352941</v>
      </c>
      <c r="W87" s="36" t="s">
        <v>835</v>
      </c>
      <c r="X87" s="36" t="s">
        <v>836</v>
      </c>
      <c r="Y87" s="36">
        <v>1252</v>
      </c>
      <c r="Z87" s="109"/>
      <c r="AA87" s="36" t="s">
        <v>51</v>
      </c>
      <c r="AB87" s="72">
        <f t="shared" si="14"/>
        <v>1.2220447284345048</v>
      </c>
      <c r="AC87" s="72">
        <f t="shared" si="15"/>
        <v>1.3849840255591055</v>
      </c>
      <c r="AD87" s="69"/>
      <c r="AE87" s="69"/>
      <c r="AF87" s="69"/>
      <c r="AG87" s="69"/>
      <c r="AH87" s="69"/>
      <c r="AI87" s="69"/>
      <c r="AJ87" s="69"/>
      <c r="AK87" s="69"/>
      <c r="AL87" s="69" t="str">
        <f>IF(plachta3434235[[#This Row],[DELIVERY TIME]]="STORNO","CANCELLED","OK")</f>
        <v>OK</v>
      </c>
      <c r="AM87" s="69"/>
      <c r="AN87" s="69" t="str">
        <f>IF(RIGHT(plachta3434235[[#This Row],[CARRIER]],3)="-MF",921,"")</f>
        <v/>
      </c>
      <c r="AO87" s="69"/>
    </row>
    <row r="88" spans="1:41">
      <c r="A88" s="39">
        <f t="shared" si="10"/>
        <v>4</v>
      </c>
      <c r="B88" s="114" t="s">
        <v>607</v>
      </c>
      <c r="C88" s="107" t="s">
        <v>42</v>
      </c>
      <c r="D88" s="37" t="s">
        <v>608</v>
      </c>
      <c r="E88" s="36" t="s">
        <v>609</v>
      </c>
      <c r="F88" s="85">
        <v>45314</v>
      </c>
      <c r="G88" s="86">
        <v>0.66666666666666663</v>
      </c>
      <c r="H88" s="107" t="s">
        <v>610</v>
      </c>
      <c r="I88" s="37" t="s">
        <v>525</v>
      </c>
      <c r="J88" s="36" t="s">
        <v>611</v>
      </c>
      <c r="K88" s="38">
        <v>45314</v>
      </c>
      <c r="L88" s="58">
        <v>0.6875</v>
      </c>
      <c r="M88" s="73">
        <v>6101225536</v>
      </c>
      <c r="N88" s="18" t="s">
        <v>49</v>
      </c>
      <c r="O88" s="36" t="s">
        <v>411</v>
      </c>
      <c r="P88" s="123"/>
      <c r="Q88" s="63" t="s">
        <v>680</v>
      </c>
      <c r="R88" s="36" t="s">
        <v>614</v>
      </c>
      <c r="S88" s="36">
        <v>1734</v>
      </c>
      <c r="T88" s="36">
        <v>1530</v>
      </c>
      <c r="U88" s="70">
        <f>plachta3434235[[#This Row],[SALES '[€']]]-plachta3434235[[#This Row],[PURCHASE '[€']]]</f>
        <v>204</v>
      </c>
      <c r="V88" s="71">
        <f>plachta3434235[[#This Row],[MARGIN '[€']]]/plachta3434235[[#This Row],[SALES '[€']]]</f>
        <v>0.11764705882352941</v>
      </c>
      <c r="W88" s="36" t="s">
        <v>837</v>
      </c>
      <c r="X88" s="36" t="s">
        <v>838</v>
      </c>
      <c r="Y88" s="36">
        <v>1252</v>
      </c>
      <c r="Z88" s="109"/>
      <c r="AA88" s="36" t="s">
        <v>51</v>
      </c>
      <c r="AB88" s="72">
        <f t="shared" si="14"/>
        <v>1.2220447284345048</v>
      </c>
      <c r="AC88" s="72">
        <f t="shared" si="15"/>
        <v>1.3849840255591055</v>
      </c>
      <c r="AD88" s="69"/>
      <c r="AE88" s="69"/>
      <c r="AF88" s="69"/>
      <c r="AG88" s="69"/>
      <c r="AH88" s="69"/>
      <c r="AI88" s="69"/>
      <c r="AJ88" s="69"/>
      <c r="AK88" s="69"/>
      <c r="AL88" s="69" t="str">
        <f>IF(plachta3434235[[#This Row],[DELIVERY TIME]]="STORNO","CANCELLED","OK")</f>
        <v>OK</v>
      </c>
      <c r="AM88" s="69"/>
      <c r="AN88" s="69" t="str">
        <f>IF(RIGHT(plachta3434235[[#This Row],[CARRIER]],3)="-MF",921,"")</f>
        <v/>
      </c>
      <c r="AO88" s="69"/>
    </row>
    <row r="89" spans="1:41">
      <c r="A89" s="39">
        <f t="shared" si="10"/>
        <v>4</v>
      </c>
      <c r="B89" s="114" t="s">
        <v>607</v>
      </c>
      <c r="C89" s="107" t="s">
        <v>42</v>
      </c>
      <c r="D89" s="37" t="s">
        <v>608</v>
      </c>
      <c r="E89" s="36" t="s">
        <v>609</v>
      </c>
      <c r="F89" s="85">
        <v>45315</v>
      </c>
      <c r="G89" s="86">
        <v>0.16666666666666666</v>
      </c>
      <c r="H89" s="107" t="s">
        <v>610</v>
      </c>
      <c r="I89" s="37" t="s">
        <v>525</v>
      </c>
      <c r="J89" s="36" t="s">
        <v>611</v>
      </c>
      <c r="K89" s="38">
        <v>45316</v>
      </c>
      <c r="L89" s="58">
        <v>0.1875</v>
      </c>
      <c r="M89" s="73">
        <v>6101225537</v>
      </c>
      <c r="N89" s="18" t="s">
        <v>49</v>
      </c>
      <c r="O89" s="36" t="s">
        <v>411</v>
      </c>
      <c r="P89" s="123"/>
      <c r="Q89" s="63" t="s">
        <v>839</v>
      </c>
      <c r="R89" s="36" t="s">
        <v>614</v>
      </c>
      <c r="S89" s="36">
        <v>1734</v>
      </c>
      <c r="T89" s="36">
        <v>1530</v>
      </c>
      <c r="U89" s="70">
        <f>plachta3434235[[#This Row],[SALES '[€']]]-plachta3434235[[#This Row],[PURCHASE '[€']]]</f>
        <v>204</v>
      </c>
      <c r="V89" s="71">
        <f>plachta3434235[[#This Row],[MARGIN '[€']]]/plachta3434235[[#This Row],[SALES '[€']]]</f>
        <v>0.11764705882352941</v>
      </c>
      <c r="W89" s="36" t="s">
        <v>840</v>
      </c>
      <c r="X89" s="36" t="s">
        <v>841</v>
      </c>
      <c r="Y89" s="36">
        <v>1252</v>
      </c>
      <c r="Z89" s="109"/>
      <c r="AA89" s="36" t="s">
        <v>51</v>
      </c>
      <c r="AB89" s="72">
        <f t="shared" si="14"/>
        <v>1.2220447284345048</v>
      </c>
      <c r="AC89" s="72">
        <f t="shared" si="15"/>
        <v>1.3849840255591055</v>
      </c>
      <c r="AD89" s="69"/>
      <c r="AE89" s="69"/>
      <c r="AF89" s="69"/>
      <c r="AG89" s="69"/>
      <c r="AH89" s="69"/>
      <c r="AI89" s="69"/>
      <c r="AJ89" s="69"/>
      <c r="AK89" s="69"/>
      <c r="AL89" s="69" t="str">
        <f>IF(plachta3434235[[#This Row],[DELIVERY TIME]]="STORNO","CANCELLED","OK")</f>
        <v>OK</v>
      </c>
      <c r="AM89" s="69"/>
      <c r="AN89" s="69" t="str">
        <f>IF(RIGHT(plachta3434235[[#This Row],[CARRIER]],3)="-MF",921,"")</f>
        <v/>
      </c>
      <c r="AO89" s="69"/>
    </row>
    <row r="90" spans="1:41">
      <c r="A90" s="39">
        <f t="shared" si="10"/>
        <v>4</v>
      </c>
      <c r="B90" s="114" t="s">
        <v>607</v>
      </c>
      <c r="C90" s="107" t="s">
        <v>42</v>
      </c>
      <c r="D90" s="37" t="s">
        <v>608</v>
      </c>
      <c r="E90" s="36" t="s">
        <v>609</v>
      </c>
      <c r="F90" s="85">
        <v>45316</v>
      </c>
      <c r="G90" s="86">
        <v>0.16666666666666666</v>
      </c>
      <c r="H90" s="107" t="s">
        <v>610</v>
      </c>
      <c r="I90" s="37" t="s">
        <v>525</v>
      </c>
      <c r="J90" s="36" t="s">
        <v>611</v>
      </c>
      <c r="K90" s="38">
        <v>45317</v>
      </c>
      <c r="L90" s="58">
        <v>0.1875</v>
      </c>
      <c r="M90" s="73">
        <v>6101225538</v>
      </c>
      <c r="N90" s="18" t="s">
        <v>49</v>
      </c>
      <c r="O90" s="36" t="s">
        <v>411</v>
      </c>
      <c r="P90" s="123"/>
      <c r="Q90" s="63" t="s">
        <v>763</v>
      </c>
      <c r="R90" s="36" t="s">
        <v>614</v>
      </c>
      <c r="S90" s="36">
        <v>1734</v>
      </c>
      <c r="T90" s="36">
        <v>1530</v>
      </c>
      <c r="U90" s="70">
        <f>plachta3434235[[#This Row],[SALES '[€']]]-plachta3434235[[#This Row],[PURCHASE '[€']]]</f>
        <v>204</v>
      </c>
      <c r="V90" s="71">
        <f>plachta3434235[[#This Row],[MARGIN '[€']]]/plachta3434235[[#This Row],[SALES '[€']]]</f>
        <v>0.11764705882352941</v>
      </c>
      <c r="W90" s="36" t="s">
        <v>842</v>
      </c>
      <c r="X90" s="36" t="s">
        <v>843</v>
      </c>
      <c r="Y90" s="36">
        <v>1252</v>
      </c>
      <c r="Z90" s="109"/>
      <c r="AA90" s="36" t="s">
        <v>51</v>
      </c>
      <c r="AB90" s="72">
        <f t="shared" si="14"/>
        <v>1.2220447284345048</v>
      </c>
      <c r="AC90" s="72">
        <f t="shared" si="15"/>
        <v>1.3849840255591055</v>
      </c>
      <c r="AD90" s="69"/>
      <c r="AE90" s="69"/>
      <c r="AF90" s="69"/>
      <c r="AG90" s="69"/>
      <c r="AH90" s="69"/>
      <c r="AI90" s="69"/>
      <c r="AJ90" s="69"/>
      <c r="AK90" s="69"/>
      <c r="AL90" s="69" t="str">
        <f>IF(plachta3434235[[#This Row],[DELIVERY TIME]]="STORNO","CANCELLED","OK")</f>
        <v>OK</v>
      </c>
      <c r="AM90" s="69"/>
      <c r="AN90" s="69" t="str">
        <f>IF(RIGHT(plachta3434235[[#This Row],[CARRIER]],3)="-MF",921,"")</f>
        <v/>
      </c>
      <c r="AO90" s="69"/>
    </row>
    <row r="91" spans="1:41">
      <c r="A91" s="39">
        <f t="shared" si="10"/>
        <v>4</v>
      </c>
      <c r="B91" s="114" t="s">
        <v>607</v>
      </c>
      <c r="C91" s="107" t="s">
        <v>42</v>
      </c>
      <c r="D91" s="37" t="s">
        <v>608</v>
      </c>
      <c r="E91" s="36" t="s">
        <v>609</v>
      </c>
      <c r="F91" s="85">
        <v>45316</v>
      </c>
      <c r="G91" s="86">
        <v>0.5</v>
      </c>
      <c r="H91" s="107" t="s">
        <v>610</v>
      </c>
      <c r="I91" s="37" t="s">
        <v>525</v>
      </c>
      <c r="J91" s="36" t="s">
        <v>611</v>
      </c>
      <c r="K91" s="38">
        <v>45316</v>
      </c>
      <c r="L91" s="58">
        <v>0.52083333333333337</v>
      </c>
      <c r="M91" s="73">
        <v>6101225539</v>
      </c>
      <c r="N91" s="18" t="s">
        <v>49</v>
      </c>
      <c r="O91" s="36" t="s">
        <v>411</v>
      </c>
      <c r="P91" s="123"/>
      <c r="Q91" s="63" t="s">
        <v>760</v>
      </c>
      <c r="R91" s="36" t="s">
        <v>614</v>
      </c>
      <c r="S91" s="36">
        <v>1734</v>
      </c>
      <c r="T91" s="36">
        <v>1530</v>
      </c>
      <c r="U91" s="70">
        <f>plachta3434235[[#This Row],[SALES '[€']]]-plachta3434235[[#This Row],[PURCHASE '[€']]]</f>
        <v>204</v>
      </c>
      <c r="V91" s="71">
        <f>plachta3434235[[#This Row],[MARGIN '[€']]]/plachta3434235[[#This Row],[SALES '[€']]]</f>
        <v>0.11764705882352941</v>
      </c>
      <c r="W91" s="36" t="s">
        <v>844</v>
      </c>
      <c r="X91" s="36" t="s">
        <v>845</v>
      </c>
      <c r="Y91" s="36">
        <v>1252</v>
      </c>
      <c r="Z91" s="109"/>
      <c r="AA91" s="36" t="s">
        <v>51</v>
      </c>
      <c r="AB91" s="72">
        <f t="shared" si="14"/>
        <v>1.2220447284345048</v>
      </c>
      <c r="AC91" s="72">
        <f t="shared" si="15"/>
        <v>1.3849840255591055</v>
      </c>
      <c r="AD91" s="69"/>
      <c r="AE91" s="69"/>
      <c r="AF91" s="69"/>
      <c r="AG91" s="69"/>
      <c r="AH91" s="69"/>
      <c r="AI91" s="69"/>
      <c r="AJ91" s="69"/>
      <c r="AK91" s="69"/>
      <c r="AL91" s="69" t="str">
        <f>IF(plachta3434235[[#This Row],[DELIVERY TIME]]="STORNO","CANCELLED","OK")</f>
        <v>OK</v>
      </c>
      <c r="AM91" s="69"/>
      <c r="AN91" s="69" t="str">
        <f>IF(RIGHT(plachta3434235[[#This Row],[CARRIER]],3)="-MF",921,"")</f>
        <v/>
      </c>
      <c r="AO91" s="69"/>
    </row>
    <row r="92" spans="1:41">
      <c r="A92" s="39">
        <f t="shared" si="10"/>
        <v>4</v>
      </c>
      <c r="B92" s="114" t="s">
        <v>607</v>
      </c>
      <c r="C92" s="107" t="s">
        <v>42</v>
      </c>
      <c r="D92" s="37" t="s">
        <v>608</v>
      </c>
      <c r="E92" s="36" t="s">
        <v>609</v>
      </c>
      <c r="F92" s="85">
        <v>45317</v>
      </c>
      <c r="G92" s="86">
        <v>0.16666666666666666</v>
      </c>
      <c r="H92" s="107" t="s">
        <v>610</v>
      </c>
      <c r="I92" s="37" t="s">
        <v>525</v>
      </c>
      <c r="J92" s="36" t="s">
        <v>611</v>
      </c>
      <c r="K92" s="38">
        <v>45320</v>
      </c>
      <c r="L92" s="58">
        <v>0.1875</v>
      </c>
      <c r="M92" s="73">
        <v>6101225540</v>
      </c>
      <c r="N92" s="18" t="s">
        <v>49</v>
      </c>
      <c r="O92" s="36" t="s">
        <v>411</v>
      </c>
      <c r="P92" s="123"/>
      <c r="Q92" s="63" t="s">
        <v>846</v>
      </c>
      <c r="R92" s="36" t="s">
        <v>614</v>
      </c>
      <c r="S92" s="36">
        <v>1734</v>
      </c>
      <c r="T92" s="36">
        <v>1530</v>
      </c>
      <c r="U92" s="70">
        <f>plachta3434235[[#This Row],[SALES '[€']]]-plachta3434235[[#This Row],[PURCHASE '[€']]]</f>
        <v>204</v>
      </c>
      <c r="V92" s="71">
        <f>plachta3434235[[#This Row],[MARGIN '[€']]]/plachta3434235[[#This Row],[SALES '[€']]]</f>
        <v>0.11764705882352941</v>
      </c>
      <c r="W92" s="36" t="s">
        <v>847</v>
      </c>
      <c r="X92" s="36" t="s">
        <v>848</v>
      </c>
      <c r="Y92" s="36">
        <v>1252</v>
      </c>
      <c r="Z92" s="109"/>
      <c r="AA92" s="36" t="s">
        <v>51</v>
      </c>
      <c r="AB92" s="72">
        <f t="shared" si="14"/>
        <v>1.2220447284345048</v>
      </c>
      <c r="AC92" s="72">
        <f t="shared" si="15"/>
        <v>1.3849840255591055</v>
      </c>
      <c r="AD92" s="69"/>
      <c r="AE92" s="69"/>
      <c r="AF92" s="69"/>
      <c r="AG92" s="69"/>
      <c r="AH92" s="69"/>
      <c r="AI92" s="69"/>
      <c r="AJ92" s="69"/>
      <c r="AK92" s="69"/>
      <c r="AL92" s="69" t="str">
        <f>IF(plachta3434235[[#This Row],[DELIVERY TIME]]="STORNO","CANCELLED","OK")</f>
        <v>OK</v>
      </c>
      <c r="AM92" s="69"/>
      <c r="AN92" s="69" t="str">
        <f>IF(RIGHT(plachta3434235[[#This Row],[CARRIER]],3)="-MF",921,"")</f>
        <v/>
      </c>
      <c r="AO92" s="69"/>
    </row>
    <row r="93" spans="1:41">
      <c r="A93" s="39">
        <f t="shared" si="10"/>
        <v>4</v>
      </c>
      <c r="B93" s="114" t="s">
        <v>607</v>
      </c>
      <c r="C93" s="107" t="s">
        <v>42</v>
      </c>
      <c r="D93" s="37" t="s">
        <v>608</v>
      </c>
      <c r="E93" s="36" t="s">
        <v>609</v>
      </c>
      <c r="F93" s="85">
        <v>45317</v>
      </c>
      <c r="G93" s="86">
        <v>0.79166666666666663</v>
      </c>
      <c r="H93" s="107" t="s">
        <v>610</v>
      </c>
      <c r="I93" s="37" t="s">
        <v>525</v>
      </c>
      <c r="J93" s="36" t="s">
        <v>611</v>
      </c>
      <c r="K93" s="38">
        <v>45320</v>
      </c>
      <c r="L93" s="58">
        <v>0.8125</v>
      </c>
      <c r="M93" s="73">
        <v>6101225542</v>
      </c>
      <c r="N93" s="18" t="s">
        <v>49</v>
      </c>
      <c r="O93" s="36" t="s">
        <v>411</v>
      </c>
      <c r="P93" s="123"/>
      <c r="Q93" s="63" t="s">
        <v>763</v>
      </c>
      <c r="R93" s="36" t="s">
        <v>614</v>
      </c>
      <c r="S93" s="36">
        <v>1734</v>
      </c>
      <c r="T93" s="36">
        <v>1530</v>
      </c>
      <c r="U93" s="70">
        <f>plachta3434235[[#This Row],[SALES '[€']]]-plachta3434235[[#This Row],[PURCHASE '[€']]]</f>
        <v>204</v>
      </c>
      <c r="V93" s="71">
        <f>plachta3434235[[#This Row],[MARGIN '[€']]]/plachta3434235[[#This Row],[SALES '[€']]]</f>
        <v>0.11764705882352941</v>
      </c>
      <c r="W93" s="36" t="s">
        <v>849</v>
      </c>
      <c r="X93" s="36" t="s">
        <v>850</v>
      </c>
      <c r="Y93" s="36">
        <v>1252</v>
      </c>
      <c r="Z93" s="109"/>
      <c r="AA93" s="36" t="s">
        <v>51</v>
      </c>
      <c r="AB93" s="72">
        <f t="shared" si="14"/>
        <v>1.2220447284345048</v>
      </c>
      <c r="AC93" s="72">
        <f t="shared" si="15"/>
        <v>1.3849840255591055</v>
      </c>
      <c r="AD93" s="69"/>
      <c r="AE93" s="69"/>
      <c r="AF93" s="69"/>
      <c r="AG93" s="69"/>
      <c r="AH93" s="69"/>
      <c r="AI93" s="69"/>
      <c r="AJ93" s="69"/>
      <c r="AK93" s="69"/>
      <c r="AL93" s="69" t="str">
        <f>IF(plachta3434235[[#This Row],[DELIVERY TIME]]="STORNO","CANCELLED","OK")</f>
        <v>OK</v>
      </c>
      <c r="AM93" s="69"/>
      <c r="AN93" s="69" t="str">
        <f>IF(RIGHT(plachta3434235[[#This Row],[CARRIER]],3)="-MF",921,"")</f>
        <v/>
      </c>
      <c r="AO93" s="69"/>
    </row>
    <row r="94" spans="1:41" customFormat="1" ht="14.45">
      <c r="A94" s="39">
        <f t="shared" si="10"/>
        <v>4</v>
      </c>
      <c r="B94" s="36" t="s">
        <v>617</v>
      </c>
      <c r="C94" s="107" t="s">
        <v>618</v>
      </c>
      <c r="D94" s="37" t="s">
        <v>619</v>
      </c>
      <c r="E94" s="36" t="s">
        <v>620</v>
      </c>
      <c r="F94" s="38">
        <v>45313</v>
      </c>
      <c r="G94" s="58"/>
      <c r="H94" s="107" t="s">
        <v>42</v>
      </c>
      <c r="I94" s="37" t="s">
        <v>621</v>
      </c>
      <c r="J94" s="36" t="s">
        <v>622</v>
      </c>
      <c r="K94" s="38">
        <v>45314</v>
      </c>
      <c r="L94" s="58"/>
      <c r="M94" s="73">
        <v>6101213804</v>
      </c>
      <c r="N94" s="36" t="s">
        <v>692</v>
      </c>
      <c r="O94" s="36" t="s">
        <v>355</v>
      </c>
      <c r="P94" s="36"/>
      <c r="Q94" s="63" t="s">
        <v>851</v>
      </c>
      <c r="R94" s="36" t="s">
        <v>624</v>
      </c>
      <c r="S94" s="117">
        <v>450.17</v>
      </c>
      <c r="T94" s="18">
        <v>400</v>
      </c>
      <c r="U94" s="111">
        <f>plachta3434235[[#This Row],[SALES '[€']]]-plachta3434235[[#This Row],[PURCHASE '[€']]]</f>
        <v>50.170000000000016</v>
      </c>
      <c r="V94" s="112">
        <f>plachta3434235[[#This Row],[MARGIN '[€']]]/plachta3434235[[#This Row],[SALES '[€']]]</f>
        <v>0.11144678676944268</v>
      </c>
      <c r="W94" s="92">
        <v>9215170963</v>
      </c>
      <c r="X94" s="92" t="s">
        <v>852</v>
      </c>
      <c r="Y94" s="36">
        <v>265</v>
      </c>
      <c r="Z94" s="92"/>
      <c r="AA94" s="36" t="s">
        <v>51</v>
      </c>
      <c r="AB94" s="72">
        <f t="shared" si="14"/>
        <v>1.5094339622641511</v>
      </c>
      <c r="AC94" s="72">
        <f t="shared" si="15"/>
        <v>1.6987547169811321</v>
      </c>
      <c r="AD94" s="69"/>
      <c r="AE94" s="69"/>
      <c r="AF94" s="69"/>
      <c r="AG94" s="69"/>
      <c r="AH94" s="69"/>
      <c r="AI94" s="69"/>
      <c r="AJ94" s="69"/>
      <c r="AK94" s="69"/>
      <c r="AL94" s="69" t="str">
        <f>IF(plachta3434235[[#This Row],[DELIVERY TIME]]="STORNO","CANCELLED","OK")</f>
        <v>OK</v>
      </c>
      <c r="AM94" s="69"/>
      <c r="AN94" s="69" t="str">
        <f>IF(RIGHT(plachta3434235[[#This Row],[CARRIER]],3)="-MF",921,"")</f>
        <v/>
      </c>
      <c r="AO94" s="69"/>
    </row>
    <row r="95" spans="1:41">
      <c r="A95" s="39">
        <f t="shared" si="10"/>
        <v>4</v>
      </c>
      <c r="B95" s="36" t="s">
        <v>617</v>
      </c>
      <c r="C95" s="107" t="s">
        <v>618</v>
      </c>
      <c r="D95" s="37" t="s">
        <v>619</v>
      </c>
      <c r="E95" s="36" t="s">
        <v>620</v>
      </c>
      <c r="F95" s="38">
        <v>45315</v>
      </c>
      <c r="G95" s="58"/>
      <c r="H95" s="107" t="s">
        <v>42</v>
      </c>
      <c r="I95" s="37" t="s">
        <v>621</v>
      </c>
      <c r="J95" s="36" t="s">
        <v>622</v>
      </c>
      <c r="K95" s="38">
        <v>45316</v>
      </c>
      <c r="L95" s="58"/>
      <c r="M95" s="73">
        <v>6101213805</v>
      </c>
      <c r="N95" s="36" t="s">
        <v>692</v>
      </c>
      <c r="O95" s="36" t="s">
        <v>355</v>
      </c>
      <c r="P95" s="123"/>
      <c r="Q95" s="63" t="s">
        <v>853</v>
      </c>
      <c r="R95" s="36" t="s">
        <v>624</v>
      </c>
      <c r="S95" s="117">
        <v>450.17</v>
      </c>
      <c r="T95" s="18">
        <v>400</v>
      </c>
      <c r="U95" s="70">
        <f>plachta3434235[[#This Row],[SALES '[€']]]-plachta3434235[[#This Row],[PURCHASE '[€']]]</f>
        <v>50.170000000000016</v>
      </c>
      <c r="V95" s="71">
        <f>plachta3434235[[#This Row],[MARGIN '[€']]]/plachta3434235[[#This Row],[SALES '[€']]]</f>
        <v>0.11144678676944268</v>
      </c>
      <c r="W95" s="36">
        <v>9215170964</v>
      </c>
      <c r="X95" s="36" t="s">
        <v>854</v>
      </c>
      <c r="Y95" s="36">
        <v>265</v>
      </c>
      <c r="Z95" s="109"/>
      <c r="AA95" s="36" t="s">
        <v>51</v>
      </c>
      <c r="AB95" s="72">
        <f t="shared" si="14"/>
        <v>1.5094339622641511</v>
      </c>
      <c r="AC95" s="72">
        <f t="shared" si="15"/>
        <v>1.6987547169811321</v>
      </c>
      <c r="AD95" s="69"/>
      <c r="AE95" s="69"/>
      <c r="AF95" s="69"/>
      <c r="AG95" s="69"/>
      <c r="AH95" s="69"/>
      <c r="AI95" s="69"/>
      <c r="AJ95" s="69"/>
      <c r="AK95" s="69"/>
      <c r="AL95" s="69" t="str">
        <f>IF(plachta3434235[[#This Row],[DELIVERY TIME]]="STORNO","CANCELLED","OK")</f>
        <v>OK</v>
      </c>
      <c r="AM95" s="69"/>
      <c r="AN95" s="69" t="str">
        <f>IF(RIGHT(plachta3434235[[#This Row],[CARRIER]],3)="-MF",921,"")</f>
        <v/>
      </c>
      <c r="AO95" s="69"/>
    </row>
    <row r="96" spans="1:41">
      <c r="A96" s="39">
        <f t="shared" si="10"/>
        <v>4</v>
      </c>
      <c r="B96" s="36" t="s">
        <v>617</v>
      </c>
      <c r="C96" s="107" t="s">
        <v>45</v>
      </c>
      <c r="D96" s="37" t="s">
        <v>121</v>
      </c>
      <c r="E96" s="36" t="s">
        <v>697</v>
      </c>
      <c r="F96" s="38">
        <v>45315</v>
      </c>
      <c r="G96" s="58"/>
      <c r="H96" s="107" t="s">
        <v>42</v>
      </c>
      <c r="I96" s="37" t="s">
        <v>855</v>
      </c>
      <c r="J96" s="36" t="s">
        <v>622</v>
      </c>
      <c r="K96" s="38">
        <v>45317</v>
      </c>
      <c r="L96" s="58"/>
      <c r="M96" s="73">
        <v>6101213829</v>
      </c>
      <c r="N96" s="97" t="s">
        <v>698</v>
      </c>
      <c r="O96" s="36" t="s">
        <v>355</v>
      </c>
      <c r="P96" s="123" t="s">
        <v>856</v>
      </c>
      <c r="Q96" s="63" t="s">
        <v>857</v>
      </c>
      <c r="R96" s="36" t="s">
        <v>701</v>
      </c>
      <c r="S96" s="36">
        <v>1651.37</v>
      </c>
      <c r="T96" s="36">
        <v>1195</v>
      </c>
      <c r="U96" s="70">
        <f>plachta3434235[[#This Row],[SALES '[€']]]-plachta3434235[[#This Row],[PURCHASE '[€']]]</f>
        <v>456.36999999999989</v>
      </c>
      <c r="V96" s="71">
        <f>plachta3434235[[#This Row],[MARGIN '[€']]]/plachta3434235[[#This Row],[SALES '[€']]]</f>
        <v>0.27635841755633195</v>
      </c>
      <c r="W96" s="36">
        <v>9215170965</v>
      </c>
      <c r="X96" s="36" t="s">
        <v>858</v>
      </c>
      <c r="Y96" s="36">
        <v>1428</v>
      </c>
      <c r="Z96" s="109"/>
      <c r="AA96" s="36" t="s">
        <v>51</v>
      </c>
      <c r="AB96" s="72">
        <f t="shared" si="14"/>
        <v>0.83683473389355745</v>
      </c>
      <c r="AC96" s="72">
        <f t="shared" si="15"/>
        <v>1.1564215686274508</v>
      </c>
      <c r="AD96" s="69"/>
      <c r="AE96" s="69"/>
      <c r="AF96" s="69"/>
      <c r="AG96" s="69"/>
      <c r="AH96" s="69"/>
      <c r="AI96" s="69"/>
      <c r="AJ96" s="69"/>
      <c r="AK96" s="69"/>
      <c r="AL96" s="69" t="str">
        <f>IF(plachta3434235[[#This Row],[DELIVERY TIME]]="STORNO","CANCELLED","OK")</f>
        <v>OK</v>
      </c>
      <c r="AM96" s="69"/>
      <c r="AN96" s="69" t="str">
        <f>IF(RIGHT(plachta3434235[[#This Row],[CARRIER]],3)="-MF",921,"")</f>
        <v/>
      </c>
      <c r="AO96" s="69"/>
    </row>
    <row r="97" spans="1:41">
      <c r="A97" s="39">
        <f t="shared" si="10"/>
        <v>5</v>
      </c>
      <c r="B97" s="36" t="s">
        <v>617</v>
      </c>
      <c r="C97" s="107" t="s">
        <v>618</v>
      </c>
      <c r="D97" s="37" t="s">
        <v>619</v>
      </c>
      <c r="E97" s="36" t="s">
        <v>620</v>
      </c>
      <c r="F97" s="38">
        <v>45321</v>
      </c>
      <c r="G97" s="58"/>
      <c r="H97" s="107" t="s">
        <v>42</v>
      </c>
      <c r="I97" s="37" t="s">
        <v>621</v>
      </c>
      <c r="J97" s="36" t="s">
        <v>622</v>
      </c>
      <c r="K97" s="38">
        <v>45322</v>
      </c>
      <c r="L97" s="58"/>
      <c r="M97" s="73">
        <v>6101219135</v>
      </c>
      <c r="N97" s="18"/>
      <c r="O97" s="36" t="s">
        <v>355</v>
      </c>
      <c r="P97" s="123"/>
      <c r="Q97" s="63" t="s">
        <v>859</v>
      </c>
      <c r="R97" s="36" t="s">
        <v>624</v>
      </c>
      <c r="S97" s="117">
        <v>450.17</v>
      </c>
      <c r="T97" s="18">
        <v>400</v>
      </c>
      <c r="U97" s="70">
        <f>plachta3434235[[#This Row],[SALES '[€']]]-plachta3434235[[#This Row],[PURCHASE '[€']]]</f>
        <v>50.170000000000016</v>
      </c>
      <c r="V97" s="71">
        <f>plachta3434235[[#This Row],[MARGIN '[€']]]/plachta3434235[[#This Row],[SALES '[€']]]</f>
        <v>0.11144678676944268</v>
      </c>
      <c r="W97" s="36">
        <v>9215171249</v>
      </c>
      <c r="X97" s="36" t="s">
        <v>860</v>
      </c>
      <c r="Y97" s="36">
        <v>265</v>
      </c>
      <c r="Z97" s="109"/>
      <c r="AA97" s="36" t="s">
        <v>51</v>
      </c>
      <c r="AB97" s="72">
        <f t="shared" si="14"/>
        <v>1.5094339622641511</v>
      </c>
      <c r="AC97" s="72">
        <f t="shared" si="15"/>
        <v>1.6987547169811321</v>
      </c>
      <c r="AD97" s="69"/>
      <c r="AE97" s="69"/>
      <c r="AF97" s="69"/>
      <c r="AG97" s="69"/>
      <c r="AH97" s="69"/>
      <c r="AI97" s="69"/>
      <c r="AJ97" s="69"/>
      <c r="AK97" s="69"/>
      <c r="AL97" s="69" t="str">
        <f>IF(plachta3434235[[#This Row],[DELIVERY TIME]]="STORNO","CANCELLED","OK")</f>
        <v>OK</v>
      </c>
      <c r="AM97" s="69"/>
      <c r="AN97" s="69" t="str">
        <f>IF(RIGHT(plachta3434235[[#This Row],[CARRIER]],3)="-MF",921,"")</f>
        <v/>
      </c>
      <c r="AO97" s="69"/>
    </row>
    <row r="98" spans="1:41">
      <c r="A98" s="39">
        <f t="shared" si="10"/>
        <v>5</v>
      </c>
      <c r="B98" s="36" t="s">
        <v>617</v>
      </c>
      <c r="C98" s="107" t="s">
        <v>45</v>
      </c>
      <c r="D98" s="37" t="s">
        <v>121</v>
      </c>
      <c r="E98" s="36" t="s">
        <v>697</v>
      </c>
      <c r="F98" s="38">
        <v>45322</v>
      </c>
      <c r="G98" s="58"/>
      <c r="H98" s="107" t="s">
        <v>42</v>
      </c>
      <c r="I98" s="37" t="s">
        <v>621</v>
      </c>
      <c r="J98" s="36" t="s">
        <v>622</v>
      </c>
      <c r="K98" s="38">
        <v>45324</v>
      </c>
      <c r="L98" s="58"/>
      <c r="M98" s="73">
        <v>6101219203</v>
      </c>
      <c r="N98" s="97" t="s">
        <v>698</v>
      </c>
      <c r="O98" s="36" t="s">
        <v>355</v>
      </c>
      <c r="P98" s="36" t="s">
        <v>861</v>
      </c>
      <c r="Q98" s="63" t="s">
        <v>862</v>
      </c>
      <c r="R98" s="36" t="s">
        <v>701</v>
      </c>
      <c r="S98" s="36">
        <v>1651.37</v>
      </c>
      <c r="T98" s="36">
        <v>1352</v>
      </c>
      <c r="U98" s="70">
        <f>plachta3434235[[#This Row],[SALES '[€']]]-plachta3434235[[#This Row],[PURCHASE '[€']]]</f>
        <v>299.36999999999989</v>
      </c>
      <c r="V98" s="71">
        <f>plachta3434235[[#This Row],[MARGIN '[€']]]/plachta3434235[[#This Row],[SALES '[€']]]</f>
        <v>0.18128584145285423</v>
      </c>
      <c r="W98" s="36">
        <v>9215171251</v>
      </c>
      <c r="X98" s="36" t="s">
        <v>863</v>
      </c>
      <c r="Y98" s="36">
        <v>1428</v>
      </c>
      <c r="Z98" s="36"/>
      <c r="AA98" s="36" t="s">
        <v>51</v>
      </c>
      <c r="AB98" s="72">
        <f t="shared" si="14"/>
        <v>0.9467787114845938</v>
      </c>
      <c r="AC98" s="72">
        <f t="shared" si="15"/>
        <v>1.1564215686274508</v>
      </c>
      <c r="AD98" s="69"/>
      <c r="AE98" s="69"/>
      <c r="AF98" s="69"/>
      <c r="AG98" s="69"/>
      <c r="AH98" s="69"/>
      <c r="AI98" s="69"/>
      <c r="AJ98" s="69"/>
      <c r="AK98" s="69"/>
      <c r="AL98" s="69" t="str">
        <f>IF(plachta3434235[[#This Row],[DELIVERY TIME]]="STORNO","CANCELLED","OK")</f>
        <v>OK</v>
      </c>
      <c r="AM98" s="69"/>
      <c r="AN98" s="69" t="str">
        <f>IF(RIGHT(plachta3434235[[#This Row],[CARRIER]],3)="-MF",921,"")</f>
        <v/>
      </c>
      <c r="AO98" s="69"/>
    </row>
    <row r="99" spans="1:41">
      <c r="A99" s="39">
        <f t="shared" si="10"/>
        <v>5</v>
      </c>
      <c r="B99" s="36" t="s">
        <v>632</v>
      </c>
      <c r="C99" s="107" t="s">
        <v>42</v>
      </c>
      <c r="D99" s="37" t="s">
        <v>584</v>
      </c>
      <c r="E99" s="36" t="s">
        <v>585</v>
      </c>
      <c r="F99" s="38">
        <v>45323</v>
      </c>
      <c r="G99" s="58"/>
      <c r="H99" s="107" t="s">
        <v>633</v>
      </c>
      <c r="I99" s="37" t="s">
        <v>634</v>
      </c>
      <c r="J99" s="36" t="s">
        <v>635</v>
      </c>
      <c r="K99" s="38">
        <v>45329</v>
      </c>
      <c r="L99" s="58"/>
      <c r="M99" s="192" t="s">
        <v>864</v>
      </c>
      <c r="N99" s="18" t="s">
        <v>49</v>
      </c>
      <c r="O99" s="36" t="s">
        <v>347</v>
      </c>
      <c r="P99" s="36" t="s">
        <v>865</v>
      </c>
      <c r="Q99" s="63" t="s">
        <v>866</v>
      </c>
      <c r="R99" s="36" t="s">
        <v>639</v>
      </c>
      <c r="S99" s="43"/>
      <c r="T99" s="36">
        <v>1100</v>
      </c>
      <c r="U99" s="70">
        <f>plachta3434235[[#This Row],[SALES '[€']]]-plachta3434235[[#This Row],[PURCHASE '[€']]]</f>
        <v>-1100</v>
      </c>
      <c r="V99" s="71" t="e">
        <f>plachta3434235[[#This Row],[MARGIN '[€']]]/plachta3434235[[#This Row],[SALES '[€']]]</f>
        <v>#DIV/0!</v>
      </c>
      <c r="W99" s="36">
        <v>9215171450</v>
      </c>
      <c r="X99" s="36" t="s">
        <v>867</v>
      </c>
      <c r="Y99" s="36">
        <v>1760</v>
      </c>
      <c r="Z99" s="36"/>
      <c r="AA99" s="36" t="s">
        <v>51</v>
      </c>
      <c r="AB99" s="72">
        <f t="shared" ref="AB99:AB130" si="16">T99/Y99</f>
        <v>0.625</v>
      </c>
      <c r="AC99" s="72">
        <f t="shared" ref="AC99:AC130" si="17">S99/Y99</f>
        <v>0</v>
      </c>
      <c r="AD99" s="69"/>
      <c r="AE99" s="69"/>
      <c r="AF99" s="69"/>
      <c r="AG99" s="69"/>
      <c r="AH99" s="69"/>
      <c r="AI99" s="69"/>
      <c r="AJ99" s="69"/>
      <c r="AK99" s="69"/>
      <c r="AL99" s="69" t="str">
        <f>IF(plachta3434235[[#This Row],[DELIVERY TIME]]="STORNO","CANCELLED","OK")</f>
        <v>OK</v>
      </c>
      <c r="AM99" s="69"/>
      <c r="AN99" s="69" t="str">
        <f>IF(RIGHT(plachta3434235[[#This Row],[CARRIER]],3)="-MF",921,"")</f>
        <v/>
      </c>
      <c r="AO99" s="69"/>
    </row>
    <row r="100" spans="1:41">
      <c r="A100" s="39">
        <f t="shared" si="10"/>
        <v>6</v>
      </c>
      <c r="B100" s="36" t="s">
        <v>617</v>
      </c>
      <c r="C100" s="107" t="s">
        <v>618</v>
      </c>
      <c r="D100" s="37" t="s">
        <v>619</v>
      </c>
      <c r="E100" s="36" t="s">
        <v>620</v>
      </c>
      <c r="F100" s="38">
        <v>45327</v>
      </c>
      <c r="G100" s="58"/>
      <c r="H100" s="107" t="s">
        <v>42</v>
      </c>
      <c r="I100" s="37" t="s">
        <v>621</v>
      </c>
      <c r="J100" s="36" t="s">
        <v>622</v>
      </c>
      <c r="K100" s="38">
        <v>45328</v>
      </c>
      <c r="L100" s="58"/>
      <c r="M100" s="73">
        <v>6101228636</v>
      </c>
      <c r="N100" s="18" t="s">
        <v>692</v>
      </c>
      <c r="O100" s="36" t="s">
        <v>355</v>
      </c>
      <c r="P100" s="36"/>
      <c r="Q100" s="63" t="s">
        <v>868</v>
      </c>
      <c r="R100" s="36" t="s">
        <v>624</v>
      </c>
      <c r="S100" s="117">
        <v>450.17</v>
      </c>
      <c r="T100" s="18">
        <v>400</v>
      </c>
      <c r="U100" s="70">
        <f>plachta3434235[[#This Row],[SALES '[€']]]-plachta3434235[[#This Row],[PURCHASE '[€']]]</f>
        <v>50.170000000000016</v>
      </c>
      <c r="V100" s="71">
        <f>plachta3434235[[#This Row],[MARGIN '[€']]]/plachta3434235[[#This Row],[SALES '[€']]]</f>
        <v>0.11144678676944268</v>
      </c>
      <c r="W100" s="36">
        <v>9215171456</v>
      </c>
      <c r="X100" s="36" t="s">
        <v>869</v>
      </c>
      <c r="Y100" s="36">
        <v>265</v>
      </c>
      <c r="Z100" s="36"/>
      <c r="AA100" s="36" t="s">
        <v>51</v>
      </c>
      <c r="AB100" s="72">
        <f t="shared" si="16"/>
        <v>1.5094339622641511</v>
      </c>
      <c r="AC100" s="72">
        <f t="shared" si="17"/>
        <v>1.6987547169811321</v>
      </c>
      <c r="AD100" s="69"/>
      <c r="AE100" s="69"/>
      <c r="AF100" s="69"/>
      <c r="AG100" s="69"/>
      <c r="AH100" s="69"/>
      <c r="AI100" s="69"/>
      <c r="AJ100" s="69"/>
      <c r="AK100" s="69"/>
      <c r="AL100" s="69" t="str">
        <f>IF(plachta3434235[[#This Row],[DELIVERY TIME]]="STORNO","CANCELLED","OK")</f>
        <v>OK</v>
      </c>
      <c r="AM100" s="69"/>
      <c r="AN100" s="69" t="str">
        <f>IF(RIGHT(plachta3434235[[#This Row],[CARRIER]],3)="-MF",921,"")</f>
        <v/>
      </c>
      <c r="AO100" s="69"/>
    </row>
    <row r="101" spans="1:41">
      <c r="A101" s="39">
        <f t="shared" si="10"/>
        <v>6</v>
      </c>
      <c r="B101" s="36" t="s">
        <v>617</v>
      </c>
      <c r="C101" s="107" t="s">
        <v>618</v>
      </c>
      <c r="D101" s="37" t="s">
        <v>619</v>
      </c>
      <c r="E101" s="36" t="s">
        <v>620</v>
      </c>
      <c r="F101" s="38">
        <v>45328</v>
      </c>
      <c r="G101" s="58"/>
      <c r="H101" s="107" t="s">
        <v>42</v>
      </c>
      <c r="I101" s="37" t="s">
        <v>621</v>
      </c>
      <c r="J101" s="36" t="s">
        <v>622</v>
      </c>
      <c r="K101" s="38">
        <v>45329</v>
      </c>
      <c r="L101" s="58"/>
      <c r="M101" s="73">
        <v>6101228637</v>
      </c>
      <c r="N101" s="18" t="s">
        <v>692</v>
      </c>
      <c r="O101" s="36" t="s">
        <v>355</v>
      </c>
      <c r="P101" s="36"/>
      <c r="Q101" s="63" t="s">
        <v>870</v>
      </c>
      <c r="R101" s="36" t="s">
        <v>624</v>
      </c>
      <c r="S101" s="117">
        <v>450.17</v>
      </c>
      <c r="T101" s="18">
        <v>400</v>
      </c>
      <c r="U101" s="70">
        <f>plachta3434235[[#This Row],[SALES '[€']]]-plachta3434235[[#This Row],[PURCHASE '[€']]]</f>
        <v>50.170000000000016</v>
      </c>
      <c r="V101" s="71">
        <f>plachta3434235[[#This Row],[MARGIN '[€']]]/plachta3434235[[#This Row],[SALES '[€']]]</f>
        <v>0.11144678676944268</v>
      </c>
      <c r="W101" s="36">
        <v>9215171457</v>
      </c>
      <c r="X101" s="36" t="s">
        <v>871</v>
      </c>
      <c r="Y101" s="36">
        <v>265</v>
      </c>
      <c r="Z101" s="36"/>
      <c r="AA101" s="36" t="s">
        <v>51</v>
      </c>
      <c r="AB101" s="72">
        <f t="shared" si="16"/>
        <v>1.5094339622641511</v>
      </c>
      <c r="AC101" s="72">
        <f t="shared" si="17"/>
        <v>1.6987547169811321</v>
      </c>
      <c r="AD101" s="69"/>
      <c r="AE101" s="69"/>
      <c r="AF101" s="69"/>
      <c r="AG101" s="69"/>
      <c r="AH101" s="69"/>
      <c r="AI101" s="69"/>
      <c r="AJ101" s="69"/>
      <c r="AK101" s="69"/>
      <c r="AL101" s="69" t="str">
        <f>IF(plachta3434235[[#This Row],[DELIVERY TIME]]="STORNO","CANCELLED","OK")</f>
        <v>OK</v>
      </c>
      <c r="AM101" s="69"/>
      <c r="AN101" s="69" t="str">
        <f>IF(RIGHT(plachta3434235[[#This Row],[CARRIER]],3)="-MF",921,"")</f>
        <v/>
      </c>
      <c r="AO101" s="69"/>
    </row>
    <row r="102" spans="1:41">
      <c r="A102" s="39">
        <f t="shared" si="10"/>
        <v>6</v>
      </c>
      <c r="B102" s="36" t="s">
        <v>617</v>
      </c>
      <c r="C102" s="107" t="s">
        <v>618</v>
      </c>
      <c r="D102" s="37" t="s">
        <v>619</v>
      </c>
      <c r="E102" s="36" t="s">
        <v>620</v>
      </c>
      <c r="F102" s="38">
        <v>45329</v>
      </c>
      <c r="G102" s="58"/>
      <c r="H102" s="107" t="s">
        <v>42</v>
      </c>
      <c r="I102" s="37" t="s">
        <v>621</v>
      </c>
      <c r="J102" s="36" t="s">
        <v>622</v>
      </c>
      <c r="K102" s="38">
        <v>45330</v>
      </c>
      <c r="L102" s="58"/>
      <c r="M102" s="73">
        <v>6101228638</v>
      </c>
      <c r="N102" s="18" t="s">
        <v>692</v>
      </c>
      <c r="O102" s="36" t="s">
        <v>355</v>
      </c>
      <c r="P102" s="36"/>
      <c r="Q102" s="63" t="s">
        <v>623</v>
      </c>
      <c r="R102" s="36" t="s">
        <v>624</v>
      </c>
      <c r="S102" s="117">
        <v>450.17</v>
      </c>
      <c r="T102" s="18">
        <v>400</v>
      </c>
      <c r="U102" s="70">
        <f>plachta3434235[[#This Row],[SALES '[€']]]-plachta3434235[[#This Row],[PURCHASE '[€']]]</f>
        <v>50.170000000000016</v>
      </c>
      <c r="V102" s="71">
        <f>plachta3434235[[#This Row],[MARGIN '[€']]]/plachta3434235[[#This Row],[SALES '[€']]]</f>
        <v>0.11144678676944268</v>
      </c>
      <c r="W102" s="36">
        <v>9215171462</v>
      </c>
      <c r="X102" s="36" t="s">
        <v>872</v>
      </c>
      <c r="Y102" s="36">
        <v>265</v>
      </c>
      <c r="Z102" s="36"/>
      <c r="AA102" s="36" t="s">
        <v>51</v>
      </c>
      <c r="AB102" s="72">
        <f t="shared" si="16"/>
        <v>1.5094339622641511</v>
      </c>
      <c r="AC102" s="72">
        <f t="shared" si="17"/>
        <v>1.6987547169811321</v>
      </c>
      <c r="AD102" s="69"/>
      <c r="AE102" s="69"/>
      <c r="AF102" s="69"/>
      <c r="AG102" s="69"/>
      <c r="AH102" s="69"/>
      <c r="AI102" s="69"/>
      <c r="AJ102" s="69"/>
      <c r="AK102" s="69"/>
      <c r="AL102" s="69" t="str">
        <f>IF(plachta3434235[[#This Row],[DELIVERY TIME]]="STORNO","CANCELLED","OK")</f>
        <v>OK</v>
      </c>
      <c r="AM102" s="69"/>
      <c r="AN102" s="69" t="str">
        <f>IF(RIGHT(plachta3434235[[#This Row],[CARRIER]],3)="-MF",921,"")</f>
        <v/>
      </c>
      <c r="AO102" s="69"/>
    </row>
    <row r="103" spans="1:41">
      <c r="A103" s="39">
        <f t="shared" si="10"/>
        <v>7</v>
      </c>
      <c r="B103" s="36" t="s">
        <v>617</v>
      </c>
      <c r="C103" s="107" t="s">
        <v>45</v>
      </c>
      <c r="D103" s="37" t="s">
        <v>121</v>
      </c>
      <c r="E103" s="36" t="s">
        <v>697</v>
      </c>
      <c r="F103" s="38">
        <v>45336</v>
      </c>
      <c r="G103" s="58"/>
      <c r="H103" s="107" t="s">
        <v>42</v>
      </c>
      <c r="I103" s="37" t="s">
        <v>621</v>
      </c>
      <c r="J103" s="36" t="s">
        <v>622</v>
      </c>
      <c r="K103" s="38"/>
      <c r="L103" s="58"/>
      <c r="M103" s="205"/>
      <c r="N103" s="36"/>
      <c r="O103" s="36"/>
      <c r="P103" s="36"/>
      <c r="Q103" s="42" t="s">
        <v>873</v>
      </c>
      <c r="R103" s="43"/>
      <c r="S103" s="36"/>
      <c r="T103" s="36"/>
      <c r="U103" s="70"/>
      <c r="V103" s="71" t="e">
        <f>plachta3434235[[#This Row],[MARGIN '[€']]]/plachta3434235[[#This Row],[SALES '[€']]]</f>
        <v>#DIV/0!</v>
      </c>
      <c r="W103" s="36"/>
      <c r="X103" s="36"/>
      <c r="Y103" s="36"/>
      <c r="Z103" s="36"/>
      <c r="AA103" s="36" t="s">
        <v>51</v>
      </c>
      <c r="AB103" s="72" t="e">
        <f t="shared" si="16"/>
        <v>#DIV/0!</v>
      </c>
      <c r="AC103" s="72" t="e">
        <f t="shared" si="17"/>
        <v>#DIV/0!</v>
      </c>
      <c r="AD103" s="69"/>
      <c r="AE103" s="69"/>
      <c r="AF103" s="69"/>
      <c r="AG103" s="69"/>
      <c r="AH103" s="69"/>
      <c r="AI103" s="69"/>
      <c r="AJ103" s="69"/>
      <c r="AK103" s="69"/>
      <c r="AL103" s="69" t="str">
        <f>IF(plachta3434235[[#This Row],[DELIVERY TIME]]="STORNO","CANCELLED","OK")</f>
        <v>OK</v>
      </c>
      <c r="AM103" s="69"/>
      <c r="AN103" s="69" t="str">
        <f>IF(RIGHT(plachta3434235[[#This Row],[CARRIER]],3)="-MF",921,"")</f>
        <v/>
      </c>
      <c r="AO103" s="69"/>
    </row>
    <row r="104" spans="1:41">
      <c r="A104" s="39">
        <f t="shared" si="10"/>
        <v>5</v>
      </c>
      <c r="B104" s="115" t="s">
        <v>607</v>
      </c>
      <c r="C104" s="107" t="s">
        <v>42</v>
      </c>
      <c r="D104" s="37" t="s">
        <v>608</v>
      </c>
      <c r="E104" s="36" t="s">
        <v>609</v>
      </c>
      <c r="F104" s="38">
        <v>45320</v>
      </c>
      <c r="G104" s="58">
        <v>0.16666666666666666</v>
      </c>
      <c r="H104" s="107" t="s">
        <v>610</v>
      </c>
      <c r="I104" s="37" t="s">
        <v>525</v>
      </c>
      <c r="J104" s="36" t="s">
        <v>611</v>
      </c>
      <c r="K104" s="38">
        <v>45321</v>
      </c>
      <c r="L104" s="58">
        <v>0.1875</v>
      </c>
      <c r="M104" s="73">
        <v>6101227501</v>
      </c>
      <c r="N104" s="18" t="s">
        <v>49</v>
      </c>
      <c r="O104" s="36" t="s">
        <v>411</v>
      </c>
      <c r="P104" s="36"/>
      <c r="Q104" s="63" t="s">
        <v>874</v>
      </c>
      <c r="R104" s="36" t="s">
        <v>614</v>
      </c>
      <c r="S104" s="36">
        <v>1734</v>
      </c>
      <c r="T104" s="36">
        <v>1530</v>
      </c>
      <c r="U104" s="70">
        <f>plachta3434235[[#This Row],[SALES '[€']]]-plachta3434235[[#This Row],[PURCHASE '[€']]]</f>
        <v>204</v>
      </c>
      <c r="V104" s="71">
        <f>plachta3434235[[#This Row],[MARGIN '[€']]]/plachta3434235[[#This Row],[SALES '[€']]]</f>
        <v>0.11764705882352941</v>
      </c>
      <c r="W104" s="36" t="s">
        <v>875</v>
      </c>
      <c r="X104" s="36" t="s">
        <v>876</v>
      </c>
      <c r="Y104" s="36">
        <v>1252</v>
      </c>
      <c r="Z104" s="36"/>
      <c r="AA104" s="36" t="s">
        <v>51</v>
      </c>
      <c r="AB104" s="72">
        <f t="shared" si="16"/>
        <v>1.2220447284345048</v>
      </c>
      <c r="AC104" s="72">
        <f t="shared" si="17"/>
        <v>1.3849840255591055</v>
      </c>
      <c r="AD104" s="69"/>
      <c r="AE104" s="69"/>
      <c r="AF104" s="69"/>
      <c r="AG104" s="69"/>
      <c r="AH104" s="69"/>
      <c r="AI104" s="69"/>
      <c r="AJ104" s="69"/>
      <c r="AK104" s="69"/>
      <c r="AL104" s="69" t="str">
        <f>IF(plachta3434235[[#This Row],[DELIVERY TIME]]="STORNO","CANCELLED","OK")</f>
        <v>OK</v>
      </c>
      <c r="AM104" s="69"/>
      <c r="AN104" s="69" t="str">
        <f>IF(RIGHT(plachta3434235[[#This Row],[CARRIER]],3)="-MF",921,"")</f>
        <v/>
      </c>
      <c r="AO104" s="69"/>
    </row>
    <row r="105" spans="1:41">
      <c r="A105" s="39">
        <f t="shared" si="10"/>
        <v>5</v>
      </c>
      <c r="B105" s="115" t="s">
        <v>607</v>
      </c>
      <c r="C105" s="107" t="s">
        <v>42</v>
      </c>
      <c r="D105" s="37" t="s">
        <v>608</v>
      </c>
      <c r="E105" s="36" t="s">
        <v>609</v>
      </c>
      <c r="F105" s="38">
        <v>45320</v>
      </c>
      <c r="G105" s="58">
        <v>0.66666666666666663</v>
      </c>
      <c r="H105" s="107" t="s">
        <v>610</v>
      </c>
      <c r="I105" s="37" t="s">
        <v>525</v>
      </c>
      <c r="J105" s="36" t="s">
        <v>611</v>
      </c>
      <c r="K105" s="38">
        <v>45321</v>
      </c>
      <c r="L105" s="120" t="s">
        <v>48</v>
      </c>
      <c r="M105" s="73">
        <v>6101227502</v>
      </c>
      <c r="N105" s="18" t="s">
        <v>49</v>
      </c>
      <c r="O105" s="36" t="s">
        <v>411</v>
      </c>
      <c r="P105" s="36"/>
      <c r="Q105" s="63" t="s">
        <v>680</v>
      </c>
      <c r="R105" s="36" t="s">
        <v>614</v>
      </c>
      <c r="S105" s="36">
        <v>1734</v>
      </c>
      <c r="T105" s="36">
        <v>1530</v>
      </c>
      <c r="U105" s="70">
        <f>plachta3434235[[#This Row],[SALES '[€']]]-plachta3434235[[#This Row],[PURCHASE '[€']]]</f>
        <v>204</v>
      </c>
      <c r="V105" s="71">
        <f>plachta3434235[[#This Row],[MARGIN '[€']]]/plachta3434235[[#This Row],[SALES '[€']]]</f>
        <v>0.11764705882352941</v>
      </c>
      <c r="W105" s="36" t="s">
        <v>877</v>
      </c>
      <c r="X105" s="36" t="s">
        <v>878</v>
      </c>
      <c r="Y105" s="36">
        <v>1252</v>
      </c>
      <c r="Z105" s="36"/>
      <c r="AA105" s="36" t="s">
        <v>51</v>
      </c>
      <c r="AB105" s="72">
        <f t="shared" si="16"/>
        <v>1.2220447284345048</v>
      </c>
      <c r="AC105" s="72">
        <f t="shared" si="17"/>
        <v>1.3849840255591055</v>
      </c>
      <c r="AD105" s="69"/>
      <c r="AE105" s="69"/>
      <c r="AF105" s="69"/>
      <c r="AG105" s="69"/>
      <c r="AH105" s="69"/>
      <c r="AI105" s="69"/>
      <c r="AJ105" s="69"/>
      <c r="AK105" s="69"/>
      <c r="AL105" s="69" t="str">
        <f>IF(plachta3434235[[#This Row],[DELIVERY TIME]]="STORNO","CANCELLED","OK")</f>
        <v>CANCELLED</v>
      </c>
      <c r="AM105" s="69"/>
      <c r="AN105" s="69" t="str">
        <f>IF(RIGHT(plachta3434235[[#This Row],[CARRIER]],3)="-MF",921,"")</f>
        <v/>
      </c>
      <c r="AO105" s="69"/>
    </row>
    <row r="106" spans="1:41">
      <c r="A106" s="39">
        <f t="shared" si="10"/>
        <v>5</v>
      </c>
      <c r="B106" s="115" t="s">
        <v>607</v>
      </c>
      <c r="C106" s="107" t="s">
        <v>42</v>
      </c>
      <c r="D106" s="37" t="s">
        <v>608</v>
      </c>
      <c r="E106" s="36" t="s">
        <v>609</v>
      </c>
      <c r="F106" s="38">
        <v>45321</v>
      </c>
      <c r="G106" s="58">
        <v>0.16666666666666666</v>
      </c>
      <c r="H106" s="107" t="s">
        <v>610</v>
      </c>
      <c r="I106" s="37" t="s">
        <v>525</v>
      </c>
      <c r="J106" s="36" t="s">
        <v>611</v>
      </c>
      <c r="K106" s="38">
        <v>45322</v>
      </c>
      <c r="L106" s="58">
        <v>0.1875</v>
      </c>
      <c r="M106" s="73">
        <v>6101227447</v>
      </c>
      <c r="N106" s="18" t="s">
        <v>49</v>
      </c>
      <c r="O106" s="36" t="s">
        <v>411</v>
      </c>
      <c r="P106" s="36"/>
      <c r="Q106" s="63" t="s">
        <v>680</v>
      </c>
      <c r="R106" s="36" t="s">
        <v>614</v>
      </c>
      <c r="S106" s="36">
        <v>1734</v>
      </c>
      <c r="T106" s="36">
        <v>1530</v>
      </c>
      <c r="U106" s="70">
        <f>plachta3434235[[#This Row],[SALES '[€']]]-plachta3434235[[#This Row],[PURCHASE '[€']]]</f>
        <v>204</v>
      </c>
      <c r="V106" s="71">
        <f>plachta3434235[[#This Row],[MARGIN '[€']]]/plachta3434235[[#This Row],[SALES '[€']]]</f>
        <v>0.11764705882352941</v>
      </c>
      <c r="W106" s="36" t="s">
        <v>879</v>
      </c>
      <c r="X106" s="36" t="s">
        <v>880</v>
      </c>
      <c r="Y106" s="36">
        <v>1252</v>
      </c>
      <c r="Z106" s="36"/>
      <c r="AA106" s="36" t="s">
        <v>51</v>
      </c>
      <c r="AB106" s="72">
        <f t="shared" si="16"/>
        <v>1.2220447284345048</v>
      </c>
      <c r="AC106" s="72">
        <f t="shared" si="17"/>
        <v>1.3849840255591055</v>
      </c>
      <c r="AD106" s="69"/>
      <c r="AE106" s="69"/>
      <c r="AF106" s="69"/>
      <c r="AG106" s="69"/>
      <c r="AH106" s="69"/>
      <c r="AI106" s="69"/>
      <c r="AJ106" s="69"/>
      <c r="AK106" s="69"/>
      <c r="AL106" s="69" t="str">
        <f>IF(plachta3434235[[#This Row],[DELIVERY TIME]]="STORNO","CANCELLED","OK")</f>
        <v>OK</v>
      </c>
      <c r="AM106" s="69"/>
      <c r="AN106" s="69" t="str">
        <f>IF(RIGHT(plachta3434235[[#This Row],[CARRIER]],3)="-MF",921,"")</f>
        <v/>
      </c>
      <c r="AO106" s="69"/>
    </row>
    <row r="107" spans="1:41">
      <c r="A107" s="39">
        <f t="shared" si="10"/>
        <v>5</v>
      </c>
      <c r="B107" s="115" t="s">
        <v>607</v>
      </c>
      <c r="C107" s="107" t="s">
        <v>42</v>
      </c>
      <c r="D107" s="37" t="s">
        <v>608</v>
      </c>
      <c r="E107" s="36" t="s">
        <v>609</v>
      </c>
      <c r="F107" s="38">
        <v>45322</v>
      </c>
      <c r="G107" s="58">
        <v>0.16666666666666666</v>
      </c>
      <c r="H107" s="107" t="s">
        <v>610</v>
      </c>
      <c r="I107" s="37" t="s">
        <v>525</v>
      </c>
      <c r="J107" s="36" t="s">
        <v>611</v>
      </c>
      <c r="K107" s="38">
        <v>45323</v>
      </c>
      <c r="L107" s="58">
        <v>0.1875</v>
      </c>
      <c r="M107" s="73">
        <v>6101227448</v>
      </c>
      <c r="N107" s="18" t="s">
        <v>49</v>
      </c>
      <c r="O107" s="36" t="s">
        <v>411</v>
      </c>
      <c r="P107" s="36" t="s">
        <v>715</v>
      </c>
      <c r="Q107" s="63" t="s">
        <v>881</v>
      </c>
      <c r="R107" s="36" t="s">
        <v>614</v>
      </c>
      <c r="S107" s="36">
        <v>1734</v>
      </c>
      <c r="T107" s="36">
        <v>1530</v>
      </c>
      <c r="U107" s="70">
        <f>plachta3434235[[#This Row],[SALES '[€']]]-plachta3434235[[#This Row],[PURCHASE '[€']]]</f>
        <v>204</v>
      </c>
      <c r="V107" s="71">
        <f>plachta3434235[[#This Row],[MARGIN '[€']]]/plachta3434235[[#This Row],[SALES '[€']]]</f>
        <v>0.11764705882352941</v>
      </c>
      <c r="W107" s="36" t="s">
        <v>882</v>
      </c>
      <c r="X107" s="36" t="s">
        <v>883</v>
      </c>
      <c r="Y107" s="36">
        <v>1252</v>
      </c>
      <c r="Z107" s="36"/>
      <c r="AA107" s="36" t="s">
        <v>51</v>
      </c>
      <c r="AB107" s="72">
        <f t="shared" si="16"/>
        <v>1.2220447284345048</v>
      </c>
      <c r="AC107" s="72">
        <f t="shared" si="17"/>
        <v>1.3849840255591055</v>
      </c>
      <c r="AD107" s="69"/>
      <c r="AE107" s="69"/>
      <c r="AF107" s="69"/>
      <c r="AG107" s="69"/>
      <c r="AH107" s="69"/>
      <c r="AI107" s="69"/>
      <c r="AJ107" s="69"/>
      <c r="AK107" s="69"/>
      <c r="AL107" s="69" t="str">
        <f>IF(plachta3434235[[#This Row],[DELIVERY TIME]]="STORNO","CANCELLED","OK")</f>
        <v>OK</v>
      </c>
      <c r="AM107" s="69"/>
      <c r="AN107" s="69" t="str">
        <f>IF(RIGHT(plachta3434235[[#This Row],[CARRIER]],3)="-MF",921,"")</f>
        <v/>
      </c>
      <c r="AO107" s="69"/>
    </row>
    <row r="108" spans="1:41">
      <c r="A108" s="39">
        <f t="shared" si="10"/>
        <v>5</v>
      </c>
      <c r="B108" s="115" t="s">
        <v>607</v>
      </c>
      <c r="C108" s="107" t="s">
        <v>42</v>
      </c>
      <c r="D108" s="37" t="s">
        <v>608</v>
      </c>
      <c r="E108" s="36" t="s">
        <v>609</v>
      </c>
      <c r="F108" s="38">
        <v>45323</v>
      </c>
      <c r="G108" s="58">
        <v>0.16666666666666666</v>
      </c>
      <c r="H108" s="107" t="s">
        <v>610</v>
      </c>
      <c r="I108" s="37" t="s">
        <v>525</v>
      </c>
      <c r="J108" s="36" t="s">
        <v>611</v>
      </c>
      <c r="K108" s="38">
        <v>45324</v>
      </c>
      <c r="L108" s="58">
        <v>0.1875</v>
      </c>
      <c r="M108" s="73">
        <v>6101227449</v>
      </c>
      <c r="N108" s="18" t="s">
        <v>49</v>
      </c>
      <c r="O108" s="36" t="s">
        <v>411</v>
      </c>
      <c r="P108" s="36"/>
      <c r="Q108" s="63" t="s">
        <v>680</v>
      </c>
      <c r="R108" s="36" t="s">
        <v>614</v>
      </c>
      <c r="S108" s="36">
        <v>1734</v>
      </c>
      <c r="T108" s="36">
        <v>1530</v>
      </c>
      <c r="U108" s="70">
        <f>plachta3434235[[#This Row],[SALES '[€']]]-plachta3434235[[#This Row],[PURCHASE '[€']]]</f>
        <v>204</v>
      </c>
      <c r="V108" s="71">
        <f>plachta3434235[[#This Row],[MARGIN '[€']]]/plachta3434235[[#This Row],[SALES '[€']]]</f>
        <v>0.11764705882352941</v>
      </c>
      <c r="W108" s="36" t="s">
        <v>884</v>
      </c>
      <c r="X108" s="36" t="s">
        <v>885</v>
      </c>
      <c r="Y108" s="36">
        <v>1252</v>
      </c>
      <c r="Z108" s="36"/>
      <c r="AA108" s="36" t="s">
        <v>51</v>
      </c>
      <c r="AB108" s="72">
        <f t="shared" si="16"/>
        <v>1.2220447284345048</v>
      </c>
      <c r="AC108" s="72">
        <f t="shared" si="17"/>
        <v>1.3849840255591055</v>
      </c>
      <c r="AD108" s="69"/>
      <c r="AE108" s="69"/>
      <c r="AF108" s="69"/>
      <c r="AG108" s="69"/>
      <c r="AH108" s="69"/>
      <c r="AI108" s="69"/>
      <c r="AJ108" s="69"/>
      <c r="AK108" s="69"/>
      <c r="AL108" s="69" t="str">
        <f>IF(plachta3434235[[#This Row],[DELIVERY TIME]]="STORNO","CANCELLED","OK")</f>
        <v>OK</v>
      </c>
      <c r="AM108" s="69"/>
      <c r="AN108" s="69" t="str">
        <f>IF(RIGHT(plachta3434235[[#This Row],[CARRIER]],3)="-MF",921,"")</f>
        <v/>
      </c>
      <c r="AO108" s="69"/>
    </row>
    <row r="109" spans="1:41">
      <c r="A109" s="39">
        <f t="shared" si="10"/>
        <v>5</v>
      </c>
      <c r="B109" s="115" t="s">
        <v>607</v>
      </c>
      <c r="C109" s="107" t="s">
        <v>42</v>
      </c>
      <c r="D109" s="37" t="s">
        <v>608</v>
      </c>
      <c r="E109" s="36" t="s">
        <v>609</v>
      </c>
      <c r="F109" s="38">
        <v>45324</v>
      </c>
      <c r="G109" s="58">
        <v>0.16666666666666666</v>
      </c>
      <c r="H109" s="107" t="s">
        <v>610</v>
      </c>
      <c r="I109" s="37" t="s">
        <v>525</v>
      </c>
      <c r="J109" s="36" t="s">
        <v>611</v>
      </c>
      <c r="K109" s="38">
        <v>45324</v>
      </c>
      <c r="L109" s="58">
        <v>0.6875</v>
      </c>
      <c r="M109" s="73">
        <v>6101227500</v>
      </c>
      <c r="N109" s="18" t="s">
        <v>49</v>
      </c>
      <c r="O109" s="36" t="s">
        <v>411</v>
      </c>
      <c r="P109" s="36"/>
      <c r="Q109" s="63" t="s">
        <v>886</v>
      </c>
      <c r="R109" s="36" t="s">
        <v>614</v>
      </c>
      <c r="S109" s="36">
        <v>1734</v>
      </c>
      <c r="T109" s="36">
        <v>1530</v>
      </c>
      <c r="U109" s="70">
        <f>plachta3434235[[#This Row],[SALES '[€']]]-plachta3434235[[#This Row],[PURCHASE '[€']]]</f>
        <v>204</v>
      </c>
      <c r="V109" s="71">
        <f>plachta3434235[[#This Row],[MARGIN '[€']]]/plachta3434235[[#This Row],[SALES '[€']]]</f>
        <v>0.11764705882352941</v>
      </c>
      <c r="W109" s="36" t="s">
        <v>887</v>
      </c>
      <c r="X109" s="36" t="s">
        <v>888</v>
      </c>
      <c r="Y109" s="36">
        <v>1252</v>
      </c>
      <c r="Z109" s="36"/>
      <c r="AA109" s="36" t="s">
        <v>51</v>
      </c>
      <c r="AB109" s="72">
        <f t="shared" si="16"/>
        <v>1.2220447284345048</v>
      </c>
      <c r="AC109" s="72">
        <f t="shared" si="17"/>
        <v>1.3849840255591055</v>
      </c>
      <c r="AD109" s="69"/>
      <c r="AE109" s="69"/>
      <c r="AF109" s="69"/>
      <c r="AG109" s="69"/>
      <c r="AH109" s="69"/>
      <c r="AI109" s="69"/>
      <c r="AJ109" s="69"/>
      <c r="AK109" s="69"/>
      <c r="AL109" s="69" t="str">
        <f>IF(plachta3434235[[#This Row],[DELIVERY TIME]]="STORNO","CANCELLED","OK")</f>
        <v>OK</v>
      </c>
      <c r="AM109" s="69"/>
      <c r="AN109" s="69" t="str">
        <f>IF(RIGHT(plachta3434235[[#This Row],[CARRIER]],3)="-MF",921,"")</f>
        <v/>
      </c>
      <c r="AO109" s="69"/>
    </row>
    <row r="110" spans="1:41">
      <c r="A110" s="39">
        <f t="shared" si="10"/>
        <v>6</v>
      </c>
      <c r="B110" s="36" t="s">
        <v>703</v>
      </c>
      <c r="C110" s="107" t="s">
        <v>42</v>
      </c>
      <c r="D110" s="37" t="s">
        <v>43</v>
      </c>
      <c r="E110" s="36" t="s">
        <v>44</v>
      </c>
      <c r="F110" s="38">
        <v>45331</v>
      </c>
      <c r="G110" s="58"/>
      <c r="H110" s="107" t="s">
        <v>267</v>
      </c>
      <c r="I110" s="37" t="s">
        <v>889</v>
      </c>
      <c r="J110" s="36" t="s">
        <v>704</v>
      </c>
      <c r="K110" s="38">
        <v>45335</v>
      </c>
      <c r="L110" s="58"/>
      <c r="M110" s="73"/>
      <c r="N110" s="18" t="s">
        <v>692</v>
      </c>
      <c r="O110" s="36" t="s">
        <v>671</v>
      </c>
      <c r="P110" s="36"/>
      <c r="Q110" s="63" t="s">
        <v>890</v>
      </c>
      <c r="R110" s="36" t="s">
        <v>85</v>
      </c>
      <c r="S110" s="36">
        <v>3000</v>
      </c>
      <c r="T110" s="36">
        <v>2700</v>
      </c>
      <c r="U110" s="70">
        <f>plachta3434235[[#This Row],[SALES '[€']]]-plachta3434235[[#This Row],[PURCHASE '[€']]]</f>
        <v>300</v>
      </c>
      <c r="V110" s="71">
        <f>plachta3434235[[#This Row],[MARGIN '[€']]]/plachta3434235[[#This Row],[SALES '[€']]]</f>
        <v>0.1</v>
      </c>
      <c r="W110" s="36">
        <v>9215171484</v>
      </c>
      <c r="X110" s="36" t="s">
        <v>891</v>
      </c>
      <c r="Y110" s="36">
        <v>2813</v>
      </c>
      <c r="Z110" s="36"/>
      <c r="AA110" s="36" t="s">
        <v>51</v>
      </c>
      <c r="AB110" s="72">
        <f t="shared" si="16"/>
        <v>0.9598293636686811</v>
      </c>
      <c r="AC110" s="72">
        <f t="shared" si="17"/>
        <v>1.0664770707429789</v>
      </c>
      <c r="AD110" s="69"/>
      <c r="AE110" s="69"/>
      <c r="AF110" s="69"/>
      <c r="AG110" s="69"/>
      <c r="AH110" s="69"/>
      <c r="AI110" s="69"/>
      <c r="AJ110" s="69"/>
      <c r="AK110" s="69"/>
      <c r="AL110" s="69" t="str">
        <f>IF(plachta3434235[[#This Row],[DELIVERY TIME]]="STORNO","CANCELLED","OK")</f>
        <v>OK</v>
      </c>
      <c r="AM110" s="69"/>
      <c r="AN110" s="69" t="str">
        <f>IF(RIGHT(plachta3434235[[#This Row],[CARRIER]],3)="-MF",921,"")</f>
        <v/>
      </c>
      <c r="AO110" s="69"/>
    </row>
    <row r="111" spans="1:41">
      <c r="A111" s="39">
        <f t="shared" si="10"/>
        <v>6</v>
      </c>
      <c r="B111" s="115" t="s">
        <v>607</v>
      </c>
      <c r="C111" s="107" t="s">
        <v>42</v>
      </c>
      <c r="D111" s="37" t="s">
        <v>608</v>
      </c>
      <c r="E111" s="36" t="s">
        <v>609</v>
      </c>
      <c r="F111" s="38">
        <v>45327</v>
      </c>
      <c r="G111" s="58">
        <v>0.16666666666666666</v>
      </c>
      <c r="H111" s="107" t="s">
        <v>610</v>
      </c>
      <c r="I111" s="37" t="s">
        <v>525</v>
      </c>
      <c r="J111" s="36" t="s">
        <v>611</v>
      </c>
      <c r="K111" s="38">
        <v>45328</v>
      </c>
      <c r="L111" s="58">
        <v>0.1875</v>
      </c>
      <c r="M111" s="73">
        <v>6101232017</v>
      </c>
      <c r="N111" s="18" t="s">
        <v>49</v>
      </c>
      <c r="O111" s="36" t="s">
        <v>411</v>
      </c>
      <c r="P111" s="36"/>
      <c r="Q111" s="63" t="s">
        <v>892</v>
      </c>
      <c r="R111" s="36" t="s">
        <v>614</v>
      </c>
      <c r="S111" s="36">
        <v>1734</v>
      </c>
      <c r="T111" s="36">
        <v>1530</v>
      </c>
      <c r="U111" s="70">
        <f>plachta3434235[[#This Row],[SALES '[€']]]-plachta3434235[[#This Row],[PURCHASE '[€']]]</f>
        <v>204</v>
      </c>
      <c r="V111" s="71">
        <f>plachta3434235[[#This Row],[MARGIN '[€']]]/plachta3434235[[#This Row],[SALES '[€']]]</f>
        <v>0.11764705882352941</v>
      </c>
      <c r="W111" s="36" t="s">
        <v>893</v>
      </c>
      <c r="X111" s="36" t="s">
        <v>894</v>
      </c>
      <c r="Y111" s="36">
        <v>1252</v>
      </c>
      <c r="Z111" s="36"/>
      <c r="AA111" s="36" t="s">
        <v>51</v>
      </c>
      <c r="AB111" s="72">
        <f t="shared" si="16"/>
        <v>1.2220447284345048</v>
      </c>
      <c r="AC111" s="72">
        <f t="shared" si="17"/>
        <v>1.3849840255591055</v>
      </c>
      <c r="AD111" s="69"/>
      <c r="AE111" s="69"/>
      <c r="AF111" s="69"/>
      <c r="AG111" s="69"/>
      <c r="AH111" s="69"/>
      <c r="AI111" s="69"/>
      <c r="AJ111" s="69"/>
      <c r="AK111" s="69"/>
      <c r="AL111" s="69" t="str">
        <f>IF(plachta3434235[[#This Row],[DELIVERY TIME]]="STORNO","CANCELLED","OK")</f>
        <v>OK</v>
      </c>
      <c r="AM111" s="69"/>
      <c r="AN111" s="69" t="str">
        <f>IF(RIGHT(plachta3434235[[#This Row],[CARRIER]],3)="-MF",921,"")</f>
        <v/>
      </c>
      <c r="AO111" s="69"/>
    </row>
    <row r="112" spans="1:41">
      <c r="A112" s="39">
        <f t="shared" si="10"/>
        <v>6</v>
      </c>
      <c r="B112" s="115" t="s">
        <v>607</v>
      </c>
      <c r="C112" s="107" t="s">
        <v>42</v>
      </c>
      <c r="D112" s="37" t="s">
        <v>608</v>
      </c>
      <c r="E112" s="36" t="s">
        <v>609</v>
      </c>
      <c r="F112" s="38">
        <v>45328</v>
      </c>
      <c r="G112" s="58">
        <v>0.16666666666666666</v>
      </c>
      <c r="H112" s="107" t="s">
        <v>610</v>
      </c>
      <c r="I112" s="37" t="s">
        <v>525</v>
      </c>
      <c r="J112" s="36" t="s">
        <v>611</v>
      </c>
      <c r="K112" s="38">
        <v>45329</v>
      </c>
      <c r="L112" s="58">
        <v>0.1875</v>
      </c>
      <c r="M112" s="73">
        <v>6101232018</v>
      </c>
      <c r="N112" s="18" t="s">
        <v>49</v>
      </c>
      <c r="O112" s="36" t="s">
        <v>411</v>
      </c>
      <c r="P112" s="36"/>
      <c r="Q112" s="63" t="s">
        <v>686</v>
      </c>
      <c r="R112" s="36" t="s">
        <v>614</v>
      </c>
      <c r="S112" s="36">
        <v>1734</v>
      </c>
      <c r="T112" s="36">
        <v>1530</v>
      </c>
      <c r="U112" s="70">
        <f>plachta3434235[[#This Row],[SALES '[€']]]-plachta3434235[[#This Row],[PURCHASE '[€']]]</f>
        <v>204</v>
      </c>
      <c r="V112" s="71">
        <f>plachta3434235[[#This Row],[MARGIN '[€']]]/plachta3434235[[#This Row],[SALES '[€']]]</f>
        <v>0.11764705882352941</v>
      </c>
      <c r="W112" s="36" t="s">
        <v>895</v>
      </c>
      <c r="X112" s="36" t="s">
        <v>896</v>
      </c>
      <c r="Y112" s="36">
        <v>1252</v>
      </c>
      <c r="Z112" s="36"/>
      <c r="AA112" s="36" t="s">
        <v>51</v>
      </c>
      <c r="AB112" s="72">
        <f t="shared" si="16"/>
        <v>1.2220447284345048</v>
      </c>
      <c r="AC112" s="72">
        <f t="shared" si="17"/>
        <v>1.3849840255591055</v>
      </c>
      <c r="AD112" s="69"/>
      <c r="AE112" s="69"/>
      <c r="AF112" s="69"/>
      <c r="AG112" s="69"/>
      <c r="AH112" s="69"/>
      <c r="AI112" s="69"/>
      <c r="AJ112" s="69"/>
      <c r="AK112" s="69"/>
      <c r="AL112" s="69" t="str">
        <f>IF(plachta3434235[[#This Row],[DELIVERY TIME]]="STORNO","CANCELLED","OK")</f>
        <v>OK</v>
      </c>
      <c r="AM112" s="69"/>
      <c r="AN112" s="69" t="str">
        <f>IF(RIGHT(plachta3434235[[#This Row],[CARRIER]],3)="-MF",921,"")</f>
        <v/>
      </c>
      <c r="AO112" s="69"/>
    </row>
    <row r="113" spans="1:41">
      <c r="A113" s="39">
        <f t="shared" si="10"/>
        <v>6</v>
      </c>
      <c r="B113" s="115" t="s">
        <v>607</v>
      </c>
      <c r="C113" s="107" t="s">
        <v>42</v>
      </c>
      <c r="D113" s="37" t="s">
        <v>608</v>
      </c>
      <c r="E113" s="36" t="s">
        <v>609</v>
      </c>
      <c r="F113" s="38">
        <v>45328</v>
      </c>
      <c r="G113" s="58">
        <v>0.66666666666666663</v>
      </c>
      <c r="H113" s="107" t="s">
        <v>610</v>
      </c>
      <c r="I113" s="37" t="s">
        <v>525</v>
      </c>
      <c r="J113" s="36" t="s">
        <v>611</v>
      </c>
      <c r="K113" s="38">
        <v>45329</v>
      </c>
      <c r="L113" s="58">
        <v>0.27083333333333331</v>
      </c>
      <c r="M113" s="73">
        <v>6101232020</v>
      </c>
      <c r="N113" s="18" t="s">
        <v>49</v>
      </c>
      <c r="O113" s="36" t="s">
        <v>411</v>
      </c>
      <c r="P113" s="36"/>
      <c r="Q113" s="63" t="s">
        <v>897</v>
      </c>
      <c r="R113" s="36" t="s">
        <v>614</v>
      </c>
      <c r="S113" s="36">
        <v>1734</v>
      </c>
      <c r="T113" s="36">
        <v>1530</v>
      </c>
      <c r="U113" s="70">
        <f>plachta3434235[[#This Row],[SALES '[€']]]-plachta3434235[[#This Row],[PURCHASE '[€']]]</f>
        <v>204</v>
      </c>
      <c r="V113" s="71">
        <f>plachta3434235[[#This Row],[MARGIN '[€']]]/plachta3434235[[#This Row],[SALES '[€']]]</f>
        <v>0.11764705882352941</v>
      </c>
      <c r="W113" s="36" t="s">
        <v>898</v>
      </c>
      <c r="X113" s="36" t="s">
        <v>899</v>
      </c>
      <c r="Y113" s="36">
        <v>1252</v>
      </c>
      <c r="Z113" s="36"/>
      <c r="AA113" s="36" t="s">
        <v>51</v>
      </c>
      <c r="AB113" s="72">
        <f t="shared" si="16"/>
        <v>1.2220447284345048</v>
      </c>
      <c r="AC113" s="72">
        <f t="shared" si="17"/>
        <v>1.3849840255591055</v>
      </c>
      <c r="AD113" s="69"/>
      <c r="AE113" s="69"/>
      <c r="AF113" s="69"/>
      <c r="AG113" s="69"/>
      <c r="AH113" s="69"/>
      <c r="AI113" s="69"/>
      <c r="AJ113" s="69"/>
      <c r="AK113" s="69"/>
      <c r="AL113" s="69" t="str">
        <f>IF(plachta3434235[[#This Row],[DELIVERY TIME]]="STORNO","CANCELLED","OK")</f>
        <v>OK</v>
      </c>
      <c r="AM113" s="69"/>
      <c r="AN113" s="69" t="str">
        <f>IF(RIGHT(plachta3434235[[#This Row],[CARRIER]],3)="-MF",921,"")</f>
        <v/>
      </c>
      <c r="AO113" s="69"/>
    </row>
    <row r="114" spans="1:41">
      <c r="A114" s="39">
        <f t="shared" si="10"/>
        <v>6</v>
      </c>
      <c r="B114" s="115" t="s">
        <v>607</v>
      </c>
      <c r="C114" s="107" t="s">
        <v>42</v>
      </c>
      <c r="D114" s="37" t="s">
        <v>608</v>
      </c>
      <c r="E114" s="36" t="s">
        <v>609</v>
      </c>
      <c r="F114" s="38">
        <v>45329</v>
      </c>
      <c r="G114" s="58">
        <v>0.16666666666666666</v>
      </c>
      <c r="H114" s="107" t="s">
        <v>610</v>
      </c>
      <c r="I114" s="37" t="s">
        <v>525</v>
      </c>
      <c r="J114" s="36" t="s">
        <v>611</v>
      </c>
      <c r="K114" s="38">
        <v>45330</v>
      </c>
      <c r="L114" s="58">
        <v>0.1875</v>
      </c>
      <c r="M114" s="73">
        <v>6101232021</v>
      </c>
      <c r="N114" s="18" t="s">
        <v>49</v>
      </c>
      <c r="O114" s="36" t="s">
        <v>411</v>
      </c>
      <c r="P114" s="36"/>
      <c r="Q114" s="63" t="s">
        <v>900</v>
      </c>
      <c r="R114" s="36" t="s">
        <v>614</v>
      </c>
      <c r="S114" s="36">
        <v>1734</v>
      </c>
      <c r="T114" s="36">
        <v>1530</v>
      </c>
      <c r="U114" s="70">
        <f>plachta3434235[[#This Row],[SALES '[€']]]-plachta3434235[[#This Row],[PURCHASE '[€']]]</f>
        <v>204</v>
      </c>
      <c r="V114" s="71">
        <f>plachta3434235[[#This Row],[MARGIN '[€']]]/plachta3434235[[#This Row],[SALES '[€']]]</f>
        <v>0.11764705882352941</v>
      </c>
      <c r="W114" s="36" t="s">
        <v>901</v>
      </c>
      <c r="X114" s="36" t="s">
        <v>902</v>
      </c>
      <c r="Y114" s="36">
        <v>1252</v>
      </c>
      <c r="Z114" s="36"/>
      <c r="AA114" s="36" t="s">
        <v>51</v>
      </c>
      <c r="AB114" s="72">
        <f t="shared" si="16"/>
        <v>1.2220447284345048</v>
      </c>
      <c r="AC114" s="72">
        <f t="shared" si="17"/>
        <v>1.3849840255591055</v>
      </c>
      <c r="AD114" s="69"/>
      <c r="AE114" s="69"/>
      <c r="AF114" s="69"/>
      <c r="AG114" s="69"/>
      <c r="AH114" s="69"/>
      <c r="AI114" s="69"/>
      <c r="AJ114" s="69"/>
      <c r="AK114" s="69"/>
      <c r="AL114" s="69" t="str">
        <f>IF(plachta3434235[[#This Row],[DELIVERY TIME]]="STORNO","CANCELLED","OK")</f>
        <v>OK</v>
      </c>
      <c r="AM114" s="69"/>
      <c r="AN114" s="69" t="str">
        <f>IF(RIGHT(plachta3434235[[#This Row],[CARRIER]],3)="-MF",921,"")</f>
        <v/>
      </c>
      <c r="AO114" s="69"/>
    </row>
    <row r="115" spans="1:41">
      <c r="A115" s="39">
        <f t="shared" si="10"/>
        <v>6</v>
      </c>
      <c r="B115" s="115" t="s">
        <v>607</v>
      </c>
      <c r="C115" s="107" t="s">
        <v>42</v>
      </c>
      <c r="D115" s="37" t="s">
        <v>608</v>
      </c>
      <c r="E115" s="36" t="s">
        <v>609</v>
      </c>
      <c r="F115" s="38">
        <v>45330</v>
      </c>
      <c r="G115" s="58">
        <v>0.16666666666666666</v>
      </c>
      <c r="H115" s="107" t="s">
        <v>610</v>
      </c>
      <c r="I115" s="37" t="s">
        <v>525</v>
      </c>
      <c r="J115" s="36" t="s">
        <v>611</v>
      </c>
      <c r="K115" s="38">
        <v>45331</v>
      </c>
      <c r="L115" s="58">
        <v>0.1875</v>
      </c>
      <c r="M115" s="73">
        <v>6101232022</v>
      </c>
      <c r="N115" s="18" t="s">
        <v>49</v>
      </c>
      <c r="O115" s="36" t="s">
        <v>411</v>
      </c>
      <c r="P115" s="36"/>
      <c r="Q115" s="63" t="s">
        <v>686</v>
      </c>
      <c r="R115" s="36" t="s">
        <v>614</v>
      </c>
      <c r="S115" s="36">
        <v>1734</v>
      </c>
      <c r="T115" s="36">
        <v>1530</v>
      </c>
      <c r="U115" s="70">
        <f>plachta3434235[[#This Row],[SALES '[€']]]-plachta3434235[[#This Row],[PURCHASE '[€']]]</f>
        <v>204</v>
      </c>
      <c r="V115" s="71">
        <f>plachta3434235[[#This Row],[MARGIN '[€']]]/plachta3434235[[#This Row],[SALES '[€']]]</f>
        <v>0.11764705882352941</v>
      </c>
      <c r="W115" s="36" t="s">
        <v>903</v>
      </c>
      <c r="X115" s="36" t="s">
        <v>904</v>
      </c>
      <c r="Y115" s="36">
        <v>1252</v>
      </c>
      <c r="Z115" s="36"/>
      <c r="AA115" s="36" t="s">
        <v>51</v>
      </c>
      <c r="AB115" s="72">
        <f t="shared" si="16"/>
        <v>1.2220447284345048</v>
      </c>
      <c r="AC115" s="72">
        <f t="shared" si="17"/>
        <v>1.3849840255591055</v>
      </c>
      <c r="AD115" s="69"/>
      <c r="AE115" s="69"/>
      <c r="AF115" s="69"/>
      <c r="AG115" s="69"/>
      <c r="AH115" s="69"/>
      <c r="AI115" s="69"/>
      <c r="AJ115" s="69"/>
      <c r="AK115" s="69"/>
      <c r="AL115" s="69" t="str">
        <f>IF(plachta3434235[[#This Row],[DELIVERY TIME]]="STORNO","CANCELLED","OK")</f>
        <v>OK</v>
      </c>
      <c r="AM115" s="69"/>
      <c r="AN115" s="69" t="str">
        <f>IF(RIGHT(plachta3434235[[#This Row],[CARRIER]],3)="-MF",921,"")</f>
        <v/>
      </c>
      <c r="AO115" s="69"/>
    </row>
    <row r="116" spans="1:41">
      <c r="A116" s="39">
        <f t="shared" si="10"/>
        <v>6</v>
      </c>
      <c r="B116" s="115" t="s">
        <v>607</v>
      </c>
      <c r="C116" s="107" t="s">
        <v>42</v>
      </c>
      <c r="D116" s="37" t="s">
        <v>608</v>
      </c>
      <c r="E116" s="36" t="s">
        <v>609</v>
      </c>
      <c r="F116" s="38">
        <v>45331</v>
      </c>
      <c r="G116" s="58">
        <v>0.66666666666666663</v>
      </c>
      <c r="H116" s="107" t="s">
        <v>610</v>
      </c>
      <c r="I116" s="37" t="s">
        <v>525</v>
      </c>
      <c r="J116" s="36" t="s">
        <v>611</v>
      </c>
      <c r="K116" s="38">
        <v>45334</v>
      </c>
      <c r="L116" s="58">
        <v>0.1875</v>
      </c>
      <c r="M116" s="73">
        <v>6101232023</v>
      </c>
      <c r="N116" s="18" t="s">
        <v>49</v>
      </c>
      <c r="O116" s="36" t="s">
        <v>411</v>
      </c>
      <c r="P116" s="36"/>
      <c r="Q116" s="63" t="s">
        <v>905</v>
      </c>
      <c r="R116" s="36" t="s">
        <v>614</v>
      </c>
      <c r="S116" s="36">
        <v>1734</v>
      </c>
      <c r="T116" s="36">
        <v>1530</v>
      </c>
      <c r="U116" s="70">
        <f>plachta3434235[[#This Row],[SALES '[€']]]-plachta3434235[[#This Row],[PURCHASE '[€']]]</f>
        <v>204</v>
      </c>
      <c r="V116" s="71">
        <f>plachta3434235[[#This Row],[MARGIN '[€']]]/plachta3434235[[#This Row],[SALES '[€']]]</f>
        <v>0.11764705882352941</v>
      </c>
      <c r="W116" s="36" t="s">
        <v>906</v>
      </c>
      <c r="X116" s="36" t="s">
        <v>907</v>
      </c>
      <c r="Y116" s="36">
        <v>1252</v>
      </c>
      <c r="Z116" s="36"/>
      <c r="AA116" s="36" t="s">
        <v>51</v>
      </c>
      <c r="AB116" s="72">
        <f t="shared" si="16"/>
        <v>1.2220447284345048</v>
      </c>
      <c r="AC116" s="72">
        <f t="shared" si="17"/>
        <v>1.3849840255591055</v>
      </c>
      <c r="AD116" s="69"/>
      <c r="AE116" s="69"/>
      <c r="AF116" s="69"/>
      <c r="AG116" s="69"/>
      <c r="AH116" s="69"/>
      <c r="AI116" s="69"/>
      <c r="AJ116" s="69"/>
      <c r="AK116" s="69"/>
      <c r="AL116" s="69" t="str">
        <f>IF(plachta3434235[[#This Row],[DELIVERY TIME]]="STORNO","CANCELLED","OK")</f>
        <v>OK</v>
      </c>
      <c r="AM116" s="69"/>
      <c r="AN116" s="69" t="str">
        <f>IF(RIGHT(plachta3434235[[#This Row],[CARRIER]],3)="-MF",921,"")</f>
        <v/>
      </c>
      <c r="AO116" s="69"/>
    </row>
    <row r="117" spans="1:41">
      <c r="A117" s="39">
        <f t="shared" si="10"/>
        <v>6</v>
      </c>
      <c r="B117" s="116" t="s">
        <v>583</v>
      </c>
      <c r="C117" s="107" t="s">
        <v>42</v>
      </c>
      <c r="D117" s="37" t="s">
        <v>584</v>
      </c>
      <c r="E117" s="36" t="s">
        <v>585</v>
      </c>
      <c r="F117" s="38">
        <v>45331</v>
      </c>
      <c r="G117" s="58">
        <v>0.25</v>
      </c>
      <c r="H117" s="107" t="s">
        <v>197</v>
      </c>
      <c r="I117" s="37" t="s">
        <v>586</v>
      </c>
      <c r="J117" s="36" t="s">
        <v>587</v>
      </c>
      <c r="K117" s="38">
        <v>45334</v>
      </c>
      <c r="L117" s="58">
        <v>0.25</v>
      </c>
      <c r="M117" s="89">
        <v>259730559</v>
      </c>
      <c r="N117" s="18" t="s">
        <v>49</v>
      </c>
      <c r="O117" s="36" t="s">
        <v>411</v>
      </c>
      <c r="P117" s="36">
        <v>4503516096</v>
      </c>
      <c r="Q117" s="63" t="s">
        <v>908</v>
      </c>
      <c r="R117" s="36" t="s">
        <v>594</v>
      </c>
      <c r="S117" s="18">
        <f t="shared" ref="S117:S126" si="18">1846+77.64</f>
        <v>1923.64</v>
      </c>
      <c r="T117" s="36">
        <v>1698</v>
      </c>
      <c r="U117" s="70">
        <f>plachta3434235[[#This Row],[SALES '[€']]]-plachta3434235[[#This Row],[PURCHASE '[€']]]</f>
        <v>225.6400000000001</v>
      </c>
      <c r="V117" s="71">
        <f>plachta3434235[[#This Row],[MARGIN '[€']]]/plachta3434235[[#This Row],[SALES '[€']]]</f>
        <v>0.11729845501237242</v>
      </c>
      <c r="W117" s="36" t="s">
        <v>909</v>
      </c>
      <c r="X117" s="36" t="s">
        <v>910</v>
      </c>
      <c r="Y117" s="36">
        <v>1492</v>
      </c>
      <c r="Z117" s="36"/>
      <c r="AA117" s="36" t="s">
        <v>51</v>
      </c>
      <c r="AB117" s="72">
        <f t="shared" si="16"/>
        <v>1.1380697050938338</v>
      </c>
      <c r="AC117" s="72">
        <f t="shared" si="17"/>
        <v>1.2893029490616623</v>
      </c>
      <c r="AD117" s="69"/>
      <c r="AE117" s="69"/>
      <c r="AF117" s="69"/>
      <c r="AG117" s="69"/>
      <c r="AH117" s="69"/>
      <c r="AI117" s="69"/>
      <c r="AJ117" s="69"/>
      <c r="AK117" s="69"/>
      <c r="AL117" s="69" t="str">
        <f>IF(plachta3434235[[#This Row],[DELIVERY TIME]]="STORNO","CANCELLED","OK")</f>
        <v>OK</v>
      </c>
      <c r="AM117" s="69"/>
      <c r="AN117" s="69" t="str">
        <f>IF(RIGHT(plachta3434235[[#This Row],[CARRIER]],3)="-MF",921,"")</f>
        <v/>
      </c>
      <c r="AO117" s="69"/>
    </row>
    <row r="118" spans="1:41">
      <c r="A118" s="39">
        <f t="shared" si="10"/>
        <v>6</v>
      </c>
      <c r="B118" s="116" t="s">
        <v>583</v>
      </c>
      <c r="C118" s="107" t="s">
        <v>42</v>
      </c>
      <c r="D118" s="37" t="s">
        <v>584</v>
      </c>
      <c r="E118" s="36" t="s">
        <v>585</v>
      </c>
      <c r="F118" s="38">
        <v>45331</v>
      </c>
      <c r="G118" s="58">
        <v>0.75</v>
      </c>
      <c r="H118" s="107" t="s">
        <v>197</v>
      </c>
      <c r="I118" s="37" t="s">
        <v>586</v>
      </c>
      <c r="J118" s="36" t="s">
        <v>587</v>
      </c>
      <c r="K118" s="38">
        <v>45334</v>
      </c>
      <c r="L118" s="58">
        <v>0.75</v>
      </c>
      <c r="M118" s="89">
        <v>259730560</v>
      </c>
      <c r="N118" s="18" t="s">
        <v>49</v>
      </c>
      <c r="O118" s="36" t="s">
        <v>411</v>
      </c>
      <c r="P118" s="36"/>
      <c r="Q118" s="63" t="s">
        <v>659</v>
      </c>
      <c r="R118" s="36" t="s">
        <v>594</v>
      </c>
      <c r="S118" s="18">
        <f t="shared" si="18"/>
        <v>1923.64</v>
      </c>
      <c r="T118" s="36">
        <v>1698</v>
      </c>
      <c r="U118" s="70">
        <f>plachta3434235[[#This Row],[SALES '[€']]]-plachta3434235[[#This Row],[PURCHASE '[€']]]</f>
        <v>225.6400000000001</v>
      </c>
      <c r="V118" s="71">
        <f>plachta3434235[[#This Row],[MARGIN '[€']]]/plachta3434235[[#This Row],[SALES '[€']]]</f>
        <v>0.11729845501237242</v>
      </c>
      <c r="W118" s="36" t="s">
        <v>911</v>
      </c>
      <c r="X118" s="36" t="s">
        <v>912</v>
      </c>
      <c r="Y118" s="36">
        <v>1492</v>
      </c>
      <c r="Z118" s="36"/>
      <c r="AA118" s="36" t="s">
        <v>51</v>
      </c>
      <c r="AB118" s="72">
        <f t="shared" si="16"/>
        <v>1.1380697050938338</v>
      </c>
      <c r="AC118" s="72">
        <f t="shared" si="17"/>
        <v>1.2893029490616623</v>
      </c>
      <c r="AD118" s="69"/>
      <c r="AE118" s="69"/>
      <c r="AF118" s="69"/>
      <c r="AG118" s="69"/>
      <c r="AH118" s="69"/>
      <c r="AI118" s="69"/>
      <c r="AJ118" s="69"/>
      <c r="AK118" s="69"/>
      <c r="AL118" s="69" t="str">
        <f>IF(plachta3434235[[#This Row],[DELIVERY TIME]]="STORNO","CANCELLED","OK")</f>
        <v>OK</v>
      </c>
      <c r="AM118" s="69"/>
      <c r="AN118" s="69" t="str">
        <f>IF(RIGHT(plachta3434235[[#This Row],[CARRIER]],3)="-MF",921,"")</f>
        <v/>
      </c>
      <c r="AO118" s="69"/>
    </row>
    <row r="119" spans="1:41">
      <c r="A119" s="39">
        <f t="shared" si="10"/>
        <v>7</v>
      </c>
      <c r="B119" s="116" t="s">
        <v>583</v>
      </c>
      <c r="C119" s="107" t="s">
        <v>42</v>
      </c>
      <c r="D119" s="37" t="s">
        <v>584</v>
      </c>
      <c r="E119" s="36" t="s">
        <v>585</v>
      </c>
      <c r="F119" s="38">
        <v>45334</v>
      </c>
      <c r="G119" s="58">
        <v>0.33333333333333331</v>
      </c>
      <c r="H119" s="107" t="s">
        <v>197</v>
      </c>
      <c r="I119" s="37" t="s">
        <v>586</v>
      </c>
      <c r="J119" s="36" t="s">
        <v>587</v>
      </c>
      <c r="K119" s="38">
        <v>45335</v>
      </c>
      <c r="L119" s="58">
        <v>0.33333333333333331</v>
      </c>
      <c r="M119" s="89">
        <v>259730561</v>
      </c>
      <c r="N119" s="18" t="s">
        <v>49</v>
      </c>
      <c r="O119" s="36" t="s">
        <v>411</v>
      </c>
      <c r="P119" s="36"/>
      <c r="Q119" s="63" t="s">
        <v>593</v>
      </c>
      <c r="R119" s="36" t="s">
        <v>594</v>
      </c>
      <c r="S119" s="18">
        <f t="shared" si="18"/>
        <v>1923.64</v>
      </c>
      <c r="T119" s="36">
        <v>1698</v>
      </c>
      <c r="U119" s="70">
        <f>plachta3434235[[#This Row],[SALES '[€']]]-plachta3434235[[#This Row],[PURCHASE '[€']]]</f>
        <v>225.6400000000001</v>
      </c>
      <c r="V119" s="71">
        <f>plachta3434235[[#This Row],[MARGIN '[€']]]/plachta3434235[[#This Row],[SALES '[€']]]</f>
        <v>0.11729845501237242</v>
      </c>
      <c r="W119" s="36" t="s">
        <v>913</v>
      </c>
      <c r="X119" s="36" t="s">
        <v>914</v>
      </c>
      <c r="Y119" s="36">
        <v>1492</v>
      </c>
      <c r="Z119" s="36"/>
      <c r="AA119" s="36" t="s">
        <v>51</v>
      </c>
      <c r="AB119" s="72">
        <f t="shared" si="16"/>
        <v>1.1380697050938338</v>
      </c>
      <c r="AC119" s="72">
        <f t="shared" si="17"/>
        <v>1.2893029490616623</v>
      </c>
      <c r="AD119" s="69"/>
      <c r="AE119" s="69"/>
      <c r="AF119" s="69"/>
      <c r="AG119" s="69"/>
      <c r="AH119" s="69"/>
      <c r="AI119" s="69"/>
      <c r="AJ119" s="69"/>
      <c r="AK119" s="69"/>
      <c r="AL119" s="69" t="str">
        <f>IF(plachta3434235[[#This Row],[DELIVERY TIME]]="STORNO","CANCELLED","OK")</f>
        <v>OK</v>
      </c>
      <c r="AM119" s="69"/>
      <c r="AN119" s="69" t="str">
        <f>IF(RIGHT(plachta3434235[[#This Row],[CARRIER]],3)="-MF",921,"")</f>
        <v/>
      </c>
      <c r="AO119" s="69"/>
    </row>
    <row r="120" spans="1:41">
      <c r="A120" s="39">
        <f t="shared" si="10"/>
        <v>7</v>
      </c>
      <c r="B120" s="116" t="s">
        <v>583</v>
      </c>
      <c r="C120" s="107" t="s">
        <v>42</v>
      </c>
      <c r="D120" s="37" t="s">
        <v>584</v>
      </c>
      <c r="E120" s="36" t="s">
        <v>585</v>
      </c>
      <c r="F120" s="38">
        <v>45334</v>
      </c>
      <c r="G120" s="58">
        <v>0.75</v>
      </c>
      <c r="H120" s="107" t="s">
        <v>197</v>
      </c>
      <c r="I120" s="37" t="s">
        <v>586</v>
      </c>
      <c r="J120" s="36" t="s">
        <v>587</v>
      </c>
      <c r="K120" s="38">
        <v>45335</v>
      </c>
      <c r="L120" s="58">
        <v>0.75</v>
      </c>
      <c r="M120" s="89">
        <v>259730562</v>
      </c>
      <c r="N120" s="18" t="s">
        <v>49</v>
      </c>
      <c r="O120" s="36" t="s">
        <v>411</v>
      </c>
      <c r="P120" s="36"/>
      <c r="Q120" s="63" t="s">
        <v>599</v>
      </c>
      <c r="R120" s="36" t="s">
        <v>594</v>
      </c>
      <c r="S120" s="18">
        <f t="shared" si="18"/>
        <v>1923.64</v>
      </c>
      <c r="T120" s="36">
        <v>1698</v>
      </c>
      <c r="U120" s="70">
        <f>plachta3434235[[#This Row],[SALES '[€']]]-plachta3434235[[#This Row],[PURCHASE '[€']]]</f>
        <v>225.6400000000001</v>
      </c>
      <c r="V120" s="71">
        <f>plachta3434235[[#This Row],[MARGIN '[€']]]/plachta3434235[[#This Row],[SALES '[€']]]</f>
        <v>0.11729845501237242</v>
      </c>
      <c r="W120" s="36" t="s">
        <v>915</v>
      </c>
      <c r="X120" s="36" t="s">
        <v>916</v>
      </c>
      <c r="Y120" s="36">
        <v>1492</v>
      </c>
      <c r="Z120" s="36"/>
      <c r="AA120" s="36" t="s">
        <v>51</v>
      </c>
      <c r="AB120" s="72">
        <f t="shared" si="16"/>
        <v>1.1380697050938338</v>
      </c>
      <c r="AC120" s="72">
        <f t="shared" si="17"/>
        <v>1.2893029490616623</v>
      </c>
      <c r="AD120" s="69"/>
      <c r="AE120" s="69"/>
      <c r="AF120" s="69"/>
      <c r="AG120" s="69"/>
      <c r="AH120" s="69"/>
      <c r="AI120" s="69"/>
      <c r="AJ120" s="69"/>
      <c r="AK120" s="69"/>
      <c r="AL120" s="69" t="str">
        <f>IF(plachta3434235[[#This Row],[DELIVERY TIME]]="STORNO","CANCELLED","OK")</f>
        <v>OK</v>
      </c>
      <c r="AM120" s="69"/>
      <c r="AN120" s="69" t="str">
        <f>IF(RIGHT(plachta3434235[[#This Row],[CARRIER]],3)="-MF",921,"")</f>
        <v/>
      </c>
      <c r="AO120" s="69"/>
    </row>
    <row r="121" spans="1:41">
      <c r="A121" s="39">
        <f t="shared" si="10"/>
        <v>7</v>
      </c>
      <c r="B121" s="116" t="s">
        <v>583</v>
      </c>
      <c r="C121" s="107" t="s">
        <v>42</v>
      </c>
      <c r="D121" s="37" t="s">
        <v>584</v>
      </c>
      <c r="E121" s="36" t="s">
        <v>585</v>
      </c>
      <c r="F121" s="38">
        <v>45335</v>
      </c>
      <c r="G121" s="58">
        <v>0.33333333333333331</v>
      </c>
      <c r="H121" s="107" t="s">
        <v>197</v>
      </c>
      <c r="I121" s="37" t="s">
        <v>586</v>
      </c>
      <c r="J121" s="36" t="s">
        <v>587</v>
      </c>
      <c r="K121" s="38">
        <v>45336</v>
      </c>
      <c r="L121" s="58">
        <v>0.33333333333333331</v>
      </c>
      <c r="M121" s="89">
        <v>259730565</v>
      </c>
      <c r="N121" s="18" t="s">
        <v>49</v>
      </c>
      <c r="O121" s="36" t="s">
        <v>411</v>
      </c>
      <c r="P121" s="36"/>
      <c r="Q121" s="63" t="s">
        <v>917</v>
      </c>
      <c r="R121" s="36" t="s">
        <v>594</v>
      </c>
      <c r="S121" s="18">
        <f t="shared" si="18"/>
        <v>1923.64</v>
      </c>
      <c r="T121" s="36">
        <v>1698</v>
      </c>
      <c r="U121" s="70">
        <f>plachta3434235[[#This Row],[SALES '[€']]]-plachta3434235[[#This Row],[PURCHASE '[€']]]</f>
        <v>225.6400000000001</v>
      </c>
      <c r="V121" s="71">
        <f>plachta3434235[[#This Row],[MARGIN '[€']]]/plachta3434235[[#This Row],[SALES '[€']]]</f>
        <v>0.11729845501237242</v>
      </c>
      <c r="W121" s="36" t="s">
        <v>918</v>
      </c>
      <c r="X121" s="36" t="s">
        <v>919</v>
      </c>
      <c r="Y121" s="36">
        <v>1492</v>
      </c>
      <c r="Z121" s="36"/>
      <c r="AA121" s="36" t="s">
        <v>51</v>
      </c>
      <c r="AB121" s="72">
        <f t="shared" si="16"/>
        <v>1.1380697050938338</v>
      </c>
      <c r="AC121" s="72">
        <f t="shared" si="17"/>
        <v>1.2893029490616623</v>
      </c>
      <c r="AD121" s="69"/>
      <c r="AE121" s="69"/>
      <c r="AF121" s="69"/>
      <c r="AG121" s="69"/>
      <c r="AH121" s="69"/>
      <c r="AI121" s="69"/>
      <c r="AJ121" s="69"/>
      <c r="AK121" s="69"/>
      <c r="AL121" s="69" t="str">
        <f>IF(plachta3434235[[#This Row],[DELIVERY TIME]]="STORNO","CANCELLED","OK")</f>
        <v>OK</v>
      </c>
      <c r="AM121" s="69"/>
      <c r="AN121" s="69" t="str">
        <f>IF(RIGHT(plachta3434235[[#This Row],[CARRIER]],3)="-MF",921,"")</f>
        <v/>
      </c>
      <c r="AO121" s="69"/>
    </row>
    <row r="122" spans="1:41">
      <c r="A122" s="39">
        <f t="shared" si="10"/>
        <v>7</v>
      </c>
      <c r="B122" s="116" t="s">
        <v>583</v>
      </c>
      <c r="C122" s="107" t="s">
        <v>42</v>
      </c>
      <c r="D122" s="37" t="s">
        <v>584</v>
      </c>
      <c r="E122" s="36" t="s">
        <v>585</v>
      </c>
      <c r="F122" s="38">
        <v>45335</v>
      </c>
      <c r="G122" s="58">
        <v>0.75</v>
      </c>
      <c r="H122" s="107" t="s">
        <v>197</v>
      </c>
      <c r="I122" s="37" t="s">
        <v>586</v>
      </c>
      <c r="J122" s="36" t="s">
        <v>587</v>
      </c>
      <c r="K122" s="38">
        <v>45336</v>
      </c>
      <c r="L122" s="58">
        <v>0.75</v>
      </c>
      <c r="M122" s="89">
        <v>259730566</v>
      </c>
      <c r="N122" s="18" t="s">
        <v>49</v>
      </c>
      <c r="O122" s="36" t="s">
        <v>411</v>
      </c>
      <c r="P122" s="36"/>
      <c r="Q122" s="63" t="s">
        <v>920</v>
      </c>
      <c r="R122" s="36" t="s">
        <v>594</v>
      </c>
      <c r="S122" s="18">
        <f t="shared" si="18"/>
        <v>1923.64</v>
      </c>
      <c r="T122" s="36">
        <v>1698</v>
      </c>
      <c r="U122" s="70">
        <f>plachta3434235[[#This Row],[SALES '[€']]]-plachta3434235[[#This Row],[PURCHASE '[€']]]</f>
        <v>225.6400000000001</v>
      </c>
      <c r="V122" s="71">
        <f>plachta3434235[[#This Row],[MARGIN '[€']]]/plachta3434235[[#This Row],[SALES '[€']]]</f>
        <v>0.11729845501237242</v>
      </c>
      <c r="W122" s="36" t="s">
        <v>921</v>
      </c>
      <c r="X122" s="36" t="s">
        <v>922</v>
      </c>
      <c r="Y122" s="36">
        <v>1492</v>
      </c>
      <c r="Z122" s="36"/>
      <c r="AA122" s="36" t="s">
        <v>51</v>
      </c>
      <c r="AB122" s="72">
        <f t="shared" si="16"/>
        <v>1.1380697050938338</v>
      </c>
      <c r="AC122" s="72">
        <f t="shared" si="17"/>
        <v>1.2893029490616623</v>
      </c>
      <c r="AD122" s="69"/>
      <c r="AE122" s="69"/>
      <c r="AF122" s="69"/>
      <c r="AG122" s="69"/>
      <c r="AH122" s="69"/>
      <c r="AI122" s="69"/>
      <c r="AJ122" s="69"/>
      <c r="AK122" s="69"/>
      <c r="AL122" s="69" t="str">
        <f>IF(plachta3434235[[#This Row],[DELIVERY TIME]]="STORNO","CANCELLED","OK")</f>
        <v>OK</v>
      </c>
      <c r="AM122" s="69"/>
      <c r="AN122" s="69" t="str">
        <f>IF(RIGHT(plachta3434235[[#This Row],[CARRIER]],3)="-MF",921,"")</f>
        <v/>
      </c>
      <c r="AO122" s="69"/>
    </row>
    <row r="123" spans="1:41">
      <c r="A123" s="39"/>
      <c r="B123" s="116" t="s">
        <v>583</v>
      </c>
      <c r="C123" s="107" t="s">
        <v>42</v>
      </c>
      <c r="D123" s="37" t="s">
        <v>584</v>
      </c>
      <c r="E123" s="36" t="s">
        <v>585</v>
      </c>
      <c r="F123" s="38">
        <v>45335</v>
      </c>
      <c r="G123" s="58">
        <v>0.375</v>
      </c>
      <c r="H123" s="107" t="s">
        <v>197</v>
      </c>
      <c r="I123" s="37" t="s">
        <v>586</v>
      </c>
      <c r="J123" s="36" t="s">
        <v>587</v>
      </c>
      <c r="K123" s="38">
        <v>45336</v>
      </c>
      <c r="L123" s="58">
        <v>0.375</v>
      </c>
      <c r="M123" s="89">
        <v>259793033</v>
      </c>
      <c r="N123" s="18" t="s">
        <v>49</v>
      </c>
      <c r="O123" s="36" t="s">
        <v>411</v>
      </c>
      <c r="P123" s="36"/>
      <c r="Q123" s="63" t="s">
        <v>923</v>
      </c>
      <c r="R123" s="36" t="s">
        <v>594</v>
      </c>
      <c r="S123" s="18">
        <f t="shared" si="18"/>
        <v>1923.64</v>
      </c>
      <c r="T123" s="36">
        <v>1698</v>
      </c>
      <c r="U123" s="70">
        <f>plachta3434235[[#This Row],[SALES '[€']]]-plachta3434235[[#This Row],[PURCHASE '[€']]]</f>
        <v>225.6400000000001</v>
      </c>
      <c r="V123" s="71">
        <f>plachta3434235[[#This Row],[MARGIN '[€']]]/plachta3434235[[#This Row],[SALES '[€']]]</f>
        <v>0.11729845501237242</v>
      </c>
      <c r="W123" s="36" t="s">
        <v>924</v>
      </c>
      <c r="X123" s="36" t="s">
        <v>925</v>
      </c>
      <c r="Y123" s="36"/>
      <c r="Z123" s="36"/>
      <c r="AA123" s="36" t="s">
        <v>51</v>
      </c>
      <c r="AB123" s="72"/>
      <c r="AC123" s="72"/>
      <c r="AD123" s="69"/>
      <c r="AE123" s="69"/>
      <c r="AF123" s="69"/>
      <c r="AG123" s="69"/>
      <c r="AH123" s="69"/>
      <c r="AI123" s="69"/>
      <c r="AJ123" s="69"/>
      <c r="AK123" s="69"/>
      <c r="AL123" s="69" t="str">
        <f>IF(plachta3434235[[#This Row],[DELIVERY TIME]]="STORNO","CANCELLED","OK")</f>
        <v>OK</v>
      </c>
      <c r="AM123" s="69"/>
      <c r="AN123" s="69" t="str">
        <f>IF(RIGHT(plachta3434235[[#This Row],[CARRIER]],3)="-MF",921,"")</f>
        <v/>
      </c>
      <c r="AO123" s="69"/>
    </row>
    <row r="124" spans="1:41">
      <c r="A124" s="39">
        <f t="shared" si="10"/>
        <v>7</v>
      </c>
      <c r="B124" s="116" t="s">
        <v>583</v>
      </c>
      <c r="C124" s="107" t="s">
        <v>42</v>
      </c>
      <c r="D124" s="37" t="s">
        <v>584</v>
      </c>
      <c r="E124" s="36" t="s">
        <v>585</v>
      </c>
      <c r="F124" s="38">
        <v>45336</v>
      </c>
      <c r="G124" s="58">
        <v>0.5</v>
      </c>
      <c r="H124" s="107" t="s">
        <v>197</v>
      </c>
      <c r="I124" s="37" t="s">
        <v>586</v>
      </c>
      <c r="J124" s="36" t="s">
        <v>587</v>
      </c>
      <c r="K124" s="38">
        <v>45337</v>
      </c>
      <c r="L124" s="58">
        <v>0.5</v>
      </c>
      <c r="M124" s="89">
        <v>259730567</v>
      </c>
      <c r="N124" s="18" t="s">
        <v>49</v>
      </c>
      <c r="O124" s="36" t="s">
        <v>411</v>
      </c>
      <c r="P124" s="36"/>
      <c r="Q124" s="138" t="s">
        <v>926</v>
      </c>
      <c r="R124" s="36" t="s">
        <v>594</v>
      </c>
      <c r="S124" s="18">
        <f t="shared" si="18"/>
        <v>1923.64</v>
      </c>
      <c r="T124" s="36">
        <v>1698</v>
      </c>
      <c r="U124" s="70">
        <f>plachta3434235[[#This Row],[SALES '[€']]]-plachta3434235[[#This Row],[PURCHASE '[€']]]</f>
        <v>225.6400000000001</v>
      </c>
      <c r="V124" s="71">
        <f>plachta3434235[[#This Row],[MARGIN '[€']]]/plachta3434235[[#This Row],[SALES '[€']]]</f>
        <v>0.11729845501237242</v>
      </c>
      <c r="W124" s="36" t="s">
        <v>927</v>
      </c>
      <c r="X124" s="36" t="s">
        <v>928</v>
      </c>
      <c r="Y124" s="36">
        <v>1492</v>
      </c>
      <c r="Z124" s="36"/>
      <c r="AA124" s="36" t="s">
        <v>51</v>
      </c>
      <c r="AB124" s="72">
        <f t="shared" si="16"/>
        <v>1.1380697050938338</v>
      </c>
      <c r="AC124" s="72">
        <f t="shared" si="17"/>
        <v>1.2893029490616623</v>
      </c>
      <c r="AD124" s="69"/>
      <c r="AE124" s="69"/>
      <c r="AF124" s="69"/>
      <c r="AG124" s="69"/>
      <c r="AH124" s="69"/>
      <c r="AI124" s="69"/>
      <c r="AJ124" s="69"/>
      <c r="AK124" s="69"/>
      <c r="AL124" s="69" t="str">
        <f>IF(plachta3434235[[#This Row],[DELIVERY TIME]]="STORNO","CANCELLED","OK")</f>
        <v>OK</v>
      </c>
      <c r="AM124" s="69"/>
      <c r="AN124" s="69" t="str">
        <f>IF(RIGHT(plachta3434235[[#This Row],[CARRIER]],3)="-MF",921,"")</f>
        <v/>
      </c>
      <c r="AO124" s="69"/>
    </row>
    <row r="125" spans="1:41">
      <c r="A125" s="39">
        <f t="shared" si="10"/>
        <v>7</v>
      </c>
      <c r="B125" s="116" t="s">
        <v>583</v>
      </c>
      <c r="C125" s="107" t="s">
        <v>42</v>
      </c>
      <c r="D125" s="37" t="s">
        <v>584</v>
      </c>
      <c r="E125" s="36" t="s">
        <v>585</v>
      </c>
      <c r="F125" s="38">
        <v>45336</v>
      </c>
      <c r="G125" s="58">
        <v>0.33333333333333331</v>
      </c>
      <c r="H125" s="107" t="s">
        <v>197</v>
      </c>
      <c r="I125" s="37" t="s">
        <v>586</v>
      </c>
      <c r="J125" s="36" t="s">
        <v>587</v>
      </c>
      <c r="K125" s="38">
        <v>45337</v>
      </c>
      <c r="L125" s="58">
        <v>0.33333333333333331</v>
      </c>
      <c r="M125" s="89">
        <v>259756147</v>
      </c>
      <c r="N125" s="18" t="s">
        <v>49</v>
      </c>
      <c r="O125" s="36" t="s">
        <v>411</v>
      </c>
      <c r="P125" s="36"/>
      <c r="Q125" s="42" t="s">
        <v>593</v>
      </c>
      <c r="R125" s="36" t="s">
        <v>594</v>
      </c>
      <c r="S125" s="18">
        <f t="shared" si="18"/>
        <v>1923.64</v>
      </c>
      <c r="T125" s="36">
        <v>1698</v>
      </c>
      <c r="U125" s="70">
        <f>plachta3434235[[#This Row],[SALES '[€']]]-plachta3434235[[#This Row],[PURCHASE '[€']]]</f>
        <v>225.6400000000001</v>
      </c>
      <c r="V125" s="71">
        <f>plachta3434235[[#This Row],[MARGIN '[€']]]/plachta3434235[[#This Row],[SALES '[€']]]</f>
        <v>0.11729845501237242</v>
      </c>
      <c r="W125" s="36" t="s">
        <v>929</v>
      </c>
      <c r="X125" s="36" t="s">
        <v>930</v>
      </c>
      <c r="Y125" s="36">
        <v>1492</v>
      </c>
      <c r="Z125" s="36"/>
      <c r="AA125" s="36" t="s">
        <v>51</v>
      </c>
      <c r="AB125" s="72">
        <f t="shared" si="16"/>
        <v>1.1380697050938338</v>
      </c>
      <c r="AC125" s="72">
        <f t="shared" si="17"/>
        <v>1.2893029490616623</v>
      </c>
      <c r="AD125" s="69"/>
      <c r="AE125" s="69"/>
      <c r="AF125" s="69"/>
      <c r="AG125" s="69"/>
      <c r="AH125" s="69"/>
      <c r="AI125" s="69"/>
      <c r="AJ125" s="69"/>
      <c r="AK125" s="69"/>
      <c r="AL125" s="69" t="str">
        <f>IF(plachta3434235[[#This Row],[DELIVERY TIME]]="STORNO","CANCELLED","OK")</f>
        <v>OK</v>
      </c>
      <c r="AM125" s="69"/>
      <c r="AN125" s="69" t="str">
        <f>IF(RIGHT(plachta3434235[[#This Row],[CARRIER]],3)="-MF",921,"")</f>
        <v/>
      </c>
      <c r="AO125" s="69"/>
    </row>
    <row r="126" spans="1:41">
      <c r="A126" s="39">
        <f t="shared" si="10"/>
        <v>7</v>
      </c>
      <c r="B126" s="116" t="s">
        <v>583</v>
      </c>
      <c r="C126" s="107" t="s">
        <v>42</v>
      </c>
      <c r="D126" s="37" t="s">
        <v>584</v>
      </c>
      <c r="E126" s="36" t="s">
        <v>585</v>
      </c>
      <c r="F126" s="38">
        <v>45337</v>
      </c>
      <c r="G126" s="58">
        <v>0.25</v>
      </c>
      <c r="H126" s="107" t="s">
        <v>197</v>
      </c>
      <c r="I126" s="37" t="s">
        <v>586</v>
      </c>
      <c r="J126" s="36" t="s">
        <v>587</v>
      </c>
      <c r="K126" s="38">
        <v>45338</v>
      </c>
      <c r="L126" s="58">
        <v>0.25</v>
      </c>
      <c r="M126" s="89">
        <v>259730569</v>
      </c>
      <c r="N126" s="18" t="s">
        <v>49</v>
      </c>
      <c r="O126" s="36" t="s">
        <v>411</v>
      </c>
      <c r="P126" s="36"/>
      <c r="Q126" s="42" t="s">
        <v>931</v>
      </c>
      <c r="R126" s="43"/>
      <c r="S126" s="18">
        <f t="shared" si="18"/>
        <v>1923.64</v>
      </c>
      <c r="T126" s="36">
        <v>1698</v>
      </c>
      <c r="U126" s="70">
        <f>plachta3434235[[#This Row],[SALES '[€']]]-plachta3434235[[#This Row],[PURCHASE '[€']]]</f>
        <v>225.6400000000001</v>
      </c>
      <c r="V126" s="71">
        <f>plachta3434235[[#This Row],[MARGIN '[€']]]/plachta3434235[[#This Row],[SALES '[€']]]</f>
        <v>0.11729845501237242</v>
      </c>
      <c r="W126" s="36"/>
      <c r="X126" s="36"/>
      <c r="Y126" s="36">
        <v>1492</v>
      </c>
      <c r="Z126" s="36"/>
      <c r="AA126" s="36" t="s">
        <v>51</v>
      </c>
      <c r="AB126" s="72">
        <f t="shared" si="16"/>
        <v>1.1380697050938338</v>
      </c>
      <c r="AC126" s="72">
        <f t="shared" si="17"/>
        <v>1.2893029490616623</v>
      </c>
      <c r="AD126" s="69"/>
      <c r="AE126" s="69"/>
      <c r="AF126" s="69"/>
      <c r="AG126" s="69"/>
      <c r="AH126" s="69"/>
      <c r="AI126" s="69"/>
      <c r="AJ126" s="69"/>
      <c r="AK126" s="69"/>
      <c r="AL126" s="69" t="str">
        <f>IF(plachta3434235[[#This Row],[DELIVERY TIME]]="STORNO","CANCELLED","OK")</f>
        <v>OK</v>
      </c>
      <c r="AM126" s="69"/>
      <c r="AN126" s="69" t="str">
        <f>IF(RIGHT(plachta3434235[[#This Row],[CARRIER]],3)="-MF",921,"")</f>
        <v/>
      </c>
      <c r="AO126" s="69"/>
    </row>
    <row r="127" spans="1:41">
      <c r="A127" s="39">
        <f t="shared" si="10"/>
        <v>7</v>
      </c>
      <c r="B127" s="116" t="s">
        <v>583</v>
      </c>
      <c r="C127" s="107" t="s">
        <v>42</v>
      </c>
      <c r="D127" s="37" t="s">
        <v>584</v>
      </c>
      <c r="E127" s="36" t="s">
        <v>585</v>
      </c>
      <c r="F127" s="38">
        <v>45337</v>
      </c>
      <c r="G127" s="58">
        <v>0.54166666666666663</v>
      </c>
      <c r="H127" s="107" t="s">
        <v>197</v>
      </c>
      <c r="I127" s="37" t="s">
        <v>586</v>
      </c>
      <c r="J127" s="36" t="s">
        <v>587</v>
      </c>
      <c r="K127" s="38">
        <v>45338</v>
      </c>
      <c r="L127" s="58">
        <v>0.66666666666666663</v>
      </c>
      <c r="M127" s="89">
        <v>259756556</v>
      </c>
      <c r="N127" s="18" t="s">
        <v>49</v>
      </c>
      <c r="O127" s="36" t="s">
        <v>411</v>
      </c>
      <c r="P127" s="36"/>
      <c r="Q127" s="42" t="s">
        <v>932</v>
      </c>
      <c r="R127" s="203" t="s">
        <v>933</v>
      </c>
      <c r="S127" s="36">
        <v>1923.64</v>
      </c>
      <c r="T127" s="223">
        <v>2400</v>
      </c>
      <c r="U127" s="70">
        <f>plachta3434235[[#This Row],[SALES '[€']]]-plachta3434235[[#This Row],[PURCHASE '[€']]]</f>
        <v>-476.3599999999999</v>
      </c>
      <c r="V127" s="71">
        <f>plachta3434235[[#This Row],[MARGIN '[€']]]/plachta3434235[[#This Row],[SALES '[€']]]</f>
        <v>-0.24763469256201778</v>
      </c>
      <c r="W127" s="36" t="s">
        <v>934</v>
      </c>
      <c r="X127" s="36" t="s">
        <v>935</v>
      </c>
      <c r="Y127" s="36">
        <v>1492</v>
      </c>
      <c r="Z127" s="36"/>
      <c r="AA127" s="36" t="s">
        <v>51</v>
      </c>
      <c r="AB127" s="72">
        <f t="shared" si="16"/>
        <v>1.6085790884718498</v>
      </c>
      <c r="AC127" s="72">
        <f t="shared" si="17"/>
        <v>1.2893029490616623</v>
      </c>
      <c r="AD127" s="69"/>
      <c r="AE127" s="69"/>
      <c r="AF127" s="69"/>
      <c r="AG127" s="69"/>
      <c r="AH127" s="69"/>
      <c r="AI127" s="69"/>
      <c r="AJ127" s="69"/>
      <c r="AK127" s="69"/>
      <c r="AL127" s="69" t="str">
        <f>IF(plachta3434235[[#This Row],[DELIVERY TIME]]="STORNO","CANCELLED","OK")</f>
        <v>OK</v>
      </c>
      <c r="AM127" s="69"/>
      <c r="AN127" s="69" t="str">
        <f>IF(RIGHT(plachta3434235[[#This Row],[CARRIER]],3)="-MF",921,"")</f>
        <v/>
      </c>
      <c r="AO127" s="69"/>
    </row>
    <row r="128" spans="1:41">
      <c r="A128" s="39">
        <f t="shared" si="10"/>
        <v>7</v>
      </c>
      <c r="B128" s="116" t="s">
        <v>583</v>
      </c>
      <c r="C128" s="107" t="s">
        <v>42</v>
      </c>
      <c r="D128" s="37" t="s">
        <v>584</v>
      </c>
      <c r="E128" s="36" t="s">
        <v>585</v>
      </c>
      <c r="F128" s="38">
        <v>45337</v>
      </c>
      <c r="G128" s="58">
        <v>0.75</v>
      </c>
      <c r="H128" s="107" t="s">
        <v>197</v>
      </c>
      <c r="I128" s="37" t="s">
        <v>586</v>
      </c>
      <c r="J128" s="36" t="s">
        <v>587</v>
      </c>
      <c r="K128" s="38">
        <v>45338</v>
      </c>
      <c r="L128" s="58">
        <v>0.75</v>
      </c>
      <c r="M128" s="89">
        <v>259730570</v>
      </c>
      <c r="N128" s="18" t="s">
        <v>49</v>
      </c>
      <c r="O128" s="36" t="s">
        <v>411</v>
      </c>
      <c r="P128" s="36"/>
      <c r="Q128" s="42" t="s">
        <v>936</v>
      </c>
      <c r="R128" s="43"/>
      <c r="S128" s="36"/>
      <c r="T128" s="36"/>
      <c r="U128" s="70">
        <f>plachta3434235[[#This Row],[SALES '[€']]]-plachta3434235[[#This Row],[PURCHASE '[€']]]</f>
        <v>0</v>
      </c>
      <c r="V128" s="71" t="e">
        <f>plachta3434235[[#This Row],[MARGIN '[€']]]/plachta3434235[[#This Row],[SALES '[€']]]</f>
        <v>#DIV/0!</v>
      </c>
      <c r="W128" s="36"/>
      <c r="X128" s="36"/>
      <c r="Y128" s="36">
        <v>1492</v>
      </c>
      <c r="Z128" s="36"/>
      <c r="AA128" s="36" t="s">
        <v>51</v>
      </c>
      <c r="AB128" s="72">
        <f t="shared" si="16"/>
        <v>0</v>
      </c>
      <c r="AC128" s="72">
        <f t="shared" si="17"/>
        <v>0</v>
      </c>
      <c r="AD128" s="69"/>
      <c r="AE128" s="69"/>
      <c r="AF128" s="69"/>
      <c r="AG128" s="69"/>
      <c r="AH128" s="69"/>
      <c r="AI128" s="69"/>
      <c r="AJ128" s="69"/>
      <c r="AK128" s="69"/>
      <c r="AL128" s="69" t="str">
        <f>IF(plachta3434235[[#This Row],[DELIVERY TIME]]="STORNO","CANCELLED","OK")</f>
        <v>OK</v>
      </c>
      <c r="AM128" s="69"/>
      <c r="AN128" s="69" t="str">
        <f>IF(RIGHT(plachta3434235[[#This Row],[CARRIER]],3)="-MF",921,"")</f>
        <v/>
      </c>
      <c r="AO128" s="69"/>
    </row>
    <row r="129" spans="1:41">
      <c r="A129" s="39">
        <f>WEEKNUM(F129,21)</f>
        <v>7</v>
      </c>
      <c r="B129" s="116" t="s">
        <v>583</v>
      </c>
      <c r="C129" s="107" t="s">
        <v>197</v>
      </c>
      <c r="D129" s="37" t="s">
        <v>586</v>
      </c>
      <c r="E129" s="36" t="s">
        <v>587</v>
      </c>
      <c r="F129" s="38">
        <v>45336</v>
      </c>
      <c r="G129" s="58">
        <v>0.33333333333333331</v>
      </c>
      <c r="H129" s="107" t="s">
        <v>820</v>
      </c>
      <c r="I129" s="37" t="s">
        <v>821</v>
      </c>
      <c r="J129" s="36" t="s">
        <v>822</v>
      </c>
      <c r="K129" s="38">
        <v>45337</v>
      </c>
      <c r="L129" s="58">
        <v>0.33333333333333331</v>
      </c>
      <c r="M129" s="89"/>
      <c r="N129" s="18" t="s">
        <v>49</v>
      </c>
      <c r="O129" s="36" t="s">
        <v>671</v>
      </c>
      <c r="P129" s="36"/>
      <c r="Q129" s="63" t="s">
        <v>937</v>
      </c>
      <c r="R129" s="36" t="s">
        <v>824</v>
      </c>
      <c r="S129" s="36">
        <v>750</v>
      </c>
      <c r="T129" s="36">
        <v>650</v>
      </c>
      <c r="U129" s="70">
        <f>plachta3434235[[#This Row],[SALES '[€']]]-plachta3434235[[#This Row],[PURCHASE '[€']]]</f>
        <v>100</v>
      </c>
      <c r="V129" s="71">
        <f>plachta3434235[[#This Row],[MARGIN '[€']]]/plachta3434235[[#This Row],[SALES '[€']]]</f>
        <v>0.13333333333333333</v>
      </c>
      <c r="W129" s="36">
        <v>9215171892</v>
      </c>
      <c r="X129" s="36" t="s">
        <v>938</v>
      </c>
      <c r="Y129" s="36">
        <v>550</v>
      </c>
      <c r="Z129" s="36" t="s">
        <v>939</v>
      </c>
      <c r="AA129" s="36" t="s">
        <v>51</v>
      </c>
      <c r="AB129" s="72"/>
      <c r="AC129" s="72"/>
      <c r="AD129" s="69"/>
      <c r="AE129" s="69"/>
      <c r="AF129" s="69"/>
      <c r="AG129" s="69"/>
      <c r="AH129" s="69"/>
      <c r="AI129" s="69"/>
      <c r="AJ129" s="69"/>
      <c r="AK129" s="69"/>
      <c r="AL129" s="69" t="str">
        <f>IF(plachta3434235[[#This Row],[DELIVERY TIME]]="STORNO","CANCELLED","OK")</f>
        <v>OK</v>
      </c>
      <c r="AM129" s="69"/>
      <c r="AN129" s="69" t="str">
        <f>IF(RIGHT(plachta3434235[[#This Row],[CARRIER]],3)="-MF",921,"")</f>
        <v/>
      </c>
      <c r="AO129" s="69"/>
    </row>
    <row r="130" spans="1:41" ht="14.45">
      <c r="A130" s="39">
        <f t="shared" si="10"/>
        <v>5</v>
      </c>
      <c r="B130" s="36" t="s">
        <v>617</v>
      </c>
      <c r="C130" s="107" t="s">
        <v>197</v>
      </c>
      <c r="D130" s="37" t="s">
        <v>707</v>
      </c>
      <c r="E130" s="36" t="s">
        <v>708</v>
      </c>
      <c r="F130" s="38">
        <v>45324</v>
      </c>
      <c r="G130" s="58">
        <v>0.625</v>
      </c>
      <c r="H130" s="107" t="s">
        <v>42</v>
      </c>
      <c r="I130" s="37" t="s">
        <v>621</v>
      </c>
      <c r="J130" s="36" t="s">
        <v>622</v>
      </c>
      <c r="K130" s="38">
        <v>45327</v>
      </c>
      <c r="L130" s="58"/>
      <c r="M130" s="73">
        <v>6101231114</v>
      </c>
      <c r="N130" s="36" t="s">
        <v>692</v>
      </c>
      <c r="O130" s="36" t="s">
        <v>355</v>
      </c>
      <c r="P130" s="36"/>
      <c r="Q130" s="63" t="s">
        <v>940</v>
      </c>
      <c r="R130" s="36" t="s">
        <v>941</v>
      </c>
      <c r="S130" s="116">
        <v>1534.95</v>
      </c>
      <c r="T130" s="36">
        <v>1450</v>
      </c>
      <c r="U130" s="70">
        <f>plachta3434235[[#This Row],[SALES '[€']]]-plachta3434235[[#This Row],[PURCHASE '[€']]]</f>
        <v>84.950000000000045</v>
      </c>
      <c r="V130" s="71">
        <f>plachta3434235[[#This Row],[MARGIN '[€']]]/plachta3434235[[#This Row],[SALES '[€']]]</f>
        <v>5.534382227434121E-2</v>
      </c>
      <c r="W130" s="36">
        <v>9215171497</v>
      </c>
      <c r="X130" s="36" t="s">
        <v>942</v>
      </c>
      <c r="Y130" s="36">
        <v>1283</v>
      </c>
      <c r="Z130" s="66" t="s">
        <v>943</v>
      </c>
      <c r="AA130" s="36" t="s">
        <v>51</v>
      </c>
      <c r="AB130" s="72">
        <f t="shared" si="16"/>
        <v>1.1301636788776306</v>
      </c>
      <c r="AC130" s="72">
        <f t="shared" si="17"/>
        <v>1.1963756819953235</v>
      </c>
      <c r="AD130" s="69"/>
      <c r="AE130" s="69"/>
      <c r="AF130" s="69"/>
      <c r="AG130" s="69"/>
      <c r="AH130" s="69"/>
      <c r="AI130" s="69"/>
      <c r="AJ130" s="69"/>
      <c r="AK130" s="69"/>
      <c r="AL130" s="69" t="str">
        <f>IF(plachta3434235[[#This Row],[DELIVERY TIME]]="STORNO","CANCELLED","OK")</f>
        <v>OK</v>
      </c>
      <c r="AM130" s="69"/>
      <c r="AN130" s="69" t="str">
        <f>IF(RIGHT(plachta3434235[[#This Row],[CARRIER]],3)="-MF",921,"")</f>
        <v/>
      </c>
      <c r="AO130" s="69"/>
    </row>
    <row r="131" spans="1:41">
      <c r="A131" s="39">
        <f t="shared" si="10"/>
        <v>6</v>
      </c>
      <c r="B131" s="36" t="s">
        <v>617</v>
      </c>
      <c r="C131" s="107" t="s">
        <v>197</v>
      </c>
      <c r="D131" s="37" t="s">
        <v>707</v>
      </c>
      <c r="E131" s="36" t="s">
        <v>708</v>
      </c>
      <c r="F131" s="38">
        <v>45331</v>
      </c>
      <c r="G131" s="58">
        <v>0.625</v>
      </c>
      <c r="H131" s="107" t="s">
        <v>42</v>
      </c>
      <c r="I131" s="37" t="s">
        <v>621</v>
      </c>
      <c r="J131" s="36" t="s">
        <v>622</v>
      </c>
      <c r="K131" s="38">
        <v>45334</v>
      </c>
      <c r="L131" s="58">
        <v>0.41666666666666669</v>
      </c>
      <c r="M131" s="73">
        <v>6101237071</v>
      </c>
      <c r="N131" s="36" t="s">
        <v>692</v>
      </c>
      <c r="O131" s="36" t="s">
        <v>355</v>
      </c>
      <c r="P131" s="36"/>
      <c r="Q131" s="63" t="s">
        <v>944</v>
      </c>
      <c r="R131" s="36" t="s">
        <v>57</v>
      </c>
      <c r="S131" s="116">
        <v>1534.95</v>
      </c>
      <c r="T131" s="36">
        <v>1450</v>
      </c>
      <c r="U131" s="70">
        <f>plachta3434235[[#This Row],[SALES '[€']]]-plachta3434235[[#This Row],[PURCHASE '[€']]]</f>
        <v>84.950000000000045</v>
      </c>
      <c r="V131" s="71">
        <f>plachta3434235[[#This Row],[MARGIN '[€']]]/plachta3434235[[#This Row],[SALES '[€']]]</f>
        <v>5.534382227434121E-2</v>
      </c>
      <c r="W131" s="36">
        <v>9215171696</v>
      </c>
      <c r="X131" s="36" t="s">
        <v>945</v>
      </c>
      <c r="Y131" s="36">
        <v>1283</v>
      </c>
      <c r="Z131" s="36"/>
      <c r="AA131" s="36" t="s">
        <v>51</v>
      </c>
      <c r="AB131" s="72"/>
      <c r="AC131" s="72"/>
      <c r="AD131" s="69"/>
      <c r="AE131" s="69"/>
      <c r="AF131" s="69"/>
      <c r="AG131" s="69"/>
      <c r="AH131" s="69"/>
      <c r="AI131" s="69"/>
      <c r="AJ131" s="69"/>
      <c r="AK131" s="69"/>
      <c r="AL131" s="69" t="str">
        <f>IF(plachta3434235[[#This Row],[DELIVERY TIME]]="STORNO","CANCELLED","OK")</f>
        <v>OK</v>
      </c>
      <c r="AM131" s="69"/>
      <c r="AN131" s="69" t="str">
        <f>IF(RIGHT(plachta3434235[[#This Row],[CARRIER]],3)="-MF",921,"")</f>
        <v/>
      </c>
      <c r="AO131" s="69"/>
    </row>
    <row r="132" spans="1:41">
      <c r="A132" s="39">
        <f t="shared" si="10"/>
        <v>7</v>
      </c>
      <c r="B132" s="115" t="s">
        <v>607</v>
      </c>
      <c r="C132" s="107" t="s">
        <v>42</v>
      </c>
      <c r="D132" s="37" t="s">
        <v>608</v>
      </c>
      <c r="E132" s="36" t="s">
        <v>609</v>
      </c>
      <c r="F132" s="38">
        <v>45334</v>
      </c>
      <c r="G132" s="58">
        <v>0.16666666666666666</v>
      </c>
      <c r="H132" s="107" t="s">
        <v>610</v>
      </c>
      <c r="I132" s="37" t="s">
        <v>525</v>
      </c>
      <c r="J132" s="36" t="s">
        <v>611</v>
      </c>
      <c r="K132" s="38">
        <v>45335</v>
      </c>
      <c r="L132" s="58">
        <v>0.1875</v>
      </c>
      <c r="M132" s="89">
        <v>259774639</v>
      </c>
      <c r="N132" s="18" t="s">
        <v>49</v>
      </c>
      <c r="O132" s="36" t="s">
        <v>411</v>
      </c>
      <c r="P132" s="36"/>
      <c r="Q132" s="63" t="s">
        <v>766</v>
      </c>
      <c r="R132" s="36" t="s">
        <v>614</v>
      </c>
      <c r="S132" s="36">
        <v>1734</v>
      </c>
      <c r="T132" s="36">
        <v>1530</v>
      </c>
      <c r="U132" s="70">
        <f>plachta3434235[[#This Row],[SALES '[€']]]-plachta3434235[[#This Row],[PURCHASE '[€']]]</f>
        <v>204</v>
      </c>
      <c r="V132" s="71">
        <f>plachta3434235[[#This Row],[MARGIN '[€']]]/plachta3434235[[#This Row],[SALES '[€']]]</f>
        <v>0.11764705882352941</v>
      </c>
      <c r="W132" s="36" t="s">
        <v>946</v>
      </c>
      <c r="X132" s="36" t="s">
        <v>947</v>
      </c>
      <c r="Y132" s="36">
        <v>1252</v>
      </c>
      <c r="Z132" s="36"/>
      <c r="AA132" s="36" t="s">
        <v>51</v>
      </c>
      <c r="AB132" s="72"/>
      <c r="AC132" s="72"/>
      <c r="AD132" s="69"/>
      <c r="AE132" s="69"/>
      <c r="AF132" s="69"/>
      <c r="AG132" s="69"/>
      <c r="AH132" s="69"/>
      <c r="AI132" s="69"/>
      <c r="AJ132" s="69"/>
      <c r="AK132" s="69"/>
      <c r="AL132" s="69" t="str">
        <f>IF(plachta3434235[[#This Row],[DELIVERY TIME]]="STORNO","CANCELLED","OK")</f>
        <v>OK</v>
      </c>
      <c r="AM132" s="69"/>
      <c r="AN132" s="69" t="str">
        <f>IF(RIGHT(plachta3434235[[#This Row],[CARRIER]],3)="-MF",921,"")</f>
        <v/>
      </c>
      <c r="AO132" s="69"/>
    </row>
    <row r="133" spans="1:41">
      <c r="A133" s="39">
        <f t="shared" si="10"/>
        <v>7</v>
      </c>
      <c r="B133" s="115" t="s">
        <v>607</v>
      </c>
      <c r="C133" s="107" t="s">
        <v>42</v>
      </c>
      <c r="D133" s="37" t="s">
        <v>608</v>
      </c>
      <c r="E133" s="36" t="s">
        <v>609</v>
      </c>
      <c r="F133" s="38">
        <v>45334</v>
      </c>
      <c r="G133" s="58">
        <v>0.66666666666666663</v>
      </c>
      <c r="H133" s="107" t="s">
        <v>610</v>
      </c>
      <c r="I133" s="37" t="s">
        <v>525</v>
      </c>
      <c r="J133" s="36" t="s">
        <v>611</v>
      </c>
      <c r="K133" s="38">
        <v>45335</v>
      </c>
      <c r="L133" s="220">
        <v>0.66666666666666663</v>
      </c>
      <c r="M133" s="89">
        <v>259774641</v>
      </c>
      <c r="N133" s="18" t="s">
        <v>49</v>
      </c>
      <c r="O133" s="36" t="s">
        <v>411</v>
      </c>
      <c r="P133" s="36"/>
      <c r="Q133" s="63" t="s">
        <v>760</v>
      </c>
      <c r="R133" s="36" t="s">
        <v>614</v>
      </c>
      <c r="S133" s="36">
        <v>1734</v>
      </c>
      <c r="T133" s="36">
        <v>1530</v>
      </c>
      <c r="U133" s="70">
        <f>plachta3434235[[#This Row],[SALES '[€']]]-plachta3434235[[#This Row],[PURCHASE '[€']]]</f>
        <v>204</v>
      </c>
      <c r="V133" s="71">
        <f>plachta3434235[[#This Row],[MARGIN '[€']]]/plachta3434235[[#This Row],[SALES '[€']]]</f>
        <v>0.11764705882352941</v>
      </c>
      <c r="W133" s="36" t="s">
        <v>948</v>
      </c>
      <c r="X133" s="36" t="s">
        <v>949</v>
      </c>
      <c r="Y133" s="36">
        <v>1252</v>
      </c>
      <c r="Z133" s="36"/>
      <c r="AA133" s="36" t="s">
        <v>51</v>
      </c>
      <c r="AB133" s="72"/>
      <c r="AC133" s="72"/>
      <c r="AD133" s="69"/>
      <c r="AE133" s="69"/>
      <c r="AF133" s="69"/>
      <c r="AG133" s="69"/>
      <c r="AH133" s="69"/>
      <c r="AI133" s="69"/>
      <c r="AJ133" s="69"/>
      <c r="AK133" s="69"/>
      <c r="AL133" s="69" t="str">
        <f>IF(plachta3434235[[#This Row],[DELIVERY TIME]]="STORNO","CANCELLED","OK")</f>
        <v>OK</v>
      </c>
      <c r="AM133" s="69"/>
      <c r="AN133" s="69" t="str">
        <f>IF(RIGHT(plachta3434235[[#This Row],[CARRIER]],3)="-MF",921,"")</f>
        <v/>
      </c>
      <c r="AO133" s="69"/>
    </row>
    <row r="134" spans="1:41">
      <c r="A134" s="39">
        <f t="shared" si="10"/>
        <v>7</v>
      </c>
      <c r="B134" s="115" t="s">
        <v>607</v>
      </c>
      <c r="C134" s="107" t="s">
        <v>42</v>
      </c>
      <c r="D134" s="37" t="s">
        <v>608</v>
      </c>
      <c r="E134" s="36" t="s">
        <v>609</v>
      </c>
      <c r="F134" s="38">
        <v>45335</v>
      </c>
      <c r="G134" s="58">
        <v>0.16666666666666666</v>
      </c>
      <c r="H134" s="107" t="s">
        <v>610</v>
      </c>
      <c r="I134" s="37" t="s">
        <v>525</v>
      </c>
      <c r="J134" s="36" t="s">
        <v>611</v>
      </c>
      <c r="K134" s="38">
        <v>45336</v>
      </c>
      <c r="L134" s="58">
        <v>0.1875</v>
      </c>
      <c r="M134" s="89">
        <v>259774642</v>
      </c>
      <c r="N134" s="18" t="s">
        <v>49</v>
      </c>
      <c r="O134" s="36" t="s">
        <v>411</v>
      </c>
      <c r="P134" s="36"/>
      <c r="Q134" s="63" t="s">
        <v>763</v>
      </c>
      <c r="R134" s="36" t="s">
        <v>614</v>
      </c>
      <c r="S134" s="36">
        <v>1734</v>
      </c>
      <c r="T134" s="36">
        <v>1530</v>
      </c>
      <c r="U134" s="70">
        <f>plachta3434235[[#This Row],[SALES '[€']]]-plachta3434235[[#This Row],[PURCHASE '[€']]]</f>
        <v>204</v>
      </c>
      <c r="V134" s="71">
        <f>plachta3434235[[#This Row],[MARGIN '[€']]]/plachta3434235[[#This Row],[SALES '[€']]]</f>
        <v>0.11764705882352941</v>
      </c>
      <c r="W134" s="36" t="s">
        <v>950</v>
      </c>
      <c r="X134" s="36" t="s">
        <v>951</v>
      </c>
      <c r="Y134" s="36">
        <v>1252</v>
      </c>
      <c r="Z134" s="36"/>
      <c r="AA134" s="36" t="s">
        <v>51</v>
      </c>
      <c r="AB134" s="72"/>
      <c r="AC134" s="72"/>
      <c r="AD134" s="69"/>
      <c r="AE134" s="69"/>
      <c r="AF134" s="69"/>
      <c r="AG134" s="69"/>
      <c r="AH134" s="69"/>
      <c r="AI134" s="69"/>
      <c r="AJ134" s="69"/>
      <c r="AK134" s="69"/>
      <c r="AL134" s="69" t="str">
        <f>IF(plachta3434235[[#This Row],[DELIVERY TIME]]="STORNO","CANCELLED","OK")</f>
        <v>OK</v>
      </c>
      <c r="AM134" s="69"/>
      <c r="AN134" s="69" t="str">
        <f>IF(RIGHT(plachta3434235[[#This Row],[CARRIER]],3)="-MF",921,"")</f>
        <v/>
      </c>
      <c r="AO134" s="69"/>
    </row>
    <row r="135" spans="1:41">
      <c r="A135" s="39">
        <f t="shared" si="10"/>
        <v>7</v>
      </c>
      <c r="B135" s="115" t="s">
        <v>607</v>
      </c>
      <c r="C135" s="107" t="s">
        <v>42</v>
      </c>
      <c r="D135" s="37" t="s">
        <v>608</v>
      </c>
      <c r="E135" s="36" t="s">
        <v>609</v>
      </c>
      <c r="F135" s="38">
        <v>45335</v>
      </c>
      <c r="G135" s="58">
        <v>0.66666666666666663</v>
      </c>
      <c r="H135" s="107" t="s">
        <v>610</v>
      </c>
      <c r="I135" s="37" t="s">
        <v>525</v>
      </c>
      <c r="J135" s="36" t="s">
        <v>611</v>
      </c>
      <c r="K135" s="38">
        <v>45336</v>
      </c>
      <c r="L135" s="58">
        <v>0.6875</v>
      </c>
      <c r="M135" s="89">
        <v>259774643</v>
      </c>
      <c r="N135" s="18" t="s">
        <v>49</v>
      </c>
      <c r="O135" s="36" t="s">
        <v>411</v>
      </c>
      <c r="P135" s="36"/>
      <c r="Q135" s="63" t="s">
        <v>757</v>
      </c>
      <c r="R135" s="36" t="s">
        <v>614</v>
      </c>
      <c r="S135" s="36">
        <v>1734</v>
      </c>
      <c r="T135" s="36">
        <v>1530</v>
      </c>
      <c r="U135" s="70">
        <f>plachta3434235[[#This Row],[SALES '[€']]]-plachta3434235[[#This Row],[PURCHASE '[€']]]</f>
        <v>204</v>
      </c>
      <c r="V135" s="71">
        <f>plachta3434235[[#This Row],[MARGIN '[€']]]/plachta3434235[[#This Row],[SALES '[€']]]</f>
        <v>0.11764705882352941</v>
      </c>
      <c r="W135" s="36" t="s">
        <v>952</v>
      </c>
      <c r="X135" s="36" t="s">
        <v>953</v>
      </c>
      <c r="Y135" s="36">
        <v>1252</v>
      </c>
      <c r="Z135" s="36"/>
      <c r="AA135" s="36" t="s">
        <v>51</v>
      </c>
      <c r="AB135" s="72"/>
      <c r="AC135" s="72"/>
      <c r="AD135" s="69"/>
      <c r="AE135" s="69"/>
      <c r="AF135" s="69"/>
      <c r="AG135" s="69"/>
      <c r="AH135" s="69"/>
      <c r="AI135" s="69"/>
      <c r="AJ135" s="69"/>
      <c r="AK135" s="69"/>
      <c r="AL135" s="69" t="str">
        <f>IF(plachta3434235[[#This Row],[DELIVERY TIME]]="STORNO","CANCELLED","OK")</f>
        <v>OK</v>
      </c>
      <c r="AM135" s="69"/>
      <c r="AN135" s="69" t="str">
        <f>IF(RIGHT(plachta3434235[[#This Row],[CARRIER]],3)="-MF",921,"")</f>
        <v/>
      </c>
      <c r="AO135" s="69"/>
    </row>
    <row r="136" spans="1:41">
      <c r="A136" s="39">
        <f t="shared" si="10"/>
        <v>7</v>
      </c>
      <c r="B136" s="115" t="s">
        <v>607</v>
      </c>
      <c r="C136" s="107" t="s">
        <v>42</v>
      </c>
      <c r="D136" s="37" t="s">
        <v>608</v>
      </c>
      <c r="E136" s="36" t="s">
        <v>609</v>
      </c>
      <c r="F136" s="38">
        <v>45336</v>
      </c>
      <c r="G136" s="58">
        <v>0.16666666666666666</v>
      </c>
      <c r="H136" s="107" t="s">
        <v>610</v>
      </c>
      <c r="I136" s="37" t="s">
        <v>525</v>
      </c>
      <c r="J136" s="36" t="s">
        <v>611</v>
      </c>
      <c r="K136" s="38">
        <v>45337</v>
      </c>
      <c r="L136" s="58">
        <v>0.1875</v>
      </c>
      <c r="M136" s="89">
        <v>259774644</v>
      </c>
      <c r="N136" s="18" t="s">
        <v>49</v>
      </c>
      <c r="O136" s="36" t="s">
        <v>411</v>
      </c>
      <c r="P136" s="36"/>
      <c r="Q136" s="63" t="s">
        <v>766</v>
      </c>
      <c r="R136" s="36" t="s">
        <v>614</v>
      </c>
      <c r="S136" s="36">
        <v>1734</v>
      </c>
      <c r="T136" s="36">
        <v>1530</v>
      </c>
      <c r="U136" s="70">
        <f>plachta3434235[[#This Row],[SALES '[€']]]-plachta3434235[[#This Row],[PURCHASE '[€']]]</f>
        <v>204</v>
      </c>
      <c r="V136" s="71">
        <f>plachta3434235[[#This Row],[MARGIN '[€']]]/plachta3434235[[#This Row],[SALES '[€']]]</f>
        <v>0.11764705882352941</v>
      </c>
      <c r="W136" s="36" t="s">
        <v>954</v>
      </c>
      <c r="X136" s="36" t="s">
        <v>955</v>
      </c>
      <c r="Y136" s="36">
        <v>1252</v>
      </c>
      <c r="Z136" s="36"/>
      <c r="AA136" s="36" t="s">
        <v>51</v>
      </c>
      <c r="AB136" s="72"/>
      <c r="AC136" s="72"/>
      <c r="AD136" s="69"/>
      <c r="AE136" s="69"/>
      <c r="AF136" s="69"/>
      <c r="AG136" s="69"/>
      <c r="AH136" s="69"/>
      <c r="AI136" s="69"/>
      <c r="AJ136" s="69"/>
      <c r="AK136" s="69"/>
      <c r="AL136" s="69" t="str">
        <f>IF(plachta3434235[[#This Row],[DELIVERY TIME]]="STORNO","CANCELLED","OK")</f>
        <v>OK</v>
      </c>
      <c r="AM136" s="69"/>
      <c r="AN136" s="69" t="str">
        <f>IF(RIGHT(plachta3434235[[#This Row],[CARRIER]],3)="-MF",921,"")</f>
        <v/>
      </c>
      <c r="AO136" s="69"/>
    </row>
    <row r="137" spans="1:41">
      <c r="A137" s="39">
        <f t="shared" si="10"/>
        <v>7</v>
      </c>
      <c r="B137" s="115" t="s">
        <v>607</v>
      </c>
      <c r="C137" s="107" t="s">
        <v>42</v>
      </c>
      <c r="D137" s="37" t="s">
        <v>608</v>
      </c>
      <c r="E137" s="36" t="s">
        <v>609</v>
      </c>
      <c r="F137" s="38">
        <v>45337</v>
      </c>
      <c r="G137" s="58">
        <v>0.16666666666666666</v>
      </c>
      <c r="H137" s="107" t="s">
        <v>610</v>
      </c>
      <c r="I137" s="37" t="s">
        <v>525</v>
      </c>
      <c r="J137" s="36" t="s">
        <v>611</v>
      </c>
      <c r="K137" s="38">
        <v>45338</v>
      </c>
      <c r="L137" s="58">
        <v>0.1875</v>
      </c>
      <c r="M137" s="89">
        <v>259774645</v>
      </c>
      <c r="N137" s="18" t="s">
        <v>49</v>
      </c>
      <c r="O137" s="36" t="s">
        <v>411</v>
      </c>
      <c r="P137" s="36"/>
      <c r="Q137" s="42"/>
      <c r="R137" s="43" t="s">
        <v>614</v>
      </c>
      <c r="S137" s="36">
        <v>1734</v>
      </c>
      <c r="T137" s="36">
        <v>1530</v>
      </c>
      <c r="U137" s="70">
        <f>plachta3434235[[#This Row],[SALES '[€']]]-plachta3434235[[#This Row],[PURCHASE '[€']]]</f>
        <v>204</v>
      </c>
      <c r="V137" s="71">
        <f>plachta3434235[[#This Row],[MARGIN '[€']]]/plachta3434235[[#This Row],[SALES '[€']]]</f>
        <v>0.11764705882352941</v>
      </c>
      <c r="W137" s="36"/>
      <c r="X137" s="36"/>
      <c r="Y137" s="36">
        <v>1252</v>
      </c>
      <c r="Z137" s="36"/>
      <c r="AA137" s="36" t="s">
        <v>51</v>
      </c>
      <c r="AB137" s="72"/>
      <c r="AC137" s="72"/>
      <c r="AD137" s="69"/>
      <c r="AE137" s="69"/>
      <c r="AF137" s="69"/>
      <c r="AG137" s="69"/>
      <c r="AH137" s="69"/>
      <c r="AI137" s="69"/>
      <c r="AJ137" s="69"/>
      <c r="AK137" s="69"/>
      <c r="AL137" s="69" t="str">
        <f>IF(plachta3434235[[#This Row],[DELIVERY TIME]]="STORNO","CANCELLED","OK")</f>
        <v>OK</v>
      </c>
      <c r="AM137" s="69"/>
      <c r="AN137" s="69" t="str">
        <f>IF(RIGHT(plachta3434235[[#This Row],[CARRIER]],3)="-MF",921,"")</f>
        <v/>
      </c>
      <c r="AO137" s="69"/>
    </row>
    <row r="138" spans="1:41">
      <c r="A138" s="39">
        <f t="shared" si="10"/>
        <v>7</v>
      </c>
      <c r="B138" s="115" t="s">
        <v>607</v>
      </c>
      <c r="C138" s="107" t="s">
        <v>42</v>
      </c>
      <c r="D138" s="37" t="s">
        <v>608</v>
      </c>
      <c r="E138" s="36" t="s">
        <v>609</v>
      </c>
      <c r="F138" s="38">
        <v>45338</v>
      </c>
      <c r="G138" s="58">
        <v>0.16666666666666666</v>
      </c>
      <c r="H138" s="107" t="s">
        <v>610</v>
      </c>
      <c r="I138" s="37" t="s">
        <v>525</v>
      </c>
      <c r="J138" s="36" t="s">
        <v>611</v>
      </c>
      <c r="K138" s="38">
        <v>45341</v>
      </c>
      <c r="L138" s="58">
        <v>0.1875</v>
      </c>
      <c r="M138" s="89">
        <v>259774646</v>
      </c>
      <c r="N138" s="18" t="s">
        <v>49</v>
      </c>
      <c r="O138" s="36" t="s">
        <v>411</v>
      </c>
      <c r="P138" s="36"/>
      <c r="Q138" s="42"/>
      <c r="R138" s="43" t="s">
        <v>614</v>
      </c>
      <c r="S138" s="36">
        <v>1734</v>
      </c>
      <c r="T138" s="36">
        <v>1530</v>
      </c>
      <c r="U138" s="70">
        <f>plachta3434235[[#This Row],[SALES '[€']]]-plachta3434235[[#This Row],[PURCHASE '[€']]]</f>
        <v>204</v>
      </c>
      <c r="V138" s="71">
        <f>plachta3434235[[#This Row],[MARGIN '[€']]]/plachta3434235[[#This Row],[SALES '[€']]]</f>
        <v>0.11764705882352941</v>
      </c>
      <c r="W138" s="36"/>
      <c r="X138" s="36"/>
      <c r="Y138" s="36">
        <v>1252</v>
      </c>
      <c r="Z138" s="36"/>
      <c r="AA138" s="36" t="s">
        <v>51</v>
      </c>
      <c r="AB138" s="72"/>
      <c r="AC138" s="72"/>
      <c r="AD138" s="69"/>
      <c r="AE138" s="69"/>
      <c r="AF138" s="69"/>
      <c r="AG138" s="69"/>
      <c r="AH138" s="69"/>
      <c r="AI138" s="69"/>
      <c r="AJ138" s="69"/>
      <c r="AK138" s="69"/>
      <c r="AL138" s="69" t="str">
        <f>IF(plachta3434235[[#This Row],[DELIVERY TIME]]="STORNO","CANCELLED","OK")</f>
        <v>OK</v>
      </c>
      <c r="AM138" s="69"/>
      <c r="AN138" s="69" t="str">
        <f>IF(RIGHT(plachta3434235[[#This Row],[CARRIER]],3)="-MF",921,"")</f>
        <v/>
      </c>
      <c r="AO138" s="69"/>
    </row>
    <row r="139" spans="1:41">
      <c r="A139" s="39">
        <f>WEEKNUM(F139,21)</f>
        <v>7</v>
      </c>
      <c r="B139" s="221"/>
      <c r="C139" s="107" t="s">
        <v>42</v>
      </c>
      <c r="D139" s="37" t="s">
        <v>337</v>
      </c>
      <c r="E139" s="36" t="s">
        <v>956</v>
      </c>
      <c r="F139" s="38">
        <v>45334</v>
      </c>
      <c r="G139" s="58">
        <v>0.54166666666666663</v>
      </c>
      <c r="H139" s="107" t="s">
        <v>197</v>
      </c>
      <c r="I139" s="37" t="s">
        <v>46</v>
      </c>
      <c r="J139" s="36" t="s">
        <v>957</v>
      </c>
      <c r="K139" s="38">
        <v>45337</v>
      </c>
      <c r="L139" s="58"/>
      <c r="M139" s="73"/>
      <c r="N139" s="18" t="s">
        <v>49</v>
      </c>
      <c r="O139" s="36" t="s">
        <v>411</v>
      </c>
      <c r="P139" s="36"/>
      <c r="Q139" s="42" t="s">
        <v>72</v>
      </c>
      <c r="R139" s="94" t="s">
        <v>958</v>
      </c>
      <c r="S139" s="36">
        <v>2532.66</v>
      </c>
      <c r="T139" s="36">
        <v>2619.1</v>
      </c>
      <c r="U139" s="70">
        <f>plachta3434235[[#This Row],[SALES '[€']]]-plachta3434235[[#This Row],[PURCHASE '[€']]]</f>
        <v>-86.440000000000055</v>
      </c>
      <c r="V139" s="71">
        <f>plachta3434235[[#This Row],[MARGIN '[€']]]/plachta3434235[[#This Row],[SALES '[€']]]</f>
        <v>-3.4130124059289467E-2</v>
      </c>
      <c r="W139" s="36" t="s">
        <v>959</v>
      </c>
      <c r="X139" s="36" t="s">
        <v>960</v>
      </c>
      <c r="Y139" s="36">
        <v>2265</v>
      </c>
      <c r="Z139" s="36"/>
      <c r="AA139" s="36" t="s">
        <v>208</v>
      </c>
      <c r="AB139" s="72"/>
      <c r="AC139" s="72"/>
      <c r="AD139" s="69"/>
      <c r="AE139" s="69"/>
      <c r="AF139" s="69"/>
      <c r="AG139" s="69"/>
      <c r="AH139" s="69"/>
      <c r="AI139" s="69"/>
      <c r="AJ139" s="69"/>
      <c r="AK139" s="69"/>
      <c r="AL139" s="69" t="str">
        <f>IF(plachta3434235[[#This Row],[DELIVERY TIME]]="STORNO","CANCELLED","OK")</f>
        <v>OK</v>
      </c>
      <c r="AM139" s="69"/>
      <c r="AN139" s="69">
        <f>IF(RIGHT(plachta3434235[[#This Row],[CARRIER]],3)="-MF",921,"")</f>
        <v>921</v>
      </c>
      <c r="AO139" s="69"/>
    </row>
    <row r="140" spans="1:41">
      <c r="A140" s="39">
        <f>WEEKNUM(F140,21)</f>
        <v>7</v>
      </c>
      <c r="B140" s="36" t="s">
        <v>617</v>
      </c>
      <c r="C140" s="107" t="s">
        <v>618</v>
      </c>
      <c r="D140" s="37" t="s">
        <v>619</v>
      </c>
      <c r="E140" s="36" t="s">
        <v>620</v>
      </c>
      <c r="F140" s="38">
        <v>45334</v>
      </c>
      <c r="G140" s="58">
        <v>0.41666666666666669</v>
      </c>
      <c r="H140" s="107" t="s">
        <v>42</v>
      </c>
      <c r="I140" s="37" t="s">
        <v>621</v>
      </c>
      <c r="J140" s="36" t="s">
        <v>622</v>
      </c>
      <c r="K140" s="38">
        <v>45335</v>
      </c>
      <c r="L140" s="58">
        <v>0.33333333333333331</v>
      </c>
      <c r="M140" s="73">
        <v>6101237078</v>
      </c>
      <c r="N140" s="36" t="s">
        <v>692</v>
      </c>
      <c r="O140" s="36" t="s">
        <v>355</v>
      </c>
      <c r="P140" s="36"/>
      <c r="Q140" s="63" t="s">
        <v>961</v>
      </c>
      <c r="R140" s="36" t="s">
        <v>624</v>
      </c>
      <c r="S140" s="117">
        <v>450.17</v>
      </c>
      <c r="T140" s="18">
        <v>400</v>
      </c>
      <c r="U140" s="70">
        <f>plachta3434235[[#This Row],[SALES '[€']]]-plachta3434235[[#This Row],[PURCHASE '[€']]]</f>
        <v>50.170000000000016</v>
      </c>
      <c r="V140" s="71">
        <f>plachta3434235[[#This Row],[MARGIN '[€']]]/plachta3434235[[#This Row],[SALES '[€']]]</f>
        <v>0.11144678676944268</v>
      </c>
      <c r="W140" s="36">
        <v>9215171698</v>
      </c>
      <c r="X140" s="36" t="s">
        <v>962</v>
      </c>
      <c r="Y140" s="36">
        <v>265</v>
      </c>
      <c r="Z140" s="36"/>
      <c r="AA140" s="36" t="s">
        <v>51</v>
      </c>
      <c r="AB140" s="72"/>
      <c r="AC140" s="72"/>
      <c r="AD140" s="69"/>
      <c r="AE140" s="69"/>
      <c r="AF140" s="69"/>
      <c r="AG140" s="69"/>
      <c r="AH140" s="69"/>
      <c r="AI140" s="69"/>
      <c r="AJ140" s="69"/>
      <c r="AK140" s="69"/>
      <c r="AL140" s="69" t="str">
        <f>IF(plachta3434235[[#This Row],[DELIVERY TIME]]="STORNO","CANCELLED","OK")</f>
        <v>OK</v>
      </c>
      <c r="AM140" s="69"/>
      <c r="AN140" s="69" t="str">
        <f>IF(RIGHT(plachta3434235[[#This Row],[CARRIER]],3)="-MF",921,"")</f>
        <v/>
      </c>
      <c r="AO140" s="69"/>
    </row>
    <row r="141" spans="1:41">
      <c r="A141" s="39">
        <f>WEEKNUM(F141,21)</f>
        <v>7</v>
      </c>
      <c r="B141" s="36" t="s">
        <v>617</v>
      </c>
      <c r="C141" s="107" t="s">
        <v>618</v>
      </c>
      <c r="D141" s="37" t="s">
        <v>619</v>
      </c>
      <c r="E141" s="36" t="s">
        <v>620</v>
      </c>
      <c r="F141" s="38">
        <v>45336</v>
      </c>
      <c r="G141" s="58">
        <v>0.41666666666666669</v>
      </c>
      <c r="H141" s="107" t="s">
        <v>42</v>
      </c>
      <c r="I141" s="37" t="s">
        <v>621</v>
      </c>
      <c r="J141" s="36" t="s">
        <v>622</v>
      </c>
      <c r="K141" s="38">
        <v>45336</v>
      </c>
      <c r="L141" s="58">
        <v>0.33333333333333331</v>
      </c>
      <c r="M141" s="73">
        <v>6101237079</v>
      </c>
      <c r="N141" s="36" t="s">
        <v>692</v>
      </c>
      <c r="O141" s="36" t="s">
        <v>355</v>
      </c>
      <c r="P141" s="36"/>
      <c r="Q141" s="63" t="s">
        <v>693</v>
      </c>
      <c r="R141" s="36" t="s">
        <v>624</v>
      </c>
      <c r="S141" s="117">
        <v>450.17</v>
      </c>
      <c r="T141" s="18">
        <v>400</v>
      </c>
      <c r="U141" s="70">
        <f>plachta3434235[[#This Row],[SALES '[€']]]-plachta3434235[[#This Row],[PURCHASE '[€']]]</f>
        <v>50.170000000000016</v>
      </c>
      <c r="V141" s="71">
        <f>plachta3434235[[#This Row],[MARGIN '[€']]]/plachta3434235[[#This Row],[SALES '[€']]]</f>
        <v>0.11144678676944268</v>
      </c>
      <c r="W141" s="36">
        <v>9215171699</v>
      </c>
      <c r="X141" s="36" t="s">
        <v>963</v>
      </c>
      <c r="Y141" s="36">
        <v>265</v>
      </c>
      <c r="Z141" s="36"/>
      <c r="AA141" s="36" t="s">
        <v>51</v>
      </c>
      <c r="AB141" s="72"/>
      <c r="AC141" s="72"/>
      <c r="AD141" s="69"/>
      <c r="AE141" s="69"/>
      <c r="AF141" s="69"/>
      <c r="AG141" s="69"/>
      <c r="AH141" s="69"/>
      <c r="AI141" s="69"/>
      <c r="AJ141" s="69"/>
      <c r="AK141" s="69"/>
      <c r="AL141" s="69" t="str">
        <f>IF(plachta3434235[[#This Row],[DELIVERY TIME]]="STORNO","CANCELLED","OK")</f>
        <v>OK</v>
      </c>
      <c r="AM141" s="69"/>
      <c r="AN141" s="69" t="str">
        <f>IF(RIGHT(plachta3434235[[#This Row],[CARRIER]],3)="-MF",921,"")</f>
        <v/>
      </c>
      <c r="AO141" s="69"/>
    </row>
    <row r="142" spans="1:41">
      <c r="A142" s="39">
        <f>WEEKNUM(F142,21)</f>
        <v>7</v>
      </c>
      <c r="B142" s="36" t="s">
        <v>964</v>
      </c>
      <c r="C142" s="107" t="s">
        <v>197</v>
      </c>
      <c r="D142" s="37" t="s">
        <v>965</v>
      </c>
      <c r="E142" s="36" t="s">
        <v>966</v>
      </c>
      <c r="F142" s="38">
        <v>45337</v>
      </c>
      <c r="G142" s="58">
        <v>0.33333333333333331</v>
      </c>
      <c r="H142" s="107"/>
      <c r="I142" s="37"/>
      <c r="J142" s="36" t="s">
        <v>622</v>
      </c>
      <c r="K142" s="38"/>
      <c r="L142" s="58"/>
      <c r="M142" s="205"/>
      <c r="N142" s="36" t="s">
        <v>692</v>
      </c>
      <c r="O142" s="36" t="s">
        <v>355</v>
      </c>
      <c r="P142" s="36"/>
      <c r="Q142" s="42"/>
      <c r="R142" s="36" t="s">
        <v>57</v>
      </c>
      <c r="S142" s="36">
        <v>1400</v>
      </c>
      <c r="T142" s="36">
        <v>1330</v>
      </c>
      <c r="U142" s="70">
        <f>plachta3434235[[#This Row],[SALES '[€']]]-plachta3434235[[#This Row],[PURCHASE '[€']]]</f>
        <v>70</v>
      </c>
      <c r="V142" s="71">
        <f>plachta3434235[[#This Row],[MARGIN '[€']]]/plachta3434235[[#This Row],[SALES '[€']]]</f>
        <v>0.05</v>
      </c>
      <c r="W142" s="36">
        <v>9215171726</v>
      </c>
      <c r="X142" s="36"/>
      <c r="Y142" s="36"/>
      <c r="Z142" s="36"/>
      <c r="AA142" s="36" t="s">
        <v>51</v>
      </c>
      <c r="AB142" s="72"/>
      <c r="AC142" s="72"/>
      <c r="AD142" s="69"/>
      <c r="AE142" s="69"/>
      <c r="AF142" s="69"/>
      <c r="AG142" s="69"/>
      <c r="AH142" s="69"/>
      <c r="AI142" s="69"/>
      <c r="AJ142" s="69"/>
      <c r="AK142" s="69"/>
      <c r="AL142" s="69" t="str">
        <f>IF(plachta3434235[[#This Row],[DELIVERY TIME]]="STORNO","CANCELLED","OK")</f>
        <v>OK</v>
      </c>
      <c r="AM142" s="69"/>
      <c r="AN142" s="69" t="str">
        <f>IF(RIGHT(plachta3434235[[#This Row],[CARRIER]],3)="-MF",921,"")</f>
        <v/>
      </c>
      <c r="AO142" s="69"/>
    </row>
    <row r="143" spans="1:41" ht="12.75">
      <c r="A143" s="21">
        <f>WEEKNUM(F143,21)</f>
        <v>7</v>
      </c>
      <c r="B143" s="36" t="s">
        <v>632</v>
      </c>
      <c r="C143" s="227" t="s">
        <v>42</v>
      </c>
      <c r="D143" s="228" t="s">
        <v>584</v>
      </c>
      <c r="E143" s="36" t="s">
        <v>585</v>
      </c>
      <c r="F143" s="229">
        <v>45337</v>
      </c>
      <c r="G143" s="230"/>
      <c r="H143" s="227" t="s">
        <v>633</v>
      </c>
      <c r="I143" s="228" t="s">
        <v>634</v>
      </c>
      <c r="J143" s="36" t="s">
        <v>635</v>
      </c>
      <c r="K143" s="229">
        <v>45342</v>
      </c>
      <c r="L143" s="230"/>
      <c r="M143" s="235" t="s">
        <v>967</v>
      </c>
      <c r="N143" s="209" t="s">
        <v>49</v>
      </c>
      <c r="O143" s="209" t="s">
        <v>347</v>
      </c>
      <c r="P143" s="209" t="s">
        <v>968</v>
      </c>
      <c r="Q143" s="42"/>
      <c r="R143" s="36" t="s">
        <v>639</v>
      </c>
      <c r="S143" s="219"/>
      <c r="T143" s="209">
        <v>1100</v>
      </c>
      <c r="U143" s="232">
        <f>plachta3434235[[#This Row],[SALES '[€']]]-plachta3434235[[#This Row],[PURCHASE '[€']]]</f>
        <v>-1100</v>
      </c>
      <c r="V143" s="233" t="e">
        <f>plachta3434235[[#This Row],[MARGIN '[€']]]/plachta3434235[[#This Row],[SALES '[€']]]</f>
        <v>#DIV/0!</v>
      </c>
      <c r="W143" s="209">
        <v>9215171905</v>
      </c>
      <c r="X143" s="209" t="s">
        <v>969</v>
      </c>
      <c r="Y143" s="209">
        <v>1760</v>
      </c>
      <c r="Z143" s="209"/>
      <c r="AA143" s="209" t="s">
        <v>51</v>
      </c>
      <c r="AB143" s="234"/>
      <c r="AC143" s="234"/>
      <c r="AD143" s="231"/>
      <c r="AE143" s="231"/>
      <c r="AF143" s="231"/>
      <c r="AG143" s="231"/>
      <c r="AH143" s="231"/>
      <c r="AI143" s="231"/>
      <c r="AJ143" s="231"/>
      <c r="AK143" s="231"/>
      <c r="AL143" s="231" t="str">
        <f>IF(plachta3434235[[#This Row],[DELIVERY TIME]]="STORNO","CANCELLED","OK")</f>
        <v>OK</v>
      </c>
      <c r="AM143" s="231"/>
      <c r="AN143" s="231" t="str">
        <f>IF(RIGHT(plachta3434235[[#This Row],[CARRIER]],3)="-MF",921,"")</f>
        <v/>
      </c>
      <c r="AO143" s="231"/>
    </row>
    <row r="144" spans="1:41" ht="12.75">
      <c r="A144" s="39">
        <f>WEEKNUM(F144,21)</f>
        <v>7</v>
      </c>
      <c r="B144" s="116" t="s">
        <v>583</v>
      </c>
      <c r="C144" s="107" t="s">
        <v>42</v>
      </c>
      <c r="D144" s="37" t="s">
        <v>584</v>
      </c>
      <c r="E144" s="36" t="s">
        <v>585</v>
      </c>
      <c r="F144" s="38">
        <v>45338</v>
      </c>
      <c r="G144" s="58">
        <v>0.25</v>
      </c>
      <c r="H144" s="107" t="s">
        <v>197</v>
      </c>
      <c r="I144" s="37" t="s">
        <v>586</v>
      </c>
      <c r="J144" s="36" t="s">
        <v>587</v>
      </c>
      <c r="K144" s="38">
        <v>45341</v>
      </c>
      <c r="L144" s="58">
        <v>0.25</v>
      </c>
      <c r="M144" s="236">
        <v>259798118</v>
      </c>
      <c r="N144" s="18" t="s">
        <v>49</v>
      </c>
      <c r="O144" s="36" t="s">
        <v>411</v>
      </c>
      <c r="P144" s="36"/>
      <c r="Q144" s="42"/>
      <c r="R144" s="43"/>
      <c r="S144" s="36"/>
      <c r="T144" s="36"/>
      <c r="U144" s="70">
        <f>plachta3434235[[#This Row],[SALES '[€']]]-plachta3434235[[#This Row],[PURCHASE '[€']]]</f>
        <v>0</v>
      </c>
      <c r="V144" s="71" t="e">
        <f>plachta3434235[[#This Row],[MARGIN '[€']]]/plachta3434235[[#This Row],[SALES '[€']]]</f>
        <v>#DIV/0!</v>
      </c>
      <c r="W144" s="36"/>
      <c r="X144" s="36"/>
      <c r="Y144" s="36"/>
      <c r="Z144" s="36"/>
      <c r="AA144" s="18" t="s">
        <v>51</v>
      </c>
      <c r="AB144" s="72"/>
      <c r="AC144" s="72"/>
      <c r="AD144" s="69"/>
      <c r="AE144" s="69"/>
      <c r="AF144" s="69"/>
      <c r="AG144" s="69"/>
      <c r="AH144" s="69"/>
      <c r="AI144" s="69"/>
      <c r="AJ144" s="69"/>
      <c r="AK144" s="69"/>
      <c r="AL144" s="69" t="str">
        <f>IF(plachta3434235[[#This Row],[DELIVERY TIME]]="STORNO","CANCELLED","OK")</f>
        <v>OK</v>
      </c>
      <c r="AM144" s="69"/>
      <c r="AN144" s="69" t="str">
        <f>IF(RIGHT(plachta3434235[[#This Row],[CARRIER]],3)="-MF",921,"")</f>
        <v/>
      </c>
      <c r="AO144" s="69"/>
    </row>
    <row r="145" spans="1:41" ht="12.75">
      <c r="A145" s="39">
        <f>WEEKNUM(F145,21)</f>
        <v>7</v>
      </c>
      <c r="B145" s="116" t="s">
        <v>583</v>
      </c>
      <c r="C145" s="107" t="s">
        <v>42</v>
      </c>
      <c r="D145" s="37" t="s">
        <v>584</v>
      </c>
      <c r="E145" s="36" t="s">
        <v>585</v>
      </c>
      <c r="F145" s="38">
        <v>45338</v>
      </c>
      <c r="G145" s="58">
        <v>0.5</v>
      </c>
      <c r="H145" s="107" t="s">
        <v>197</v>
      </c>
      <c r="I145" s="37" t="s">
        <v>586</v>
      </c>
      <c r="J145" s="36" t="s">
        <v>587</v>
      </c>
      <c r="K145" s="38">
        <v>45341</v>
      </c>
      <c r="L145" s="58">
        <v>0.5</v>
      </c>
      <c r="M145" s="89">
        <v>259798119</v>
      </c>
      <c r="N145" s="18" t="s">
        <v>49</v>
      </c>
      <c r="O145" s="36" t="s">
        <v>411</v>
      </c>
      <c r="P145" s="36"/>
      <c r="Q145" s="42"/>
      <c r="R145" s="43"/>
      <c r="S145" s="36"/>
      <c r="T145" s="36"/>
      <c r="U145" s="70">
        <f>plachta3434235[[#This Row],[SALES '[€']]]-plachta3434235[[#This Row],[PURCHASE '[€']]]</f>
        <v>0</v>
      </c>
      <c r="V145" s="71" t="e">
        <f>plachta3434235[[#This Row],[MARGIN '[€']]]/plachta3434235[[#This Row],[SALES '[€']]]</f>
        <v>#DIV/0!</v>
      </c>
      <c r="W145" s="36"/>
      <c r="X145" s="36"/>
      <c r="Y145" s="36"/>
      <c r="Z145" s="36"/>
      <c r="AA145" s="18" t="s">
        <v>51</v>
      </c>
      <c r="AB145" s="72"/>
      <c r="AC145" s="72"/>
      <c r="AD145" s="69"/>
      <c r="AE145" s="69"/>
      <c r="AF145" s="69"/>
      <c r="AG145" s="69"/>
      <c r="AH145" s="69"/>
      <c r="AI145" s="69"/>
      <c r="AJ145" s="69"/>
      <c r="AK145" s="69"/>
      <c r="AL145" s="69" t="str">
        <f>IF(plachta3434235[[#This Row],[DELIVERY TIME]]="STORNO","CANCELLED","OK")</f>
        <v>OK</v>
      </c>
      <c r="AM145" s="69"/>
      <c r="AN145" s="69" t="str">
        <f>IF(RIGHT(plachta3434235[[#This Row],[CARRIER]],3)="-MF",921,"")</f>
        <v/>
      </c>
      <c r="AO145" s="69"/>
    </row>
    <row r="146" spans="1:41" ht="12.75">
      <c r="A146" s="39">
        <f>WEEKNUM(F146,21)</f>
        <v>7</v>
      </c>
      <c r="B146" s="116" t="s">
        <v>583</v>
      </c>
      <c r="C146" s="107" t="s">
        <v>42</v>
      </c>
      <c r="D146" s="37" t="s">
        <v>584</v>
      </c>
      <c r="E146" s="36" t="s">
        <v>585</v>
      </c>
      <c r="F146" s="38">
        <v>45338</v>
      </c>
      <c r="G146" s="58">
        <v>0.75</v>
      </c>
      <c r="H146" s="107" t="s">
        <v>197</v>
      </c>
      <c r="I146" s="37" t="s">
        <v>586</v>
      </c>
      <c r="J146" s="36" t="s">
        <v>587</v>
      </c>
      <c r="K146" s="38">
        <v>45341</v>
      </c>
      <c r="L146" s="58">
        <v>0.75</v>
      </c>
      <c r="M146" s="89">
        <v>259798120</v>
      </c>
      <c r="N146" s="18" t="s">
        <v>49</v>
      </c>
      <c r="O146" s="36" t="s">
        <v>411</v>
      </c>
      <c r="P146" s="36"/>
      <c r="Q146" s="42" t="s">
        <v>970</v>
      </c>
      <c r="R146" s="237" t="s">
        <v>312</v>
      </c>
      <c r="S146" s="36"/>
      <c r="T146" s="36"/>
      <c r="U146" s="70">
        <f>plachta3434235[[#This Row],[SALES '[€']]]-plachta3434235[[#This Row],[PURCHASE '[€']]]</f>
        <v>0</v>
      </c>
      <c r="V146" s="71" t="e">
        <f>plachta3434235[[#This Row],[MARGIN '[€']]]/plachta3434235[[#This Row],[SALES '[€']]]</f>
        <v>#DIV/0!</v>
      </c>
      <c r="W146" s="36"/>
      <c r="X146" s="36"/>
      <c r="Y146" s="36"/>
      <c r="Z146" s="36"/>
      <c r="AA146" s="18" t="s">
        <v>51</v>
      </c>
      <c r="AB146" s="72"/>
      <c r="AC146" s="72"/>
      <c r="AD146" s="69"/>
      <c r="AE146" s="69"/>
      <c r="AF146" s="69"/>
      <c r="AG146" s="69"/>
      <c r="AH146" s="69"/>
      <c r="AI146" s="69"/>
      <c r="AJ146" s="69"/>
      <c r="AK146" s="69"/>
      <c r="AL146" s="69" t="str">
        <f>IF(plachta3434235[[#This Row],[DELIVERY TIME]]="STORNO","CANCELLED","OK")</f>
        <v>OK</v>
      </c>
      <c r="AM146" s="69"/>
      <c r="AN146" s="69">
        <f>IF(RIGHT(plachta3434235[[#This Row],[CARRIER]],3)="-MF",921,"")</f>
        <v>921</v>
      </c>
      <c r="AO146" s="69"/>
    </row>
    <row r="147" spans="1:41" ht="12.75">
      <c r="A147" s="39">
        <f>WEEKNUM(F147,21)</f>
        <v>8</v>
      </c>
      <c r="B147" s="116" t="s">
        <v>583</v>
      </c>
      <c r="C147" s="107" t="s">
        <v>42</v>
      </c>
      <c r="D147" s="37" t="s">
        <v>584</v>
      </c>
      <c r="E147" s="36" t="s">
        <v>585</v>
      </c>
      <c r="F147" s="38">
        <v>45341</v>
      </c>
      <c r="G147" s="58">
        <v>0.25</v>
      </c>
      <c r="H147" s="107" t="s">
        <v>197</v>
      </c>
      <c r="I147" s="37" t="s">
        <v>586</v>
      </c>
      <c r="J147" s="36" t="s">
        <v>587</v>
      </c>
      <c r="K147" s="38">
        <v>45342</v>
      </c>
      <c r="L147" s="86">
        <v>0.25</v>
      </c>
      <c r="M147" s="89">
        <v>259798121</v>
      </c>
      <c r="N147" s="18" t="s">
        <v>49</v>
      </c>
      <c r="O147" s="36" t="s">
        <v>411</v>
      </c>
      <c r="P147" s="36"/>
      <c r="Q147" s="42"/>
      <c r="R147" s="43"/>
      <c r="S147" s="36"/>
      <c r="T147" s="36"/>
      <c r="U147" s="70">
        <f>plachta3434235[[#This Row],[SALES '[€']]]-plachta3434235[[#This Row],[PURCHASE '[€']]]</f>
        <v>0</v>
      </c>
      <c r="V147" s="71" t="e">
        <f>plachta3434235[[#This Row],[MARGIN '[€']]]/plachta3434235[[#This Row],[SALES '[€']]]</f>
        <v>#DIV/0!</v>
      </c>
      <c r="W147" s="36"/>
      <c r="X147" s="36"/>
      <c r="Y147" s="36"/>
      <c r="Z147" s="36"/>
      <c r="AA147" s="18" t="s">
        <v>51</v>
      </c>
      <c r="AB147" s="72"/>
      <c r="AC147" s="72"/>
      <c r="AD147" s="69"/>
      <c r="AE147" s="69"/>
      <c r="AF147" s="69"/>
      <c r="AG147" s="69"/>
      <c r="AH147" s="69"/>
      <c r="AI147" s="69"/>
      <c r="AJ147" s="69"/>
      <c r="AK147" s="69"/>
      <c r="AL147" s="69" t="str">
        <f>IF(plachta3434235[[#This Row],[DELIVERY TIME]]="STORNO","CANCELLED","OK")</f>
        <v>OK</v>
      </c>
      <c r="AM147" s="69"/>
      <c r="AN147" s="69" t="str">
        <f>IF(RIGHT(plachta3434235[[#This Row],[CARRIER]],3)="-MF",921,"")</f>
        <v/>
      </c>
      <c r="AO147" s="69"/>
    </row>
    <row r="148" spans="1:41" ht="12.75">
      <c r="A148" s="39">
        <f>WEEKNUM(F148,21)</f>
        <v>8</v>
      </c>
      <c r="B148" s="116" t="s">
        <v>583</v>
      </c>
      <c r="C148" s="107" t="s">
        <v>42</v>
      </c>
      <c r="D148" s="37" t="s">
        <v>584</v>
      </c>
      <c r="E148" s="36" t="s">
        <v>585</v>
      </c>
      <c r="F148" s="38">
        <v>45341</v>
      </c>
      <c r="G148" s="58">
        <v>0.5</v>
      </c>
      <c r="H148" s="107" t="s">
        <v>197</v>
      </c>
      <c r="I148" s="37" t="s">
        <v>586</v>
      </c>
      <c r="J148" s="36" t="s">
        <v>587</v>
      </c>
      <c r="K148" s="38">
        <v>45342</v>
      </c>
      <c r="L148" s="86">
        <v>0.5</v>
      </c>
      <c r="M148" s="236">
        <v>259798122</v>
      </c>
      <c r="N148" s="18" t="s">
        <v>49</v>
      </c>
      <c r="O148" s="36" t="s">
        <v>411</v>
      </c>
      <c r="P148" s="36"/>
      <c r="Q148" s="42" t="s">
        <v>205</v>
      </c>
      <c r="R148" s="237" t="s">
        <v>206</v>
      </c>
      <c r="S148" s="36"/>
      <c r="T148" s="36"/>
      <c r="U148" s="70">
        <f>plachta3434235[[#This Row],[SALES '[€']]]-plachta3434235[[#This Row],[PURCHASE '[€']]]</f>
        <v>0</v>
      </c>
      <c r="V148" s="71" t="e">
        <f>plachta3434235[[#This Row],[MARGIN '[€']]]/plachta3434235[[#This Row],[SALES '[€']]]</f>
        <v>#DIV/0!</v>
      </c>
      <c r="W148" s="36"/>
      <c r="X148" s="36"/>
      <c r="Y148" s="36"/>
      <c r="Z148" s="36"/>
      <c r="AA148" s="18" t="s">
        <v>51</v>
      </c>
      <c r="AB148" s="72"/>
      <c r="AC148" s="72"/>
      <c r="AD148" s="69"/>
      <c r="AE148" s="69"/>
      <c r="AF148" s="69"/>
      <c r="AG148" s="69"/>
      <c r="AH148" s="69"/>
      <c r="AI148" s="69"/>
      <c r="AJ148" s="69"/>
      <c r="AK148" s="69"/>
      <c r="AL148" s="69" t="str">
        <f>IF(plachta3434235[[#This Row],[DELIVERY TIME]]="STORNO","CANCELLED","OK")</f>
        <v>OK</v>
      </c>
      <c r="AM148" s="69"/>
      <c r="AN148" s="69">
        <f>IF(RIGHT(plachta3434235[[#This Row],[CARRIER]],3)="-MF",921,"")</f>
        <v>921</v>
      </c>
      <c r="AO148" s="69"/>
    </row>
    <row r="149" spans="1:41" ht="12.75">
      <c r="A149" s="39">
        <f>WEEKNUM(F149,21)</f>
        <v>8</v>
      </c>
      <c r="B149" s="116" t="s">
        <v>583</v>
      </c>
      <c r="C149" s="107" t="s">
        <v>42</v>
      </c>
      <c r="D149" s="37" t="s">
        <v>584</v>
      </c>
      <c r="E149" s="36" t="s">
        <v>585</v>
      </c>
      <c r="F149" s="38">
        <v>45341</v>
      </c>
      <c r="G149" s="58">
        <v>0.75</v>
      </c>
      <c r="H149" s="107" t="s">
        <v>197</v>
      </c>
      <c r="I149" s="37" t="s">
        <v>586</v>
      </c>
      <c r="J149" s="36" t="s">
        <v>587</v>
      </c>
      <c r="K149" s="38">
        <v>45342</v>
      </c>
      <c r="L149" s="58">
        <v>0.75</v>
      </c>
      <c r="M149" s="236">
        <v>259798123</v>
      </c>
      <c r="N149" s="18" t="s">
        <v>49</v>
      </c>
      <c r="O149" s="36" t="s">
        <v>411</v>
      </c>
      <c r="P149" s="36"/>
      <c r="Q149" s="42"/>
      <c r="R149" s="43"/>
      <c r="S149" s="36"/>
      <c r="T149" s="36"/>
      <c r="U149" s="70">
        <f>plachta3434235[[#This Row],[SALES '[€']]]-plachta3434235[[#This Row],[PURCHASE '[€']]]</f>
        <v>0</v>
      </c>
      <c r="V149" s="71" t="e">
        <f>plachta3434235[[#This Row],[MARGIN '[€']]]/plachta3434235[[#This Row],[SALES '[€']]]</f>
        <v>#DIV/0!</v>
      </c>
      <c r="W149" s="36"/>
      <c r="X149" s="36"/>
      <c r="Y149" s="36"/>
      <c r="Z149" s="36"/>
      <c r="AA149" s="18" t="s">
        <v>51</v>
      </c>
      <c r="AB149" s="72"/>
      <c r="AC149" s="72"/>
      <c r="AD149" s="69"/>
      <c r="AE149" s="69"/>
      <c r="AF149" s="69"/>
      <c r="AG149" s="69"/>
      <c r="AH149" s="69"/>
      <c r="AI149" s="69"/>
      <c r="AJ149" s="69"/>
      <c r="AK149" s="69"/>
      <c r="AL149" s="69" t="str">
        <f>IF(plachta3434235[[#This Row],[DELIVERY TIME]]="STORNO","CANCELLED","OK")</f>
        <v>OK</v>
      </c>
      <c r="AM149" s="69"/>
      <c r="AN149" s="69" t="str">
        <f>IF(RIGHT(plachta3434235[[#This Row],[CARRIER]],3)="-MF",921,"")</f>
        <v/>
      </c>
      <c r="AO149" s="69"/>
    </row>
    <row r="150" spans="1:41" ht="12.75">
      <c r="A150" s="39">
        <f>WEEKNUM(F150,21)</f>
        <v>8</v>
      </c>
      <c r="B150" s="116" t="s">
        <v>583</v>
      </c>
      <c r="C150" s="107" t="s">
        <v>42</v>
      </c>
      <c r="D150" s="37" t="s">
        <v>584</v>
      </c>
      <c r="E150" s="36" t="s">
        <v>585</v>
      </c>
      <c r="F150" s="38">
        <v>45342</v>
      </c>
      <c r="G150" s="58">
        <v>0.25</v>
      </c>
      <c r="H150" s="107" t="s">
        <v>197</v>
      </c>
      <c r="I150" s="37" t="s">
        <v>586</v>
      </c>
      <c r="J150" s="36" t="s">
        <v>587</v>
      </c>
      <c r="K150" s="38">
        <v>45343</v>
      </c>
      <c r="L150" s="58">
        <v>0.25</v>
      </c>
      <c r="M150" s="89">
        <v>259798124</v>
      </c>
      <c r="N150" s="18" t="s">
        <v>49</v>
      </c>
      <c r="O150" s="36" t="s">
        <v>411</v>
      </c>
      <c r="P150" s="36"/>
      <c r="Q150" s="42"/>
      <c r="R150" s="43"/>
      <c r="S150" s="36"/>
      <c r="T150" s="36"/>
      <c r="U150" s="70">
        <f>plachta3434235[[#This Row],[SALES '[€']]]-plachta3434235[[#This Row],[PURCHASE '[€']]]</f>
        <v>0</v>
      </c>
      <c r="V150" s="71" t="e">
        <f>plachta3434235[[#This Row],[MARGIN '[€']]]/plachta3434235[[#This Row],[SALES '[€']]]</f>
        <v>#DIV/0!</v>
      </c>
      <c r="W150" s="36"/>
      <c r="X150" s="36"/>
      <c r="Y150" s="36"/>
      <c r="Z150" s="36"/>
      <c r="AA150" s="18" t="s">
        <v>51</v>
      </c>
      <c r="AB150" s="72"/>
      <c r="AC150" s="72"/>
      <c r="AD150" s="69"/>
      <c r="AE150" s="69"/>
      <c r="AF150" s="69"/>
      <c r="AG150" s="69"/>
      <c r="AH150" s="69"/>
      <c r="AI150" s="69"/>
      <c r="AJ150" s="69"/>
      <c r="AK150" s="69"/>
      <c r="AL150" s="69" t="str">
        <f>IF(plachta3434235[[#This Row],[DELIVERY TIME]]="STORNO","CANCELLED","OK")</f>
        <v>OK</v>
      </c>
      <c r="AM150" s="69"/>
      <c r="AN150" s="69" t="str">
        <f>IF(RIGHT(plachta3434235[[#This Row],[CARRIER]],3)="-MF",921,"")</f>
        <v/>
      </c>
      <c r="AO150" s="69"/>
    </row>
    <row r="151" spans="1:41" ht="12.75">
      <c r="A151" s="39">
        <f>WEEKNUM(F151,21)</f>
        <v>8</v>
      </c>
      <c r="B151" s="116" t="s">
        <v>583</v>
      </c>
      <c r="C151" s="107" t="s">
        <v>42</v>
      </c>
      <c r="D151" s="37" t="s">
        <v>584</v>
      </c>
      <c r="E151" s="36" t="s">
        <v>585</v>
      </c>
      <c r="F151" s="38">
        <v>45342</v>
      </c>
      <c r="G151" s="58">
        <v>0.5</v>
      </c>
      <c r="H151" s="107" t="s">
        <v>197</v>
      </c>
      <c r="I151" s="37" t="s">
        <v>586</v>
      </c>
      <c r="J151" s="36" t="s">
        <v>587</v>
      </c>
      <c r="K151" s="38">
        <v>45343</v>
      </c>
      <c r="L151" s="58">
        <v>0.5</v>
      </c>
      <c r="M151" s="89">
        <v>259798125</v>
      </c>
      <c r="N151" s="18" t="s">
        <v>49</v>
      </c>
      <c r="O151" s="36" t="s">
        <v>411</v>
      </c>
      <c r="P151" s="36"/>
      <c r="Q151" s="42"/>
      <c r="R151" s="43"/>
      <c r="S151" s="36"/>
      <c r="T151" s="36"/>
      <c r="U151" s="70">
        <f>plachta3434235[[#This Row],[SALES '[€']]]-plachta3434235[[#This Row],[PURCHASE '[€']]]</f>
        <v>0</v>
      </c>
      <c r="V151" s="71" t="e">
        <f>plachta3434235[[#This Row],[MARGIN '[€']]]/plachta3434235[[#This Row],[SALES '[€']]]</f>
        <v>#DIV/0!</v>
      </c>
      <c r="W151" s="36"/>
      <c r="X151" s="36"/>
      <c r="Y151" s="36"/>
      <c r="Z151" s="36"/>
      <c r="AA151" s="18" t="s">
        <v>51</v>
      </c>
      <c r="AB151" s="72"/>
      <c r="AC151" s="72"/>
      <c r="AD151" s="69"/>
      <c r="AE151" s="69"/>
      <c r="AF151" s="69"/>
      <c r="AG151" s="69"/>
      <c r="AH151" s="69"/>
      <c r="AI151" s="69"/>
      <c r="AJ151" s="69"/>
      <c r="AK151" s="69"/>
      <c r="AL151" s="69" t="str">
        <f>IF(plachta3434235[[#This Row],[DELIVERY TIME]]="STORNO","CANCELLED","OK")</f>
        <v>OK</v>
      </c>
      <c r="AM151" s="69"/>
      <c r="AN151" s="69" t="str">
        <f>IF(RIGHT(plachta3434235[[#This Row],[CARRIER]],3)="-MF",921,"")</f>
        <v/>
      </c>
      <c r="AO151" s="69"/>
    </row>
    <row r="152" spans="1:41" ht="12.75">
      <c r="A152" s="39">
        <f>WEEKNUM(F152,21)</f>
        <v>8</v>
      </c>
      <c r="B152" s="116" t="s">
        <v>583</v>
      </c>
      <c r="C152" s="107" t="s">
        <v>42</v>
      </c>
      <c r="D152" s="37" t="s">
        <v>584</v>
      </c>
      <c r="E152" s="36" t="s">
        <v>585</v>
      </c>
      <c r="F152" s="38">
        <v>45342</v>
      </c>
      <c r="G152" s="58">
        <v>0.75</v>
      </c>
      <c r="H152" s="107" t="s">
        <v>197</v>
      </c>
      <c r="I152" s="37" t="s">
        <v>586</v>
      </c>
      <c r="J152" s="36" t="s">
        <v>587</v>
      </c>
      <c r="K152" s="38">
        <v>45343</v>
      </c>
      <c r="L152" s="58">
        <v>0.75</v>
      </c>
      <c r="M152" s="89">
        <v>259798126</v>
      </c>
      <c r="N152" s="18" t="s">
        <v>49</v>
      </c>
      <c r="O152" s="36" t="s">
        <v>411</v>
      </c>
      <c r="P152" s="36"/>
      <c r="Q152" s="42" t="s">
        <v>971</v>
      </c>
      <c r="R152" s="237" t="s">
        <v>972</v>
      </c>
      <c r="S152" s="63"/>
      <c r="T152" s="36"/>
      <c r="U152" s="70">
        <f>plachta3434235[[#This Row],[SALES '[€']]]-plachta3434235[[#This Row],[PURCHASE '[€']]]</f>
        <v>0</v>
      </c>
      <c r="V152" s="71" t="e">
        <f>plachta3434235[[#This Row],[MARGIN '[€']]]/plachta3434235[[#This Row],[SALES '[€']]]</f>
        <v>#DIV/0!</v>
      </c>
      <c r="W152" s="36"/>
      <c r="X152" s="36"/>
      <c r="Y152" s="36"/>
      <c r="Z152" s="36"/>
      <c r="AA152" s="18" t="s">
        <v>51</v>
      </c>
      <c r="AB152" s="72"/>
      <c r="AC152" s="72"/>
      <c r="AD152" s="69"/>
      <c r="AE152" s="69"/>
      <c r="AF152" s="69"/>
      <c r="AG152" s="69"/>
      <c r="AH152" s="69"/>
      <c r="AI152" s="69"/>
      <c r="AJ152" s="69"/>
      <c r="AK152" s="69"/>
      <c r="AL152" s="69" t="str">
        <f>IF(plachta3434235[[#This Row],[DELIVERY TIME]]="STORNO","CANCELLED","OK")</f>
        <v>OK</v>
      </c>
      <c r="AM152" s="69"/>
      <c r="AN152" s="69">
        <f>IF(RIGHT(plachta3434235[[#This Row],[CARRIER]],3)="-MF",921,"")</f>
        <v>921</v>
      </c>
      <c r="AO152" s="69"/>
    </row>
    <row r="153" spans="1:41" ht="12.75">
      <c r="A153" s="39">
        <f>WEEKNUM(F153,21)</f>
        <v>8</v>
      </c>
      <c r="B153" s="116" t="s">
        <v>583</v>
      </c>
      <c r="C153" s="107" t="s">
        <v>42</v>
      </c>
      <c r="D153" s="37" t="s">
        <v>584</v>
      </c>
      <c r="E153" s="36" t="s">
        <v>585</v>
      </c>
      <c r="F153" s="38">
        <v>45343</v>
      </c>
      <c r="G153" s="58">
        <v>0.25</v>
      </c>
      <c r="H153" s="107" t="s">
        <v>197</v>
      </c>
      <c r="I153" s="37" t="s">
        <v>586</v>
      </c>
      <c r="J153" s="36" t="s">
        <v>587</v>
      </c>
      <c r="K153" s="38">
        <v>45344</v>
      </c>
      <c r="L153" s="58">
        <v>0.25</v>
      </c>
      <c r="M153" s="236">
        <v>259798127</v>
      </c>
      <c r="N153" s="18" t="s">
        <v>49</v>
      </c>
      <c r="O153" s="36" t="s">
        <v>411</v>
      </c>
      <c r="P153" s="36"/>
      <c r="Q153" s="42"/>
      <c r="R153" s="43"/>
      <c r="S153" s="36"/>
      <c r="T153" s="36"/>
      <c r="U153" s="70">
        <f>plachta3434235[[#This Row],[SALES '[€']]]-plachta3434235[[#This Row],[PURCHASE '[€']]]</f>
        <v>0</v>
      </c>
      <c r="V153" s="71" t="e">
        <f>plachta3434235[[#This Row],[MARGIN '[€']]]/plachta3434235[[#This Row],[SALES '[€']]]</f>
        <v>#DIV/0!</v>
      </c>
      <c r="W153" s="36"/>
      <c r="X153" s="36"/>
      <c r="Y153" s="36"/>
      <c r="Z153" s="36"/>
      <c r="AA153" s="18" t="s">
        <v>51</v>
      </c>
      <c r="AB153" s="72"/>
      <c r="AC153" s="72"/>
      <c r="AD153" s="69"/>
      <c r="AE153" s="69"/>
      <c r="AF153" s="69"/>
      <c r="AG153" s="69"/>
      <c r="AH153" s="69"/>
      <c r="AI153" s="69"/>
      <c r="AJ153" s="69"/>
      <c r="AK153" s="69"/>
      <c r="AL153" s="69" t="str">
        <f>IF(plachta3434235[[#This Row],[DELIVERY TIME]]="STORNO","CANCELLED","OK")</f>
        <v>OK</v>
      </c>
      <c r="AM153" s="69"/>
      <c r="AN153" s="69" t="str">
        <f>IF(RIGHT(plachta3434235[[#This Row],[CARRIER]],3)="-MF",921,"")</f>
        <v/>
      </c>
      <c r="AO153" s="69"/>
    </row>
    <row r="154" spans="1:41" ht="12.75">
      <c r="A154" s="39">
        <f>WEEKNUM(F154,21)</f>
        <v>8</v>
      </c>
      <c r="B154" s="116" t="s">
        <v>583</v>
      </c>
      <c r="C154" s="107" t="s">
        <v>42</v>
      </c>
      <c r="D154" s="37" t="s">
        <v>584</v>
      </c>
      <c r="E154" s="36" t="s">
        <v>585</v>
      </c>
      <c r="F154" s="38">
        <v>45343</v>
      </c>
      <c r="G154" s="58">
        <v>0.5</v>
      </c>
      <c r="H154" s="107" t="s">
        <v>197</v>
      </c>
      <c r="I154" s="37" t="s">
        <v>586</v>
      </c>
      <c r="J154" s="36" t="s">
        <v>587</v>
      </c>
      <c r="K154" s="38">
        <v>45344</v>
      </c>
      <c r="L154" s="58">
        <v>0.5</v>
      </c>
      <c r="M154" s="236">
        <v>259798128</v>
      </c>
      <c r="N154" s="18" t="s">
        <v>49</v>
      </c>
      <c r="O154" s="36" t="s">
        <v>411</v>
      </c>
      <c r="P154" s="36"/>
      <c r="Q154" s="42"/>
      <c r="R154" s="43"/>
      <c r="S154" s="36"/>
      <c r="T154" s="36"/>
      <c r="U154" s="70">
        <f>plachta3434235[[#This Row],[SALES '[€']]]-plachta3434235[[#This Row],[PURCHASE '[€']]]</f>
        <v>0</v>
      </c>
      <c r="V154" s="71" t="e">
        <f>plachta3434235[[#This Row],[MARGIN '[€']]]/plachta3434235[[#This Row],[SALES '[€']]]</f>
        <v>#DIV/0!</v>
      </c>
      <c r="W154" s="36"/>
      <c r="X154" s="36"/>
      <c r="Y154" s="36"/>
      <c r="Z154" s="36"/>
      <c r="AA154" s="18" t="s">
        <v>51</v>
      </c>
      <c r="AB154" s="72"/>
      <c r="AC154" s="72"/>
      <c r="AD154" s="69"/>
      <c r="AE154" s="69"/>
      <c r="AF154" s="69"/>
      <c r="AG154" s="69"/>
      <c r="AH154" s="69"/>
      <c r="AI154" s="69"/>
      <c r="AJ154" s="69"/>
      <c r="AK154" s="69"/>
      <c r="AL154" s="69" t="str">
        <f>IF(plachta3434235[[#This Row],[DELIVERY TIME]]="STORNO","CANCELLED","OK")</f>
        <v>OK</v>
      </c>
      <c r="AM154" s="69"/>
      <c r="AN154" s="69" t="str">
        <f>IF(RIGHT(plachta3434235[[#This Row],[CARRIER]],3)="-MF",921,"")</f>
        <v/>
      </c>
      <c r="AO154" s="69"/>
    </row>
    <row r="155" spans="1:41" ht="12.75">
      <c r="A155" s="39">
        <f>WEEKNUM(F155,21)</f>
        <v>8</v>
      </c>
      <c r="B155" s="116" t="s">
        <v>583</v>
      </c>
      <c r="C155" s="107" t="s">
        <v>42</v>
      </c>
      <c r="D155" s="37" t="s">
        <v>584</v>
      </c>
      <c r="E155" s="36" t="s">
        <v>585</v>
      </c>
      <c r="F155" s="38">
        <v>45343</v>
      </c>
      <c r="G155" s="58">
        <v>0.75</v>
      </c>
      <c r="H155" s="107" t="s">
        <v>197</v>
      </c>
      <c r="I155" s="37" t="s">
        <v>586</v>
      </c>
      <c r="J155" s="36" t="s">
        <v>587</v>
      </c>
      <c r="K155" s="38">
        <v>45344</v>
      </c>
      <c r="L155" s="58">
        <v>0.75</v>
      </c>
      <c r="M155" s="89">
        <v>259798129</v>
      </c>
      <c r="N155" s="18" t="s">
        <v>49</v>
      </c>
      <c r="O155" s="36" t="s">
        <v>411</v>
      </c>
      <c r="P155" s="36"/>
      <c r="Q155" s="42" t="s">
        <v>248</v>
      </c>
      <c r="R155" s="237" t="s">
        <v>90</v>
      </c>
      <c r="S155" s="36"/>
      <c r="T155" s="36"/>
      <c r="U155" s="70">
        <f>plachta3434235[[#This Row],[SALES '[€']]]-plachta3434235[[#This Row],[PURCHASE '[€']]]</f>
        <v>0</v>
      </c>
      <c r="V155" s="71" t="e">
        <f>plachta3434235[[#This Row],[MARGIN '[€']]]/plachta3434235[[#This Row],[SALES '[€']]]</f>
        <v>#DIV/0!</v>
      </c>
      <c r="W155" s="36"/>
      <c r="X155" s="36"/>
      <c r="Y155" s="36"/>
      <c r="Z155" s="36"/>
      <c r="AA155" s="18" t="s">
        <v>51</v>
      </c>
      <c r="AB155" s="72"/>
      <c r="AC155" s="72"/>
      <c r="AD155" s="69"/>
      <c r="AE155" s="69"/>
      <c r="AF155" s="69"/>
      <c r="AG155" s="69"/>
      <c r="AH155" s="69"/>
      <c r="AI155" s="69"/>
      <c r="AJ155" s="69"/>
      <c r="AK155" s="69"/>
      <c r="AL155" s="69" t="str">
        <f>IF(plachta3434235[[#This Row],[DELIVERY TIME]]="STORNO","CANCELLED","OK")</f>
        <v>OK</v>
      </c>
      <c r="AM155" s="69"/>
      <c r="AN155" s="69">
        <f>IF(RIGHT(plachta3434235[[#This Row],[CARRIER]],3)="-MF",921,"")</f>
        <v>921</v>
      </c>
      <c r="AO155" s="69"/>
    </row>
    <row r="156" spans="1:41" ht="12.75">
      <c r="A156" s="39">
        <f>WEEKNUM(F156,21)</f>
        <v>8</v>
      </c>
      <c r="B156" s="116" t="s">
        <v>583</v>
      </c>
      <c r="C156" s="107" t="s">
        <v>42</v>
      </c>
      <c r="D156" s="37" t="s">
        <v>584</v>
      </c>
      <c r="E156" s="36" t="s">
        <v>585</v>
      </c>
      <c r="F156" s="38">
        <v>45344</v>
      </c>
      <c r="G156" s="58">
        <v>0.25</v>
      </c>
      <c r="H156" s="107" t="s">
        <v>197</v>
      </c>
      <c r="I156" s="37" t="s">
        <v>586</v>
      </c>
      <c r="J156" s="36" t="s">
        <v>587</v>
      </c>
      <c r="K156" s="38">
        <v>45345</v>
      </c>
      <c r="L156" s="86">
        <v>0.25</v>
      </c>
      <c r="M156" s="89">
        <v>259798130</v>
      </c>
      <c r="N156" s="18" t="s">
        <v>49</v>
      </c>
      <c r="O156" s="36" t="s">
        <v>411</v>
      </c>
      <c r="P156" s="36"/>
      <c r="Q156" s="42"/>
      <c r="R156" s="43"/>
      <c r="S156" s="36"/>
      <c r="T156" s="36"/>
      <c r="U156" s="70">
        <f>plachta3434235[[#This Row],[SALES '[€']]]-plachta3434235[[#This Row],[PURCHASE '[€']]]</f>
        <v>0</v>
      </c>
      <c r="V156" s="71" t="e">
        <f>plachta3434235[[#This Row],[MARGIN '[€']]]/plachta3434235[[#This Row],[SALES '[€']]]</f>
        <v>#DIV/0!</v>
      </c>
      <c r="W156" s="36"/>
      <c r="X156" s="36"/>
      <c r="Y156" s="36"/>
      <c r="Z156" s="36"/>
      <c r="AA156" s="18" t="s">
        <v>51</v>
      </c>
      <c r="AB156" s="72"/>
      <c r="AC156" s="72"/>
      <c r="AD156" s="69"/>
      <c r="AE156" s="69"/>
      <c r="AF156" s="69"/>
      <c r="AG156" s="69"/>
      <c r="AH156" s="69"/>
      <c r="AI156" s="69"/>
      <c r="AJ156" s="69"/>
      <c r="AK156" s="69"/>
      <c r="AL156" s="69" t="str">
        <f>IF(plachta3434235[[#This Row],[DELIVERY TIME]]="STORNO","CANCELLED","OK")</f>
        <v>OK</v>
      </c>
      <c r="AM156" s="69"/>
      <c r="AN156" s="69" t="str">
        <f>IF(RIGHT(plachta3434235[[#This Row],[CARRIER]],3)="-MF",921,"")</f>
        <v/>
      </c>
      <c r="AO156" s="69"/>
    </row>
    <row r="157" spans="1:41" ht="12.75">
      <c r="A157" s="39">
        <f>WEEKNUM(F157,21)</f>
        <v>8</v>
      </c>
      <c r="B157" s="116" t="s">
        <v>583</v>
      </c>
      <c r="C157" s="107" t="s">
        <v>42</v>
      </c>
      <c r="D157" s="37" t="s">
        <v>584</v>
      </c>
      <c r="E157" s="36" t="s">
        <v>585</v>
      </c>
      <c r="F157" s="38">
        <v>45344</v>
      </c>
      <c r="G157" s="58">
        <v>0.5</v>
      </c>
      <c r="H157" s="107" t="s">
        <v>197</v>
      </c>
      <c r="I157" s="37" t="s">
        <v>586</v>
      </c>
      <c r="J157" s="36" t="s">
        <v>587</v>
      </c>
      <c r="K157" s="38">
        <v>45345</v>
      </c>
      <c r="L157" s="86">
        <v>0.5</v>
      </c>
      <c r="M157" s="89">
        <v>259798131</v>
      </c>
      <c r="N157" s="18" t="s">
        <v>49</v>
      </c>
      <c r="O157" s="36" t="s">
        <v>411</v>
      </c>
      <c r="P157" s="36"/>
      <c r="Q157" s="42"/>
      <c r="R157" s="43"/>
      <c r="S157" s="36"/>
      <c r="T157" s="36"/>
      <c r="U157" s="70">
        <f>plachta3434235[[#This Row],[SALES '[€']]]-plachta3434235[[#This Row],[PURCHASE '[€']]]</f>
        <v>0</v>
      </c>
      <c r="V157" s="71" t="e">
        <f>plachta3434235[[#This Row],[MARGIN '[€']]]/plachta3434235[[#This Row],[SALES '[€']]]</f>
        <v>#DIV/0!</v>
      </c>
      <c r="W157" s="36"/>
      <c r="X157" s="36"/>
      <c r="Y157" s="36"/>
      <c r="Z157" s="36"/>
      <c r="AA157" s="18" t="s">
        <v>51</v>
      </c>
      <c r="AB157" s="72"/>
      <c r="AC157" s="72"/>
      <c r="AD157" s="69"/>
      <c r="AE157" s="69"/>
      <c r="AF157" s="69"/>
      <c r="AG157" s="69"/>
      <c r="AH157" s="69"/>
      <c r="AI157" s="69"/>
      <c r="AJ157" s="69"/>
      <c r="AK157" s="69"/>
      <c r="AL157" s="69" t="str">
        <f>IF(plachta3434235[[#This Row],[DELIVERY TIME]]="STORNO","CANCELLED","OK")</f>
        <v>OK</v>
      </c>
      <c r="AM157" s="69"/>
      <c r="AN157" s="69" t="str">
        <f>IF(RIGHT(plachta3434235[[#This Row],[CARRIER]],3)="-MF",921,"")</f>
        <v/>
      </c>
      <c r="AO157" s="69"/>
    </row>
    <row r="158" spans="1:41" ht="12.75">
      <c r="A158" s="39">
        <f>WEEKNUM(F158,21)</f>
        <v>8</v>
      </c>
      <c r="B158" s="116" t="s">
        <v>583</v>
      </c>
      <c r="C158" s="107" t="s">
        <v>42</v>
      </c>
      <c r="D158" s="37" t="s">
        <v>584</v>
      </c>
      <c r="E158" s="36" t="s">
        <v>585</v>
      </c>
      <c r="F158" s="38">
        <v>45344</v>
      </c>
      <c r="G158" s="58">
        <v>0.75</v>
      </c>
      <c r="H158" s="107" t="s">
        <v>197</v>
      </c>
      <c r="I158" s="37" t="s">
        <v>586</v>
      </c>
      <c r="J158" s="36" t="s">
        <v>587</v>
      </c>
      <c r="K158" s="38">
        <v>45345</v>
      </c>
      <c r="L158" s="86">
        <v>0.75</v>
      </c>
      <c r="M158" s="89">
        <v>259798132</v>
      </c>
      <c r="N158" s="18" t="s">
        <v>49</v>
      </c>
      <c r="O158" s="36" t="s">
        <v>411</v>
      </c>
      <c r="P158" s="36"/>
      <c r="Q158" s="42"/>
      <c r="R158" s="43"/>
      <c r="S158" s="36"/>
      <c r="T158" s="36"/>
      <c r="U158" s="70">
        <f>plachta3434235[[#This Row],[SALES '[€']]]-plachta3434235[[#This Row],[PURCHASE '[€']]]</f>
        <v>0</v>
      </c>
      <c r="V158" s="71" t="e">
        <f>plachta3434235[[#This Row],[MARGIN '[€']]]/plachta3434235[[#This Row],[SALES '[€']]]</f>
        <v>#DIV/0!</v>
      </c>
      <c r="W158" s="36"/>
      <c r="X158" s="36"/>
      <c r="Y158" s="36"/>
      <c r="Z158" s="36"/>
      <c r="AA158" s="18" t="s">
        <v>51</v>
      </c>
      <c r="AB158" s="72"/>
      <c r="AC158" s="72"/>
      <c r="AD158" s="69"/>
      <c r="AE158" s="69"/>
      <c r="AF158" s="69"/>
      <c r="AG158" s="69"/>
      <c r="AH158" s="69"/>
      <c r="AI158" s="69"/>
      <c r="AJ158" s="69"/>
      <c r="AK158" s="69"/>
      <c r="AL158" s="69" t="str">
        <f>IF(plachta3434235[[#This Row],[DELIVERY TIME]]="STORNO","CANCELLED","OK")</f>
        <v>OK</v>
      </c>
      <c r="AM158" s="69"/>
      <c r="AN158" s="69" t="str">
        <f>IF(RIGHT(plachta3434235[[#This Row],[CARRIER]],3)="-MF",921,"")</f>
        <v/>
      </c>
      <c r="AO158" s="69"/>
    </row>
    <row r="159" spans="1:41" ht="12.75"/>
  </sheetData>
  <phoneticPr fontId="30" type="noConversion"/>
  <conditionalFormatting sqref="V1:V1048576">
    <cfRule type="cellIs" dxfId="80" priority="1" stopIfTrue="1" operator="lessThanOrEqual">
      <formula>0</formula>
    </cfRule>
  </conditionalFormatting>
  <dataValidations count="1">
    <dataValidation type="whole" operator="greaterThan" allowBlank="1" showInputMessage="1" showErrorMessage="1" sqref="Y1:Y1048576" xr:uid="{00000000-0002-0000-0300-000000000000}">
      <formula1>0</formula1>
    </dataValidation>
  </dataValidations>
  <hyperlinks>
    <hyperlink ref="Z26" r:id="rId1" xr:uid="{89E88B41-1733-4198-AFF2-FDA3B35FAFA6}"/>
    <hyperlink ref="Z27" r:id="rId2" xr:uid="{CEDCE2D9-CBB9-40E8-832A-3C4734C45EE0}"/>
    <hyperlink ref="Z68" r:id="rId3" xr:uid="{056FEABC-1C27-44B0-B912-7E184B268591}"/>
    <hyperlink ref="Z83" r:id="rId4" xr:uid="{9F350789-73BA-4576-89AB-D6C6FAA54339}"/>
    <hyperlink ref="Z130" r:id="rId5" xr:uid="{E5D42F84-890C-4331-907C-42CA9770712D}"/>
  </hyperlinks>
  <pageMargins left="0.70866141732283472" right="0.70866141732283472" top="0.74803149606299213" bottom="0.74803149606299213" header="0.31496062992125984" footer="0.31496062992125984"/>
  <pageSetup scale="25" orientation="landscape" r:id="rId6"/>
  <customProperties>
    <customPr name="_pios_id" r:id="rId7"/>
  </customProperties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W p 4 V I r J F 6 C k A A A A 9 Q A A A B I A H A B D b 2 5 m a W c v U G F j a 2 F n Z S 5 4 b W w g o h g A K K A U A A A A A A A A A A A A A A A A A A A A A A A A A A A A h Y 8 x D o I w G I W v Q r r T Q j U G y U 8 Z H J X E h M S 4 N q V C A x R D i + V u D h 7 J K 4 h R 1 M 3 x f e 8 b 3 r t f b 5 C O b e N d Z G 9 U p x M U 4 g B 5 U o u u U L p M 0 G B P f o R S B n s u a l 5 K b 5 K 1 i U d T J K i y 9 h w T 4 p z D b o G 7 v i Q 0 C E J y z H a 5 q G T L 0 U d W / 2 V f a W O 5 F h I x O L z G M I r X K x w t K Q 6 A z A w y p b 8 9 n e Y + 2 x 8 I m 6 G x Q y + Z q f 1 8 C 2 S O Q N 4 X 2 A N Q S w M E F A A C A A g A g W p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q e F Q o i k e 4 D g A A A B E A A A A T A B w A R m 9 y b X V s Y X M v U 2 V j d G l v b j E u b S C i G A A o o B Q A A A A A A A A A A A A A A A A A A A A A A A A A A A A r T k 0 u y c z P U w i G 0 I b W A F B L A Q I t A B Q A A g A I A I F q e F S K y R e g p A A A A P U A A A A S A A A A A A A A A A A A A A A A A A A A A A B D b 2 5 m a W c v U G F j a 2 F n Z S 5 4 b W x Q S w E C L Q A U A A I A C A C B a n h U D 8 r p q 6 Q A A A D p A A A A E w A A A A A A A A A A A A A A A A D w A A A A W 0 N v b n R l b n R f V H l w Z X N d L n h t b F B L A Q I t A B Q A A g A I A I F q e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H Y E z C o y j T 5 v M a j / N 5 Y k 6 A A A A A A I A A A A A A B B m A A A A A Q A A I A A A A C a D U z P O 5 h h y H I z a k 3 P y C 3 o 7 9 9 u m E 5 m p 0 k w 0 e Q O r S H U B A A A A A A 6 A A A A A A g A A I A A A A N v u q c 3 4 K Y c n j a i K w H U E Q 6 V 9 a z 8 J Z J T S 9 E 1 G A j P 0 B + t Y U A A A A B M C g U 0 X 7 X 9 j r D z 3 Y I L 4 x j k D w 6 P M P j S a a u H c X e E M C s F 1 m g o Z + G S h 4 G x N c W Q 4 H 5 7 Q G 6 9 q i Z Z Y B P G s M j t x G g 2 k 5 + b 8 x H X 0 g f w y Z + R 5 I z o O E 1 r A Q A A A A P J f K Y a u W D p O + 9 L C z Q g L B H L F G g g G N N W q k 4 7 q W 5 B 4 8 9 J d d R h 2 L 1 G c v L a t / 9 i V G P 4 I g P 6 V m h O i o m u s A 6 A 2 U V v t f s I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AF23EA87D0B43AD30C4ED8A7DFCBB" ma:contentTypeVersion="6" ma:contentTypeDescription="Create a new document." ma:contentTypeScope="" ma:versionID="b6ee5b539ca1b0555b8ef5b8fe7bf288">
  <xsd:schema xmlns:xsd="http://www.w3.org/2001/XMLSchema" xmlns:xs="http://www.w3.org/2001/XMLSchema" xmlns:p="http://schemas.microsoft.com/office/2006/metadata/properties" xmlns:ns2="3c8e3865-767b-4764-b698-82b419ada07a" xmlns:ns3="b5a14f68-bfae-4c5f-bab0-54bc0a7ff4b6" xmlns:ns4="a9921ce0-7a1f-431e-8865-ede2d13d0df2" xmlns:ns5="172a39f2-39da-409a-9cb8-00866e20cf9f" targetNamespace="http://schemas.microsoft.com/office/2006/metadata/properties" ma:root="true" ma:fieldsID="588da99522ba3017fea2f2c30c55e15f" ns2:_="" ns3:_="" ns4:_="" ns5:_="">
    <xsd:import namespace="3c8e3865-767b-4764-b698-82b419ada07a"/>
    <xsd:import namespace="b5a14f68-bfae-4c5f-bab0-54bc0a7ff4b6"/>
    <xsd:import namespace="a9921ce0-7a1f-431e-8865-ede2d13d0df2"/>
    <xsd:import namespace="172a39f2-39da-409a-9cb8-00866e20cf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4:lcf76f155ced4ddcb4097134ff3c332f" minOccurs="0"/>
                <xsd:element ref="ns5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e3865-767b-4764-b698-82b419ada0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14f68-bfae-4c5f-bab0-54bc0a7ff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21ce0-7a1f-431e-8865-ede2d13d0df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cec1cc2-5b8e-42fe-ad3b-746beff28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a39f2-39da-409a-9cb8-00866e20cf9f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aa1565dc-b7e3-4ab1-bb97-7f20f417d3e4}" ma:internalName="TaxCatchAll" ma:showField="CatchAllData" ma:web="172a39f2-39da-409a-9cb8-00866e20cf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8e3865-767b-4764-b698-82b419ada07a">
      <UserInfo>
        <DisplayName/>
        <AccountId xsi:nil="true"/>
        <AccountType/>
      </UserInfo>
    </SharedWithUsers>
    <_Flow_SignoffStatus xmlns="b5a14f68-bfae-4c5f-bab0-54bc0a7ff4b6" xsi:nil="true"/>
    <lcf76f155ced4ddcb4097134ff3c332f xmlns="a9921ce0-7a1f-431e-8865-ede2d13d0df2">
      <Terms xmlns="http://schemas.microsoft.com/office/infopath/2007/PartnerControls"/>
    </lcf76f155ced4ddcb4097134ff3c332f>
    <TaxCatchAll xmlns="172a39f2-39da-409a-9cb8-00866e20cf9f" xsi:nil="true"/>
  </documentManagement>
</p:properties>
</file>

<file path=customXml/itemProps1.xml><?xml version="1.0" encoding="utf-8"?>
<ds:datastoreItem xmlns:ds="http://schemas.openxmlformats.org/officeDocument/2006/customXml" ds:itemID="{B2F72BB0-5153-4B5B-BB2D-03F733EE272D}"/>
</file>

<file path=customXml/itemProps2.xml><?xml version="1.0" encoding="utf-8"?>
<ds:datastoreItem xmlns:ds="http://schemas.openxmlformats.org/officeDocument/2006/customXml" ds:itemID="{2E5E271D-30A4-46B0-B55A-4DA7B24D7043}"/>
</file>

<file path=customXml/itemProps3.xml><?xml version="1.0" encoding="utf-8"?>
<ds:datastoreItem xmlns:ds="http://schemas.openxmlformats.org/officeDocument/2006/customXml" ds:itemID="{9CEDACB6-8DE6-4A74-9C06-794E470362D1}"/>
</file>

<file path=customXml/itemProps4.xml><?xml version="1.0" encoding="utf-8"?>
<ds:datastoreItem xmlns:ds="http://schemas.openxmlformats.org/officeDocument/2006/customXml" ds:itemID="{099F7B0F-6F5E-4AEF-92E8-64D33DCDA7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GEFCO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u442564 (MKr)</dc:creator>
  <cp:keywords/>
  <dc:description/>
  <cp:lastModifiedBy>KOTLAN, Tomas</cp:lastModifiedBy>
  <cp:revision/>
  <dcterms:created xsi:type="dcterms:W3CDTF">2014-03-25T07:53:53Z</dcterms:created>
  <dcterms:modified xsi:type="dcterms:W3CDTF">2024-02-13T15:56:08Z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0x0101007D1AF23EA87D0B43AD30C4ED8A7DFCBB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Order">
    <vt:r8>90000</vt:r8>
  </property>
  <property fmtid="{D5CDD505-2E9C-101B-9397-08002B2CF9AE}" pid="8" name="MediaServiceImageTags">
    <vt:lpwstr/>
  </property>
</Properties>
</file>