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bentleyedu-my.sharepoint.com/personal/tsmith_falcon_bentley_edu/Documents/Junior Semester 2/MA335/"/>
    </mc:Choice>
  </mc:AlternateContent>
  <xr:revisionPtr revIDLastSave="809" documentId="8_{BA960B45-57B7-46C9-A3AD-7506FBF80E67}" xr6:coauthVersionLast="47" xr6:coauthVersionMax="47" xr10:uidLastSave="{1E97EF14-D478-436F-B45B-854E6D7B16E9}"/>
  <bookViews>
    <workbookView xWindow="-120" yWindow="-120" windowWidth="29040" windowHeight="15840" firstSheet="6" activeTab="14" xr2:uid="{00000000-000D-0000-FFFF-FFFF00000000}"/>
  </bookViews>
  <sheets>
    <sheet name="Option Data" sheetId="4" r:id="rId1"/>
    <sheet name="Volatility A" sheetId="6" r:id="rId2"/>
    <sheet name="Volatility B" sheetId="3" r:id="rId3"/>
    <sheet name="Volatility C" sheetId="5" r:id="rId4"/>
    <sheet name="Volatility D" sheetId="7" r:id="rId5"/>
    <sheet name="Volatility E" sheetId="8" r:id="rId6"/>
    <sheet name="Risk Free Rates" sheetId="17" r:id="rId7"/>
    <sheet name="Pricing A" sheetId="11" r:id="rId8"/>
    <sheet name="Pricing B" sheetId="12" r:id="rId9"/>
    <sheet name="Pricing C" sheetId="13" r:id="rId10"/>
    <sheet name="Pricing D" sheetId="14" r:id="rId11"/>
    <sheet name="Pricing E" sheetId="15" r:id="rId12"/>
    <sheet name="Option Pricing Summary" sheetId="16" r:id="rId13"/>
    <sheet name="Hedging A" sheetId="10" r:id="rId14"/>
    <sheet name="Hedging B" sheetId="2" r:id="rId15"/>
    <sheet name="Hedging C" sheetId="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0" l="1"/>
  <c r="F49" i="2"/>
  <c r="F49" i="9"/>
  <c r="G54" i="10"/>
  <c r="C56" i="10"/>
  <c r="C54" i="2"/>
  <c r="C52" i="2"/>
  <c r="C53" i="2" s="1"/>
  <c r="C55" i="2" s="1"/>
  <c r="C56" i="2" s="1"/>
  <c r="G51" i="2"/>
  <c r="G52" i="2" s="1"/>
  <c r="G52" i="9"/>
  <c r="G51" i="9"/>
  <c r="C54" i="9"/>
  <c r="E47" i="9"/>
  <c r="F47" i="9" s="1"/>
  <c r="G47" i="9" s="1"/>
  <c r="D47" i="9"/>
  <c r="E48" i="9" s="1"/>
  <c r="F48" i="9" s="1"/>
  <c r="G48" i="9" s="1"/>
  <c r="D46" i="9"/>
  <c r="E46" i="9" s="1"/>
  <c r="F46" i="9" s="1"/>
  <c r="G46" i="9" s="1"/>
  <c r="E45" i="9"/>
  <c r="F45" i="9" s="1"/>
  <c r="G45" i="9" s="1"/>
  <c r="D45" i="9"/>
  <c r="D44" i="9"/>
  <c r="E44" i="9" s="1"/>
  <c r="F44" i="9" s="1"/>
  <c r="G44" i="9" s="1"/>
  <c r="E43" i="9"/>
  <c r="F43" i="9" s="1"/>
  <c r="G43" i="9" s="1"/>
  <c r="D43" i="9"/>
  <c r="D42" i="9"/>
  <c r="E42" i="9" s="1"/>
  <c r="F42" i="9" s="1"/>
  <c r="G42" i="9" s="1"/>
  <c r="E41" i="9"/>
  <c r="F41" i="9" s="1"/>
  <c r="G41" i="9" s="1"/>
  <c r="D41" i="9"/>
  <c r="D40" i="9"/>
  <c r="E40" i="9" s="1"/>
  <c r="F40" i="9" s="1"/>
  <c r="G40" i="9" s="1"/>
  <c r="E39" i="9"/>
  <c r="F39" i="9" s="1"/>
  <c r="G39" i="9" s="1"/>
  <c r="D39" i="9"/>
  <c r="D38" i="9"/>
  <c r="E38" i="9" s="1"/>
  <c r="F38" i="9" s="1"/>
  <c r="G38" i="9" s="1"/>
  <c r="E37" i="9"/>
  <c r="F37" i="9" s="1"/>
  <c r="G37" i="9" s="1"/>
  <c r="D37" i="9"/>
  <c r="D36" i="9"/>
  <c r="E36" i="9" s="1"/>
  <c r="F36" i="9" s="1"/>
  <c r="G36" i="9" s="1"/>
  <c r="D35" i="9"/>
  <c r="E35" i="9" s="1"/>
  <c r="F35" i="9" s="1"/>
  <c r="G35" i="9" s="1"/>
  <c r="D34" i="9"/>
  <c r="E34" i="9" s="1"/>
  <c r="F34" i="9" s="1"/>
  <c r="G34" i="9" s="1"/>
  <c r="D33" i="9"/>
  <c r="E33" i="9" s="1"/>
  <c r="F33" i="9" s="1"/>
  <c r="G33" i="9" s="1"/>
  <c r="D32" i="9"/>
  <c r="E32" i="9" s="1"/>
  <c r="F32" i="9" s="1"/>
  <c r="G32" i="9" s="1"/>
  <c r="D31" i="9"/>
  <c r="E31" i="9" s="1"/>
  <c r="F31" i="9" s="1"/>
  <c r="G31" i="9" s="1"/>
  <c r="D30" i="9"/>
  <c r="E30" i="9" s="1"/>
  <c r="F30" i="9" s="1"/>
  <c r="G30" i="9" s="1"/>
  <c r="D29" i="9"/>
  <c r="E29" i="9" s="1"/>
  <c r="F29" i="9" s="1"/>
  <c r="G29" i="9" s="1"/>
  <c r="D28" i="9"/>
  <c r="E28" i="9" s="1"/>
  <c r="F28" i="9" s="1"/>
  <c r="G28" i="9" s="1"/>
  <c r="D27" i="9"/>
  <c r="E27" i="9" s="1"/>
  <c r="F27" i="9" s="1"/>
  <c r="G27" i="9" s="1"/>
  <c r="D26" i="9"/>
  <c r="E26" i="9" s="1"/>
  <c r="F26" i="9" s="1"/>
  <c r="G26" i="9" s="1"/>
  <c r="D25" i="9"/>
  <c r="E25" i="9" s="1"/>
  <c r="F25" i="9" s="1"/>
  <c r="G25" i="9" s="1"/>
  <c r="D24" i="9"/>
  <c r="E24" i="9" s="1"/>
  <c r="F24" i="9" s="1"/>
  <c r="G24" i="9" s="1"/>
  <c r="D23" i="9"/>
  <c r="E23" i="9" s="1"/>
  <c r="F23" i="9" s="1"/>
  <c r="G23" i="9" s="1"/>
  <c r="D22" i="9"/>
  <c r="E22" i="9" s="1"/>
  <c r="F22" i="9" s="1"/>
  <c r="G22" i="9" s="1"/>
  <c r="D21" i="9"/>
  <c r="E21" i="9" s="1"/>
  <c r="F21" i="9" s="1"/>
  <c r="G21" i="9" s="1"/>
  <c r="D20" i="9"/>
  <c r="E20" i="9" s="1"/>
  <c r="F20" i="9" s="1"/>
  <c r="G20" i="9" s="1"/>
  <c r="D19" i="9"/>
  <c r="E19" i="9" s="1"/>
  <c r="F19" i="9" s="1"/>
  <c r="G19" i="9" s="1"/>
  <c r="D18" i="9"/>
  <c r="E18" i="9" s="1"/>
  <c r="F18" i="9" s="1"/>
  <c r="G18" i="9" s="1"/>
  <c r="D17" i="9"/>
  <c r="E17" i="9" s="1"/>
  <c r="F17" i="9" s="1"/>
  <c r="G17" i="9" s="1"/>
  <c r="D16" i="9"/>
  <c r="E16" i="9" s="1"/>
  <c r="F16" i="9" s="1"/>
  <c r="G16" i="9" s="1"/>
  <c r="D15" i="9"/>
  <c r="E15" i="9" s="1"/>
  <c r="F15" i="9" s="1"/>
  <c r="G15" i="9" s="1"/>
  <c r="D14" i="9"/>
  <c r="E14" i="9" s="1"/>
  <c r="F14" i="9" s="1"/>
  <c r="G14" i="9" s="1"/>
  <c r="D13" i="9"/>
  <c r="E13" i="9" s="1"/>
  <c r="F13" i="9" s="1"/>
  <c r="G13" i="9" s="1"/>
  <c r="D12" i="9"/>
  <c r="E12" i="9" s="1"/>
  <c r="F12" i="9" s="1"/>
  <c r="G12" i="9" s="1"/>
  <c r="D11" i="9"/>
  <c r="E11" i="9" s="1"/>
  <c r="F11" i="9" s="1"/>
  <c r="G11" i="9" s="1"/>
  <c r="D10" i="9"/>
  <c r="E10" i="9" s="1"/>
  <c r="F10" i="9" s="1"/>
  <c r="G10" i="9" s="1"/>
  <c r="D9" i="9"/>
  <c r="E9" i="9" s="1"/>
  <c r="F9" i="9" s="1"/>
  <c r="G9" i="9" s="1"/>
  <c r="D8" i="9"/>
  <c r="E8" i="9" s="1"/>
  <c r="F8" i="9" s="1"/>
  <c r="G8" i="9" s="1"/>
  <c r="H8" i="9" s="1"/>
  <c r="I8" i="9" s="1"/>
  <c r="I5" i="9"/>
  <c r="I4" i="9"/>
  <c r="I3" i="9"/>
  <c r="I2" i="9"/>
  <c r="D8" i="2"/>
  <c r="D47" i="2"/>
  <c r="E48" i="2" s="1"/>
  <c r="F48" i="2" s="1"/>
  <c r="G48" i="2" s="1"/>
  <c r="D46" i="2"/>
  <c r="E46" i="2" s="1"/>
  <c r="F46" i="2" s="1"/>
  <c r="G46" i="2" s="1"/>
  <c r="D45" i="2"/>
  <c r="E45" i="2" s="1"/>
  <c r="F45" i="2" s="1"/>
  <c r="G45" i="2" s="1"/>
  <c r="D44" i="2"/>
  <c r="E44" i="2" s="1"/>
  <c r="F44" i="2" s="1"/>
  <c r="G44" i="2" s="1"/>
  <c r="D43" i="2"/>
  <c r="E43" i="2" s="1"/>
  <c r="F43" i="2" s="1"/>
  <c r="G43" i="2" s="1"/>
  <c r="D42" i="2"/>
  <c r="E42" i="2" s="1"/>
  <c r="F42" i="2" s="1"/>
  <c r="G42" i="2" s="1"/>
  <c r="D41" i="2"/>
  <c r="E41" i="2" s="1"/>
  <c r="F41" i="2" s="1"/>
  <c r="G41" i="2" s="1"/>
  <c r="D40" i="2"/>
  <c r="E40" i="2" s="1"/>
  <c r="F40" i="2" s="1"/>
  <c r="G40" i="2" s="1"/>
  <c r="D39" i="2"/>
  <c r="E39" i="2" s="1"/>
  <c r="F39" i="2" s="1"/>
  <c r="G39" i="2" s="1"/>
  <c r="D38" i="2"/>
  <c r="E38" i="2" s="1"/>
  <c r="F38" i="2" s="1"/>
  <c r="G38" i="2" s="1"/>
  <c r="D37" i="2"/>
  <c r="E37" i="2" s="1"/>
  <c r="F37" i="2" s="1"/>
  <c r="G37" i="2" s="1"/>
  <c r="D36" i="2"/>
  <c r="E36" i="2" s="1"/>
  <c r="F36" i="2" s="1"/>
  <c r="G36" i="2" s="1"/>
  <c r="D35" i="2"/>
  <c r="E35" i="2" s="1"/>
  <c r="F35" i="2" s="1"/>
  <c r="G35" i="2" s="1"/>
  <c r="D34" i="2"/>
  <c r="E34" i="2" s="1"/>
  <c r="F34" i="2" s="1"/>
  <c r="G34" i="2" s="1"/>
  <c r="D33" i="2"/>
  <c r="E33" i="2" s="1"/>
  <c r="F33" i="2" s="1"/>
  <c r="G33" i="2" s="1"/>
  <c r="D32" i="2"/>
  <c r="E32" i="2" s="1"/>
  <c r="F32" i="2" s="1"/>
  <c r="G32" i="2" s="1"/>
  <c r="D31" i="2"/>
  <c r="E31" i="2" s="1"/>
  <c r="F31" i="2" s="1"/>
  <c r="G31" i="2" s="1"/>
  <c r="D30" i="2"/>
  <c r="E30" i="2" s="1"/>
  <c r="F30" i="2" s="1"/>
  <c r="G30" i="2" s="1"/>
  <c r="D29" i="2"/>
  <c r="E29" i="2" s="1"/>
  <c r="F29" i="2" s="1"/>
  <c r="G29" i="2" s="1"/>
  <c r="D28" i="2"/>
  <c r="E28" i="2" s="1"/>
  <c r="F28" i="2" s="1"/>
  <c r="G28" i="2" s="1"/>
  <c r="D27" i="2"/>
  <c r="E27" i="2" s="1"/>
  <c r="F27" i="2" s="1"/>
  <c r="G27" i="2" s="1"/>
  <c r="D26" i="2"/>
  <c r="E26" i="2" s="1"/>
  <c r="F26" i="2" s="1"/>
  <c r="G26" i="2" s="1"/>
  <c r="D25" i="2"/>
  <c r="E25" i="2" s="1"/>
  <c r="F25" i="2" s="1"/>
  <c r="G25" i="2" s="1"/>
  <c r="D24" i="2"/>
  <c r="E24" i="2" s="1"/>
  <c r="F24" i="2" s="1"/>
  <c r="G24" i="2" s="1"/>
  <c r="D23" i="2"/>
  <c r="E23" i="2" s="1"/>
  <c r="F23" i="2" s="1"/>
  <c r="G23" i="2" s="1"/>
  <c r="D22" i="2"/>
  <c r="E22" i="2" s="1"/>
  <c r="F22" i="2" s="1"/>
  <c r="G22" i="2" s="1"/>
  <c r="D21" i="2"/>
  <c r="E21" i="2" s="1"/>
  <c r="F21" i="2" s="1"/>
  <c r="G21" i="2" s="1"/>
  <c r="D20" i="2"/>
  <c r="E20" i="2" s="1"/>
  <c r="F20" i="2" s="1"/>
  <c r="G20" i="2" s="1"/>
  <c r="D19" i="2"/>
  <c r="E19" i="2" s="1"/>
  <c r="F19" i="2" s="1"/>
  <c r="G19" i="2" s="1"/>
  <c r="D18" i="2"/>
  <c r="E18" i="2" s="1"/>
  <c r="F18" i="2" s="1"/>
  <c r="G18" i="2" s="1"/>
  <c r="D17" i="2"/>
  <c r="E17" i="2" s="1"/>
  <c r="F17" i="2" s="1"/>
  <c r="G17" i="2" s="1"/>
  <c r="D16" i="2"/>
  <c r="E16" i="2" s="1"/>
  <c r="F16" i="2" s="1"/>
  <c r="G16" i="2" s="1"/>
  <c r="D15" i="2"/>
  <c r="E15" i="2" s="1"/>
  <c r="F15" i="2" s="1"/>
  <c r="G15" i="2" s="1"/>
  <c r="D14" i="2"/>
  <c r="E14" i="2" s="1"/>
  <c r="F14" i="2" s="1"/>
  <c r="G14" i="2" s="1"/>
  <c r="D13" i="2"/>
  <c r="E13" i="2" s="1"/>
  <c r="F13" i="2" s="1"/>
  <c r="G13" i="2" s="1"/>
  <c r="D12" i="2"/>
  <c r="E12" i="2" s="1"/>
  <c r="F12" i="2" s="1"/>
  <c r="G12" i="2" s="1"/>
  <c r="D11" i="2"/>
  <c r="E11" i="2" s="1"/>
  <c r="F11" i="2" s="1"/>
  <c r="G11" i="2" s="1"/>
  <c r="D10" i="2"/>
  <c r="E10" i="2" s="1"/>
  <c r="F10" i="2" s="1"/>
  <c r="G10" i="2" s="1"/>
  <c r="D9" i="2"/>
  <c r="E9" i="2" s="1"/>
  <c r="F9" i="2" s="1"/>
  <c r="G9" i="2" s="1"/>
  <c r="H9" i="2" s="1"/>
  <c r="I9" i="2" s="1"/>
  <c r="E8" i="2"/>
  <c r="F8" i="2" s="1"/>
  <c r="G8" i="2" s="1"/>
  <c r="H8" i="2" s="1"/>
  <c r="I8" i="2" s="1"/>
  <c r="I5" i="2"/>
  <c r="I4" i="2"/>
  <c r="I3" i="2"/>
  <c r="I2" i="2"/>
  <c r="G53" i="10"/>
  <c r="G52" i="10"/>
  <c r="G51" i="10"/>
  <c r="C55" i="10"/>
  <c r="C54" i="10"/>
  <c r="C53" i="10"/>
  <c r="C52" i="10"/>
  <c r="C51" i="10"/>
  <c r="I10" i="10"/>
  <c r="I9" i="10"/>
  <c r="H10" i="10" s="1"/>
  <c r="H9" i="10"/>
  <c r="I8" i="10"/>
  <c r="H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8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13" i="10"/>
  <c r="E12" i="10"/>
  <c r="E11" i="10"/>
  <c r="E10" i="10"/>
  <c r="E9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8" i="10"/>
  <c r="I5" i="10"/>
  <c r="I4" i="10"/>
  <c r="I3" i="10"/>
  <c r="I2" i="10"/>
  <c r="D13" i="16"/>
  <c r="E13" i="16"/>
  <c r="G13" i="16"/>
  <c r="C13" i="16"/>
  <c r="G12" i="16"/>
  <c r="F12" i="16"/>
  <c r="E12" i="16"/>
  <c r="D12" i="16"/>
  <c r="C12" i="16"/>
  <c r="G11" i="16"/>
  <c r="E11" i="16"/>
  <c r="D11" i="16"/>
  <c r="C11" i="16"/>
  <c r="D10" i="16"/>
  <c r="E10" i="16"/>
  <c r="G10" i="16"/>
  <c r="C10" i="16"/>
  <c r="G9" i="16"/>
  <c r="G8" i="16"/>
  <c r="F9" i="16"/>
  <c r="E9" i="16"/>
  <c r="E8" i="16"/>
  <c r="D9" i="16"/>
  <c r="D8" i="16"/>
  <c r="C9" i="16"/>
  <c r="C8" i="16"/>
  <c r="E27" i="15"/>
  <c r="B27" i="15"/>
  <c r="E26" i="15"/>
  <c r="B26" i="15"/>
  <c r="E25" i="15"/>
  <c r="B25" i="15"/>
  <c r="E24" i="15"/>
  <c r="B24" i="15"/>
  <c r="B23" i="15"/>
  <c r="E23" i="15" s="1"/>
  <c r="B21" i="15"/>
  <c r="B10" i="15"/>
  <c r="B9" i="15"/>
  <c r="B8" i="15"/>
  <c r="B12" i="15"/>
  <c r="B12" i="14"/>
  <c r="B10" i="14"/>
  <c r="B9" i="14"/>
  <c r="B8" i="14"/>
  <c r="E27" i="13"/>
  <c r="B27" i="13"/>
  <c r="E26" i="13"/>
  <c r="B26" i="13"/>
  <c r="E25" i="13"/>
  <c r="B25" i="13"/>
  <c r="E24" i="13"/>
  <c r="B24" i="13"/>
  <c r="B23" i="13"/>
  <c r="E23" i="13" s="1"/>
  <c r="B10" i="13"/>
  <c r="B9" i="13"/>
  <c r="B8" i="13"/>
  <c r="B12" i="13"/>
  <c r="B14" i="13" s="1"/>
  <c r="E27" i="12"/>
  <c r="B27" i="12"/>
  <c r="E26" i="12"/>
  <c r="B26" i="12"/>
  <c r="E25" i="12"/>
  <c r="B25" i="12"/>
  <c r="E24" i="12"/>
  <c r="B24" i="12"/>
  <c r="E23" i="12"/>
  <c r="B23" i="12"/>
  <c r="B10" i="12"/>
  <c r="B8" i="12"/>
  <c r="B9" i="12"/>
  <c r="B12" i="12"/>
  <c r="E27" i="11"/>
  <c r="B27" i="11"/>
  <c r="E26" i="11"/>
  <c r="B26" i="11"/>
  <c r="E25" i="11"/>
  <c r="B25" i="11"/>
  <c r="E24" i="11"/>
  <c r="B24" i="11"/>
  <c r="E23" i="11"/>
  <c r="B23" i="11"/>
  <c r="H9" i="9" l="1"/>
  <c r="I9" i="9" s="1"/>
  <c r="H10" i="9"/>
  <c r="I10" i="9" s="1"/>
  <c r="H11" i="9"/>
  <c r="I11" i="9" s="1"/>
  <c r="H10" i="2"/>
  <c r="I10" i="2" s="1"/>
  <c r="E47" i="2"/>
  <c r="F47" i="2" s="1"/>
  <c r="G47" i="2" s="1"/>
  <c r="H11" i="10"/>
  <c r="B14" i="15"/>
  <c r="B14" i="14"/>
  <c r="B16" i="13"/>
  <c r="B15" i="13"/>
  <c r="B17" i="13" s="1"/>
  <c r="B14" i="12"/>
  <c r="B15" i="12"/>
  <c r="B17" i="12" s="1"/>
  <c r="B16" i="12"/>
  <c r="H12" i="9" l="1"/>
  <c r="H11" i="2"/>
  <c r="I11" i="10"/>
  <c r="H12" i="10" s="1"/>
  <c r="B15" i="14"/>
  <c r="B17" i="14" s="1"/>
  <c r="B26" i="14" s="1"/>
  <c r="E25" i="14"/>
  <c r="B25" i="14"/>
  <c r="E24" i="14"/>
  <c r="B24" i="14"/>
  <c r="B16" i="14"/>
  <c r="B16" i="15"/>
  <c r="B15" i="15"/>
  <c r="B17" i="15" s="1"/>
  <c r="B18" i="13"/>
  <c r="B21" i="13" s="1"/>
  <c r="B18" i="12"/>
  <c r="B21" i="12" s="1"/>
  <c r="I12" i="9" l="1"/>
  <c r="H13" i="9" s="1"/>
  <c r="I11" i="2"/>
  <c r="H12" i="2"/>
  <c r="I12" i="10"/>
  <c r="H13" i="10" s="1"/>
  <c r="E26" i="14"/>
  <c r="B18" i="14"/>
  <c r="B23" i="14"/>
  <c r="E23" i="14" s="1"/>
  <c r="E27" i="14"/>
  <c r="B27" i="14"/>
  <c r="B18" i="15"/>
  <c r="I13" i="9" l="1"/>
  <c r="H14" i="9" s="1"/>
  <c r="I12" i="2"/>
  <c r="H13" i="2" s="1"/>
  <c r="I13" i="10"/>
  <c r="H14" i="10" s="1"/>
  <c r="B21" i="14"/>
  <c r="F11" i="16" s="1"/>
  <c r="F13" i="16" s="1"/>
  <c r="F8" i="16"/>
  <c r="F10" i="16" s="1"/>
  <c r="B21" i="11"/>
  <c r="B18" i="11"/>
  <c r="B17" i="11"/>
  <c r="B16" i="11"/>
  <c r="B15" i="11"/>
  <c r="B14" i="11"/>
  <c r="B12" i="11"/>
  <c r="B10" i="11"/>
  <c r="B9" i="11"/>
  <c r="B8" i="11"/>
  <c r="E7" i="17"/>
  <c r="D7" i="17"/>
  <c r="F8" i="8"/>
  <c r="F9" i="8" s="1"/>
  <c r="F7" i="8"/>
  <c r="F6" i="8"/>
  <c r="F9" i="7"/>
  <c r="F8" i="7"/>
  <c r="F7" i="7"/>
  <c r="F6" i="7"/>
  <c r="F9" i="5"/>
  <c r="F8" i="5"/>
  <c r="F7" i="5"/>
  <c r="F6" i="5"/>
  <c r="F6" i="3"/>
  <c r="F8" i="3"/>
  <c r="F7" i="3"/>
  <c r="F5" i="3"/>
  <c r="F8" i="6"/>
  <c r="F7" i="6"/>
  <c r="F6" i="6"/>
  <c r="F5" i="6"/>
  <c r="I14" i="9" l="1"/>
  <c r="H15" i="9" s="1"/>
  <c r="I13" i="2"/>
  <c r="H14" i="2" s="1"/>
  <c r="I14" i="10"/>
  <c r="H15" i="10" s="1"/>
  <c r="C6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6" i="7"/>
  <c r="C6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6" i="6"/>
  <c r="C5" i="6"/>
  <c r="I15" i="9" l="1"/>
  <c r="H16" i="9" s="1"/>
  <c r="I14" i="2"/>
  <c r="H15" i="2" s="1"/>
  <c r="H16" i="10"/>
  <c r="I15" i="10"/>
  <c r="I16" i="9" l="1"/>
  <c r="H17" i="9"/>
  <c r="I15" i="2"/>
  <c r="H16" i="2" s="1"/>
  <c r="I16" i="10"/>
  <c r="H17" i="10" s="1"/>
  <c r="I17" i="9" l="1"/>
  <c r="H18" i="9"/>
  <c r="I16" i="2"/>
  <c r="H17" i="2"/>
  <c r="I17" i="10"/>
  <c r="H18" i="10" s="1"/>
  <c r="I18" i="9" l="1"/>
  <c r="H19" i="9" s="1"/>
  <c r="I17" i="2"/>
  <c r="H18" i="2" s="1"/>
  <c r="I18" i="10"/>
  <c r="H19" i="10" s="1"/>
  <c r="I19" i="9" l="1"/>
  <c r="H20" i="9"/>
  <c r="I18" i="2"/>
  <c r="H19" i="2" s="1"/>
  <c r="I19" i="10"/>
  <c r="H20" i="10" s="1"/>
  <c r="I20" i="9" l="1"/>
  <c r="H21" i="9" s="1"/>
  <c r="I19" i="2"/>
  <c r="H20" i="2" s="1"/>
  <c r="I20" i="10"/>
  <c r="H21" i="10" s="1"/>
  <c r="I21" i="9" l="1"/>
  <c r="H22" i="9" s="1"/>
  <c r="I20" i="2"/>
  <c r="H21" i="2" s="1"/>
  <c r="H22" i="10"/>
  <c r="I21" i="10"/>
  <c r="I22" i="9" l="1"/>
  <c r="H23" i="9" s="1"/>
  <c r="I21" i="2"/>
  <c r="H22" i="2" s="1"/>
  <c r="I22" i="10"/>
  <c r="H23" i="10" s="1"/>
  <c r="I23" i="9" l="1"/>
  <c r="H24" i="9" s="1"/>
  <c r="I22" i="2"/>
  <c r="H23" i="2" s="1"/>
  <c r="I23" i="10"/>
  <c r="H24" i="10" s="1"/>
  <c r="I24" i="9" l="1"/>
  <c r="H25" i="9" s="1"/>
  <c r="I23" i="2"/>
  <c r="H24" i="2" s="1"/>
  <c r="I24" i="10"/>
  <c r="H25" i="10" s="1"/>
  <c r="I25" i="9" l="1"/>
  <c r="H26" i="9" s="1"/>
  <c r="I24" i="2"/>
  <c r="H25" i="2" s="1"/>
  <c r="I25" i="10"/>
  <c r="H26" i="10" s="1"/>
  <c r="I26" i="9" l="1"/>
  <c r="H27" i="9" s="1"/>
  <c r="I25" i="2"/>
  <c r="H26" i="2" s="1"/>
  <c r="I26" i="10"/>
  <c r="H27" i="10" s="1"/>
  <c r="I27" i="9" l="1"/>
  <c r="H28" i="9" s="1"/>
  <c r="I26" i="2"/>
  <c r="H27" i="2" s="1"/>
  <c r="I27" i="10"/>
  <c r="H28" i="10" s="1"/>
  <c r="I28" i="9" l="1"/>
  <c r="H29" i="9" s="1"/>
  <c r="I27" i="2"/>
  <c r="H28" i="2" s="1"/>
  <c r="I28" i="10"/>
  <c r="H29" i="10" s="1"/>
  <c r="I29" i="9" l="1"/>
  <c r="H30" i="9"/>
  <c r="I28" i="2"/>
  <c r="H29" i="2"/>
  <c r="I29" i="10"/>
  <c r="H30" i="10" s="1"/>
  <c r="I30" i="9" l="1"/>
  <c r="H31" i="9" s="1"/>
  <c r="I29" i="2"/>
  <c r="H30" i="2" s="1"/>
  <c r="I30" i="10"/>
  <c r="H31" i="10" s="1"/>
  <c r="I31" i="9" l="1"/>
  <c r="H32" i="9" s="1"/>
  <c r="I30" i="2"/>
  <c r="H31" i="2"/>
  <c r="H32" i="10"/>
  <c r="I31" i="10"/>
  <c r="I32" i="9" l="1"/>
  <c r="H33" i="9" s="1"/>
  <c r="I31" i="2"/>
  <c r="H32" i="2"/>
  <c r="I32" i="10"/>
  <c r="H33" i="10" s="1"/>
  <c r="I33" i="9" l="1"/>
  <c r="H34" i="9" s="1"/>
  <c r="I32" i="2"/>
  <c r="H33" i="2"/>
  <c r="I33" i="10"/>
  <c r="H34" i="10" s="1"/>
  <c r="I34" i="9" l="1"/>
  <c r="H35" i="9" s="1"/>
  <c r="I33" i="2"/>
  <c r="H34" i="2"/>
  <c r="I34" i="10"/>
  <c r="H35" i="10" s="1"/>
  <c r="I35" i="9" l="1"/>
  <c r="H36" i="9" s="1"/>
  <c r="I34" i="2"/>
  <c r="H35" i="2"/>
  <c r="I35" i="10"/>
  <c r="H36" i="10" s="1"/>
  <c r="I36" i="9" l="1"/>
  <c r="H37" i="9" s="1"/>
  <c r="I35" i="2"/>
  <c r="H36" i="2"/>
  <c r="I36" i="10"/>
  <c r="H37" i="10" s="1"/>
  <c r="I37" i="9" l="1"/>
  <c r="H38" i="9" s="1"/>
  <c r="I36" i="2"/>
  <c r="H37" i="2"/>
  <c r="I37" i="10"/>
  <c r="H38" i="10" s="1"/>
  <c r="I38" i="9" l="1"/>
  <c r="H39" i="9" s="1"/>
  <c r="I37" i="2"/>
  <c r="H38" i="2"/>
  <c r="H39" i="10"/>
  <c r="I38" i="10"/>
  <c r="I39" i="9" l="1"/>
  <c r="H40" i="9" s="1"/>
  <c r="I38" i="2"/>
  <c r="H39" i="2" s="1"/>
  <c r="H40" i="10"/>
  <c r="I39" i="10"/>
  <c r="I40" i="9" l="1"/>
  <c r="H41" i="9" s="1"/>
  <c r="I39" i="2"/>
  <c r="H40" i="2"/>
  <c r="H41" i="10"/>
  <c r="I40" i="10"/>
  <c r="I41" i="9" l="1"/>
  <c r="H42" i="9" s="1"/>
  <c r="I40" i="2"/>
  <c r="H41" i="2"/>
  <c r="I41" i="10"/>
  <c r="H42" i="10" s="1"/>
  <c r="I42" i="9" l="1"/>
  <c r="H43" i="9" s="1"/>
  <c r="I41" i="2"/>
  <c r="H42" i="2" s="1"/>
  <c r="I42" i="10"/>
  <c r="H43" i="10" s="1"/>
  <c r="I43" i="9" l="1"/>
  <c r="H44" i="9" s="1"/>
  <c r="I42" i="2"/>
  <c r="H43" i="2" s="1"/>
  <c r="I43" i="10"/>
  <c r="H44" i="10" s="1"/>
  <c r="I44" i="9" l="1"/>
  <c r="H45" i="9" s="1"/>
  <c r="I43" i="2"/>
  <c r="H44" i="2"/>
  <c r="I44" i="10"/>
  <c r="H45" i="10" s="1"/>
  <c r="I45" i="9" l="1"/>
  <c r="H46" i="9" s="1"/>
  <c r="I44" i="2"/>
  <c r="H45" i="2"/>
  <c r="H46" i="10"/>
  <c r="I45" i="10"/>
  <c r="I46" i="9" l="1"/>
  <c r="H47" i="9"/>
  <c r="I45" i="2"/>
  <c r="H46" i="2" s="1"/>
  <c r="I46" i="10"/>
  <c r="H47" i="10" s="1"/>
  <c r="I47" i="9" l="1"/>
  <c r="H48" i="9" s="1"/>
  <c r="C52" i="9" s="1"/>
  <c r="C53" i="9" s="1"/>
  <c r="C55" i="9" s="1"/>
  <c r="C56" i="9" s="1"/>
  <c r="I46" i="2"/>
  <c r="H47" i="2"/>
  <c r="I47" i="10"/>
  <c r="H48" i="10" s="1"/>
  <c r="I47" i="2" l="1"/>
  <c r="H48" i="2"/>
</calcChain>
</file>

<file path=xl/sharedStrings.xml><?xml version="1.0" encoding="utf-8"?>
<sst xmlns="http://schemas.openxmlformats.org/spreadsheetml/2006/main" count="770" uniqueCount="126">
  <si>
    <t xml:space="preserve"> </t>
  </si>
  <si>
    <t>Include Table 1. Option Data Summary here</t>
  </si>
  <si>
    <t>Estimate historical stock price volatility for Option A</t>
  </si>
  <si>
    <t>Include historical stock prices with dates for Option A</t>
  </si>
  <si>
    <t>Include historical stock prices with dates for Option B</t>
  </si>
  <si>
    <t>Estimate historical stock price volatility for Option B</t>
  </si>
  <si>
    <t>Include historical stock prices with dates for Option C</t>
  </si>
  <si>
    <t>Estimate historical stock price volatility for Option C</t>
  </si>
  <si>
    <t>Include historical stock prices with dates for Option D</t>
  </si>
  <si>
    <t>Estimate historical stock price volatility for Option D</t>
  </si>
  <si>
    <t>Include historical stock prices with dates for Option E</t>
  </si>
  <si>
    <t>Estimate historical stock price volatility for Option E</t>
  </si>
  <si>
    <t>Include input data</t>
  </si>
  <si>
    <t>Option A price computations</t>
  </si>
  <si>
    <t>Option A Greeks</t>
  </si>
  <si>
    <t>Option B price computations</t>
  </si>
  <si>
    <t>Option B Greeks</t>
  </si>
  <si>
    <t>Option C price computations</t>
  </si>
  <si>
    <t>Option C Greeks</t>
  </si>
  <si>
    <t>Option D price computations</t>
  </si>
  <si>
    <t>Option D Greeks</t>
  </si>
  <si>
    <t>Option E price computations</t>
  </si>
  <si>
    <t>Option E Greeks</t>
  </si>
  <si>
    <t>Include here Table 2. Option Pricing Summary</t>
  </si>
  <si>
    <t>Delta hedging simulation for Option A</t>
  </si>
  <si>
    <t>Analysis at maturity for Option A</t>
  </si>
  <si>
    <t>Include input parameters and dates for the simulation period</t>
  </si>
  <si>
    <t>Delta hedging simulation for Option B</t>
  </si>
  <si>
    <t>Analysis at maturity for Option B</t>
  </si>
  <si>
    <t>Delta hedging simulation for Option C</t>
  </si>
  <si>
    <t>Analysis at maturity for Option C</t>
  </si>
  <si>
    <t>Data Collection Date</t>
  </si>
  <si>
    <t>Stock Price at Data Collection</t>
  </si>
  <si>
    <t>Option A-E Information</t>
  </si>
  <si>
    <t>Strike Price</t>
  </si>
  <si>
    <t>Call Price</t>
  </si>
  <si>
    <t>Put Price</t>
  </si>
  <si>
    <t>Call volume</t>
  </si>
  <si>
    <t>Put volume</t>
  </si>
  <si>
    <t>Maturity</t>
  </si>
  <si>
    <t>Dividends Info</t>
  </si>
  <si>
    <t>(ex-dividend dates, amounts)</t>
  </si>
  <si>
    <t>N/A</t>
  </si>
  <si>
    <t>DKNG</t>
  </si>
  <si>
    <t>AMD</t>
  </si>
  <si>
    <t>TWTR</t>
  </si>
  <si>
    <t>Closing price on 04/14/2022</t>
  </si>
  <si>
    <t>ITM at maturity A (TWTR)</t>
  </si>
  <si>
    <t>ATM at maturity B (DKNG)</t>
  </si>
  <si>
    <t>OTM at maturity C (AMD)</t>
  </si>
  <si>
    <t>Date</t>
  </si>
  <si>
    <t>Close</t>
  </si>
  <si>
    <t>count of returns</t>
  </si>
  <si>
    <t>mean of returns</t>
  </si>
  <si>
    <t>Returns</t>
  </si>
  <si>
    <t>s</t>
  </si>
  <si>
    <t>annual volatility</t>
  </si>
  <si>
    <t>Data Collection Date Price</t>
  </si>
  <si>
    <t>Days To Maturity</t>
  </si>
  <si>
    <t>Rate</t>
  </si>
  <si>
    <t>Black-Scholes Call Price Formula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</si>
  <si>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</si>
  <si>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t>K</t>
  </si>
  <si>
    <t>Annual Volatility</t>
  </si>
  <si>
    <t>Total days until maturity</t>
  </si>
  <si>
    <t>r</t>
  </si>
  <si>
    <r>
      <t>N(d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</si>
  <si>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N(d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</si>
  <si>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Put-Call Parity Formula</t>
  </si>
  <si>
    <r>
      <t>Estimated Call Price (C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</si>
  <si>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r>
      <t>Estimated Put Price (P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</si>
  <si>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Call Option Greeks</t>
  </si>
  <si>
    <t>Put Option Greeks</t>
  </si>
  <si>
    <t>TWTR 4/16/22 (ITM)</t>
  </si>
  <si>
    <t>DKNG 4/16/22 (ATM)</t>
  </si>
  <si>
    <t>TWTR 6/17/22 (ITM)</t>
  </si>
  <si>
    <t>AMD 6/17/22 (OTM)</t>
  </si>
  <si>
    <t>AMD 4/16/22 (OTM)</t>
  </si>
  <si>
    <t>Option A</t>
  </si>
  <si>
    <t>Option B</t>
  </si>
  <si>
    <t>Option C</t>
  </si>
  <si>
    <t>Option D</t>
  </si>
  <si>
    <t>Option E</t>
  </si>
  <si>
    <t>Option ticker</t>
  </si>
  <si>
    <t>Expiration date</t>
  </si>
  <si>
    <t>Call price no dividends (computed)</t>
  </si>
  <si>
    <t>Call price (market)</t>
  </si>
  <si>
    <t>Percentage difference**</t>
  </si>
  <si>
    <t>Put price no dividends (computed)</t>
  </si>
  <si>
    <t>Put price (market)</t>
  </si>
  <si>
    <t>Summary</t>
  </si>
  <si>
    <t>ITM on 2/16/2022  D (TWTR)</t>
  </si>
  <si>
    <t>OTM on 2/16/2022  E (AMD)</t>
  </si>
  <si>
    <t>Stock Price</t>
  </si>
  <si>
    <t>Delta</t>
  </si>
  <si>
    <t>Change of Delta</t>
  </si>
  <si>
    <t>#Shares Purchased</t>
  </si>
  <si>
    <t>Cost of Shares Purchased</t>
  </si>
  <si>
    <t>Interest</t>
  </si>
  <si>
    <t>Cum. Cost Including Interest</t>
  </si>
  <si>
    <t>Volatility</t>
  </si>
  <si>
    <t>Parameters</t>
  </si>
  <si>
    <t>Hedging Summary</t>
  </si>
  <si>
    <t>Loan Amount</t>
  </si>
  <si>
    <t>Cost of Hedge</t>
  </si>
  <si>
    <t>Option Premium Brought Forward to Maturity Date</t>
  </si>
  <si>
    <t>Total Profit/Loss</t>
  </si>
  <si>
    <t>Proceeds From Exercise</t>
  </si>
  <si>
    <t>Strike Price * 10000</t>
  </si>
  <si>
    <t>Loan-Proceeds</t>
  </si>
  <si>
    <t>Premium-Hedge</t>
  </si>
  <si>
    <t>Percentage Loss of Initial Investment</t>
  </si>
  <si>
    <t>No Hedging Summary</t>
  </si>
  <si>
    <t>Loss Per Share</t>
  </si>
  <si>
    <t>Price At Maturity - Strike Price</t>
  </si>
  <si>
    <t>Loss For All Options</t>
  </si>
  <si>
    <t>10000 * Loss Per Share</t>
  </si>
  <si>
    <t>Total Loss With No Hedge</t>
  </si>
  <si>
    <t>Option Premium Brought Forward - Loss For All Options</t>
  </si>
  <si>
    <t>Total Proft/Initial Investment</t>
  </si>
  <si>
    <t>Paramters</t>
  </si>
  <si>
    <t>Total Profit</t>
  </si>
  <si>
    <t>Option Premium Brought Forward To Maturity</t>
  </si>
  <si>
    <t>Percentage Gain on Initial Investment</t>
  </si>
  <si>
    <t>Total Profit/Option Premium Brought Forward</t>
  </si>
  <si>
    <t>Total Shares in Portfolio At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</si>
</sst>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0.0000"/>
    <numFmt numFmtId="165" formatCode="&quot;$&quot;#,##0.00"/>
    <numFmt numFmtId="166" formatCode="0.0%"/>
    <numFmt numFmtId="167" formatCode="0.000000000"/>
    <numFmt numFmtId="168" formatCode="0.00_);\(0.00\)"/>
    <numFmt numFmtId="169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8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2" fontId="0" fillId="0" borderId="0" xfId="0" applyNumberFormat="1" applyAlignment="1">
      <alignment horizontal="center"/>
    </xf>
    <xf numFmtId="0" fontId="22" fillId="0" borderId="10" xfId="0" applyFont="1" applyBorder="1" applyAlignment="1">
      <alignment vertical="center"/>
    </xf>
    <xf numFmtId="14" fontId="22" fillId="0" borderId="11" xfId="0" applyNumberFormat="1" applyFont="1" applyBorder="1" applyAlignment="1">
      <alignment horizontal="right" vertical="center"/>
    </xf>
    <xf numFmtId="0" fontId="21" fillId="0" borderId="11" xfId="0" applyFont="1" applyBorder="1"/>
    <xf numFmtId="0" fontId="22" fillId="0" borderId="1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12" xfId="0" applyFont="1" applyBorder="1"/>
    <xf numFmtId="0" fontId="21" fillId="0" borderId="13" xfId="0" applyFont="1" applyBorder="1"/>
    <xf numFmtId="0" fontId="22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3" fontId="22" fillId="0" borderId="13" xfId="0" applyNumberFormat="1" applyFont="1" applyBorder="1" applyAlignment="1">
      <alignment vertical="center"/>
    </xf>
    <xf numFmtId="14" fontId="22" fillId="0" borderId="13" xfId="0" applyNumberFormat="1" applyFont="1" applyBorder="1" applyAlignment="1">
      <alignment horizontal="right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/>
    </xf>
    <xf numFmtId="166" fontId="24" fillId="33" borderId="13" xfId="47" applyNumberFormat="1" applyFont="1" applyFill="1" applyBorder="1" applyAlignment="1">
      <alignment horizontal="right" vertical="center"/>
    </xf>
    <xf numFmtId="2" fontId="24" fillId="0" borderId="13" xfId="0" applyNumberFormat="1" applyFont="1" applyBorder="1" applyAlignment="1">
      <alignment horizontal="right" vertical="center"/>
    </xf>
    <xf numFmtId="0" fontId="25" fillId="33" borderId="12" xfId="0" applyFont="1" applyFill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4" fontId="24" fillId="0" borderId="13" xfId="0" applyNumberFormat="1" applyFont="1" applyBorder="1" applyAlignment="1">
      <alignment vertical="center"/>
    </xf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7" fontId="0" fillId="0" borderId="0" xfId="0" applyNumberFormat="1"/>
    <xf numFmtId="169" fontId="0" fillId="0" borderId="0" xfId="0" applyNumberFormat="1"/>
    <xf numFmtId="0" fontId="22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Followed Hyperlink" xfId="4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Hyperlink" xfId="45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7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2304285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E79BFD-3087-484B-BF6D-76F9EF50C2A9}"/>
                </a:ext>
              </a:extLst>
            </xdr:cNvPr>
            <xdr:cNvSpPr txBox="1"/>
          </xdr:nvSpPr>
          <xdr:spPr>
            <a:xfrm>
              <a:off x="1892300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E79BFD-3087-484B-BF6D-76F9EF50C2A9}"/>
                </a:ext>
              </a:extLst>
            </xdr:cNvPr>
            <xdr:cNvSpPr txBox="1"/>
          </xdr:nvSpPr>
          <xdr:spPr>
            <a:xfrm>
              <a:off x="1892300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)=𝑆_𝑡 𝑁(𝑑_1 )−𝐾𝑒^(−𝑟(𝑇−𝑡)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33867</xdr:colOff>
      <xdr:row>13</xdr:row>
      <xdr:rowOff>0</xdr:rowOff>
    </xdr:from>
    <xdr:ext cx="979051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6777D6-2E8B-4086-9C1E-11304AC61CE4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𝑘</m:t>
                                  </m:r>
                                </m:den>
                              </m:f>
                            </m:e>
                          </m:d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𝜎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6777D6-2E8B-4086-9C1E-11304AC61CE4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ln⁡(𝑆_𝑡/𝑘)+(𝑟+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2/2)𝑡)/(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59267</xdr:colOff>
      <xdr:row>13</xdr:row>
      <xdr:rowOff>461434</xdr:rowOff>
    </xdr:from>
    <xdr:ext cx="79906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57FE7B-3633-4AF0-AA20-36EA78AF03DA}"/>
                </a:ext>
              </a:extLst>
            </xdr:cNvPr>
            <xdr:cNvSpPr txBox="1"/>
          </xdr:nvSpPr>
          <xdr:spPr>
            <a:xfrm>
              <a:off x="59267" y="2853267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m:rPr>
                        <m:nor/>
                      </m:rPr>
                      <a:rPr lang="en-US" sz="1100"/>
                      <m:t>=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57FE7B-3633-4AF0-AA20-36EA78AF03DA}"/>
                </a:ext>
              </a:extLst>
            </xdr:cNvPr>
            <xdr:cNvSpPr txBox="1"/>
          </xdr:nvSpPr>
          <xdr:spPr>
            <a:xfrm>
              <a:off x="59267" y="2853267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𝑑_2 "</a:t>
              </a:r>
              <a:r>
                <a:rPr lang="en-US" sz="1100" i="0">
                  <a:latin typeface="Cambria Math" panose="02040503050406030204" pitchFamily="18" charset="0"/>
                </a:rPr>
                <a:t>=" </a:t>
              </a:r>
              <a:r>
                <a:rPr lang="en-US" sz="1100" b="0" i="0">
                  <a:latin typeface="Cambria Math" panose="02040503050406030204" pitchFamily="18" charset="0"/>
                </a:rPr>
                <a:t>𝑑_1−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1921167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A7B3C31-ED91-4469-A9EC-B50AA255F1EB}"/>
                </a:ext>
              </a:extLst>
            </xdr:cNvPr>
            <xdr:cNvSpPr txBox="1"/>
          </xdr:nvSpPr>
          <xdr:spPr>
            <a:xfrm>
              <a:off x="1892300" y="3818467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A7B3C31-ED91-4469-A9EC-B50AA255F1EB}"/>
                </a:ext>
              </a:extLst>
            </xdr:cNvPr>
            <xdr:cNvSpPr txBox="1"/>
          </xdr:nvSpPr>
          <xdr:spPr>
            <a:xfrm>
              <a:off x="1892300" y="3818467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)+𝐾𝑒^(−𝑟𝑡)=𝑆_𝑡+𝑃(𝑡, 𝑆_𝑡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12700</xdr:colOff>
      <xdr:row>21</xdr:row>
      <xdr:rowOff>177800</xdr:rowOff>
    </xdr:from>
    <xdr:ext cx="1889363" cy="622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F01DD5-61BA-4FAD-ABE7-1574B6A23D45}"/>
                </a:ext>
              </a:extLst>
            </xdr:cNvPr>
            <xdr:cNvSpPr txBox="1"/>
          </xdr:nvSpPr>
          <xdr:spPr>
            <a:xfrm>
              <a:off x="12700" y="4411133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	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m:rPr>
                        <m:nor/>
                      </m:rPr>
                      <a:rPr lang="en-US" sz="1100">
                        <a:latin typeface="+mn-lt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FF01DD5-61BA-4FAD-ABE7-1574B6A23D45}"/>
                </a:ext>
              </a:extLst>
            </xdr:cNvPr>
            <xdr:cNvSpPr txBox="1"/>
          </xdr:nvSpPr>
          <xdr:spPr>
            <a:xfrm>
              <a:off x="12700" y="4411133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	</a:t>
              </a:r>
              <a:r>
                <a:rPr lang="en-US" sz="1100" b="0" i="0">
                  <a:latin typeface="+mn-lt"/>
                </a:rPr>
                <a:t>𝐷𝑒𝑙𝑡𝑎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+mn-lt"/>
                </a:rPr>
                <a:t>" 𝑁(</a:t>
              </a:r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ln⁡(𝑆_𝑡/𝑘)+(𝑟+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+mn-lt"/>
                </a:rPr>
                <a:t>2/2)𝑡)/(</a:t>
              </a:r>
              <a:r>
                <a:rPr lang="en-US" sz="1100" i="0">
                  <a:latin typeface="+mn-lt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𝑡))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D2B1677-8619-4472-859E-56BAFCD44BD0}"/>
                </a:ext>
              </a:extLst>
            </xdr:cNvPr>
            <xdr:cNvSpPr txBox="1"/>
          </xdr:nvSpPr>
          <xdr:spPr>
            <a:xfrm>
              <a:off x="0" y="50546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D2B1677-8619-4472-859E-56BAFCD44BD0}"/>
                </a:ext>
              </a:extLst>
            </xdr:cNvPr>
            <xdr:cNvSpPr txBox="1"/>
          </xdr:nvSpPr>
          <xdr:spPr>
            <a:xfrm>
              <a:off x="0" y="50546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94BD9AF-767D-4017-AFF1-615ED045EAC1}"/>
                </a:ext>
              </a:extLst>
            </xdr:cNvPr>
            <xdr:cNvSpPr txBox="1"/>
          </xdr:nvSpPr>
          <xdr:spPr>
            <a:xfrm>
              <a:off x="0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94BD9AF-767D-4017-AFF1-615ED045EAC1}"/>
                </a:ext>
              </a:extLst>
            </xdr:cNvPr>
            <xdr:cNvSpPr txBox="1"/>
          </xdr:nvSpPr>
          <xdr:spPr>
            <a:xfrm>
              <a:off x="0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2985561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3D420F6-C130-4E3C-A9AF-E82C9F2F7714}"/>
                </a:ext>
              </a:extLst>
            </xdr:cNvPr>
            <xdr:cNvSpPr txBox="1"/>
          </xdr:nvSpPr>
          <xdr:spPr>
            <a:xfrm>
              <a:off x="0" y="59224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3D420F6-C130-4E3C-A9AF-E82C9F2F7714}"/>
                </a:ext>
              </a:extLst>
            </xdr:cNvPr>
            <xdr:cNvSpPr txBox="1"/>
          </xdr:nvSpPr>
          <xdr:spPr>
            <a:xfrm>
              <a:off x="0" y="59224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𝑒^(−〖(𝑑_(1))〗^2/2)−𝐾𝑟𝑒^(−𝑟(𝑇−𝑡)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1923796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8981B37-9712-47CD-8E6A-CAA756D44A50}"/>
                </a:ext>
              </a:extLst>
            </xdr:cNvPr>
            <xdr:cNvSpPr txBox="1"/>
          </xdr:nvSpPr>
          <xdr:spPr>
            <a:xfrm>
              <a:off x="0" y="6358467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8981B37-9712-47CD-8E6A-CAA756D44A50}"/>
                </a:ext>
              </a:extLst>
            </xdr:cNvPr>
            <xdr:cNvSpPr txBox="1"/>
          </xdr:nvSpPr>
          <xdr:spPr>
            <a:xfrm>
              <a:off x="0" y="6358467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𝑅ℎ𝑜=(𝑇−𝑡)𝐾𝑒^(−𝑟(𝑇−𝑡)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42334</xdr:colOff>
      <xdr:row>22</xdr:row>
      <xdr:rowOff>222250</xdr:rowOff>
    </xdr:from>
    <xdr:ext cx="96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2E53265-7803-4B4A-BE25-CD295F75BAF7}"/>
                </a:ext>
              </a:extLst>
            </xdr:cNvPr>
            <xdr:cNvSpPr txBox="1"/>
          </xdr:nvSpPr>
          <xdr:spPr>
            <a:xfrm>
              <a:off x="6318250" y="4598459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2E53265-7803-4B4A-BE25-CD295F75BAF7}"/>
                </a:ext>
              </a:extLst>
            </xdr:cNvPr>
            <xdr:cNvSpPr txBox="1"/>
          </xdr:nvSpPr>
          <xdr:spPr>
            <a:xfrm>
              <a:off x="6318250" y="4598459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𝐷𝑒𝑙𝑡𝑎=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𝐶−1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8597C84-518D-4E24-96BC-E105916D874F}"/>
                </a:ext>
              </a:extLst>
            </xdr:cNvPr>
            <xdr:cNvSpPr txBox="1"/>
          </xdr:nvSpPr>
          <xdr:spPr>
            <a:xfrm>
              <a:off x="6275916" y="50165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8597C84-518D-4E24-96BC-E105916D874F}"/>
                </a:ext>
              </a:extLst>
            </xdr:cNvPr>
            <xdr:cNvSpPr txBox="1"/>
          </xdr:nvSpPr>
          <xdr:spPr>
            <a:xfrm>
              <a:off x="6275916" y="50165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37042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C6E64D1-B6AB-4254-AC27-ED62F5A312A9}"/>
                </a:ext>
              </a:extLst>
            </xdr:cNvPr>
            <xdr:cNvSpPr txBox="1"/>
          </xdr:nvSpPr>
          <xdr:spPr>
            <a:xfrm>
              <a:off x="6312958" y="5450416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C6E64D1-B6AB-4254-AC27-ED62F5A312A9}"/>
                </a:ext>
              </a:extLst>
            </xdr:cNvPr>
            <xdr:cNvSpPr txBox="1"/>
          </xdr:nvSpPr>
          <xdr:spPr>
            <a:xfrm>
              <a:off x="6312958" y="5450416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25</xdr:row>
      <xdr:rowOff>0</xdr:rowOff>
    </xdr:from>
    <xdr:ext cx="3066545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4FC4D07-83BA-4DF8-8D0F-A93C01FA5ED2}"/>
                </a:ext>
              </a:extLst>
            </xdr:cNvPr>
            <xdr:cNvSpPr txBox="1"/>
          </xdr:nvSpPr>
          <xdr:spPr>
            <a:xfrm>
              <a:off x="6275916" y="5884334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4FC4D07-83BA-4DF8-8D0F-A93C01FA5ED2}"/>
                </a:ext>
              </a:extLst>
            </xdr:cNvPr>
            <xdr:cNvSpPr txBox="1"/>
          </xdr:nvSpPr>
          <xdr:spPr>
            <a:xfrm>
              <a:off x="6275916" y="5884334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𝑒^(−〖(𝑑_(1))〗^2/2)+𝐾𝑟𝑒^(−𝑟(𝑇−𝑡) ) 𝑁(〖−𝑑〗_2)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134623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ABE1F3A-04DA-40A1-9CE7-18801B68C131}"/>
                </a:ext>
              </a:extLst>
            </xdr:cNvPr>
            <xdr:cNvSpPr txBox="1"/>
          </xdr:nvSpPr>
          <xdr:spPr>
            <a:xfrm>
              <a:off x="6275916" y="6318250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ABE1F3A-04DA-40A1-9CE7-18801B68C131}"/>
                </a:ext>
              </a:extLst>
            </xdr:cNvPr>
            <xdr:cNvSpPr txBox="1"/>
          </xdr:nvSpPr>
          <xdr:spPr>
            <a:xfrm>
              <a:off x="6275916" y="6318250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𝑅ℎ𝑜=−(𝑇−𝑡)𝐾𝑒^(−𝑟(𝑇−𝑡) ) 𝑁(−𝑑_2)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2304285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83E6F3-75AE-495A-9009-3CB5680DE4B9}"/>
                </a:ext>
              </a:extLst>
            </xdr:cNvPr>
            <xdr:cNvSpPr txBox="1"/>
          </xdr:nvSpPr>
          <xdr:spPr>
            <a:xfrm>
              <a:off x="2980267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83E6F3-75AE-495A-9009-3CB5680DE4B9}"/>
                </a:ext>
              </a:extLst>
            </xdr:cNvPr>
            <xdr:cNvSpPr txBox="1"/>
          </xdr:nvSpPr>
          <xdr:spPr>
            <a:xfrm>
              <a:off x="2980267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)=𝑆_𝑡 𝑁(𝑑_1 )−𝐾𝑒^(−𝑟(𝑇−𝑡)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33867</xdr:colOff>
      <xdr:row>13</xdr:row>
      <xdr:rowOff>0</xdr:rowOff>
    </xdr:from>
    <xdr:ext cx="979051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17EB623-A370-4890-8A44-5EE87D1C19D9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𝑘</m:t>
                                  </m:r>
                                </m:den>
                              </m:f>
                            </m:e>
                          </m:d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𝜎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17EB623-A370-4890-8A44-5EE87D1C19D9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ln⁡(𝑆_𝑡/𝑘)+(𝑟+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2/2)𝑡)/(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59267</xdr:colOff>
      <xdr:row>14</xdr:row>
      <xdr:rowOff>76201</xdr:rowOff>
    </xdr:from>
    <xdr:ext cx="79906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4FF542-1A34-4CB5-BDE7-92C04CEA228D}"/>
                </a:ext>
              </a:extLst>
            </xdr:cNvPr>
            <xdr:cNvSpPr txBox="1"/>
          </xdr:nvSpPr>
          <xdr:spPr>
            <a:xfrm>
              <a:off x="59267" y="2832101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m:rPr>
                        <m:nor/>
                      </m:rPr>
                      <a:rPr lang="en-US" sz="1100"/>
                      <m:t>=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4FF542-1A34-4CB5-BDE7-92C04CEA228D}"/>
                </a:ext>
              </a:extLst>
            </xdr:cNvPr>
            <xdr:cNvSpPr txBox="1"/>
          </xdr:nvSpPr>
          <xdr:spPr>
            <a:xfrm>
              <a:off x="59267" y="2832101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𝑑_2 "</a:t>
              </a:r>
              <a:r>
                <a:rPr lang="en-US" sz="1100" i="0">
                  <a:latin typeface="Cambria Math" panose="02040503050406030204" pitchFamily="18" charset="0"/>
                </a:rPr>
                <a:t>=" </a:t>
              </a:r>
              <a:r>
                <a:rPr lang="en-US" sz="1100" b="0" i="0">
                  <a:latin typeface="Cambria Math" panose="02040503050406030204" pitchFamily="18" charset="0"/>
                </a:rPr>
                <a:t>𝑑_1−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1921167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A263C-2BCB-42C9-85B7-AA27B9A53F67}"/>
                </a:ext>
              </a:extLst>
            </xdr:cNvPr>
            <xdr:cNvSpPr txBox="1"/>
          </xdr:nvSpPr>
          <xdr:spPr>
            <a:xfrm>
              <a:off x="2980267" y="3843867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A263C-2BCB-42C9-85B7-AA27B9A53F67}"/>
                </a:ext>
              </a:extLst>
            </xdr:cNvPr>
            <xdr:cNvSpPr txBox="1"/>
          </xdr:nvSpPr>
          <xdr:spPr>
            <a:xfrm>
              <a:off x="2980267" y="3843867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)+𝐾𝑒^(−𝑟𝑡)=𝑆_𝑡+𝑃(𝑡, 𝑆_𝑡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12700</xdr:colOff>
      <xdr:row>21</xdr:row>
      <xdr:rowOff>177800</xdr:rowOff>
    </xdr:from>
    <xdr:ext cx="1889363" cy="622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608ABDC-CF1C-4E25-BEF4-97DAC03EA200}"/>
                </a:ext>
              </a:extLst>
            </xdr:cNvPr>
            <xdr:cNvSpPr txBox="1"/>
          </xdr:nvSpPr>
          <xdr:spPr>
            <a:xfrm>
              <a:off x="12700" y="4411133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	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m:rPr>
                        <m:nor/>
                      </m:rPr>
                      <a:rPr lang="en-US" sz="1100">
                        <a:latin typeface="+mn-lt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608ABDC-CF1C-4E25-BEF4-97DAC03EA200}"/>
                </a:ext>
              </a:extLst>
            </xdr:cNvPr>
            <xdr:cNvSpPr txBox="1"/>
          </xdr:nvSpPr>
          <xdr:spPr>
            <a:xfrm>
              <a:off x="12700" y="4411133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	</a:t>
              </a:r>
              <a:r>
                <a:rPr lang="en-US" sz="1100" b="0" i="0">
                  <a:latin typeface="+mn-lt"/>
                </a:rPr>
                <a:t>𝐷𝑒𝑙𝑡𝑎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+mn-lt"/>
                </a:rPr>
                <a:t>" 𝑁(</a:t>
              </a:r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ln⁡(𝑆_𝑡/𝑘)+(𝑟+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+mn-lt"/>
                </a:rPr>
                <a:t>2/2)𝑡)/(</a:t>
              </a:r>
              <a:r>
                <a:rPr lang="en-US" sz="1100" i="0">
                  <a:latin typeface="+mn-lt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𝑡))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FC7F6E7-7024-4ABB-9C81-1603742971DC}"/>
                </a:ext>
              </a:extLst>
            </xdr:cNvPr>
            <xdr:cNvSpPr txBox="1"/>
          </xdr:nvSpPr>
          <xdr:spPr>
            <a:xfrm>
              <a:off x="0" y="50546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FC7F6E7-7024-4ABB-9C81-1603742971DC}"/>
                </a:ext>
              </a:extLst>
            </xdr:cNvPr>
            <xdr:cNvSpPr txBox="1"/>
          </xdr:nvSpPr>
          <xdr:spPr>
            <a:xfrm>
              <a:off x="0" y="50546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F064E27-1B1A-4471-A5F0-D04D4417333F}"/>
                </a:ext>
              </a:extLst>
            </xdr:cNvPr>
            <xdr:cNvSpPr txBox="1"/>
          </xdr:nvSpPr>
          <xdr:spPr>
            <a:xfrm>
              <a:off x="0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F064E27-1B1A-4471-A5F0-D04D4417333F}"/>
                </a:ext>
              </a:extLst>
            </xdr:cNvPr>
            <xdr:cNvSpPr txBox="1"/>
          </xdr:nvSpPr>
          <xdr:spPr>
            <a:xfrm>
              <a:off x="0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2985561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F999342-1DD3-4CD1-92D6-28EEBAEE2B52}"/>
                </a:ext>
              </a:extLst>
            </xdr:cNvPr>
            <xdr:cNvSpPr txBox="1"/>
          </xdr:nvSpPr>
          <xdr:spPr>
            <a:xfrm>
              <a:off x="0" y="59224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F999342-1DD3-4CD1-92D6-28EEBAEE2B52}"/>
                </a:ext>
              </a:extLst>
            </xdr:cNvPr>
            <xdr:cNvSpPr txBox="1"/>
          </xdr:nvSpPr>
          <xdr:spPr>
            <a:xfrm>
              <a:off x="0" y="59224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𝑒^(−〖(𝑑_(1))〗^2/2)−𝐾𝑟𝑒^(−𝑟(𝑇−𝑡)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1923796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409EDA1-9859-4C94-83F5-601BC689FDB0}"/>
                </a:ext>
              </a:extLst>
            </xdr:cNvPr>
            <xdr:cNvSpPr txBox="1"/>
          </xdr:nvSpPr>
          <xdr:spPr>
            <a:xfrm>
              <a:off x="0" y="6358467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409EDA1-9859-4C94-83F5-601BC689FDB0}"/>
                </a:ext>
              </a:extLst>
            </xdr:cNvPr>
            <xdr:cNvSpPr txBox="1"/>
          </xdr:nvSpPr>
          <xdr:spPr>
            <a:xfrm>
              <a:off x="0" y="6358467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𝑅ℎ𝑜=(𝑇−𝑡)𝐾𝑒^(−𝑟(𝑇−𝑡)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42334</xdr:colOff>
      <xdr:row>22</xdr:row>
      <xdr:rowOff>222250</xdr:rowOff>
    </xdr:from>
    <xdr:ext cx="96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6A3826-1A2E-4143-8F11-EC398C6DB5C0}"/>
                </a:ext>
              </a:extLst>
            </xdr:cNvPr>
            <xdr:cNvSpPr txBox="1"/>
          </xdr:nvSpPr>
          <xdr:spPr>
            <a:xfrm>
              <a:off x="6320367" y="4637617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6A3826-1A2E-4143-8F11-EC398C6DB5C0}"/>
                </a:ext>
              </a:extLst>
            </xdr:cNvPr>
            <xdr:cNvSpPr txBox="1"/>
          </xdr:nvSpPr>
          <xdr:spPr>
            <a:xfrm>
              <a:off x="6320367" y="4637617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𝐷𝑒𝑙𝑡𝑎=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𝐶−1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FC005CE-EFCC-4DA2-BA4A-3061EB0E23C2}"/>
                </a:ext>
              </a:extLst>
            </xdr:cNvPr>
            <xdr:cNvSpPr txBox="1"/>
          </xdr:nvSpPr>
          <xdr:spPr>
            <a:xfrm>
              <a:off x="6278033" y="50546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FC005CE-EFCC-4DA2-BA4A-3061EB0E23C2}"/>
                </a:ext>
              </a:extLst>
            </xdr:cNvPr>
            <xdr:cNvSpPr txBox="1"/>
          </xdr:nvSpPr>
          <xdr:spPr>
            <a:xfrm>
              <a:off x="6278033" y="50546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37042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3B6DDBA-E17F-4634-BEB0-D0C7445690F9}"/>
                </a:ext>
              </a:extLst>
            </xdr:cNvPr>
            <xdr:cNvSpPr txBox="1"/>
          </xdr:nvSpPr>
          <xdr:spPr>
            <a:xfrm>
              <a:off x="6315075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3B6DDBA-E17F-4634-BEB0-D0C7445690F9}"/>
                </a:ext>
              </a:extLst>
            </xdr:cNvPr>
            <xdr:cNvSpPr txBox="1"/>
          </xdr:nvSpPr>
          <xdr:spPr>
            <a:xfrm>
              <a:off x="6315075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25</xdr:row>
      <xdr:rowOff>0</xdr:rowOff>
    </xdr:from>
    <xdr:ext cx="3066545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E927443-C55E-4117-912F-A34BC227B2EE}"/>
                </a:ext>
              </a:extLst>
            </xdr:cNvPr>
            <xdr:cNvSpPr txBox="1"/>
          </xdr:nvSpPr>
          <xdr:spPr>
            <a:xfrm>
              <a:off x="6278033" y="5922433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E927443-C55E-4117-912F-A34BC227B2EE}"/>
                </a:ext>
              </a:extLst>
            </xdr:cNvPr>
            <xdr:cNvSpPr txBox="1"/>
          </xdr:nvSpPr>
          <xdr:spPr>
            <a:xfrm>
              <a:off x="6278033" y="5922433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𝑒^(−〖(𝑑_(1))〗^2/2)+𝐾𝑟𝑒^(−𝑟(𝑇−𝑡) ) 𝑁(〖−𝑑〗_2)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134623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14C77-A55C-4E1C-B452-5B31D924E671}"/>
                </a:ext>
              </a:extLst>
            </xdr:cNvPr>
            <xdr:cNvSpPr txBox="1"/>
          </xdr:nvSpPr>
          <xdr:spPr>
            <a:xfrm>
              <a:off x="6278033" y="6358467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14C77-A55C-4E1C-B452-5B31D924E671}"/>
                </a:ext>
              </a:extLst>
            </xdr:cNvPr>
            <xdr:cNvSpPr txBox="1"/>
          </xdr:nvSpPr>
          <xdr:spPr>
            <a:xfrm>
              <a:off x="6278033" y="6358467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𝑅ℎ𝑜=−(𝑇−𝑡)𝐾𝑒^(−𝑟(𝑇−𝑡) ) 𝑁(−𝑑_2)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2304285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87B556-8D83-4E6C-AD64-EF92FFC63CAD}"/>
                </a:ext>
              </a:extLst>
            </xdr:cNvPr>
            <xdr:cNvSpPr txBox="1"/>
          </xdr:nvSpPr>
          <xdr:spPr>
            <a:xfrm>
              <a:off x="2963333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87B556-8D83-4E6C-AD64-EF92FFC63CAD}"/>
                </a:ext>
              </a:extLst>
            </xdr:cNvPr>
            <xdr:cNvSpPr txBox="1"/>
          </xdr:nvSpPr>
          <xdr:spPr>
            <a:xfrm>
              <a:off x="2963333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)=𝑆_𝑡 𝑁(𝑑_1 )−𝐾𝑒^(−𝑟(𝑇−𝑡)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33867</xdr:colOff>
      <xdr:row>13</xdr:row>
      <xdr:rowOff>0</xdr:rowOff>
    </xdr:from>
    <xdr:ext cx="979051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8F2844-E2D6-4E41-878A-548AA6E9A932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𝑘</m:t>
                                  </m:r>
                                </m:den>
                              </m:f>
                            </m:e>
                          </m:d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𝜎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8F2844-E2D6-4E41-878A-548AA6E9A932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ln⁡(𝑆_𝑡/𝑘)+(𝑟+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2/2)𝑡)/(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59267</xdr:colOff>
      <xdr:row>14</xdr:row>
      <xdr:rowOff>76201</xdr:rowOff>
    </xdr:from>
    <xdr:ext cx="79906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6C24F7-621A-43D4-8E58-34E7C7D8814E}"/>
                </a:ext>
              </a:extLst>
            </xdr:cNvPr>
            <xdr:cNvSpPr txBox="1"/>
          </xdr:nvSpPr>
          <xdr:spPr>
            <a:xfrm>
              <a:off x="59267" y="2904068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m:rPr>
                        <m:nor/>
                      </m:rPr>
                      <a:rPr lang="en-US" sz="1100"/>
                      <m:t>=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6C24F7-621A-43D4-8E58-34E7C7D8814E}"/>
                </a:ext>
              </a:extLst>
            </xdr:cNvPr>
            <xdr:cNvSpPr txBox="1"/>
          </xdr:nvSpPr>
          <xdr:spPr>
            <a:xfrm>
              <a:off x="59267" y="2904068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𝑑_2 "</a:t>
              </a:r>
              <a:r>
                <a:rPr lang="en-US" sz="1100" i="0">
                  <a:latin typeface="Cambria Math" panose="02040503050406030204" pitchFamily="18" charset="0"/>
                </a:rPr>
                <a:t>=" </a:t>
              </a:r>
              <a:r>
                <a:rPr lang="en-US" sz="1100" b="0" i="0">
                  <a:latin typeface="Cambria Math" panose="02040503050406030204" pitchFamily="18" charset="0"/>
                </a:rPr>
                <a:t>𝑑_1−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1921167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2E0353D-E1E9-403F-9436-8A592F9C49FF}"/>
                </a:ext>
              </a:extLst>
            </xdr:cNvPr>
            <xdr:cNvSpPr txBox="1"/>
          </xdr:nvSpPr>
          <xdr:spPr>
            <a:xfrm>
              <a:off x="2963333" y="3920067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2E0353D-E1E9-403F-9436-8A592F9C49FF}"/>
                </a:ext>
              </a:extLst>
            </xdr:cNvPr>
            <xdr:cNvSpPr txBox="1"/>
          </xdr:nvSpPr>
          <xdr:spPr>
            <a:xfrm>
              <a:off x="2963333" y="3920067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)+𝐾𝑒^(−𝑟𝑡)=𝑆_𝑡+𝑃(𝑡, 𝑆_𝑡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12700</xdr:colOff>
      <xdr:row>21</xdr:row>
      <xdr:rowOff>177800</xdr:rowOff>
    </xdr:from>
    <xdr:ext cx="1889363" cy="622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7B03EE-0B33-4647-8C3C-C48611368885}"/>
                </a:ext>
              </a:extLst>
            </xdr:cNvPr>
            <xdr:cNvSpPr txBox="1"/>
          </xdr:nvSpPr>
          <xdr:spPr>
            <a:xfrm>
              <a:off x="12700" y="4487333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	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m:rPr>
                        <m:nor/>
                      </m:rPr>
                      <a:rPr lang="en-US" sz="1100">
                        <a:latin typeface="+mn-lt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7B03EE-0B33-4647-8C3C-C48611368885}"/>
                </a:ext>
              </a:extLst>
            </xdr:cNvPr>
            <xdr:cNvSpPr txBox="1"/>
          </xdr:nvSpPr>
          <xdr:spPr>
            <a:xfrm>
              <a:off x="12700" y="4487333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	</a:t>
              </a:r>
              <a:r>
                <a:rPr lang="en-US" sz="1100" b="0" i="0">
                  <a:latin typeface="+mn-lt"/>
                </a:rPr>
                <a:t>𝐷𝑒𝑙𝑡𝑎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+mn-lt"/>
                </a:rPr>
                <a:t>" 𝑁(</a:t>
              </a:r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ln⁡(𝑆_𝑡/𝑘)+(𝑟+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+mn-lt"/>
                </a:rPr>
                <a:t>2/2)𝑡)/(</a:t>
              </a:r>
              <a:r>
                <a:rPr lang="en-US" sz="1100" i="0">
                  <a:latin typeface="+mn-lt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𝑡))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1AF59E2-B030-444D-8854-9AE14B29BF66}"/>
                </a:ext>
              </a:extLst>
            </xdr:cNvPr>
            <xdr:cNvSpPr txBox="1"/>
          </xdr:nvSpPr>
          <xdr:spPr>
            <a:xfrm>
              <a:off x="0" y="50419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1AF59E2-B030-444D-8854-9AE14B29BF66}"/>
                </a:ext>
              </a:extLst>
            </xdr:cNvPr>
            <xdr:cNvSpPr txBox="1"/>
          </xdr:nvSpPr>
          <xdr:spPr>
            <a:xfrm>
              <a:off x="0" y="50419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2853A5E-AB3B-4A15-9630-B126DF31D79D}"/>
                </a:ext>
              </a:extLst>
            </xdr:cNvPr>
            <xdr:cNvSpPr txBox="1"/>
          </xdr:nvSpPr>
          <xdr:spPr>
            <a:xfrm>
              <a:off x="0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2853A5E-AB3B-4A15-9630-B126DF31D79D}"/>
                </a:ext>
              </a:extLst>
            </xdr:cNvPr>
            <xdr:cNvSpPr txBox="1"/>
          </xdr:nvSpPr>
          <xdr:spPr>
            <a:xfrm>
              <a:off x="0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2985561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F0A3CA-3D3C-43D1-B049-89A3ABBFD220}"/>
                </a:ext>
              </a:extLst>
            </xdr:cNvPr>
            <xdr:cNvSpPr txBox="1"/>
          </xdr:nvSpPr>
          <xdr:spPr>
            <a:xfrm>
              <a:off x="0" y="58970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F0A3CA-3D3C-43D1-B049-89A3ABBFD220}"/>
                </a:ext>
              </a:extLst>
            </xdr:cNvPr>
            <xdr:cNvSpPr txBox="1"/>
          </xdr:nvSpPr>
          <xdr:spPr>
            <a:xfrm>
              <a:off x="0" y="58970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𝑒^(−〖(𝑑_(1))〗^2/2)−𝐾𝑟𝑒^(−𝑟(𝑇−𝑡)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1923796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279B79F-2B9A-4C6A-90D3-7558B4D98950}"/>
                </a:ext>
              </a:extLst>
            </xdr:cNvPr>
            <xdr:cNvSpPr txBox="1"/>
          </xdr:nvSpPr>
          <xdr:spPr>
            <a:xfrm>
              <a:off x="0" y="6316133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279B79F-2B9A-4C6A-90D3-7558B4D98950}"/>
                </a:ext>
              </a:extLst>
            </xdr:cNvPr>
            <xdr:cNvSpPr txBox="1"/>
          </xdr:nvSpPr>
          <xdr:spPr>
            <a:xfrm>
              <a:off x="0" y="6316133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𝑅ℎ𝑜=(𝑇−𝑡)𝐾𝑒^(−𝑟(𝑇−𝑡)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42334</xdr:colOff>
      <xdr:row>22</xdr:row>
      <xdr:rowOff>222250</xdr:rowOff>
    </xdr:from>
    <xdr:ext cx="96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D9F9CA1-2882-40E5-B8F1-8D89DEDB029D}"/>
                </a:ext>
              </a:extLst>
            </xdr:cNvPr>
            <xdr:cNvSpPr txBox="1"/>
          </xdr:nvSpPr>
          <xdr:spPr>
            <a:xfrm>
              <a:off x="6417734" y="4713817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D9F9CA1-2882-40E5-B8F1-8D89DEDB029D}"/>
                </a:ext>
              </a:extLst>
            </xdr:cNvPr>
            <xdr:cNvSpPr txBox="1"/>
          </xdr:nvSpPr>
          <xdr:spPr>
            <a:xfrm>
              <a:off x="6417734" y="4713817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𝐷𝑒𝑙𝑡𝑎=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𝐶−1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5BB7BA1-D4C3-4D7B-A319-5A19AE2A236F}"/>
                </a:ext>
              </a:extLst>
            </xdr:cNvPr>
            <xdr:cNvSpPr txBox="1"/>
          </xdr:nvSpPr>
          <xdr:spPr>
            <a:xfrm>
              <a:off x="6375400" y="50419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5BB7BA1-D4C3-4D7B-A319-5A19AE2A236F}"/>
                </a:ext>
              </a:extLst>
            </xdr:cNvPr>
            <xdr:cNvSpPr txBox="1"/>
          </xdr:nvSpPr>
          <xdr:spPr>
            <a:xfrm>
              <a:off x="6375400" y="5041900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37042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67B911F-4D4C-48DC-9488-24915B9B64D8}"/>
                </a:ext>
              </a:extLst>
            </xdr:cNvPr>
            <xdr:cNvSpPr txBox="1"/>
          </xdr:nvSpPr>
          <xdr:spPr>
            <a:xfrm>
              <a:off x="6412442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67B911F-4D4C-48DC-9488-24915B9B64D8}"/>
                </a:ext>
              </a:extLst>
            </xdr:cNvPr>
            <xdr:cNvSpPr txBox="1"/>
          </xdr:nvSpPr>
          <xdr:spPr>
            <a:xfrm>
              <a:off x="6412442" y="54864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25</xdr:row>
      <xdr:rowOff>0</xdr:rowOff>
    </xdr:from>
    <xdr:ext cx="3066545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94F351C-EE6F-42D0-ACA2-77EB10443700}"/>
                </a:ext>
              </a:extLst>
            </xdr:cNvPr>
            <xdr:cNvSpPr txBox="1"/>
          </xdr:nvSpPr>
          <xdr:spPr>
            <a:xfrm>
              <a:off x="6375400" y="5897033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94F351C-EE6F-42D0-ACA2-77EB10443700}"/>
                </a:ext>
              </a:extLst>
            </xdr:cNvPr>
            <xdr:cNvSpPr txBox="1"/>
          </xdr:nvSpPr>
          <xdr:spPr>
            <a:xfrm>
              <a:off x="6375400" y="5897033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𝑒^(−〖(𝑑_(1))〗^2/2)+𝐾𝑟𝑒^(−𝑟(𝑇−𝑡) ) 𝑁(〖−𝑑〗_2)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134623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9F342A-9391-4D8A-94B2-2D5FE873E460}"/>
                </a:ext>
              </a:extLst>
            </xdr:cNvPr>
            <xdr:cNvSpPr txBox="1"/>
          </xdr:nvSpPr>
          <xdr:spPr>
            <a:xfrm>
              <a:off x="6375400" y="6316133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9F342A-9391-4D8A-94B2-2D5FE873E460}"/>
                </a:ext>
              </a:extLst>
            </xdr:cNvPr>
            <xdr:cNvSpPr txBox="1"/>
          </xdr:nvSpPr>
          <xdr:spPr>
            <a:xfrm>
              <a:off x="6375400" y="6316133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𝑅ℎ𝑜=−(𝑇−𝑡)𝐾𝑒^(−𝑟(𝑇−𝑡) ) 𝑁(−𝑑_2)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2304285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EBED61-ECCB-42F5-B1AA-DE84379D8977}"/>
                </a:ext>
              </a:extLst>
            </xdr:cNvPr>
            <xdr:cNvSpPr txBox="1"/>
          </xdr:nvSpPr>
          <xdr:spPr>
            <a:xfrm>
              <a:off x="3018367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EBED61-ECCB-42F5-B1AA-DE84379D8977}"/>
                </a:ext>
              </a:extLst>
            </xdr:cNvPr>
            <xdr:cNvSpPr txBox="1"/>
          </xdr:nvSpPr>
          <xdr:spPr>
            <a:xfrm>
              <a:off x="3018367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)=𝑆_𝑡 𝑁(𝑑_1 )−𝐾𝑒^(−𝑟(𝑇−𝑡)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33867</xdr:colOff>
      <xdr:row>13</xdr:row>
      <xdr:rowOff>0</xdr:rowOff>
    </xdr:from>
    <xdr:ext cx="979051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7C6F91-8734-4348-B4F2-721D3511C9EA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𝑘</m:t>
                                  </m:r>
                                </m:den>
                              </m:f>
                            </m:e>
                          </m:d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𝜎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7C6F91-8734-4348-B4F2-721D3511C9EA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ln⁡(𝑆_𝑡/𝑘)+(𝑟+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2/2)𝑡)/(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59267</xdr:colOff>
      <xdr:row>14</xdr:row>
      <xdr:rowOff>76201</xdr:rowOff>
    </xdr:from>
    <xdr:ext cx="79906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F92669-1CB7-4665-B25D-80B74CCF4DEA}"/>
                </a:ext>
              </a:extLst>
            </xdr:cNvPr>
            <xdr:cNvSpPr txBox="1"/>
          </xdr:nvSpPr>
          <xdr:spPr>
            <a:xfrm>
              <a:off x="59267" y="2895601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m:rPr>
                        <m:nor/>
                      </m:rPr>
                      <a:rPr lang="en-US" sz="1100"/>
                      <m:t>=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F92669-1CB7-4665-B25D-80B74CCF4DEA}"/>
                </a:ext>
              </a:extLst>
            </xdr:cNvPr>
            <xdr:cNvSpPr txBox="1"/>
          </xdr:nvSpPr>
          <xdr:spPr>
            <a:xfrm>
              <a:off x="59267" y="2895601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𝑑_2 "</a:t>
              </a:r>
              <a:r>
                <a:rPr lang="en-US" sz="1100" i="0">
                  <a:latin typeface="Cambria Math" panose="02040503050406030204" pitchFamily="18" charset="0"/>
                </a:rPr>
                <a:t>=" </a:t>
              </a:r>
              <a:r>
                <a:rPr lang="en-US" sz="1100" b="0" i="0">
                  <a:latin typeface="Cambria Math" panose="02040503050406030204" pitchFamily="18" charset="0"/>
                </a:rPr>
                <a:t>𝑑_1−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1921167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DA0AD7E-4272-4039-8E28-AB8AF65C1B5C}"/>
                </a:ext>
              </a:extLst>
            </xdr:cNvPr>
            <xdr:cNvSpPr txBox="1"/>
          </xdr:nvSpPr>
          <xdr:spPr>
            <a:xfrm>
              <a:off x="3018367" y="3903133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DA0AD7E-4272-4039-8E28-AB8AF65C1B5C}"/>
                </a:ext>
              </a:extLst>
            </xdr:cNvPr>
            <xdr:cNvSpPr txBox="1"/>
          </xdr:nvSpPr>
          <xdr:spPr>
            <a:xfrm>
              <a:off x="3018367" y="3903133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)+𝐾𝑒^(−𝑟𝑡)=𝑆_𝑡+𝑃(𝑡, 𝑆_𝑡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12700</xdr:colOff>
      <xdr:row>21</xdr:row>
      <xdr:rowOff>177800</xdr:rowOff>
    </xdr:from>
    <xdr:ext cx="1889363" cy="622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E7488C-7285-488D-B75D-5D35A89E04D4}"/>
                </a:ext>
              </a:extLst>
            </xdr:cNvPr>
            <xdr:cNvSpPr txBox="1"/>
          </xdr:nvSpPr>
          <xdr:spPr>
            <a:xfrm>
              <a:off x="12700" y="4470400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	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m:rPr>
                        <m:nor/>
                      </m:rPr>
                      <a:rPr lang="en-US" sz="1100">
                        <a:latin typeface="+mn-lt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E7488C-7285-488D-B75D-5D35A89E04D4}"/>
                </a:ext>
              </a:extLst>
            </xdr:cNvPr>
            <xdr:cNvSpPr txBox="1"/>
          </xdr:nvSpPr>
          <xdr:spPr>
            <a:xfrm>
              <a:off x="12700" y="4470400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	</a:t>
              </a:r>
              <a:r>
                <a:rPr lang="en-US" sz="1100" b="0" i="0">
                  <a:latin typeface="+mn-lt"/>
                </a:rPr>
                <a:t>𝐷𝑒𝑙𝑡𝑎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+mn-lt"/>
                </a:rPr>
                <a:t>" 𝑁(</a:t>
              </a:r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ln⁡(𝑆_𝑡/𝑘)+(𝑟+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+mn-lt"/>
                </a:rPr>
                <a:t>2/2)𝑡)/(</a:t>
              </a:r>
              <a:r>
                <a:rPr lang="en-US" sz="1100" i="0">
                  <a:latin typeface="+mn-lt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𝑡))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9BEF1A-7AD3-4B4F-9989-B9E0ABFA4141}"/>
                </a:ext>
              </a:extLst>
            </xdr:cNvPr>
            <xdr:cNvSpPr txBox="1"/>
          </xdr:nvSpPr>
          <xdr:spPr>
            <a:xfrm>
              <a:off x="0" y="5063067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9BEF1A-7AD3-4B4F-9989-B9E0ABFA4141}"/>
                </a:ext>
              </a:extLst>
            </xdr:cNvPr>
            <xdr:cNvSpPr txBox="1"/>
          </xdr:nvSpPr>
          <xdr:spPr>
            <a:xfrm>
              <a:off x="0" y="5063067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03DB1ED-B3DF-470E-9DF3-93161C2BA90E}"/>
                </a:ext>
              </a:extLst>
            </xdr:cNvPr>
            <xdr:cNvSpPr txBox="1"/>
          </xdr:nvSpPr>
          <xdr:spPr>
            <a:xfrm>
              <a:off x="0" y="55372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03DB1ED-B3DF-470E-9DF3-93161C2BA90E}"/>
                </a:ext>
              </a:extLst>
            </xdr:cNvPr>
            <xdr:cNvSpPr txBox="1"/>
          </xdr:nvSpPr>
          <xdr:spPr>
            <a:xfrm>
              <a:off x="0" y="55372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2985561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BBA70DA-8176-41C6-9B26-5C72727CCCF0}"/>
                </a:ext>
              </a:extLst>
            </xdr:cNvPr>
            <xdr:cNvSpPr txBox="1"/>
          </xdr:nvSpPr>
          <xdr:spPr>
            <a:xfrm>
              <a:off x="0" y="5956300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BBA70DA-8176-41C6-9B26-5C72727CCCF0}"/>
                </a:ext>
              </a:extLst>
            </xdr:cNvPr>
            <xdr:cNvSpPr txBox="1"/>
          </xdr:nvSpPr>
          <xdr:spPr>
            <a:xfrm>
              <a:off x="0" y="5956300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𝑒^(−〖(𝑑_(1))〗^2/2)−𝐾𝑟𝑒^(−𝑟(𝑇−𝑡)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1923796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49CAE2C-EADB-47C0-93AC-8CD5DF57E431}"/>
                </a:ext>
              </a:extLst>
            </xdr:cNvPr>
            <xdr:cNvSpPr txBox="1"/>
          </xdr:nvSpPr>
          <xdr:spPr>
            <a:xfrm>
              <a:off x="0" y="6366933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49CAE2C-EADB-47C0-93AC-8CD5DF57E431}"/>
                </a:ext>
              </a:extLst>
            </xdr:cNvPr>
            <xdr:cNvSpPr txBox="1"/>
          </xdr:nvSpPr>
          <xdr:spPr>
            <a:xfrm>
              <a:off x="0" y="6366933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𝑅ℎ𝑜=(𝑇−𝑡)𝐾𝑒^(−𝑟(𝑇−𝑡)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42334</xdr:colOff>
      <xdr:row>22</xdr:row>
      <xdr:rowOff>222250</xdr:rowOff>
    </xdr:from>
    <xdr:ext cx="96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E70C4-6584-463A-97F6-A6854CB70011}"/>
                </a:ext>
              </a:extLst>
            </xdr:cNvPr>
            <xdr:cNvSpPr txBox="1"/>
          </xdr:nvSpPr>
          <xdr:spPr>
            <a:xfrm>
              <a:off x="6214534" y="4696883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E70C4-6584-463A-97F6-A6854CB70011}"/>
                </a:ext>
              </a:extLst>
            </xdr:cNvPr>
            <xdr:cNvSpPr txBox="1"/>
          </xdr:nvSpPr>
          <xdr:spPr>
            <a:xfrm>
              <a:off x="6214534" y="4696883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𝐷𝑒𝑙𝑡𝑎=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𝐶−1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FD1F003-567A-4109-980D-57EA91A1B66D}"/>
                </a:ext>
              </a:extLst>
            </xdr:cNvPr>
            <xdr:cNvSpPr txBox="1"/>
          </xdr:nvSpPr>
          <xdr:spPr>
            <a:xfrm>
              <a:off x="6172200" y="5063067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FD1F003-567A-4109-980D-57EA91A1B66D}"/>
                </a:ext>
              </a:extLst>
            </xdr:cNvPr>
            <xdr:cNvSpPr txBox="1"/>
          </xdr:nvSpPr>
          <xdr:spPr>
            <a:xfrm>
              <a:off x="6172200" y="5063067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37042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D85CE4-AE35-4A7B-B3AA-79A97695E0D4}"/>
                </a:ext>
              </a:extLst>
            </xdr:cNvPr>
            <xdr:cNvSpPr txBox="1"/>
          </xdr:nvSpPr>
          <xdr:spPr>
            <a:xfrm>
              <a:off x="6209242" y="55372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D85CE4-AE35-4A7B-B3AA-79A97695E0D4}"/>
                </a:ext>
              </a:extLst>
            </xdr:cNvPr>
            <xdr:cNvSpPr txBox="1"/>
          </xdr:nvSpPr>
          <xdr:spPr>
            <a:xfrm>
              <a:off x="6209242" y="5537200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25</xdr:row>
      <xdr:rowOff>0</xdr:rowOff>
    </xdr:from>
    <xdr:ext cx="3066545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6FB4DD1-BBA4-4A7A-B582-142C7EB74415}"/>
                </a:ext>
              </a:extLst>
            </xdr:cNvPr>
            <xdr:cNvSpPr txBox="1"/>
          </xdr:nvSpPr>
          <xdr:spPr>
            <a:xfrm>
              <a:off x="6172200" y="5956300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6FB4DD1-BBA4-4A7A-B582-142C7EB74415}"/>
                </a:ext>
              </a:extLst>
            </xdr:cNvPr>
            <xdr:cNvSpPr txBox="1"/>
          </xdr:nvSpPr>
          <xdr:spPr>
            <a:xfrm>
              <a:off x="6172200" y="5956300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𝑒^(−〖(𝑑_(1))〗^2/2)+𝐾𝑟𝑒^(−𝑟(𝑇−𝑡) ) 𝑁(〖−𝑑〗_2)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134623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1BD0B70-8AE1-4FE9-89CE-5FDF6F94B824}"/>
                </a:ext>
              </a:extLst>
            </xdr:cNvPr>
            <xdr:cNvSpPr txBox="1"/>
          </xdr:nvSpPr>
          <xdr:spPr>
            <a:xfrm>
              <a:off x="6172200" y="6366933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1BD0B70-8AE1-4FE9-89CE-5FDF6F94B824}"/>
                </a:ext>
              </a:extLst>
            </xdr:cNvPr>
            <xdr:cNvSpPr txBox="1"/>
          </xdr:nvSpPr>
          <xdr:spPr>
            <a:xfrm>
              <a:off x="6172200" y="6366933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𝑅ℎ𝑜=−(𝑇−𝑡)𝐾𝑒^(−𝑟(𝑇−𝑡) ) 𝑁(−𝑑_2)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2304285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30999E-0B41-482D-B096-F4B2F7C5D6A0}"/>
                </a:ext>
              </a:extLst>
            </xdr:cNvPr>
            <xdr:cNvSpPr txBox="1"/>
          </xdr:nvSpPr>
          <xdr:spPr>
            <a:xfrm>
              <a:off x="2997200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30999E-0B41-482D-B096-F4B2F7C5D6A0}"/>
                </a:ext>
              </a:extLst>
            </xdr:cNvPr>
            <xdr:cNvSpPr txBox="1"/>
          </xdr:nvSpPr>
          <xdr:spPr>
            <a:xfrm>
              <a:off x="2997200" y="1092200"/>
              <a:ext cx="2304285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)=𝑆_𝑡 𝑁(𝑑_1 )−𝐾𝑒^(−𝑟(𝑇−𝑡)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33867</xdr:colOff>
      <xdr:row>13</xdr:row>
      <xdr:rowOff>0</xdr:rowOff>
    </xdr:from>
    <xdr:ext cx="979051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D1652A-471B-4028-A60B-2ED64C5FF78D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𝑘</m:t>
                                  </m:r>
                                </m:den>
                              </m:f>
                            </m:e>
                          </m:d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𝜎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CD1652A-471B-4028-A60B-2ED64C5FF78D}"/>
                </a:ext>
              </a:extLst>
            </xdr:cNvPr>
            <xdr:cNvSpPr txBox="1"/>
          </xdr:nvSpPr>
          <xdr:spPr>
            <a:xfrm>
              <a:off x="33867" y="2391833"/>
              <a:ext cx="979051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ln⁡(𝑆_𝑡/𝑘)+(𝑟+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2/2)𝑡)/(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59267</xdr:colOff>
      <xdr:row>14</xdr:row>
      <xdr:rowOff>76201</xdr:rowOff>
    </xdr:from>
    <xdr:ext cx="799065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3D74F6A-AA4E-428A-8632-6D71E98169E9}"/>
                </a:ext>
              </a:extLst>
            </xdr:cNvPr>
            <xdr:cNvSpPr txBox="1"/>
          </xdr:nvSpPr>
          <xdr:spPr>
            <a:xfrm>
              <a:off x="59267" y="2899834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m:rPr>
                        <m:nor/>
                      </m:rPr>
                      <a:rPr lang="en-US" sz="1100"/>
                      <m:t>=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3D74F6A-AA4E-428A-8632-6D71E98169E9}"/>
                </a:ext>
              </a:extLst>
            </xdr:cNvPr>
            <xdr:cNvSpPr txBox="1"/>
          </xdr:nvSpPr>
          <xdr:spPr>
            <a:xfrm>
              <a:off x="59267" y="2899834"/>
              <a:ext cx="799065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𝑑_2 "</a:t>
              </a:r>
              <a:r>
                <a:rPr lang="en-US" sz="1100" i="0">
                  <a:latin typeface="Cambria Math" panose="02040503050406030204" pitchFamily="18" charset="0"/>
                </a:rPr>
                <a:t>=" </a:t>
              </a:r>
              <a:r>
                <a:rPr lang="en-US" sz="1100" b="0" i="0">
                  <a:latin typeface="Cambria Math" panose="02040503050406030204" pitchFamily="18" charset="0"/>
                </a:rPr>
                <a:t>𝑑_1−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1921167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48378EE-5EAE-4CE5-961B-93B9878D4EC6}"/>
                </a:ext>
              </a:extLst>
            </xdr:cNvPr>
            <xdr:cNvSpPr txBox="1"/>
          </xdr:nvSpPr>
          <xdr:spPr>
            <a:xfrm>
              <a:off x="2997200" y="3903133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48378EE-5EAE-4CE5-961B-93B9878D4EC6}"/>
                </a:ext>
              </a:extLst>
            </xdr:cNvPr>
            <xdr:cNvSpPr txBox="1"/>
          </xdr:nvSpPr>
          <xdr:spPr>
            <a:xfrm>
              <a:off x="2997200" y="3903133"/>
              <a:ext cx="1921167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𝐶(𝑡, 𝑆_𝑡 )+𝐾𝑒^(−𝑟𝑡)=𝑆_𝑡+𝑃(𝑡, 𝑆_𝑡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12700</xdr:colOff>
      <xdr:row>21</xdr:row>
      <xdr:rowOff>177800</xdr:rowOff>
    </xdr:from>
    <xdr:ext cx="1889363" cy="622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F56FF8-D798-4385-8CB0-E33884F05F01}"/>
                </a:ext>
              </a:extLst>
            </xdr:cNvPr>
            <xdr:cNvSpPr txBox="1"/>
          </xdr:nvSpPr>
          <xdr:spPr>
            <a:xfrm>
              <a:off x="12700" y="4470400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	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m:rPr>
                        <m:nor/>
                      </m:rPr>
                      <a:rPr lang="en-US" sz="1100">
                        <a:latin typeface="+mn-lt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F56FF8-D798-4385-8CB0-E33884F05F01}"/>
                </a:ext>
              </a:extLst>
            </xdr:cNvPr>
            <xdr:cNvSpPr txBox="1"/>
          </xdr:nvSpPr>
          <xdr:spPr>
            <a:xfrm>
              <a:off x="12700" y="4470400"/>
              <a:ext cx="1889363" cy="622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	</a:t>
              </a:r>
              <a:r>
                <a:rPr lang="en-US" sz="1100" b="0" i="0">
                  <a:latin typeface="+mn-lt"/>
                </a:rPr>
                <a:t>𝐷𝑒𝑙𝑡𝑎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+mn-lt"/>
                </a:rPr>
                <a:t>" 𝑁(</a:t>
              </a:r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ln⁡(𝑆_𝑡/𝑘)+(𝑟+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+mn-lt"/>
                </a:rPr>
                <a:t>2/2)𝑡)/(</a:t>
              </a:r>
              <a:r>
                <a:rPr lang="en-US" sz="1100" i="0">
                  <a:latin typeface="+mn-lt"/>
                  <a:ea typeface="Cambria Math" panose="02040503050406030204" pitchFamily="18" charset="0"/>
                </a:rPr>
                <a:t>𝜎√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𝑡))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A72B3AC-9B95-48FD-8EE5-6A938A706267}"/>
                </a:ext>
              </a:extLst>
            </xdr:cNvPr>
            <xdr:cNvSpPr txBox="1"/>
          </xdr:nvSpPr>
          <xdr:spPr>
            <a:xfrm>
              <a:off x="0" y="5071533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A72B3AC-9B95-48FD-8EE5-6A938A706267}"/>
                </a:ext>
              </a:extLst>
            </xdr:cNvPr>
            <xdr:cNvSpPr txBox="1"/>
          </xdr:nvSpPr>
          <xdr:spPr>
            <a:xfrm>
              <a:off x="0" y="5071533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F237137-9547-4700-BCC9-9F52EA2DFE66}"/>
                </a:ext>
              </a:extLst>
            </xdr:cNvPr>
            <xdr:cNvSpPr txBox="1"/>
          </xdr:nvSpPr>
          <xdr:spPr>
            <a:xfrm>
              <a:off x="0" y="5507567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F237137-9547-4700-BCC9-9F52EA2DFE66}"/>
                </a:ext>
              </a:extLst>
            </xdr:cNvPr>
            <xdr:cNvSpPr txBox="1"/>
          </xdr:nvSpPr>
          <xdr:spPr>
            <a:xfrm>
              <a:off x="0" y="5507567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2985561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268E3D1-F66B-4581-8068-3EBACFF84C84}"/>
                </a:ext>
              </a:extLst>
            </xdr:cNvPr>
            <xdr:cNvSpPr txBox="1"/>
          </xdr:nvSpPr>
          <xdr:spPr>
            <a:xfrm>
              <a:off x="0" y="59478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268E3D1-F66B-4581-8068-3EBACFF84C84}"/>
                </a:ext>
              </a:extLst>
            </xdr:cNvPr>
            <xdr:cNvSpPr txBox="1"/>
          </xdr:nvSpPr>
          <xdr:spPr>
            <a:xfrm>
              <a:off x="0" y="5947833"/>
              <a:ext cx="2985561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𝑒^(−〖(𝑑_(1))〗^2/2)−𝐾𝑟𝑒^(−𝑟(𝑇−𝑡)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1923796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38D4352-2381-40FC-AB50-B04090706906}"/>
                </a:ext>
              </a:extLst>
            </xdr:cNvPr>
            <xdr:cNvSpPr txBox="1"/>
          </xdr:nvSpPr>
          <xdr:spPr>
            <a:xfrm>
              <a:off x="0" y="6366933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38D4352-2381-40FC-AB50-B04090706906}"/>
                </a:ext>
              </a:extLst>
            </xdr:cNvPr>
            <xdr:cNvSpPr txBox="1"/>
          </xdr:nvSpPr>
          <xdr:spPr>
            <a:xfrm>
              <a:off x="0" y="6366933"/>
              <a:ext cx="1923796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𝑅ℎ𝑜=(𝑇−𝑡)𝐾𝑒^(−𝑟(𝑇−𝑡) ) 𝑁(𝑑_2)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42334</xdr:colOff>
      <xdr:row>22</xdr:row>
      <xdr:rowOff>222250</xdr:rowOff>
    </xdr:from>
    <xdr:ext cx="96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00DFEA3-2BF2-4198-A184-8572A6F76833}"/>
                </a:ext>
              </a:extLst>
            </xdr:cNvPr>
            <xdr:cNvSpPr txBox="1"/>
          </xdr:nvSpPr>
          <xdr:spPr>
            <a:xfrm>
              <a:off x="6138334" y="4696883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𝐷𝑒𝑙𝑡𝑎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00DFEA3-2BF2-4198-A184-8572A6F76833}"/>
                </a:ext>
              </a:extLst>
            </xdr:cNvPr>
            <xdr:cNvSpPr txBox="1"/>
          </xdr:nvSpPr>
          <xdr:spPr>
            <a:xfrm>
              <a:off x="6138334" y="4696883"/>
              <a:ext cx="96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𝐷𝑒𝑙𝑡𝑎=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𝐶−1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0</xdr:rowOff>
    </xdr:from>
    <xdr:ext cx="1713674" cy="372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FE96489-C391-4471-9E95-2469E7B8F2D2}"/>
                </a:ext>
              </a:extLst>
            </xdr:cNvPr>
            <xdr:cNvSpPr txBox="1"/>
          </xdr:nvSpPr>
          <xdr:spPr>
            <a:xfrm>
              <a:off x="6096000" y="5071533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𝐺𝑎𝑚𝑚𝑎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FE96489-C391-4471-9E95-2469E7B8F2D2}"/>
                </a:ext>
              </a:extLst>
            </xdr:cNvPr>
            <xdr:cNvSpPr txBox="1"/>
          </xdr:nvSpPr>
          <xdr:spPr>
            <a:xfrm>
              <a:off x="6096000" y="5071533"/>
              <a:ext cx="1713674" cy="372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𝐺𝑎𝑚𝑚𝑎=1/(√2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𝜎√𝑡)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37042</xdr:colOff>
      <xdr:row>24</xdr:row>
      <xdr:rowOff>0</xdr:rowOff>
    </xdr:from>
    <xdr:ext cx="1269258" cy="390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8CA63E1-A484-4B08-9D49-B03F637292B7}"/>
                </a:ext>
              </a:extLst>
            </xdr:cNvPr>
            <xdr:cNvSpPr txBox="1"/>
          </xdr:nvSpPr>
          <xdr:spPr>
            <a:xfrm>
              <a:off x="6133042" y="5507567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𝑉𝑒𝑔𝑎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8CA63E1-A484-4B08-9D49-B03F637292B7}"/>
                </a:ext>
              </a:extLst>
            </xdr:cNvPr>
            <xdr:cNvSpPr txBox="1"/>
          </xdr:nvSpPr>
          <xdr:spPr>
            <a:xfrm>
              <a:off x="6133042" y="5507567"/>
              <a:ext cx="1269258" cy="390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𝑉𝑒𝑔𝑎=(𝑆√𝑡)/√2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100" b="0" i="0">
                  <a:latin typeface="Cambria Math" panose="02040503050406030204" pitchFamily="18" charset="0"/>
                </a:rPr>
                <a:t>𝑒^(−〖(𝑑_1)〗^2/2)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25</xdr:row>
      <xdr:rowOff>0</xdr:rowOff>
    </xdr:from>
    <xdr:ext cx="3066545" cy="396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4E1E82D-D2CC-4BD1-8C3C-06CDD2EE1434}"/>
                </a:ext>
              </a:extLst>
            </xdr:cNvPr>
            <xdr:cNvSpPr txBox="1"/>
          </xdr:nvSpPr>
          <xdr:spPr>
            <a:xfrm>
              <a:off x="6096000" y="5947833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𝐾𝑟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4E1E82D-D2CC-4BD1-8C3C-06CDD2EE1434}"/>
                </a:ext>
              </a:extLst>
            </xdr:cNvPr>
            <xdr:cNvSpPr txBox="1"/>
          </xdr:nvSpPr>
          <xdr:spPr>
            <a:xfrm>
              <a:off x="6096000" y="5947833"/>
              <a:ext cx="3066545" cy="396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𝑇ℎ𝑒𝑡𝑎=(−𝑆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𝜎)/(</a:t>
              </a:r>
              <a:r>
                <a:rPr lang="en-US" sz="1100" b="0" i="0">
                  <a:latin typeface="Cambria Math" panose="02040503050406030204" pitchFamily="18" charset="0"/>
                </a:rPr>
                <a:t>2√2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√(</a:t>
              </a:r>
              <a:r>
                <a:rPr lang="en-US" sz="1100" b="0" i="0">
                  <a:latin typeface="Cambria Math" panose="02040503050406030204" pitchFamily="18" charset="0"/>
                </a:rPr>
                <a:t>𝑇−𝑡)) 𝑒^(−〖(𝑑_(1))〗^2/2)+𝐾𝑟𝑒^(−𝑟(𝑇−𝑡) ) 𝑁(〖−𝑑〗_2)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134623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EA8AB93-C890-41DE-B438-0E0A6262D8C2}"/>
                </a:ext>
              </a:extLst>
            </xdr:cNvPr>
            <xdr:cNvSpPr txBox="1"/>
          </xdr:nvSpPr>
          <xdr:spPr>
            <a:xfrm>
              <a:off x="6096000" y="6366933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𝑅h𝑜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EA8AB93-C890-41DE-B438-0E0A6262D8C2}"/>
                </a:ext>
              </a:extLst>
            </xdr:cNvPr>
            <xdr:cNvSpPr txBox="1"/>
          </xdr:nvSpPr>
          <xdr:spPr>
            <a:xfrm>
              <a:off x="6096000" y="6366933"/>
              <a:ext cx="2134623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𝑅ℎ𝑜=−(𝑇−𝑡)𝐾𝑒^(−𝑟(𝑇−𝑡) ) 𝑁(−𝑑_2)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E22" sqref="E22"/>
    </sheetView>
  </sheetViews>
  <sheetFormatPr defaultColWidth="11.5703125" defaultRowHeight="15" x14ac:dyDescent="0.25"/>
  <cols>
    <col min="1" max="1" width="22.85546875" bestFit="1" customWidth="1"/>
    <col min="2" max="7" width="12" customWidth="1"/>
    <col min="8" max="8" width="16.85546875" bestFit="1" customWidth="1"/>
  </cols>
  <sheetData>
    <row r="1" spans="1:9" x14ac:dyDescent="0.25">
      <c r="B1" s="3"/>
    </row>
    <row r="3" spans="1:9" x14ac:dyDescent="0.25">
      <c r="B3" s="4"/>
      <c r="C3" s="4"/>
      <c r="D3" s="4"/>
      <c r="E3" s="4"/>
      <c r="F3" s="4"/>
      <c r="G3" s="4"/>
      <c r="H3" s="4"/>
    </row>
    <row r="4" spans="1:9" ht="15.75" thickBot="1" x14ac:dyDescent="0.3">
      <c r="B4" t="s">
        <v>1</v>
      </c>
      <c r="E4" s="4"/>
      <c r="F4" s="4"/>
      <c r="G4" s="4"/>
      <c r="H4" s="4"/>
    </row>
    <row r="5" spans="1:9" ht="15.75" thickBot="1" x14ac:dyDescent="0.3">
      <c r="A5" s="9" t="s">
        <v>31</v>
      </c>
      <c r="B5" s="10">
        <v>44608</v>
      </c>
      <c r="C5" s="11"/>
      <c r="D5" s="11"/>
      <c r="E5" s="11"/>
      <c r="F5" s="11"/>
      <c r="G5" s="11"/>
      <c r="H5" s="12"/>
      <c r="I5" s="13"/>
    </row>
    <row r="6" spans="1:9" ht="15.75" thickBot="1" x14ac:dyDescent="0.3">
      <c r="A6" s="14"/>
      <c r="B6" s="15"/>
      <c r="C6" s="15"/>
      <c r="D6" s="15"/>
      <c r="E6" s="15"/>
      <c r="F6" s="15"/>
      <c r="G6" s="15"/>
      <c r="H6" s="16"/>
      <c r="I6" s="13"/>
    </row>
    <row r="7" spans="1:9" ht="24.95" customHeight="1" thickBot="1" x14ac:dyDescent="0.3">
      <c r="A7" s="14"/>
      <c r="B7" s="17" t="s">
        <v>43</v>
      </c>
      <c r="C7" s="17" t="s">
        <v>44</v>
      </c>
      <c r="D7" s="17" t="s">
        <v>45</v>
      </c>
      <c r="E7" s="15"/>
      <c r="F7" s="15"/>
      <c r="G7" s="15"/>
      <c r="H7" s="16"/>
      <c r="I7" s="13"/>
    </row>
    <row r="8" spans="1:9" ht="24.95" customHeight="1" thickBot="1" x14ac:dyDescent="0.3">
      <c r="A8" s="18" t="s">
        <v>32</v>
      </c>
      <c r="B8" s="17">
        <v>22.94</v>
      </c>
      <c r="C8" s="17">
        <v>115.34</v>
      </c>
      <c r="D8" s="17">
        <v>35.799999999999997</v>
      </c>
      <c r="E8" s="15"/>
      <c r="F8" s="15"/>
      <c r="G8" s="15"/>
      <c r="H8" s="16"/>
      <c r="I8" s="13"/>
    </row>
    <row r="9" spans="1:9" ht="24.95" customHeight="1" thickBot="1" x14ac:dyDescent="0.3">
      <c r="A9" s="18" t="s">
        <v>46</v>
      </c>
      <c r="B9" s="17">
        <v>16.489999999999998</v>
      </c>
      <c r="C9" s="17">
        <v>93.06</v>
      </c>
      <c r="D9" s="17">
        <v>45.08</v>
      </c>
      <c r="E9" s="15"/>
      <c r="F9" s="15"/>
      <c r="G9" s="15"/>
      <c r="H9" s="16"/>
      <c r="I9" s="13"/>
    </row>
    <row r="10" spans="1:9" ht="24.95" customHeight="1" thickBot="1" x14ac:dyDescent="0.3">
      <c r="A10" s="14"/>
      <c r="B10" s="15"/>
      <c r="C10" s="15"/>
      <c r="D10" s="15"/>
      <c r="E10" s="15"/>
      <c r="F10" s="15"/>
      <c r="G10" s="15"/>
      <c r="H10" s="16"/>
      <c r="I10" s="13"/>
    </row>
    <row r="11" spans="1:9" ht="24.95" customHeight="1" x14ac:dyDescent="0.25">
      <c r="A11" s="41" t="s">
        <v>33</v>
      </c>
      <c r="B11" s="39" t="s">
        <v>34</v>
      </c>
      <c r="C11" s="39" t="s">
        <v>35</v>
      </c>
      <c r="D11" s="39" t="s">
        <v>36</v>
      </c>
      <c r="E11" s="39" t="s">
        <v>37</v>
      </c>
      <c r="F11" s="39" t="s">
        <v>38</v>
      </c>
      <c r="G11" s="39" t="s">
        <v>39</v>
      </c>
      <c r="H11" s="19" t="s">
        <v>40</v>
      </c>
      <c r="I11" s="13"/>
    </row>
    <row r="12" spans="1:9" ht="24.95" customHeight="1" thickBot="1" x14ac:dyDescent="0.3">
      <c r="A12" s="42"/>
      <c r="B12" s="40"/>
      <c r="C12" s="40"/>
      <c r="D12" s="40"/>
      <c r="E12" s="40"/>
      <c r="F12" s="40"/>
      <c r="G12" s="40"/>
      <c r="H12" s="16" t="s">
        <v>41</v>
      </c>
      <c r="I12" s="13"/>
    </row>
    <row r="13" spans="1:9" ht="15.75" thickBot="1" x14ac:dyDescent="0.3">
      <c r="A13" s="18" t="s">
        <v>47</v>
      </c>
      <c r="B13" s="17">
        <v>36</v>
      </c>
      <c r="C13" s="17">
        <v>2.54</v>
      </c>
      <c r="D13" s="17">
        <v>2.66</v>
      </c>
      <c r="E13" s="20">
        <v>232</v>
      </c>
      <c r="F13" s="20">
        <v>18</v>
      </c>
      <c r="G13" s="21">
        <v>44665</v>
      </c>
      <c r="H13" s="22" t="s">
        <v>42</v>
      </c>
      <c r="I13" s="13"/>
    </row>
    <row r="14" spans="1:9" ht="15.75" thickBot="1" x14ac:dyDescent="0.3">
      <c r="A14" s="18" t="s">
        <v>48</v>
      </c>
      <c r="B14" s="17">
        <v>17.5</v>
      </c>
      <c r="C14" s="17">
        <v>6.6</v>
      </c>
      <c r="D14" s="17">
        <v>0.95</v>
      </c>
      <c r="E14" s="20">
        <v>1</v>
      </c>
      <c r="F14" s="23">
        <v>10</v>
      </c>
      <c r="G14" s="21">
        <v>44665</v>
      </c>
      <c r="H14" s="22" t="s">
        <v>42</v>
      </c>
      <c r="I14" s="13"/>
    </row>
    <row r="15" spans="1:9" ht="15.75" thickBot="1" x14ac:dyDescent="0.3">
      <c r="A15" s="18" t="s">
        <v>49</v>
      </c>
      <c r="B15" s="17">
        <v>120</v>
      </c>
      <c r="C15" s="17">
        <v>8.4</v>
      </c>
      <c r="D15" s="17">
        <v>13.35</v>
      </c>
      <c r="E15" s="23">
        <v>828</v>
      </c>
      <c r="F15" s="23">
        <v>514</v>
      </c>
      <c r="G15" s="21">
        <v>44665</v>
      </c>
      <c r="H15" s="22" t="s">
        <v>42</v>
      </c>
      <c r="I15" s="13"/>
    </row>
    <row r="16" spans="1:9" ht="15.75" thickBot="1" x14ac:dyDescent="0.3">
      <c r="A16" s="18" t="s">
        <v>91</v>
      </c>
      <c r="B16" s="17">
        <v>35</v>
      </c>
      <c r="C16" s="17">
        <v>4.5</v>
      </c>
      <c r="D16" s="17">
        <v>3.75</v>
      </c>
      <c r="E16" s="23">
        <v>1</v>
      </c>
      <c r="F16" s="23">
        <v>5</v>
      </c>
      <c r="G16" s="21">
        <v>44729</v>
      </c>
      <c r="H16" s="22" t="s">
        <v>42</v>
      </c>
      <c r="I16" s="13"/>
    </row>
    <row r="17" spans="1:9" ht="15.75" thickBot="1" x14ac:dyDescent="0.3">
      <c r="A17" s="18" t="s">
        <v>92</v>
      </c>
      <c r="B17" s="17">
        <v>120</v>
      </c>
      <c r="C17" s="17">
        <v>12.85</v>
      </c>
      <c r="D17" s="17">
        <v>16.899999999999999</v>
      </c>
      <c r="E17" s="23">
        <v>237</v>
      </c>
      <c r="F17" s="23">
        <v>63</v>
      </c>
      <c r="G17" s="21">
        <v>44729</v>
      </c>
      <c r="H17" s="22" t="s">
        <v>42</v>
      </c>
      <c r="I17" s="13"/>
    </row>
  </sheetData>
  <mergeCells count="7">
    <mergeCell ref="G11:G12"/>
    <mergeCell ref="A11:A12"/>
    <mergeCell ref="B11:B12"/>
    <mergeCell ref="C11:C12"/>
    <mergeCell ref="D11:D12"/>
    <mergeCell ref="E11:E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7"/>
  <sheetViews>
    <sheetView zoomScale="90" zoomScaleNormal="90" workbookViewId="0">
      <selection activeCell="B8" sqref="B8"/>
    </sheetView>
  </sheetViews>
  <sheetFormatPr defaultColWidth="11.5703125" defaultRowHeight="15" x14ac:dyDescent="0.25"/>
  <cols>
    <col min="1" max="1" width="42" customWidth="1"/>
    <col min="2" max="2" width="32.28515625" customWidth="1"/>
    <col min="4" max="4" width="42.7109375" customWidth="1"/>
  </cols>
  <sheetData>
    <row r="1" spans="1:3" x14ac:dyDescent="0.25">
      <c r="A1" t="s">
        <v>77</v>
      </c>
    </row>
    <row r="2" spans="1:3" x14ac:dyDescent="0.25">
      <c r="C2" t="s">
        <v>12</v>
      </c>
    </row>
    <row r="3" spans="1:3" x14ac:dyDescent="0.25">
      <c r="C3" t="s">
        <v>17</v>
      </c>
    </row>
    <row r="5" spans="1:3" x14ac:dyDescent="0.25">
      <c r="C5" t="s">
        <v>18</v>
      </c>
    </row>
    <row r="7" spans="1:3" x14ac:dyDescent="0.25">
      <c r="A7" t="s">
        <v>60</v>
      </c>
    </row>
    <row r="8" spans="1:3" ht="18" x14ac:dyDescent="0.35">
      <c r="A8" t="s">
        <v>61</v>
      </c>
      <c r="B8" s="33">
        <f>'Option Data'!C8</f>
        <v>115.34</v>
      </c>
    </row>
    <row r="9" spans="1:3" x14ac:dyDescent="0.25">
      <c r="A9" t="s">
        <v>62</v>
      </c>
      <c r="B9" s="33">
        <f>'Option Data'!B15</f>
        <v>120</v>
      </c>
    </row>
    <row r="10" spans="1:3" x14ac:dyDescent="0.25">
      <c r="A10" t="s">
        <v>63</v>
      </c>
      <c r="B10">
        <f>'Volatility C'!F9</f>
        <v>0.64806888811834895</v>
      </c>
    </row>
    <row r="11" spans="1:3" x14ac:dyDescent="0.25">
      <c r="A11" t="s">
        <v>64</v>
      </c>
      <c r="B11">
        <v>56</v>
      </c>
    </row>
    <row r="12" spans="1:3" x14ac:dyDescent="0.25">
      <c r="A12" t="s">
        <v>65</v>
      </c>
      <c r="B12">
        <f>'Risk Free Rates'!D7</f>
        <v>1.4576275304207847E-3</v>
      </c>
    </row>
    <row r="14" spans="1:3" ht="33.75" customHeight="1" x14ac:dyDescent="0.25">
      <c r="B14">
        <f>(LN(B8/B9)+(B12+((B10^2)/2))*(B11/252))/(B10*SQRT(B11/252))</f>
        <v>2.4164714023706894E-2</v>
      </c>
    </row>
    <row r="15" spans="1:3" ht="21.95" customHeight="1" x14ac:dyDescent="0.25">
      <c r="B15">
        <f>B14-(B10*SQRT(B11/252))</f>
        <v>-0.28133788961930012</v>
      </c>
    </row>
    <row r="16" spans="1:3" ht="18" x14ac:dyDescent="0.35">
      <c r="A16" t="s">
        <v>66</v>
      </c>
      <c r="B16">
        <f>_xlfn.NORM.DIST(B14,0,1,TRUE)</f>
        <v>0.50963938798196495</v>
      </c>
    </row>
    <row r="17" spans="1:5" ht="18" x14ac:dyDescent="0.35">
      <c r="A17" t="s">
        <v>67</v>
      </c>
      <c r="B17">
        <f>_xlfn.NORM.DIST(B15,0,1,TRUE)</f>
        <v>0.38922562583807219</v>
      </c>
    </row>
    <row r="18" spans="1:5" ht="18" x14ac:dyDescent="0.35">
      <c r="A18" t="s">
        <v>69</v>
      </c>
      <c r="B18" s="33">
        <f>(B8*B16)-(B9*EXP(-B12*B11/252)*B17)</f>
        <v>12.089858685567634</v>
      </c>
    </row>
    <row r="20" spans="1:5" x14ac:dyDescent="0.25">
      <c r="A20" t="s">
        <v>68</v>
      </c>
    </row>
    <row r="21" spans="1:5" ht="18" x14ac:dyDescent="0.35">
      <c r="A21" t="s">
        <v>70</v>
      </c>
      <c r="B21" s="33">
        <f>B18+B9*EXP(-B12*B11/252)-B8</f>
        <v>16.710994912752341</v>
      </c>
    </row>
    <row r="22" spans="1:5" x14ac:dyDescent="0.25">
      <c r="A22" t="s">
        <v>71</v>
      </c>
      <c r="D22" t="s">
        <v>72</v>
      </c>
    </row>
    <row r="23" spans="1:5" ht="46.5" customHeight="1" x14ac:dyDescent="0.25">
      <c r="B23">
        <f>B16</f>
        <v>0.50963938798196495</v>
      </c>
      <c r="E23">
        <f>B23-1</f>
        <v>-0.49036061201803505</v>
      </c>
    </row>
    <row r="24" spans="1:5" ht="37.35" customHeight="1" x14ac:dyDescent="0.25">
      <c r="B24">
        <f>(1/(SQRT(2*PI())*B8*B10*SQRT(B11/252)))*EXP(-((B14^2)/2))</f>
        <v>1.1318487703260043E-2</v>
      </c>
      <c r="E24">
        <f>(1/(SQRT(2*PI())*B8*B10*SQRT(B11/252)))*EXP(-((B14^2)/2))</f>
        <v>1.1318487703260043E-2</v>
      </c>
    </row>
    <row r="25" spans="1:5" ht="33" customHeight="1" x14ac:dyDescent="0.25">
      <c r="B25">
        <f>((B8*SQRT(B11/252))/(SQRT(2*PI())))*EXP(-(B14^2/2))</f>
        <v>21.684876669194555</v>
      </c>
      <c r="E25">
        <f>((B8*SQRT(B11/252))/(SQRT(2*PI())))*EXP(-(B14^2/2))</f>
        <v>21.684876669194555</v>
      </c>
    </row>
    <row r="26" spans="1:5" ht="32.450000000000003" customHeight="1" x14ac:dyDescent="0.25">
      <c r="B26">
        <f>((-(B8*B10)/(2*SQRT(2*PI())*SQRT(B11/252)))*EXP(-(B14^2/2)))-(B9*B12*EXP(-B12*B11/252)*B17)</f>
        <v>-31.687970771300439</v>
      </c>
      <c r="E26">
        <f>((-(B8*B10)/(2*SQRT(2*PI())*SQRT(B11/252)))*EXP(-(B14^2/2)))+B10*B12*EXP(-B12*B11/252)*(1-B17)</f>
        <v>-31.619334525062776</v>
      </c>
    </row>
    <row r="27" spans="1:5" x14ac:dyDescent="0.25">
      <c r="B27">
        <f>(B11/252)*B9*EXP(B12*B11/252)*B17</f>
        <v>10.382712617218273</v>
      </c>
      <c r="E27">
        <f>-(B11/252)*B9*EXP(B12*B11/252)*(1-B17)</f>
        <v>-16.292593241337265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7"/>
  <sheetViews>
    <sheetView workbookViewId="0">
      <selection activeCell="B8" sqref="B8"/>
    </sheetView>
  </sheetViews>
  <sheetFormatPr defaultColWidth="11.5703125" defaultRowHeight="15" x14ac:dyDescent="0.25"/>
  <cols>
    <col min="1" max="1" width="41.7109375" customWidth="1"/>
    <col min="2" max="2" width="31.5703125" customWidth="1"/>
    <col min="4" max="4" width="42.85546875" customWidth="1"/>
  </cols>
  <sheetData>
    <row r="1" spans="1:3" x14ac:dyDescent="0.25">
      <c r="A1" t="s">
        <v>75</v>
      </c>
      <c r="B1" s="7"/>
    </row>
    <row r="2" spans="1:3" x14ac:dyDescent="0.25">
      <c r="B2" s="5"/>
      <c r="C2" t="s">
        <v>12</v>
      </c>
    </row>
    <row r="3" spans="1:3" x14ac:dyDescent="0.25">
      <c r="C3" t="s">
        <v>19</v>
      </c>
    </row>
    <row r="5" spans="1:3" x14ac:dyDescent="0.25">
      <c r="C5" t="s">
        <v>20</v>
      </c>
    </row>
    <row r="7" spans="1:3" x14ac:dyDescent="0.25">
      <c r="A7" t="s">
        <v>60</v>
      </c>
    </row>
    <row r="8" spans="1:3" ht="18" x14ac:dyDescent="0.35">
      <c r="A8" t="s">
        <v>61</v>
      </c>
      <c r="B8" s="33">
        <f>'Option Data'!D8</f>
        <v>35.799999999999997</v>
      </c>
    </row>
    <row r="9" spans="1:3" x14ac:dyDescent="0.25">
      <c r="A9" t="s">
        <v>62</v>
      </c>
      <c r="B9" s="33">
        <f>'Option Data'!B16</f>
        <v>35</v>
      </c>
    </row>
    <row r="10" spans="1:3" x14ac:dyDescent="0.25">
      <c r="A10" t="s">
        <v>63</v>
      </c>
      <c r="B10">
        <f>'Volatility D'!F9</f>
        <v>0.44447467118231648</v>
      </c>
    </row>
    <row r="11" spans="1:3" x14ac:dyDescent="0.25">
      <c r="A11" t="s">
        <v>64</v>
      </c>
      <c r="B11">
        <v>119</v>
      </c>
    </row>
    <row r="12" spans="1:3" x14ac:dyDescent="0.25">
      <c r="A12" t="s">
        <v>65</v>
      </c>
      <c r="B12">
        <f>'Risk Free Rates'!E7</f>
        <v>4.6039749501168631E-3</v>
      </c>
    </row>
    <row r="14" spans="1:3" ht="33.950000000000003" customHeight="1" x14ac:dyDescent="0.25">
      <c r="B14">
        <f>(LN(B8/B9)+(B12+((B10^2)/2))*(B11/252))/(B10*SQRT(B11/252))</f>
        <v>0.23382805711335003</v>
      </c>
    </row>
    <row r="15" spans="1:3" ht="21.75" customHeight="1" x14ac:dyDescent="0.25">
      <c r="B15">
        <f>B14-(B10*SQRT(B11/252))</f>
        <v>-7.1607945752711455E-2</v>
      </c>
    </row>
    <row r="16" spans="1:3" ht="18" x14ac:dyDescent="0.35">
      <c r="A16" t="s">
        <v>66</v>
      </c>
      <c r="B16">
        <f>_xlfn.NORM.DIST(B14,0,1,TRUE)</f>
        <v>0.59244076656556888</v>
      </c>
    </row>
    <row r="17" spans="1:5" ht="18" x14ac:dyDescent="0.35">
      <c r="A17" t="s">
        <v>67</v>
      </c>
      <c r="B17">
        <f>_xlfn.NORM.DIST(B15,0,1,TRUE)</f>
        <v>0.47145695825762346</v>
      </c>
    </row>
    <row r="18" spans="1:5" ht="18" x14ac:dyDescent="0.35">
      <c r="A18" t="s">
        <v>69</v>
      </c>
      <c r="B18" s="33">
        <f>(B8*B16)-(B9*EXP(-B12*B11/252)*B17)</f>
        <v>4.7442217327957508</v>
      </c>
    </row>
    <row r="20" spans="1:5" x14ac:dyDescent="0.25">
      <c r="A20" t="s">
        <v>68</v>
      </c>
    </row>
    <row r="21" spans="1:5" ht="18" x14ac:dyDescent="0.35">
      <c r="A21" t="s">
        <v>70</v>
      </c>
      <c r="B21" s="33">
        <f>B18+B9*EXP(-B12*B11/252)-B8</f>
        <v>3.8682109153976043</v>
      </c>
    </row>
    <row r="22" spans="1:5" x14ac:dyDescent="0.25">
      <c r="A22" t="s">
        <v>71</v>
      </c>
      <c r="D22" t="s">
        <v>72</v>
      </c>
    </row>
    <row r="23" spans="1:5" ht="47.1" customHeight="1" x14ac:dyDescent="0.25">
      <c r="B23">
        <f>B16</f>
        <v>0.59244076656556888</v>
      </c>
      <c r="E23">
        <f>B23-1</f>
        <v>-0.40755923343443112</v>
      </c>
    </row>
    <row r="24" spans="1:5" ht="34.5" customHeight="1" x14ac:dyDescent="0.25">
      <c r="B24">
        <f>(1/(SQRT(2*PI())*B8*B10*SQRT(B11/252)))*EXP(-((B14^2)/2))</f>
        <v>3.5500475039732582E-2</v>
      </c>
      <c r="E24">
        <f>(1/(SQRT(2*PI())*B8*B10*SQRT(B11/252)))*EXP(-((B14^2)/2))</f>
        <v>3.5500475039732582E-2</v>
      </c>
    </row>
    <row r="25" spans="1:5" ht="34.700000000000003" customHeight="1" x14ac:dyDescent="0.25">
      <c r="B25">
        <f>((B8*SQRT(B11/252))/(SQRT(2*PI())))*EXP(-(B14^2/2))</f>
        <v>9.5497863532535501</v>
      </c>
      <c r="E25">
        <f>((B8*SQRT(B11/252))/(SQRT(2*PI())))*EXP(-(B14^2/2))</f>
        <v>9.5497863532535501</v>
      </c>
    </row>
    <row r="26" spans="1:5" ht="33" customHeight="1" x14ac:dyDescent="0.25">
      <c r="B26">
        <f>((-(B8*B10)/(2*SQRT(2*PI())*SQRT(B11/252)))*EXP(-(B14^2/2)))-(B9*B12*EXP(-B12*B11/252)*B17)</f>
        <v>-4.5701279198846292</v>
      </c>
      <c r="E26">
        <f>((-(B8*B10)/(2*SQRT(2*PI())*SQRT(B11/252)))*EXP(-(B14^2/2)))+B10*B12*EXP(-B12*B11/252)*(1-B17)</f>
        <v>-4.4932435109672895</v>
      </c>
    </row>
    <row r="27" spans="1:5" x14ac:dyDescent="0.25">
      <c r="B27">
        <f>(B11/252)*B9*EXP(B12*B11/252)*B17</f>
        <v>7.8090951437266138</v>
      </c>
      <c r="E27">
        <f>-(B11/252)*B9*EXP(B12*B11/252)*(1-B17)</f>
        <v>-8.7546547531609047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>
      <selection activeCell="B8" sqref="B8"/>
    </sheetView>
  </sheetViews>
  <sheetFormatPr defaultColWidth="11.5703125" defaultRowHeight="15" x14ac:dyDescent="0.25"/>
  <cols>
    <col min="1" max="1" width="41.42578125" customWidth="1"/>
    <col min="2" max="2" width="32" customWidth="1"/>
    <col min="4" max="4" width="42.85546875" customWidth="1"/>
  </cols>
  <sheetData>
    <row r="1" spans="1:3" x14ac:dyDescent="0.25">
      <c r="A1" t="s">
        <v>76</v>
      </c>
      <c r="B1" s="7"/>
    </row>
    <row r="2" spans="1:3" x14ac:dyDescent="0.25">
      <c r="B2" s="5"/>
      <c r="C2" t="s">
        <v>12</v>
      </c>
    </row>
    <row r="3" spans="1:3" x14ac:dyDescent="0.25">
      <c r="C3" t="s">
        <v>21</v>
      </c>
    </row>
    <row r="5" spans="1:3" x14ac:dyDescent="0.25">
      <c r="C5" t="s">
        <v>22</v>
      </c>
    </row>
    <row r="7" spans="1:3" x14ac:dyDescent="0.25">
      <c r="A7" t="s">
        <v>60</v>
      </c>
    </row>
    <row r="8" spans="1:3" ht="18" x14ac:dyDescent="0.35">
      <c r="A8" t="s">
        <v>61</v>
      </c>
      <c r="B8" s="33">
        <f>'Option Data'!C8</f>
        <v>115.34</v>
      </c>
    </row>
    <row r="9" spans="1:3" x14ac:dyDescent="0.25">
      <c r="A9" t="s">
        <v>62</v>
      </c>
      <c r="B9" s="33">
        <f>'Option Data'!B17</f>
        <v>120</v>
      </c>
    </row>
    <row r="10" spans="1:3" x14ac:dyDescent="0.25">
      <c r="A10" t="s">
        <v>63</v>
      </c>
      <c r="B10">
        <f>'Volatility E'!F9</f>
        <v>0.59737481730899356</v>
      </c>
    </row>
    <row r="11" spans="1:3" x14ac:dyDescent="0.25">
      <c r="A11" t="s">
        <v>64</v>
      </c>
      <c r="B11">
        <v>119</v>
      </c>
    </row>
    <row r="12" spans="1:3" x14ac:dyDescent="0.25">
      <c r="A12" t="s">
        <v>65</v>
      </c>
      <c r="B12">
        <f>'Risk Free Rates'!E7</f>
        <v>4.6039749501168631E-3</v>
      </c>
    </row>
    <row r="14" spans="1:3" ht="33.4" customHeight="1" x14ac:dyDescent="0.25">
      <c r="B14">
        <f>(LN(B8/B9)+(B12+((B10^2)/2))*(B11/252))/(B10*SQRT(B11/252))</f>
        <v>0.11406509074066612</v>
      </c>
    </row>
    <row r="15" spans="1:3" ht="22.5" customHeight="1" x14ac:dyDescent="0.25">
      <c r="B15">
        <f>B14-(B10*SQRT(B11/252))</f>
        <v>-0.29644148756750616</v>
      </c>
    </row>
    <row r="16" spans="1:3" ht="18" x14ac:dyDescent="0.35">
      <c r="A16" t="s">
        <v>66</v>
      </c>
      <c r="B16">
        <f>_xlfn.NORM.DIST(B14,0,1,TRUE)</f>
        <v>0.54540690244104761</v>
      </c>
    </row>
    <row r="17" spans="1:5" ht="18" x14ac:dyDescent="0.35">
      <c r="A17" t="s">
        <v>67</v>
      </c>
      <c r="B17">
        <f>_xlfn.NORM.DIST(B15,0,1,TRUE)</f>
        <v>0.38344647291291711</v>
      </c>
    </row>
    <row r="18" spans="1:5" ht="18" x14ac:dyDescent="0.35">
      <c r="A18" t="s">
        <v>69</v>
      </c>
      <c r="B18" s="33">
        <f>(B8*B16)-(B9*EXP(-B12*B11/252)*B17)</f>
        <v>16.993584794575973</v>
      </c>
    </row>
    <row r="20" spans="1:5" x14ac:dyDescent="0.25">
      <c r="A20" t="s">
        <v>68</v>
      </c>
    </row>
    <row r="21" spans="1:5" ht="18" x14ac:dyDescent="0.35">
      <c r="A21" t="s">
        <v>70</v>
      </c>
      <c r="B21" s="33">
        <f>B18+B9*EXP(-B12*B11/252)-B8</f>
        <v>21.392976277782338</v>
      </c>
    </row>
    <row r="22" spans="1:5" x14ac:dyDescent="0.25">
      <c r="A22" t="s">
        <v>71</v>
      </c>
      <c r="D22" t="s">
        <v>72</v>
      </c>
    </row>
    <row r="23" spans="1:5" ht="47.1" customHeight="1" x14ac:dyDescent="0.25">
      <c r="B23">
        <f>B16</f>
        <v>0.54540690244104761</v>
      </c>
      <c r="E23">
        <f>B23-1</f>
        <v>-0.45459309755895239</v>
      </c>
    </row>
    <row r="24" spans="1:5" ht="32.65" customHeight="1" x14ac:dyDescent="0.25">
      <c r="B24">
        <f>(1/(SQRT(2*PI())*B8*B10*SQRT(B11/252)))*EXP(-((B14^2)/2))</f>
        <v>8.3711423798350799E-3</v>
      </c>
      <c r="E24">
        <f>(1/(SQRT(2*PI())*B8*B10*SQRT(B11/252)))*EXP(-((B14^2)/2))</f>
        <v>8.3711423798350799E-3</v>
      </c>
    </row>
    <row r="25" spans="1:5" ht="31.5" customHeight="1" x14ac:dyDescent="0.25">
      <c r="B25">
        <f>((B8*SQRT(B11/252))/(SQRT(2*PI())))*EXP(-(B14^2/2))</f>
        <v>31.415064384005763</v>
      </c>
      <c r="E25">
        <f>((B8*SQRT(B11/252))/(SQRT(2*PI())))*EXP(-(B14^2/2))</f>
        <v>31.415064384005763</v>
      </c>
    </row>
    <row r="26" spans="1:5" ht="33.950000000000003" customHeight="1" x14ac:dyDescent="0.25">
      <c r="B26">
        <f>((-(B8*B10)/(2*SQRT(2*PI())*SQRT(B11/252)))*EXP(-(B14^2/2)))-(B9*B12*EXP(-B12*B11/252)*B17)</f>
        <v>-20.081869414461444</v>
      </c>
      <c r="E26">
        <f>((-(B8*B10)/(2*SQRT(2*PI())*SQRT(B11/252)))*EXP(-(B14^2/2)))+B10*B12*EXP(-B12*B11/252)*(1-B17)</f>
        <v>-19.868792108540486</v>
      </c>
    </row>
    <row r="27" spans="1:5" x14ac:dyDescent="0.25">
      <c r="B27">
        <f>(B11/252)*B9*EXP(B12*B11/252)*B17</f>
        <v>21.775925061165299</v>
      </c>
      <c r="E27">
        <f>-(B11/252)*B9*EXP(B12*B11/252)*(1-B17)</f>
        <v>-35.014074585306183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G13"/>
  <sheetViews>
    <sheetView workbookViewId="0">
      <selection activeCell="B11" sqref="B11"/>
    </sheetView>
  </sheetViews>
  <sheetFormatPr defaultColWidth="11.5703125" defaultRowHeight="15" x14ac:dyDescent="0.25"/>
  <cols>
    <col min="1" max="1" width="28.28515625" bestFit="1" customWidth="1"/>
    <col min="2" max="2" width="37" bestFit="1" customWidth="1"/>
  </cols>
  <sheetData>
    <row r="2" spans="1:7" x14ac:dyDescent="0.25">
      <c r="B2" t="s">
        <v>23</v>
      </c>
    </row>
    <row r="3" spans="1:7" x14ac:dyDescent="0.25">
      <c r="B3" s="3"/>
      <c r="C3" s="3"/>
      <c r="D3" s="3"/>
      <c r="E3" s="3"/>
      <c r="F3" s="3"/>
    </row>
    <row r="4" spans="1:7" ht="15.75" thickBot="1" x14ac:dyDescent="0.3">
      <c r="A4" t="s">
        <v>90</v>
      </c>
      <c r="B4" s="7"/>
      <c r="C4" s="7"/>
      <c r="D4" s="7"/>
      <c r="E4" s="7"/>
      <c r="F4" s="7"/>
    </row>
    <row r="5" spans="1:7" ht="15.75" thickBot="1" x14ac:dyDescent="0.3">
      <c r="B5" s="31"/>
      <c r="C5" s="30" t="s">
        <v>78</v>
      </c>
      <c r="D5" s="30" t="s">
        <v>79</v>
      </c>
      <c r="E5" s="30" t="s">
        <v>80</v>
      </c>
      <c r="F5" s="30" t="s">
        <v>81</v>
      </c>
      <c r="G5" s="30" t="s">
        <v>82</v>
      </c>
    </row>
    <row r="6" spans="1:7" ht="15.75" thickBot="1" x14ac:dyDescent="0.3">
      <c r="B6" s="29" t="s">
        <v>83</v>
      </c>
      <c r="C6" s="28" t="s">
        <v>45</v>
      </c>
      <c r="D6" s="28" t="s">
        <v>43</v>
      </c>
      <c r="E6" s="28" t="s">
        <v>44</v>
      </c>
      <c r="F6" s="28" t="s">
        <v>45</v>
      </c>
      <c r="G6" s="28" t="s">
        <v>44</v>
      </c>
    </row>
    <row r="7" spans="1:7" ht="15.75" thickBot="1" x14ac:dyDescent="0.3">
      <c r="B7" s="29" t="s">
        <v>84</v>
      </c>
      <c r="C7" s="32">
        <v>44667</v>
      </c>
      <c r="D7" s="32">
        <v>44667</v>
      </c>
      <c r="E7" s="32">
        <v>44667</v>
      </c>
      <c r="F7" s="32">
        <v>44729</v>
      </c>
      <c r="G7" s="32">
        <v>44729</v>
      </c>
    </row>
    <row r="8" spans="1:7" ht="15.75" thickBot="1" x14ac:dyDescent="0.3">
      <c r="B8" s="29" t="s">
        <v>85</v>
      </c>
      <c r="C8" s="25">
        <f>'Pricing A'!B18</f>
        <v>3.2136069558113647</v>
      </c>
      <c r="D8" s="25">
        <f>'Pricing B'!B18</f>
        <v>6.4386916968244776</v>
      </c>
      <c r="E8" s="25">
        <f>'Pricing C'!B18</f>
        <v>12.089858685567634</v>
      </c>
      <c r="F8" s="25">
        <f>'Pricing D'!B18</f>
        <v>4.7442217327957508</v>
      </c>
      <c r="G8" s="25">
        <f>'Pricing E'!B18</f>
        <v>16.993584794575973</v>
      </c>
    </row>
    <row r="9" spans="1:7" ht="15.75" thickBot="1" x14ac:dyDescent="0.3">
      <c r="B9" s="29" t="s">
        <v>86</v>
      </c>
      <c r="C9" s="27">
        <f>'Option Data'!C13</f>
        <v>2.54</v>
      </c>
      <c r="D9" s="25">
        <f>'Option Data'!C14</f>
        <v>6.6</v>
      </c>
      <c r="E9" s="27">
        <f>'Option Data'!D15</f>
        <v>13.35</v>
      </c>
      <c r="F9" s="27">
        <f>'Option Data'!C16</f>
        <v>4.5</v>
      </c>
      <c r="G9" s="27">
        <f>'Option Data'!C17</f>
        <v>12.85</v>
      </c>
    </row>
    <row r="10" spans="1:7" ht="15.75" thickBot="1" x14ac:dyDescent="0.3">
      <c r="B10" s="26" t="s">
        <v>87</v>
      </c>
      <c r="C10" s="24">
        <f>(C8-C9)/C9</f>
        <v>0.26519958890211204</v>
      </c>
      <c r="D10" s="24">
        <f t="shared" ref="D10:G10" si="0">(D8-D9)/D9</f>
        <v>-2.4440651996291217E-2</v>
      </c>
      <c r="E10" s="24">
        <f t="shared" si="0"/>
        <v>-9.4392607822649105E-2</v>
      </c>
      <c r="F10" s="24">
        <f t="shared" si="0"/>
        <v>5.4271496176833502E-2</v>
      </c>
      <c r="G10" s="24">
        <f t="shared" si="0"/>
        <v>0.32245796066739096</v>
      </c>
    </row>
    <row r="11" spans="1:7" ht="15.75" thickBot="1" x14ac:dyDescent="0.3">
      <c r="B11" s="29" t="s">
        <v>88</v>
      </c>
      <c r="C11" s="25">
        <f>'Pricing A'!B21</f>
        <v>3.4019478239667862</v>
      </c>
      <c r="D11" s="25">
        <f>'Pricing B'!B21</f>
        <v>0.99302406328891379</v>
      </c>
      <c r="E11" s="25">
        <f>'Pricing C'!B21</f>
        <v>16.710994912752341</v>
      </c>
      <c r="F11" s="25">
        <f>'Pricing D'!B21</f>
        <v>3.8682109153976043</v>
      </c>
      <c r="G11" s="25">
        <f>'Pricing E'!B21</f>
        <v>21.392976277782338</v>
      </c>
    </row>
    <row r="12" spans="1:7" ht="15.75" thickBot="1" x14ac:dyDescent="0.3">
      <c r="B12" s="29" t="s">
        <v>89</v>
      </c>
      <c r="C12" s="25">
        <f>'Option Data'!D13</f>
        <v>2.66</v>
      </c>
      <c r="D12" s="25">
        <f>'Option Data'!D14</f>
        <v>0.95</v>
      </c>
      <c r="E12" s="25">
        <f>'Option Data'!D15</f>
        <v>13.35</v>
      </c>
      <c r="F12" s="25">
        <f>'Option Data'!D16</f>
        <v>3.75</v>
      </c>
      <c r="G12" s="25">
        <f>'Option Data'!D17</f>
        <v>16.899999999999999</v>
      </c>
    </row>
    <row r="13" spans="1:7" ht="15.75" thickBot="1" x14ac:dyDescent="0.3">
      <c r="B13" s="26" t="s">
        <v>87</v>
      </c>
      <c r="C13" s="24">
        <f>(C11-C12)/C12</f>
        <v>0.2789277533709722</v>
      </c>
      <c r="D13" s="24">
        <f t="shared" ref="D13:G13" si="1">(D11-D12)/D12</f>
        <v>4.5288487672540886E-2</v>
      </c>
      <c r="E13" s="24">
        <f t="shared" si="1"/>
        <v>0.25175991855822782</v>
      </c>
      <c r="F13" s="24">
        <f t="shared" si="1"/>
        <v>3.1522910772694486E-2</v>
      </c>
      <c r="G13" s="24">
        <f t="shared" si="1"/>
        <v>0.26585658448416216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6"/>
  <sheetViews>
    <sheetView topLeftCell="A23" workbookViewId="0">
      <selection activeCell="D56" sqref="D56"/>
    </sheetView>
  </sheetViews>
  <sheetFormatPr defaultColWidth="11.5703125" defaultRowHeight="15" x14ac:dyDescent="0.25"/>
  <cols>
    <col min="1" max="1" width="41.5703125" bestFit="1" customWidth="1"/>
    <col min="2" max="2" width="16.42578125" bestFit="1" customWidth="1"/>
    <col min="3" max="3" width="12.5703125" customWidth="1"/>
    <col min="5" max="5" width="29.85546875" bestFit="1" customWidth="1"/>
    <col min="6" max="6" width="44.85546875" bestFit="1" customWidth="1"/>
    <col min="7" max="7" width="21.85546875" bestFit="1" customWidth="1"/>
    <col min="8" max="8" width="26" bestFit="1" customWidth="1"/>
    <col min="9" max="9" width="10.7109375" bestFit="1" customWidth="1"/>
    <col min="12" max="12" width="39" bestFit="1" customWidth="1"/>
    <col min="13" max="13" width="12.85546875" bestFit="1" customWidth="1"/>
    <col min="14" max="14" width="13.42578125" bestFit="1" customWidth="1"/>
  </cols>
  <sheetData>
    <row r="1" spans="1:13" x14ac:dyDescent="0.25">
      <c r="H1" t="s">
        <v>101</v>
      </c>
    </row>
    <row r="2" spans="1:13" x14ac:dyDescent="0.25">
      <c r="C2" t="s">
        <v>26</v>
      </c>
      <c r="H2" t="s">
        <v>65</v>
      </c>
      <c r="I2">
        <f>'Risk Free Rates'!D7</f>
        <v>1.4576275304207847E-3</v>
      </c>
    </row>
    <row r="3" spans="1:13" x14ac:dyDescent="0.25">
      <c r="C3" t="s">
        <v>24</v>
      </c>
      <c r="H3" t="s">
        <v>35</v>
      </c>
      <c r="I3" s="33">
        <f>'Option Data'!C13</f>
        <v>2.54</v>
      </c>
      <c r="M3" s="7"/>
    </row>
    <row r="4" spans="1:13" x14ac:dyDescent="0.25">
      <c r="C4" t="s">
        <v>25</v>
      </c>
      <c r="H4" t="s">
        <v>100</v>
      </c>
      <c r="I4">
        <f>'Volatility A'!F8</f>
        <v>0.49098245051204414</v>
      </c>
      <c r="L4" s="7"/>
      <c r="M4" s="7"/>
    </row>
    <row r="5" spans="1:13" x14ac:dyDescent="0.25">
      <c r="B5" s="3"/>
      <c r="C5" s="7"/>
      <c r="E5" s="6"/>
      <c r="F5" s="6"/>
      <c r="G5" s="7"/>
      <c r="H5" t="s">
        <v>34</v>
      </c>
      <c r="I5">
        <f>'Option Data'!B13</f>
        <v>36</v>
      </c>
      <c r="M5" s="7"/>
    </row>
    <row r="6" spans="1:13" x14ac:dyDescent="0.25">
      <c r="B6" s="3"/>
      <c r="C6" s="7"/>
      <c r="E6" s="6"/>
      <c r="F6" s="6"/>
      <c r="G6" s="7"/>
      <c r="H6" s="7"/>
      <c r="L6" s="8"/>
      <c r="M6" s="7"/>
    </row>
    <row r="7" spans="1:13" x14ac:dyDescent="0.25">
      <c r="A7" t="s">
        <v>50</v>
      </c>
      <c r="B7" s="5" t="s">
        <v>58</v>
      </c>
      <c r="C7" s="7" t="s">
        <v>93</v>
      </c>
      <c r="D7" t="s">
        <v>94</v>
      </c>
      <c r="E7" s="6" t="s">
        <v>95</v>
      </c>
      <c r="F7" s="6" t="s">
        <v>96</v>
      </c>
      <c r="G7" s="7" t="s">
        <v>97</v>
      </c>
      <c r="H7" s="7" t="s">
        <v>99</v>
      </c>
      <c r="I7" t="s">
        <v>98</v>
      </c>
      <c r="M7" s="7"/>
    </row>
    <row r="8" spans="1:13" x14ac:dyDescent="0.25">
      <c r="A8" s="3">
        <v>44608</v>
      </c>
      <c r="B8" s="34">
        <v>57</v>
      </c>
      <c r="C8" s="33">
        <v>36.240001999999997</v>
      </c>
      <c r="D8">
        <f>_xlfn.NORM.DIST((LN(C8/$I$5)+($I$2+$I$4^2/2)*(B8/252))/($I$4*SQRT(B8/252)),0,1,TRUE)</f>
        <v>0.55828471492688214</v>
      </c>
      <c r="E8" s="6">
        <f>D8</f>
        <v>0.55828471492688214</v>
      </c>
      <c r="F8" s="36">
        <f>10000*E8</f>
        <v>5582.8471492688213</v>
      </c>
      <c r="G8" s="37">
        <f>C8*F8</f>
        <v>202322.39185519636</v>
      </c>
      <c r="H8" s="37">
        <f>G8</f>
        <v>202322.39185519636</v>
      </c>
      <c r="I8" s="37">
        <f>H8*EXP(I2*1/252)-H8</f>
        <v>1.1702838940836955</v>
      </c>
    </row>
    <row r="9" spans="1:13" x14ac:dyDescent="0.25">
      <c r="A9" s="3">
        <v>44609</v>
      </c>
      <c r="B9" s="34">
        <v>56</v>
      </c>
      <c r="C9" s="33">
        <v>35.43</v>
      </c>
      <c r="D9">
        <f t="shared" ref="D9:D47" si="0">_xlfn.NORM.DIST((LN(C9/$I$5)+($I$2+$I$4^2/2)*(B9/252))/($I$4*SQRT(B9/252)),0,1,TRUE)</f>
        <v>0.51920918880498435</v>
      </c>
      <c r="E9" s="35">
        <f>D9-D8</f>
        <v>-3.9075526121897797E-2</v>
      </c>
      <c r="F9" s="36">
        <f t="shared" ref="F9:F48" si="1">10000*E9</f>
        <v>-390.75526121897798</v>
      </c>
      <c r="G9" s="37">
        <f t="shared" ref="G9:G48" si="2">C9*F9</f>
        <v>-13844.458904988389</v>
      </c>
      <c r="H9" s="37">
        <f>G9+H8+I8</f>
        <v>188479.10323410205</v>
      </c>
      <c r="I9" s="37">
        <f>H9*EXP($I$2*(B8-B9)/252)-H9</f>
        <v>1.0902108108857647</v>
      </c>
    </row>
    <row r="10" spans="1:13" x14ac:dyDescent="0.25">
      <c r="A10" s="3">
        <v>44610</v>
      </c>
      <c r="B10" s="34">
        <v>55</v>
      </c>
      <c r="C10" s="33">
        <v>34.32</v>
      </c>
      <c r="D10">
        <f t="shared" si="0"/>
        <v>0.46323917960578792</v>
      </c>
      <c r="E10" s="35">
        <f>D10-D9</f>
        <v>-5.5970009199196424E-2</v>
      </c>
      <c r="F10" s="36">
        <f t="shared" si="1"/>
        <v>-559.7000919919642</v>
      </c>
      <c r="G10" s="37">
        <f t="shared" si="2"/>
        <v>-19208.907157164213</v>
      </c>
      <c r="H10" s="37">
        <f t="shared" ref="H10:H48" si="3">G10+H9+I9</f>
        <v>169271.28628774872</v>
      </c>
      <c r="I10" s="37">
        <f t="shared" ref="I10:I47" si="4">H10*EXP($I$2*(B9-B10)/252)-H10</f>
        <v>0.979107938852394</v>
      </c>
      <c r="L10" s="1"/>
    </row>
    <row r="11" spans="1:13" x14ac:dyDescent="0.25">
      <c r="A11" s="3">
        <v>44614</v>
      </c>
      <c r="B11" s="34">
        <v>51</v>
      </c>
      <c r="C11" s="33">
        <v>32.93</v>
      </c>
      <c r="D11">
        <f t="shared" si="0"/>
        <v>0.38522922891601535</v>
      </c>
      <c r="E11" s="35">
        <f>D11-D10</f>
        <v>-7.8009950689772567E-2</v>
      </c>
      <c r="F11" s="36">
        <f t="shared" si="1"/>
        <v>-780.09950689772563</v>
      </c>
      <c r="G11" s="37">
        <f t="shared" si="2"/>
        <v>-25688.676762142106</v>
      </c>
      <c r="H11" s="37">
        <f t="shared" si="3"/>
        <v>143583.58863354547</v>
      </c>
      <c r="I11" s="37">
        <f t="shared" si="4"/>
        <v>3.322124014433939</v>
      </c>
    </row>
    <row r="12" spans="1:13" x14ac:dyDescent="0.25">
      <c r="A12" s="3">
        <v>44615</v>
      </c>
      <c r="B12" s="34">
        <v>50</v>
      </c>
      <c r="C12" s="33">
        <v>32.759998000000003</v>
      </c>
      <c r="D12">
        <f t="shared" si="0"/>
        <v>0.37427246283092985</v>
      </c>
      <c r="E12" s="35">
        <f>D12-D11</f>
        <v>-1.0956766085085501E-2</v>
      </c>
      <c r="F12" s="36">
        <f t="shared" si="1"/>
        <v>-109.56766085085501</v>
      </c>
      <c r="G12" s="37">
        <f t="shared" si="2"/>
        <v>-3589.4363503386885</v>
      </c>
      <c r="H12" s="37">
        <f t="shared" si="3"/>
        <v>139997.47440722122</v>
      </c>
      <c r="I12" s="37">
        <f t="shared" si="4"/>
        <v>0.80978080580825917</v>
      </c>
      <c r="L12" s="7"/>
    </row>
    <row r="13" spans="1:13" x14ac:dyDescent="0.25">
      <c r="A13" s="3">
        <v>44616</v>
      </c>
      <c r="B13" s="34">
        <v>49</v>
      </c>
      <c r="C13" s="33">
        <v>34.979999999999997</v>
      </c>
      <c r="D13">
        <f t="shared" si="0"/>
        <v>0.49074644020660219</v>
      </c>
      <c r="E13" s="35">
        <f>D13-D12</f>
        <v>0.11647397737567233</v>
      </c>
      <c r="F13" s="36">
        <f t="shared" si="1"/>
        <v>1164.7397737567233</v>
      </c>
      <c r="G13" s="37">
        <f t="shared" si="2"/>
        <v>40742.597286010176</v>
      </c>
      <c r="H13" s="37">
        <f t="shared" si="3"/>
        <v>180740.88147403722</v>
      </c>
      <c r="I13" s="37">
        <f t="shared" si="4"/>
        <v>1.045450978766894</v>
      </c>
      <c r="L13" s="1"/>
    </row>
    <row r="14" spans="1:13" x14ac:dyDescent="0.25">
      <c r="A14" s="3">
        <v>44617</v>
      </c>
      <c r="B14" s="34">
        <v>48</v>
      </c>
      <c r="C14" s="33">
        <v>35.290000999999997</v>
      </c>
      <c r="D14">
        <f t="shared" si="0"/>
        <v>0.50617488606635375</v>
      </c>
      <c r="E14" s="35">
        <f t="shared" ref="E14:E48" si="5">D14-D13</f>
        <v>1.5428445859751561E-2</v>
      </c>
      <c r="F14" s="36">
        <f t="shared" si="1"/>
        <v>154.2844585975156</v>
      </c>
      <c r="G14" s="37">
        <f t="shared" si="2"/>
        <v>5444.698698190783</v>
      </c>
      <c r="H14" s="37">
        <f t="shared" si="3"/>
        <v>186186.62562320675</v>
      </c>
      <c r="I14" s="37">
        <f t="shared" si="4"/>
        <v>1.0769505404750817</v>
      </c>
    </row>
    <row r="15" spans="1:13" x14ac:dyDescent="0.25">
      <c r="A15" s="3">
        <v>44620</v>
      </c>
      <c r="B15" s="34">
        <v>45</v>
      </c>
      <c r="C15" s="33">
        <v>35.549999</v>
      </c>
      <c r="D15">
        <f t="shared" si="0"/>
        <v>0.51769379144364414</v>
      </c>
      <c r="E15" s="35">
        <f t="shared" si="5"/>
        <v>1.1518905377290389E-2</v>
      </c>
      <c r="F15" s="36">
        <f t="shared" si="1"/>
        <v>115.18905377290389</v>
      </c>
      <c r="G15" s="37">
        <f t="shared" si="2"/>
        <v>4094.9707464376793</v>
      </c>
      <c r="H15" s="37">
        <f>G15+H14+I14</f>
        <v>190282.6733201849</v>
      </c>
      <c r="I15" s="37">
        <f t="shared" si="4"/>
        <v>3.3019484487303998</v>
      </c>
    </row>
    <row r="16" spans="1:13" x14ac:dyDescent="0.25">
      <c r="A16" s="3">
        <v>44621</v>
      </c>
      <c r="B16" s="34">
        <v>44</v>
      </c>
      <c r="C16" s="33">
        <v>35.560001</v>
      </c>
      <c r="D16">
        <f t="shared" si="0"/>
        <v>0.5174996776933658</v>
      </c>
      <c r="E16" s="35">
        <f t="shared" si="5"/>
        <v>-1.9411375027833522E-4</v>
      </c>
      <c r="F16" s="36">
        <f t="shared" si="1"/>
        <v>-1.9411375027833522</v>
      </c>
      <c r="G16" s="37">
        <f t="shared" si="2"/>
        <v>-69.026851540113512</v>
      </c>
      <c r="H16" s="37">
        <f t="shared" si="3"/>
        <v>190216.94841709352</v>
      </c>
      <c r="I16" s="37">
        <f t="shared" si="4"/>
        <v>1.1002629470312968</v>
      </c>
    </row>
    <row r="17" spans="1:9" x14ac:dyDescent="0.25">
      <c r="A17" s="3">
        <v>44622</v>
      </c>
      <c r="B17" s="34">
        <v>43</v>
      </c>
      <c r="C17" s="33">
        <v>34.619999</v>
      </c>
      <c r="D17">
        <f t="shared" si="0"/>
        <v>0.46410755431381412</v>
      </c>
      <c r="E17" s="35">
        <f t="shared" si="5"/>
        <v>-5.3392123379551681E-2</v>
      </c>
      <c r="F17" s="36">
        <f t="shared" si="1"/>
        <v>-533.92123379551686</v>
      </c>
      <c r="G17" s="37">
        <f t="shared" si="2"/>
        <v>-18484.352580079561</v>
      </c>
      <c r="H17" s="37">
        <f t="shared" si="3"/>
        <v>171733.696099961</v>
      </c>
      <c r="I17" s="37">
        <f t="shared" si="4"/>
        <v>0.99335114008863457</v>
      </c>
    </row>
    <row r="18" spans="1:9" x14ac:dyDescent="0.25">
      <c r="A18" s="3">
        <v>44623</v>
      </c>
      <c r="B18" s="34">
        <v>42</v>
      </c>
      <c r="C18" s="33">
        <v>33.490001999999997</v>
      </c>
      <c r="D18">
        <f t="shared" si="0"/>
        <v>0.39776808897009924</v>
      </c>
      <c r="E18" s="35">
        <f t="shared" si="5"/>
        <v>-6.6339465343714876E-2</v>
      </c>
      <c r="F18" s="36">
        <f t="shared" si="1"/>
        <v>-663.3946534371488</v>
      </c>
      <c r="G18" s="37">
        <f t="shared" si="2"/>
        <v>-22217.088270399418</v>
      </c>
      <c r="H18" s="37">
        <f t="shared" si="3"/>
        <v>149517.60118070166</v>
      </c>
      <c r="I18" s="37">
        <f t="shared" si="4"/>
        <v>0.86484762729378417</v>
      </c>
    </row>
    <row r="19" spans="1:9" x14ac:dyDescent="0.25">
      <c r="A19" s="3">
        <v>44624</v>
      </c>
      <c r="B19" s="34">
        <v>41</v>
      </c>
      <c r="C19" s="33">
        <v>33.389999000000003</v>
      </c>
      <c r="D19">
        <f t="shared" si="0"/>
        <v>0.38981000978569941</v>
      </c>
      <c r="E19" s="35">
        <f t="shared" si="5"/>
        <v>-7.9580791843998355E-3</v>
      </c>
      <c r="F19" s="36">
        <f t="shared" si="1"/>
        <v>-79.580791843998355</v>
      </c>
      <c r="G19" s="37">
        <f t="shared" si="2"/>
        <v>-2657.2025600903135</v>
      </c>
      <c r="H19" s="37">
        <f t="shared" si="3"/>
        <v>146861.26346823864</v>
      </c>
      <c r="I19" s="37">
        <f t="shared" si="4"/>
        <v>0.84948269801679999</v>
      </c>
    </row>
    <row r="20" spans="1:9" x14ac:dyDescent="0.25">
      <c r="A20" s="3">
        <v>44627</v>
      </c>
      <c r="B20" s="34">
        <v>38</v>
      </c>
      <c r="C20" s="33">
        <v>32.419998</v>
      </c>
      <c r="D20">
        <f t="shared" si="0"/>
        <v>0.32531275116709868</v>
      </c>
      <c r="E20" s="35">
        <f t="shared" si="5"/>
        <v>-6.4497258618600728E-2</v>
      </c>
      <c r="F20" s="36">
        <f t="shared" si="1"/>
        <v>-644.97258618600733</v>
      </c>
      <c r="G20" s="37">
        <f t="shared" si="2"/>
        <v>-20910.009954205187</v>
      </c>
      <c r="H20" s="37">
        <f t="shared" si="3"/>
        <v>125952.10299673147</v>
      </c>
      <c r="I20" s="37">
        <f t="shared" si="4"/>
        <v>2.1856291161238914</v>
      </c>
    </row>
    <row r="21" spans="1:9" x14ac:dyDescent="0.25">
      <c r="A21" s="3">
        <v>44628</v>
      </c>
      <c r="B21" s="34">
        <v>37</v>
      </c>
      <c r="C21" s="33">
        <v>32.68</v>
      </c>
      <c r="D21">
        <f t="shared" si="0"/>
        <v>0.33757602555507726</v>
      </c>
      <c r="E21" s="35">
        <f t="shared" si="5"/>
        <v>1.2263274387978584E-2</v>
      </c>
      <c r="F21" s="36">
        <f t="shared" si="1"/>
        <v>122.63274387978585</v>
      </c>
      <c r="G21" s="37">
        <f t="shared" si="2"/>
        <v>4007.6380699914016</v>
      </c>
      <c r="H21" s="37">
        <f t="shared" si="3"/>
        <v>129961.92669583899</v>
      </c>
      <c r="I21" s="37">
        <f t="shared" si="4"/>
        <v>0.75173265924968291</v>
      </c>
    </row>
    <row r="22" spans="1:9" x14ac:dyDescent="0.25">
      <c r="A22" s="3">
        <v>44629</v>
      </c>
      <c r="B22" s="34">
        <v>36</v>
      </c>
      <c r="C22" s="33">
        <v>34.369999</v>
      </c>
      <c r="D22">
        <f t="shared" si="0"/>
        <v>0.43810513372519205</v>
      </c>
      <c r="E22" s="35">
        <f t="shared" si="5"/>
        <v>0.10052910817011479</v>
      </c>
      <c r="F22" s="36">
        <f t="shared" si="1"/>
        <v>1005.2910817011478</v>
      </c>
      <c r="G22" s="37">
        <f t="shared" si="2"/>
        <v>34551.853472777373</v>
      </c>
      <c r="H22" s="37">
        <f t="shared" si="3"/>
        <v>164514.53190127562</v>
      </c>
      <c r="I22" s="37">
        <f t="shared" si="4"/>
        <v>0.95159366820007563</v>
      </c>
    </row>
    <row r="23" spans="1:9" x14ac:dyDescent="0.25">
      <c r="A23" s="3">
        <v>44630</v>
      </c>
      <c r="B23" s="34">
        <v>35</v>
      </c>
      <c r="C23" s="33">
        <v>34.119999</v>
      </c>
      <c r="D23">
        <f t="shared" si="0"/>
        <v>0.42053388696690247</v>
      </c>
      <c r="E23" s="35">
        <f t="shared" si="5"/>
        <v>-1.7571246758289583E-2</v>
      </c>
      <c r="F23" s="36">
        <f t="shared" si="1"/>
        <v>-175.71246758289584</v>
      </c>
      <c r="G23" s="37">
        <f t="shared" si="2"/>
        <v>-5995.3092182159389</v>
      </c>
      <c r="H23" s="37">
        <f t="shared" si="3"/>
        <v>158520.17427672789</v>
      </c>
      <c r="I23" s="37">
        <f t="shared" si="4"/>
        <v>0.9169207873637788</v>
      </c>
    </row>
    <row r="24" spans="1:9" x14ac:dyDescent="0.25">
      <c r="A24" s="3">
        <v>44631</v>
      </c>
      <c r="B24" s="34">
        <v>34</v>
      </c>
      <c r="C24" s="33">
        <v>33</v>
      </c>
      <c r="D24">
        <f t="shared" si="0"/>
        <v>0.34782195835166957</v>
      </c>
      <c r="E24" s="35">
        <f t="shared" si="5"/>
        <v>-7.2711928615232901E-2</v>
      </c>
      <c r="F24" s="36">
        <f t="shared" si="1"/>
        <v>-727.11928615232898</v>
      </c>
      <c r="G24" s="37">
        <f t="shared" si="2"/>
        <v>-23994.936443026858</v>
      </c>
      <c r="H24" s="37">
        <f t="shared" si="3"/>
        <v>134526.15475448841</v>
      </c>
      <c r="I24" s="37">
        <f t="shared" si="4"/>
        <v>0.77813330892240629</v>
      </c>
    </row>
    <row r="25" spans="1:9" x14ac:dyDescent="0.25">
      <c r="A25" s="3">
        <v>44634</v>
      </c>
      <c r="B25" s="34">
        <v>31</v>
      </c>
      <c r="C25" s="33">
        <v>33.029998999999997</v>
      </c>
      <c r="D25">
        <f t="shared" si="0"/>
        <v>0.33985587564888431</v>
      </c>
      <c r="E25" s="35">
        <f t="shared" si="5"/>
        <v>-7.9660827027852599E-3</v>
      </c>
      <c r="F25" s="36">
        <f t="shared" si="1"/>
        <v>-79.660827027852605</v>
      </c>
      <c r="G25" s="37">
        <f t="shared" si="2"/>
        <v>-2631.1970370691442</v>
      </c>
      <c r="H25" s="37">
        <f t="shared" si="3"/>
        <v>131895.73585072818</v>
      </c>
      <c r="I25" s="37">
        <f t="shared" si="4"/>
        <v>2.2887681405118201</v>
      </c>
    </row>
    <row r="26" spans="1:9" x14ac:dyDescent="0.25">
      <c r="A26" s="3">
        <v>44635</v>
      </c>
      <c r="B26" s="34">
        <v>30</v>
      </c>
      <c r="C26" s="33">
        <v>33.970001000000003</v>
      </c>
      <c r="D26">
        <f t="shared" si="0"/>
        <v>0.39863160509726747</v>
      </c>
      <c r="E26" s="35">
        <f t="shared" si="5"/>
        <v>5.8775729448383163E-2</v>
      </c>
      <c r="F26" s="36">
        <f t="shared" si="1"/>
        <v>587.75729448383163</v>
      </c>
      <c r="G26" s="37">
        <f t="shared" si="2"/>
        <v>19966.115881373058</v>
      </c>
      <c r="H26" s="37">
        <f t="shared" si="3"/>
        <v>151864.14050024175</v>
      </c>
      <c r="I26" s="37">
        <f t="shared" si="4"/>
        <v>0.87842060430557467</v>
      </c>
    </row>
    <row r="27" spans="1:9" x14ac:dyDescent="0.25">
      <c r="A27" s="3">
        <v>44636</v>
      </c>
      <c r="B27" s="34">
        <v>29</v>
      </c>
      <c r="C27" s="33">
        <v>35.369999</v>
      </c>
      <c r="D27">
        <f t="shared" si="0"/>
        <v>0.49133839691517828</v>
      </c>
      <c r="E27" s="35">
        <f t="shared" si="5"/>
        <v>9.2706791817910805E-2</v>
      </c>
      <c r="F27" s="36">
        <f t="shared" si="1"/>
        <v>927.06791817910801</v>
      </c>
      <c r="G27" s="37">
        <f t="shared" si="2"/>
        <v>32790.391338927133</v>
      </c>
      <c r="H27" s="37">
        <f t="shared" si="3"/>
        <v>184655.41025977317</v>
      </c>
      <c r="I27" s="37">
        <f t="shared" si="4"/>
        <v>1.068093603476882</v>
      </c>
    </row>
    <row r="28" spans="1:9" x14ac:dyDescent="0.25">
      <c r="A28" s="3">
        <v>44637</v>
      </c>
      <c r="B28" s="34">
        <v>28</v>
      </c>
      <c r="C28" s="33">
        <v>37.299999</v>
      </c>
      <c r="D28">
        <f t="shared" si="0"/>
        <v>0.61774946718783064</v>
      </c>
      <c r="E28" s="35">
        <f t="shared" si="5"/>
        <v>0.12641107027265236</v>
      </c>
      <c r="F28" s="36">
        <f t="shared" si="1"/>
        <v>1264.1107027265236</v>
      </c>
      <c r="G28" s="37">
        <f t="shared" si="2"/>
        <v>47151.32794758863</v>
      </c>
      <c r="H28" s="37">
        <f t="shared" si="3"/>
        <v>231807.80630096528</v>
      </c>
      <c r="I28" s="37">
        <f t="shared" si="4"/>
        <v>1.3408349898818415</v>
      </c>
    </row>
    <row r="29" spans="1:9" x14ac:dyDescent="0.25">
      <c r="A29" s="3">
        <v>44638</v>
      </c>
      <c r="B29" s="34">
        <v>27</v>
      </c>
      <c r="C29" s="33">
        <v>37.770000000000003</v>
      </c>
      <c r="D29">
        <f t="shared" si="0"/>
        <v>0.64801815842390109</v>
      </c>
      <c r="E29" s="35">
        <f t="shared" si="5"/>
        <v>3.0268691236070455E-2</v>
      </c>
      <c r="F29" s="36">
        <f t="shared" si="1"/>
        <v>302.68691236070453</v>
      </c>
      <c r="G29" s="37">
        <f t="shared" si="2"/>
        <v>11432.48467986381</v>
      </c>
      <c r="H29" s="37">
        <f t="shared" si="3"/>
        <v>243241.63181581898</v>
      </c>
      <c r="I29" s="37">
        <f t="shared" si="4"/>
        <v>1.4069711289776023</v>
      </c>
    </row>
    <row r="30" spans="1:9" x14ac:dyDescent="0.25">
      <c r="A30" s="3">
        <v>44641</v>
      </c>
      <c r="B30" s="34">
        <v>24</v>
      </c>
      <c r="C30" s="33">
        <v>37.439999</v>
      </c>
      <c r="D30">
        <f t="shared" si="0"/>
        <v>0.63138502761425819</v>
      </c>
      <c r="E30" s="35">
        <f t="shared" si="5"/>
        <v>-1.6633130809642904E-2</v>
      </c>
      <c r="F30" s="36">
        <f t="shared" si="1"/>
        <v>-166.33130809642904</v>
      </c>
      <c r="G30" s="37">
        <f t="shared" si="2"/>
        <v>-6227.4440087989951</v>
      </c>
      <c r="H30" s="37">
        <f t="shared" si="3"/>
        <v>237015.59477814895</v>
      </c>
      <c r="I30" s="37">
        <f t="shared" si="4"/>
        <v>4.1128982573281974</v>
      </c>
    </row>
    <row r="31" spans="1:9" x14ac:dyDescent="0.25">
      <c r="A31" s="3">
        <v>44642</v>
      </c>
      <c r="B31" s="34">
        <v>23</v>
      </c>
      <c r="C31" s="33">
        <v>38.43</v>
      </c>
      <c r="D31">
        <f t="shared" si="0"/>
        <v>0.69687274397726284</v>
      </c>
      <c r="E31" s="35">
        <f t="shared" si="5"/>
        <v>6.5487716363004655E-2</v>
      </c>
      <c r="F31" s="36">
        <f t="shared" si="1"/>
        <v>654.87716363004654</v>
      </c>
      <c r="G31" s="37">
        <f t="shared" si="2"/>
        <v>25166.929398302687</v>
      </c>
      <c r="H31" s="37">
        <f t="shared" si="3"/>
        <v>262186.63707470894</v>
      </c>
      <c r="I31" s="37">
        <f t="shared" si="4"/>
        <v>1.5165538317523897</v>
      </c>
    </row>
    <row r="32" spans="1:9" x14ac:dyDescent="0.25">
      <c r="A32" s="3">
        <v>44643</v>
      </c>
      <c r="B32" s="34">
        <v>22</v>
      </c>
      <c r="C32" s="33">
        <v>38</v>
      </c>
      <c r="D32">
        <f t="shared" si="0"/>
        <v>0.67224112190077479</v>
      </c>
      <c r="E32" s="35">
        <f t="shared" si="5"/>
        <v>-2.4631622076488058E-2</v>
      </c>
      <c r="F32" s="36">
        <f t="shared" si="1"/>
        <v>-246.31622076488057</v>
      </c>
      <c r="G32" s="37">
        <f t="shared" si="2"/>
        <v>-9360.0163890654621</v>
      </c>
      <c r="H32" s="37">
        <f t="shared" si="3"/>
        <v>252828.13723947524</v>
      </c>
      <c r="I32" s="37">
        <f t="shared" si="4"/>
        <v>1.4624219013494439</v>
      </c>
    </row>
    <row r="33" spans="1:9" x14ac:dyDescent="0.25">
      <c r="A33" s="3">
        <v>44644</v>
      </c>
      <c r="B33" s="34">
        <v>21</v>
      </c>
      <c r="C33" s="33">
        <v>38.82</v>
      </c>
      <c r="D33">
        <f t="shared" si="0"/>
        <v>0.72701916366848673</v>
      </c>
      <c r="E33" s="35">
        <f t="shared" si="5"/>
        <v>5.4778041767711949E-2</v>
      </c>
      <c r="F33" s="36">
        <f t="shared" si="1"/>
        <v>547.78041767711954</v>
      </c>
      <c r="G33" s="37">
        <f t="shared" si="2"/>
        <v>21264.835814225782</v>
      </c>
      <c r="H33" s="37">
        <f t="shared" si="3"/>
        <v>274094.4354756024</v>
      </c>
      <c r="I33" s="37">
        <f t="shared" si="4"/>
        <v>1.5854315498727374</v>
      </c>
    </row>
    <row r="34" spans="1:9" x14ac:dyDescent="0.25">
      <c r="A34" s="3">
        <v>44645</v>
      </c>
      <c r="B34" s="34">
        <v>20</v>
      </c>
      <c r="C34" s="33">
        <v>38.599997999999999</v>
      </c>
      <c r="D34">
        <f t="shared" si="0"/>
        <v>0.71706525661396348</v>
      </c>
      <c r="E34" s="35">
        <f t="shared" si="5"/>
        <v>-9.9539070545232589E-3</v>
      </c>
      <c r="F34" s="36">
        <f t="shared" si="1"/>
        <v>-99.53907054523259</v>
      </c>
      <c r="G34" s="37">
        <f t="shared" si="2"/>
        <v>-3842.2079239678369</v>
      </c>
      <c r="H34" s="37">
        <f t="shared" si="3"/>
        <v>270253.81298318441</v>
      </c>
      <c r="I34" s="37">
        <f t="shared" si="4"/>
        <v>1.5632164178532548</v>
      </c>
    </row>
    <row r="35" spans="1:9" x14ac:dyDescent="0.25">
      <c r="A35" s="3">
        <v>44648</v>
      </c>
      <c r="B35" s="34">
        <v>17</v>
      </c>
      <c r="C35" s="33">
        <v>39.119999</v>
      </c>
      <c r="D35">
        <f t="shared" si="0"/>
        <v>0.7630951521342173</v>
      </c>
      <c r="E35" s="35">
        <f t="shared" si="5"/>
        <v>4.6029895520253827E-2</v>
      </c>
      <c r="F35" s="36">
        <f t="shared" si="1"/>
        <v>460.29895520253825</v>
      </c>
      <c r="G35" s="37">
        <f t="shared" si="2"/>
        <v>18006.89466722434</v>
      </c>
      <c r="H35" s="37">
        <f t="shared" si="3"/>
        <v>288262.27086682658</v>
      </c>
      <c r="I35" s="37">
        <f t="shared" si="4"/>
        <v>5.0021746147540398</v>
      </c>
    </row>
    <row r="36" spans="1:9" x14ac:dyDescent="0.25">
      <c r="A36" s="3">
        <v>44649</v>
      </c>
      <c r="B36" s="34">
        <v>16</v>
      </c>
      <c r="C36" s="33">
        <v>40.689999</v>
      </c>
      <c r="D36">
        <f t="shared" si="0"/>
        <v>0.85371068530429428</v>
      </c>
      <c r="E36" s="35">
        <f t="shared" si="5"/>
        <v>9.0615533170076978E-2</v>
      </c>
      <c r="F36" s="36">
        <f t="shared" si="1"/>
        <v>906.15533170076981</v>
      </c>
      <c r="G36" s="37">
        <f t="shared" si="2"/>
        <v>36871.459540748991</v>
      </c>
      <c r="H36" s="37">
        <f t="shared" si="3"/>
        <v>325138.73258219031</v>
      </c>
      <c r="I36" s="37">
        <f t="shared" si="4"/>
        <v>1.8806846765219234</v>
      </c>
    </row>
    <row r="37" spans="1:9" x14ac:dyDescent="0.25">
      <c r="A37" s="3">
        <v>44650</v>
      </c>
      <c r="B37" s="34">
        <v>15</v>
      </c>
      <c r="C37" s="33">
        <v>39</v>
      </c>
      <c r="D37">
        <f t="shared" si="0"/>
        <v>0.76694538142690361</v>
      </c>
      <c r="E37" s="35">
        <f t="shared" si="5"/>
        <v>-8.6765303877390676E-2</v>
      </c>
      <c r="F37" s="36">
        <f t="shared" si="1"/>
        <v>-867.65303877390681</v>
      </c>
      <c r="G37" s="37">
        <f t="shared" si="2"/>
        <v>-33838.468512182364</v>
      </c>
      <c r="H37" s="37">
        <f t="shared" si="3"/>
        <v>291302.14475468447</v>
      </c>
      <c r="I37" s="37">
        <f t="shared" si="4"/>
        <v>1.6849652932141908</v>
      </c>
    </row>
    <row r="38" spans="1:9" x14ac:dyDescent="0.25">
      <c r="A38" s="3">
        <v>44651</v>
      </c>
      <c r="B38" s="34">
        <v>14</v>
      </c>
      <c r="C38" s="33">
        <v>38.689999</v>
      </c>
      <c r="D38">
        <f t="shared" si="0"/>
        <v>0.75214685334236031</v>
      </c>
      <c r="E38" s="35">
        <f t="shared" si="5"/>
        <v>-1.4798528084543294E-2</v>
      </c>
      <c r="F38" s="36">
        <f t="shared" si="1"/>
        <v>-147.98528084543295</v>
      </c>
      <c r="G38" s="37">
        <f t="shared" si="2"/>
        <v>-5725.5503679245203</v>
      </c>
      <c r="H38" s="37">
        <f t="shared" si="3"/>
        <v>285578.27935205318</v>
      </c>
      <c r="I38" s="37">
        <f t="shared" si="4"/>
        <v>1.6518570078187622</v>
      </c>
    </row>
    <row r="39" spans="1:9" x14ac:dyDescent="0.25">
      <c r="A39" s="3">
        <v>44652</v>
      </c>
      <c r="B39" s="34">
        <v>13</v>
      </c>
      <c r="C39" s="33">
        <v>39.310001</v>
      </c>
      <c r="D39">
        <f t="shared" si="0"/>
        <v>0.8009998364034232</v>
      </c>
      <c r="E39" s="35">
        <f t="shared" si="5"/>
        <v>4.8852983061062893E-2</v>
      </c>
      <c r="F39" s="36">
        <f t="shared" si="1"/>
        <v>488.52983061062895</v>
      </c>
      <c r="G39" s="37">
        <f t="shared" si="2"/>
        <v>19204.108129833654</v>
      </c>
      <c r="H39" s="37">
        <f t="shared" si="3"/>
        <v>304784.03933889465</v>
      </c>
      <c r="I39" s="37">
        <f t="shared" si="4"/>
        <v>1.7629479818861</v>
      </c>
    </row>
    <row r="40" spans="1:9" x14ac:dyDescent="0.25">
      <c r="A40" s="3">
        <v>44655</v>
      </c>
      <c r="B40" s="34">
        <v>10</v>
      </c>
      <c r="C40" s="33">
        <v>49.970001000000003</v>
      </c>
      <c r="D40">
        <f t="shared" si="0"/>
        <v>0.99966563434021316</v>
      </c>
      <c r="E40" s="35">
        <f t="shared" si="5"/>
        <v>0.19866579793678996</v>
      </c>
      <c r="F40" s="36">
        <f t="shared" si="1"/>
        <v>1986.6579793678995</v>
      </c>
      <c r="G40" s="37">
        <f t="shared" si="2"/>
        <v>99273.30121567192</v>
      </c>
      <c r="H40" s="37">
        <f t="shared" si="3"/>
        <v>404059.10350254847</v>
      </c>
      <c r="I40" s="37">
        <f t="shared" si="4"/>
        <v>7.0115807536058128</v>
      </c>
    </row>
    <row r="41" spans="1:9" x14ac:dyDescent="0.25">
      <c r="A41" s="3">
        <v>44656</v>
      </c>
      <c r="B41" s="34">
        <v>9</v>
      </c>
      <c r="C41" s="33">
        <v>50.98</v>
      </c>
      <c r="D41">
        <f t="shared" si="0"/>
        <v>0.99992664094632522</v>
      </c>
      <c r="E41" s="35">
        <f t="shared" si="5"/>
        <v>2.610066061120575E-4</v>
      </c>
      <c r="F41" s="36">
        <f t="shared" si="1"/>
        <v>2.610066061120575</v>
      </c>
      <c r="G41" s="37">
        <f t="shared" si="2"/>
        <v>133.06116779592691</v>
      </c>
      <c r="H41" s="37">
        <f t="shared" si="3"/>
        <v>404199.17625109799</v>
      </c>
      <c r="I41" s="37">
        <f t="shared" si="4"/>
        <v>2.3379902819287963</v>
      </c>
    </row>
    <row r="42" spans="1:9" x14ac:dyDescent="0.25">
      <c r="A42" s="3">
        <v>44657</v>
      </c>
      <c r="B42" s="34">
        <v>8</v>
      </c>
      <c r="C42" s="33">
        <v>50.77</v>
      </c>
      <c r="D42">
        <f t="shared" si="0"/>
        <v>0.999964683115802</v>
      </c>
      <c r="E42" s="35">
        <f t="shared" si="5"/>
        <v>3.8042169476781851E-5</v>
      </c>
      <c r="F42" s="36">
        <f t="shared" si="1"/>
        <v>0.38042169476781851</v>
      </c>
      <c r="G42" s="37">
        <f t="shared" si="2"/>
        <v>19.314009443362146</v>
      </c>
      <c r="H42" s="37">
        <f t="shared" si="3"/>
        <v>404220.82825082331</v>
      </c>
      <c r="I42" s="37">
        <f t="shared" si="4"/>
        <v>2.338115522521548</v>
      </c>
    </row>
    <row r="43" spans="1:9" x14ac:dyDescent="0.25">
      <c r="A43" s="3">
        <v>44658</v>
      </c>
      <c r="B43" s="34">
        <v>7</v>
      </c>
      <c r="C43" s="33">
        <v>48.029998999999997</v>
      </c>
      <c r="D43">
        <f t="shared" si="0"/>
        <v>0.99981781784785451</v>
      </c>
      <c r="E43" s="35">
        <f t="shared" si="5"/>
        <v>-1.4686526794749355E-4</v>
      </c>
      <c r="F43" s="36">
        <f t="shared" si="1"/>
        <v>-1.4686526794749355</v>
      </c>
      <c r="G43" s="37">
        <f t="shared" si="2"/>
        <v>-70.539386726528463</v>
      </c>
      <c r="H43" s="37">
        <f t="shared" si="3"/>
        <v>404152.62697961932</v>
      </c>
      <c r="I43" s="37">
        <f t="shared" si="4"/>
        <v>2.3377210291218944</v>
      </c>
    </row>
    <row r="44" spans="1:9" x14ac:dyDescent="0.25">
      <c r="A44" s="3">
        <v>44659</v>
      </c>
      <c r="B44" s="34">
        <v>6</v>
      </c>
      <c r="C44" s="33">
        <v>46.23</v>
      </c>
      <c r="D44">
        <f t="shared" si="0"/>
        <v>0.9995806164260741</v>
      </c>
      <c r="E44" s="35">
        <f t="shared" si="5"/>
        <v>-2.3720142178040859E-4</v>
      </c>
      <c r="F44" s="36">
        <f t="shared" si="1"/>
        <v>-2.3720142178040859</v>
      </c>
      <c r="G44" s="37">
        <f t="shared" si="2"/>
        <v>-109.65821728908288</v>
      </c>
      <c r="H44" s="37">
        <f t="shared" si="3"/>
        <v>404045.30648335937</v>
      </c>
      <c r="I44" s="37">
        <f t="shared" si="4"/>
        <v>2.337100260250736</v>
      </c>
    </row>
    <row r="45" spans="1:9" x14ac:dyDescent="0.25">
      <c r="A45" s="3">
        <v>44662</v>
      </c>
      <c r="B45" s="34">
        <v>3</v>
      </c>
      <c r="C45" s="33">
        <v>47.009998000000003</v>
      </c>
      <c r="D45">
        <f t="shared" si="0"/>
        <v>0.99999972533161685</v>
      </c>
      <c r="E45" s="35">
        <f t="shared" si="5"/>
        <v>4.1910890554275326E-4</v>
      </c>
      <c r="F45" s="36">
        <f t="shared" si="1"/>
        <v>4.1910890554275326</v>
      </c>
      <c r="G45" s="37">
        <f t="shared" si="2"/>
        <v>197.02308811347021</v>
      </c>
      <c r="H45" s="37">
        <f t="shared" si="3"/>
        <v>404244.66667173308</v>
      </c>
      <c r="I45" s="37">
        <f t="shared" si="4"/>
        <v>7.0148008051910438</v>
      </c>
    </row>
    <row r="46" spans="1:9" x14ac:dyDescent="0.25">
      <c r="A46" s="3">
        <v>44663</v>
      </c>
      <c r="B46" s="34">
        <v>2</v>
      </c>
      <c r="C46" s="33">
        <v>44.48</v>
      </c>
      <c r="D46">
        <f t="shared" si="0"/>
        <v>0.9999994070461381</v>
      </c>
      <c r="E46" s="35">
        <f t="shared" si="5"/>
        <v>-3.1828547875090152E-7</v>
      </c>
      <c r="F46" s="36">
        <f t="shared" si="1"/>
        <v>-3.1828547875090152E-3</v>
      </c>
      <c r="G46" s="37">
        <f t="shared" si="2"/>
        <v>-0.141573380948401</v>
      </c>
      <c r="H46" s="37">
        <f t="shared" si="3"/>
        <v>404251.5398991573</v>
      </c>
      <c r="I46" s="37">
        <f t="shared" si="4"/>
        <v>2.3382931664818898</v>
      </c>
    </row>
    <row r="47" spans="1:9" x14ac:dyDescent="0.25">
      <c r="A47" s="3">
        <v>44664</v>
      </c>
      <c r="B47" s="34">
        <v>1</v>
      </c>
      <c r="C47" s="33">
        <v>45.849997999999999</v>
      </c>
      <c r="D47">
        <f t="shared" si="0"/>
        <v>0.99999999999999767</v>
      </c>
      <c r="E47" s="35">
        <f t="shared" si="5"/>
        <v>5.929538595683681E-7</v>
      </c>
      <c r="F47" s="36">
        <f t="shared" si="1"/>
        <v>5.929538595683681E-3</v>
      </c>
      <c r="G47" s="37">
        <f t="shared" si="2"/>
        <v>0.27186933275301955</v>
      </c>
      <c r="H47" s="37">
        <f t="shared" si="3"/>
        <v>404254.15006165655</v>
      </c>
      <c r="I47" s="37">
        <f t="shared" si="4"/>
        <v>2.3383082643267699</v>
      </c>
    </row>
    <row r="48" spans="1:9" x14ac:dyDescent="0.25">
      <c r="A48" s="3">
        <v>44665</v>
      </c>
      <c r="B48" s="34">
        <v>0</v>
      </c>
      <c r="C48" s="33">
        <v>45.080002</v>
      </c>
      <c r="D48">
        <v>1</v>
      </c>
      <c r="E48" s="35">
        <f t="shared" si="5"/>
        <v>2.3314683517128287E-15</v>
      </c>
      <c r="F48" s="36">
        <f t="shared" si="1"/>
        <v>2.3314683517128287E-11</v>
      </c>
      <c r="G48" s="37">
        <f t="shared" si="2"/>
        <v>1.0510259795815102E-9</v>
      </c>
      <c r="H48" s="37">
        <f t="shared" si="3"/>
        <v>404256.48836992192</v>
      </c>
      <c r="I48" s="37"/>
    </row>
    <row r="49" spans="1:7" x14ac:dyDescent="0.25">
      <c r="E49" t="s">
        <v>125</v>
      </c>
      <c r="F49" s="36">
        <f>SUM(F8:F48)</f>
        <v>10000</v>
      </c>
    </row>
    <row r="50" spans="1:7" x14ac:dyDescent="0.25">
      <c r="A50" t="s">
        <v>102</v>
      </c>
      <c r="E50" t="s">
        <v>112</v>
      </c>
    </row>
    <row r="51" spans="1:7" x14ac:dyDescent="0.25">
      <c r="A51" t="s">
        <v>107</v>
      </c>
      <c r="B51" t="s">
        <v>108</v>
      </c>
      <c r="C51" s="38">
        <f>I5*10000</f>
        <v>360000</v>
      </c>
      <c r="E51" t="s">
        <v>113</v>
      </c>
      <c r="F51" t="s">
        <v>114</v>
      </c>
      <c r="G51" s="33">
        <f>C48-I5</f>
        <v>9.0800020000000004</v>
      </c>
    </row>
    <row r="52" spans="1:7" x14ac:dyDescent="0.25">
      <c r="A52" t="s">
        <v>103</v>
      </c>
      <c r="C52" s="37">
        <f>H48</f>
        <v>404256.48836992192</v>
      </c>
      <c r="E52" t="s">
        <v>115</v>
      </c>
      <c r="F52" t="s">
        <v>116</v>
      </c>
      <c r="G52" s="33">
        <f>10000*G51</f>
        <v>90800.02</v>
      </c>
    </row>
    <row r="53" spans="1:7" x14ac:dyDescent="0.25">
      <c r="A53" t="s">
        <v>104</v>
      </c>
      <c r="B53" t="s">
        <v>109</v>
      </c>
      <c r="C53" s="37">
        <f>C52-C51</f>
        <v>44256.488369921921</v>
      </c>
      <c r="E53" t="s">
        <v>117</v>
      </c>
      <c r="F53" t="s">
        <v>118</v>
      </c>
      <c r="G53" s="33">
        <f>C54-G52</f>
        <v>-65391.644202103016</v>
      </c>
    </row>
    <row r="54" spans="1:7" x14ac:dyDescent="0.25">
      <c r="A54" t="s">
        <v>105</v>
      </c>
      <c r="C54" s="33">
        <f>I3*10000*EXP(I2*B8/252)</f>
        <v>25408.375797896988</v>
      </c>
      <c r="E54" t="s">
        <v>111</v>
      </c>
      <c r="F54" t="s">
        <v>119</v>
      </c>
      <c r="G54" s="1">
        <f>ABS(G53/C54)</f>
        <v>2.5736255131866943</v>
      </c>
    </row>
    <row r="55" spans="1:7" x14ac:dyDescent="0.25">
      <c r="A55" t="s">
        <v>106</v>
      </c>
      <c r="B55" t="s">
        <v>110</v>
      </c>
      <c r="C55" s="37">
        <f>C54-C53</f>
        <v>-18848.112572024933</v>
      </c>
    </row>
    <row r="56" spans="1:7" x14ac:dyDescent="0.25">
      <c r="A56" t="s">
        <v>111</v>
      </c>
      <c r="C56" s="1">
        <f>ABS(C55/C54)</f>
        <v>0.7418070608663212</v>
      </c>
    </row>
  </sheetData>
  <sortState xmlns:xlrd2="http://schemas.microsoft.com/office/spreadsheetml/2017/richdata2" ref="A5:C48">
    <sortCondition ref="B4:B4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5"/>
  <sheetViews>
    <sheetView tabSelected="1" topLeftCell="A5" workbookViewId="0">
      <selection activeCell="F49" sqref="F49"/>
    </sheetView>
  </sheetViews>
  <sheetFormatPr defaultColWidth="8.85546875" defaultRowHeight="15" x14ac:dyDescent="0.25"/>
  <cols>
    <col min="1" max="1" width="41.5703125" bestFit="1" customWidth="1"/>
    <col min="2" max="2" width="16.42578125" bestFit="1" customWidth="1"/>
    <col min="3" max="3" width="49" bestFit="1" customWidth="1"/>
    <col min="4" max="4" width="11.7109375" bestFit="1" customWidth="1"/>
    <col min="5" max="5" width="29.85546875" bestFit="1" customWidth="1"/>
    <col min="6" max="6" width="44.85546875" bestFit="1" customWidth="1"/>
    <col min="7" max="7" width="21.85546875" bestFit="1" customWidth="1"/>
    <col min="8" max="8" width="26" bestFit="1" customWidth="1"/>
    <col min="9" max="9" width="10.7109375" bestFit="1" customWidth="1"/>
    <col min="11" max="11" width="10" bestFit="1" customWidth="1"/>
    <col min="12" max="12" width="35.7109375" bestFit="1" customWidth="1"/>
    <col min="13" max="13" width="15" bestFit="1" customWidth="1"/>
    <col min="14" max="14" width="13.85546875" customWidth="1"/>
  </cols>
  <sheetData>
    <row r="1" spans="1:9" x14ac:dyDescent="0.25">
      <c r="H1" t="s">
        <v>120</v>
      </c>
    </row>
    <row r="2" spans="1:9" x14ac:dyDescent="0.25">
      <c r="H2" t="s">
        <v>65</v>
      </c>
      <c r="I2">
        <f>'Risk Free Rates'!D7</f>
        <v>1.4576275304207847E-3</v>
      </c>
    </row>
    <row r="3" spans="1:9" x14ac:dyDescent="0.25">
      <c r="C3" t="s">
        <v>26</v>
      </c>
      <c r="H3" t="s">
        <v>35</v>
      </c>
      <c r="I3">
        <f>'Option Data'!C14</f>
        <v>6.6</v>
      </c>
    </row>
    <row r="4" spans="1:9" x14ac:dyDescent="0.25">
      <c r="C4" t="s">
        <v>27</v>
      </c>
      <c r="H4" t="s">
        <v>100</v>
      </c>
      <c r="I4">
        <f>'Volatility B'!F8</f>
        <v>0.78514697699129377</v>
      </c>
    </row>
    <row r="5" spans="1:9" x14ac:dyDescent="0.25">
      <c r="C5" t="s">
        <v>28</v>
      </c>
      <c r="H5" t="s">
        <v>34</v>
      </c>
      <c r="I5">
        <f>'Option Data'!B14</f>
        <v>17.5</v>
      </c>
    </row>
    <row r="6" spans="1:9" x14ac:dyDescent="0.25">
      <c r="C6" s="7"/>
      <c r="E6" s="6"/>
      <c r="F6" s="6"/>
      <c r="G6" s="7"/>
    </row>
    <row r="7" spans="1:9" x14ac:dyDescent="0.25">
      <c r="A7" t="s">
        <v>50</v>
      </c>
      <c r="B7" s="5" t="s">
        <v>58</v>
      </c>
      <c r="C7" t="s">
        <v>93</v>
      </c>
      <c r="D7" t="s">
        <v>94</v>
      </c>
      <c r="E7" s="6" t="s">
        <v>95</v>
      </c>
      <c r="F7" s="6" t="s">
        <v>96</v>
      </c>
      <c r="G7" s="7" t="s">
        <v>97</v>
      </c>
      <c r="H7" s="7" t="s">
        <v>99</v>
      </c>
      <c r="I7" t="s">
        <v>98</v>
      </c>
    </row>
    <row r="8" spans="1:9" x14ac:dyDescent="0.25">
      <c r="A8" s="3">
        <v>44608</v>
      </c>
      <c r="B8" s="34">
        <v>57</v>
      </c>
      <c r="C8" s="33">
        <v>23.73</v>
      </c>
      <c r="D8">
        <f>_xlfn.NORM.DIST((LN(C8/$I$5)+($I$2+$I$4^2/2)*(B8/252))/($I$4*SQRT(B8/252)),0,1,TRUE)</f>
        <v>0.84210509791408905</v>
      </c>
      <c r="E8" s="6">
        <f>D8</f>
        <v>0.84210509791408905</v>
      </c>
      <c r="F8" s="36">
        <f>10000*E8</f>
        <v>8421.0509791408913</v>
      </c>
      <c r="G8" s="37">
        <f>C8*F8</f>
        <v>199831.53973501336</v>
      </c>
      <c r="H8" s="37">
        <f>G8</f>
        <v>199831.53973501336</v>
      </c>
      <c r="I8" s="37">
        <f>H8*EXP(I2*1/252)-H8</f>
        <v>1.1558761753258295</v>
      </c>
    </row>
    <row r="9" spans="1:9" x14ac:dyDescent="0.25">
      <c r="A9" s="3">
        <v>44609</v>
      </c>
      <c r="B9" s="34">
        <v>56</v>
      </c>
      <c r="C9" s="33">
        <v>22.99</v>
      </c>
      <c r="D9">
        <f t="shared" ref="D9:D47" si="0">_xlfn.NORM.DIST((LN(C9/$I$5)+($I$2+$I$4^2/2)*(B9/252))/($I$4*SQRT(B9/252)),0,1,TRUE)</f>
        <v>0.82203512027869796</v>
      </c>
      <c r="E9" s="35">
        <f>D9-D8</f>
        <v>-2.006997763539109E-2</v>
      </c>
      <c r="F9" s="36">
        <f t="shared" ref="F9:F48" si="1">10000*E9</f>
        <v>-200.69977635391089</v>
      </c>
      <c r="G9" s="37">
        <f t="shared" ref="G9:G48" si="2">C9*F9</f>
        <v>-4614.0878583764115</v>
      </c>
      <c r="H9" s="37">
        <f>G9+H8+I8</f>
        <v>195218.60775281227</v>
      </c>
      <c r="I9" s="37">
        <f>H9*EXP($I$2*(B8-B9)/252)-H9</f>
        <v>1.1291938098729588</v>
      </c>
    </row>
    <row r="10" spans="1:9" x14ac:dyDescent="0.25">
      <c r="A10" s="3">
        <v>44610</v>
      </c>
      <c r="B10" s="34">
        <v>55</v>
      </c>
      <c r="C10" s="33">
        <v>22.059999000000001</v>
      </c>
      <c r="D10">
        <f t="shared" si="0"/>
        <v>0.79262868812546672</v>
      </c>
      <c r="E10" s="35">
        <f>D10-D9</f>
        <v>-2.9406432153231243E-2</v>
      </c>
      <c r="F10" s="36">
        <f t="shared" si="1"/>
        <v>-294.06432153231242</v>
      </c>
      <c r="G10" s="37">
        <f t="shared" si="2"/>
        <v>-6487.0586389384907</v>
      </c>
      <c r="H10" s="37">
        <f t="shared" ref="H10:H48" si="3">G10+H9+I9</f>
        <v>188732.67830768364</v>
      </c>
      <c r="I10" s="37">
        <f t="shared" ref="I10:I47" si="4">H10*EXP($I$2*(B9-B10)/252)-H10</f>
        <v>1.0916775532532483</v>
      </c>
    </row>
    <row r="11" spans="1:9" x14ac:dyDescent="0.25">
      <c r="A11" s="3">
        <v>44614</v>
      </c>
      <c r="B11" s="34">
        <v>51</v>
      </c>
      <c r="C11" s="33">
        <v>17.290001</v>
      </c>
      <c r="D11">
        <f t="shared" si="0"/>
        <v>0.55695840068205449</v>
      </c>
      <c r="E11" s="35">
        <f>D11-D10</f>
        <v>-0.23567028744341223</v>
      </c>
      <c r="F11" s="36">
        <f t="shared" si="1"/>
        <v>-2356.7028744341224</v>
      </c>
      <c r="G11" s="37">
        <f t="shared" si="2"/>
        <v>-40747.395055668851</v>
      </c>
      <c r="H11" s="37">
        <f t="shared" si="3"/>
        <v>147986.37492956803</v>
      </c>
      <c r="I11" s="37">
        <f t="shared" si="4"/>
        <v>3.4239922169363126</v>
      </c>
    </row>
    <row r="12" spans="1:9" x14ac:dyDescent="0.25">
      <c r="A12" s="3">
        <v>44615</v>
      </c>
      <c r="B12" s="34">
        <v>50</v>
      </c>
      <c r="C12" s="33">
        <v>18.59</v>
      </c>
      <c r="D12">
        <f t="shared" si="0"/>
        <v>0.63625343723033079</v>
      </c>
      <c r="E12" s="35">
        <f>D12-D11</f>
        <v>7.9295036548276299E-2</v>
      </c>
      <c r="F12" s="36">
        <f t="shared" si="1"/>
        <v>792.950365482763</v>
      </c>
      <c r="G12" s="37">
        <f t="shared" si="2"/>
        <v>14740.947294324564</v>
      </c>
      <c r="H12" s="37">
        <f t="shared" si="3"/>
        <v>162730.74621610955</v>
      </c>
      <c r="I12" s="37">
        <f t="shared" si="4"/>
        <v>0.94127580057829618</v>
      </c>
    </row>
    <row r="13" spans="1:9" x14ac:dyDescent="0.25">
      <c r="A13" s="3">
        <v>44616</v>
      </c>
      <c r="B13" s="34">
        <v>49</v>
      </c>
      <c r="C13" s="33">
        <v>19.629999000000002</v>
      </c>
      <c r="D13">
        <f t="shared" si="0"/>
        <v>0.69345889170841446</v>
      </c>
      <c r="E13" s="35">
        <f>D13-D12</f>
        <v>5.7205454478083673E-2</v>
      </c>
      <c r="F13" s="36">
        <f t="shared" si="1"/>
        <v>572.05454478083675</v>
      </c>
      <c r="G13" s="37">
        <f t="shared" si="2"/>
        <v>11229.430141993282</v>
      </c>
      <c r="H13" s="37">
        <f t="shared" si="3"/>
        <v>173961.1176339034</v>
      </c>
      <c r="I13" s="37">
        <f t="shared" si="4"/>
        <v>1.0062351097003557</v>
      </c>
    </row>
    <row r="14" spans="1:9" x14ac:dyDescent="0.25">
      <c r="A14" s="3">
        <v>44617</v>
      </c>
      <c r="B14" s="34">
        <v>48</v>
      </c>
      <c r="C14" s="33">
        <v>21.83</v>
      </c>
      <c r="D14">
        <f t="shared" si="0"/>
        <v>0.79313057840879819</v>
      </c>
      <c r="E14" s="35">
        <f t="shared" ref="E14:E48" si="5">D14-D13</f>
        <v>9.9671686700383733E-2</v>
      </c>
      <c r="F14" s="36">
        <f t="shared" si="1"/>
        <v>996.71686700383736</v>
      </c>
      <c r="G14" s="37">
        <f t="shared" si="2"/>
        <v>21758.329206693768</v>
      </c>
      <c r="H14" s="37">
        <f t="shared" si="3"/>
        <v>195720.45307570687</v>
      </c>
      <c r="I14" s="37">
        <f t="shared" si="4"/>
        <v>1.1320966101484373</v>
      </c>
    </row>
    <row r="15" spans="1:9" x14ac:dyDescent="0.25">
      <c r="A15" s="3">
        <v>44620</v>
      </c>
      <c r="B15" s="34">
        <v>45</v>
      </c>
      <c r="C15" s="33">
        <v>22.200001</v>
      </c>
      <c r="D15">
        <f t="shared" si="0"/>
        <v>0.81156594378535263</v>
      </c>
      <c r="E15" s="35">
        <f t="shared" si="5"/>
        <v>1.8435365376554436E-2</v>
      </c>
      <c r="F15" s="36">
        <f t="shared" si="1"/>
        <v>184.35365376554435</v>
      </c>
      <c r="G15" s="37">
        <f t="shared" si="2"/>
        <v>4092.6512979487384</v>
      </c>
      <c r="H15" s="37">
        <f>G15+H14+I14</f>
        <v>199814.23647026575</v>
      </c>
      <c r="I15" s="37">
        <f t="shared" si="4"/>
        <v>3.4673483225342352</v>
      </c>
    </row>
    <row r="16" spans="1:9" x14ac:dyDescent="0.25">
      <c r="A16" s="3">
        <v>44621</v>
      </c>
      <c r="B16" s="34">
        <v>44</v>
      </c>
      <c r="C16" s="33">
        <v>23.68</v>
      </c>
      <c r="D16">
        <f t="shared" si="0"/>
        <v>0.86140161849396224</v>
      </c>
      <c r="E16" s="35">
        <f t="shared" si="5"/>
        <v>4.9835674708609612E-2</v>
      </c>
      <c r="F16" s="36">
        <f t="shared" si="1"/>
        <v>498.35674708609611</v>
      </c>
      <c r="G16" s="37">
        <f t="shared" si="2"/>
        <v>11801.087770998756</v>
      </c>
      <c r="H16" s="37">
        <f t="shared" si="3"/>
        <v>211618.79158958705</v>
      </c>
      <c r="I16" s="37">
        <f t="shared" si="4"/>
        <v>1.224056621780619</v>
      </c>
    </row>
    <row r="17" spans="1:9" x14ac:dyDescent="0.25">
      <c r="A17" s="3">
        <v>44622</v>
      </c>
      <c r="B17" s="34">
        <v>43</v>
      </c>
      <c r="C17" s="33">
        <v>23.52</v>
      </c>
      <c r="D17">
        <f t="shared" si="0"/>
        <v>0.85870246428913133</v>
      </c>
      <c r="E17" s="35">
        <f t="shared" si="5"/>
        <v>-2.6991542048309114E-3</v>
      </c>
      <c r="F17" s="36">
        <f t="shared" si="1"/>
        <v>-26.991542048309114</v>
      </c>
      <c r="G17" s="37">
        <f t="shared" si="2"/>
        <v>-634.8410689762303</v>
      </c>
      <c r="H17" s="37">
        <f t="shared" si="3"/>
        <v>210985.1745772326</v>
      </c>
      <c r="I17" s="37">
        <f t="shared" si="4"/>
        <v>1.2203916206781287</v>
      </c>
    </row>
    <row r="18" spans="1:9" x14ac:dyDescent="0.25">
      <c r="A18" s="3">
        <v>44623</v>
      </c>
      <c r="B18" s="34">
        <v>42</v>
      </c>
      <c r="C18" s="33">
        <v>23.190000999999999</v>
      </c>
      <c r="D18">
        <f t="shared" si="0"/>
        <v>0.85066929204727437</v>
      </c>
      <c r="E18" s="35">
        <f t="shared" si="5"/>
        <v>-8.0331722418569562E-3</v>
      </c>
      <c r="F18" s="36">
        <f t="shared" si="1"/>
        <v>-80.331722418569569</v>
      </c>
      <c r="G18" s="37">
        <f t="shared" si="2"/>
        <v>-1862.8927232183507</v>
      </c>
      <c r="H18" s="37">
        <f t="shared" si="3"/>
        <v>209123.50224563491</v>
      </c>
      <c r="I18" s="37">
        <f t="shared" si="4"/>
        <v>1.2096232369949576</v>
      </c>
    </row>
    <row r="19" spans="1:9" x14ac:dyDescent="0.25">
      <c r="A19" s="3">
        <v>44624</v>
      </c>
      <c r="B19" s="34">
        <v>41</v>
      </c>
      <c r="C19" s="33">
        <v>20.91</v>
      </c>
      <c r="D19">
        <f t="shared" si="0"/>
        <v>0.76461724995988689</v>
      </c>
      <c r="E19" s="35">
        <f t="shared" si="5"/>
        <v>-8.6052042087387481E-2</v>
      </c>
      <c r="F19" s="36">
        <f t="shared" si="1"/>
        <v>-860.52042087387485</v>
      </c>
      <c r="G19" s="37">
        <f t="shared" si="2"/>
        <v>-17993.482000472723</v>
      </c>
      <c r="H19" s="37">
        <f t="shared" si="3"/>
        <v>191131.22986839918</v>
      </c>
      <c r="I19" s="37">
        <f t="shared" si="4"/>
        <v>1.105551382235717</v>
      </c>
    </row>
    <row r="20" spans="1:9" x14ac:dyDescent="0.25">
      <c r="A20" s="3">
        <v>44627</v>
      </c>
      <c r="B20" s="34">
        <v>38</v>
      </c>
      <c r="C20" s="33">
        <v>20.690000999999999</v>
      </c>
      <c r="D20">
        <f t="shared" si="0"/>
        <v>0.75877886245254655</v>
      </c>
      <c r="E20" s="35">
        <f t="shared" si="5"/>
        <v>-5.8383875073403368E-3</v>
      </c>
      <c r="F20" s="36">
        <f t="shared" si="1"/>
        <v>-58.383875073403367</v>
      </c>
      <c r="G20" s="37">
        <f t="shared" si="2"/>
        <v>-1207.9624336525906</v>
      </c>
      <c r="H20" s="37">
        <f t="shared" si="3"/>
        <v>189924.37298612882</v>
      </c>
      <c r="I20" s="37">
        <f t="shared" si="4"/>
        <v>3.2957309134653769</v>
      </c>
    </row>
    <row r="21" spans="1:9" x14ac:dyDescent="0.25">
      <c r="A21" s="3">
        <v>44628</v>
      </c>
      <c r="B21" s="34">
        <v>37</v>
      </c>
      <c r="C21" s="33">
        <v>18.049999</v>
      </c>
      <c r="D21">
        <f t="shared" si="0"/>
        <v>0.60025000789796989</v>
      </c>
      <c r="E21" s="35">
        <f t="shared" si="5"/>
        <v>-0.15852885455457666</v>
      </c>
      <c r="F21" s="36">
        <f t="shared" si="1"/>
        <v>-1585.2885455457665</v>
      </c>
      <c r="G21" s="37">
        <f t="shared" si="2"/>
        <v>-28614.456661812539</v>
      </c>
      <c r="H21" s="37">
        <f t="shared" si="3"/>
        <v>161313.21205522976</v>
      </c>
      <c r="I21" s="37">
        <f t="shared" si="4"/>
        <v>0.93307642440777272</v>
      </c>
    </row>
    <row r="22" spans="1:9" x14ac:dyDescent="0.25">
      <c r="A22" s="3">
        <v>44629</v>
      </c>
      <c r="B22" s="34">
        <v>36</v>
      </c>
      <c r="C22" s="33">
        <v>17.379999000000002</v>
      </c>
      <c r="D22">
        <f t="shared" si="0"/>
        <v>0.5500920305415814</v>
      </c>
      <c r="E22" s="35">
        <f t="shared" si="5"/>
        <v>-5.0157977356388495E-2</v>
      </c>
      <c r="F22" s="36">
        <f t="shared" si="1"/>
        <v>-501.57977356388494</v>
      </c>
      <c r="G22" s="37">
        <f t="shared" si="2"/>
        <v>-8717.4559629605483</v>
      </c>
      <c r="H22" s="37">
        <f t="shared" si="3"/>
        <v>152596.68916869361</v>
      </c>
      <c r="I22" s="37">
        <f t="shared" si="4"/>
        <v>0.88265785109251738</v>
      </c>
    </row>
    <row r="23" spans="1:9" x14ac:dyDescent="0.25">
      <c r="A23" s="3">
        <v>44630</v>
      </c>
      <c r="B23" s="34">
        <v>35</v>
      </c>
      <c r="C23" s="33">
        <v>17.780000999999999</v>
      </c>
      <c r="D23">
        <f t="shared" si="0"/>
        <v>0.57974594422284431</v>
      </c>
      <c r="E23" s="35">
        <f t="shared" si="5"/>
        <v>2.9653913681262911E-2</v>
      </c>
      <c r="F23" s="36">
        <f t="shared" si="1"/>
        <v>296.53913681262912</v>
      </c>
      <c r="G23" s="37">
        <f t="shared" si="2"/>
        <v>5272.4661490676826</v>
      </c>
      <c r="H23" s="37">
        <f t="shared" si="3"/>
        <v>157870.03797561239</v>
      </c>
      <c r="I23" s="37">
        <f t="shared" si="4"/>
        <v>0.91316023454419337</v>
      </c>
    </row>
    <row r="24" spans="1:9" x14ac:dyDescent="0.25">
      <c r="A24" s="3">
        <v>44631</v>
      </c>
      <c r="B24" s="34">
        <v>34</v>
      </c>
      <c r="C24" s="33">
        <v>17.579999999999998</v>
      </c>
      <c r="D24">
        <f t="shared" si="0"/>
        <v>0.5638333014673953</v>
      </c>
      <c r="E24" s="35">
        <f t="shared" si="5"/>
        <v>-1.5912642755449014E-2</v>
      </c>
      <c r="F24" s="36">
        <f t="shared" si="1"/>
        <v>-159.12642755449014</v>
      </c>
      <c r="G24" s="37">
        <f t="shared" si="2"/>
        <v>-2797.4425964079364</v>
      </c>
      <c r="H24" s="37">
        <f t="shared" si="3"/>
        <v>155073.508539439</v>
      </c>
      <c r="I24" s="37">
        <f t="shared" si="4"/>
        <v>0.89698440086795017</v>
      </c>
    </row>
    <row r="25" spans="1:9" x14ac:dyDescent="0.25">
      <c r="A25" s="3">
        <v>44634</v>
      </c>
      <c r="B25" s="34">
        <v>31</v>
      </c>
      <c r="C25" s="33">
        <v>16.110001</v>
      </c>
      <c r="D25">
        <f t="shared" si="0"/>
        <v>0.43557726862517421</v>
      </c>
      <c r="E25" s="35">
        <f t="shared" si="5"/>
        <v>-0.12825603284222109</v>
      </c>
      <c r="F25" s="36">
        <f t="shared" si="1"/>
        <v>-1282.5603284222109</v>
      </c>
      <c r="G25" s="37">
        <f t="shared" si="2"/>
        <v>-20662.048173442145</v>
      </c>
      <c r="H25" s="37">
        <f t="shared" si="3"/>
        <v>134412.35735039774</v>
      </c>
      <c r="I25" s="37">
        <f t="shared" si="4"/>
        <v>2.3324387191969436</v>
      </c>
    </row>
    <row r="26" spans="1:9" x14ac:dyDescent="0.25">
      <c r="A26" s="3">
        <v>44635</v>
      </c>
      <c r="B26" s="34">
        <v>30</v>
      </c>
      <c r="C26" s="33">
        <v>15.26</v>
      </c>
      <c r="D26">
        <f t="shared" si="0"/>
        <v>0.35587691996231008</v>
      </c>
      <c r="E26" s="35">
        <f t="shared" si="5"/>
        <v>-7.9700348662864129E-2</v>
      </c>
      <c r="F26" s="36">
        <f t="shared" si="1"/>
        <v>-797.00348662864133</v>
      </c>
      <c r="G26" s="37">
        <f t="shared" si="2"/>
        <v>-12162.273205953066</v>
      </c>
      <c r="H26" s="37">
        <f t="shared" si="3"/>
        <v>122252.41658316387</v>
      </c>
      <c r="I26" s="37">
        <f t="shared" si="4"/>
        <v>0.70713890256593004</v>
      </c>
    </row>
    <row r="27" spans="1:9" x14ac:dyDescent="0.25">
      <c r="A27" s="3">
        <v>44636</v>
      </c>
      <c r="B27" s="34">
        <v>29</v>
      </c>
      <c r="C27" s="33">
        <v>16.129999000000002</v>
      </c>
      <c r="D27">
        <f t="shared" si="0"/>
        <v>0.43161581913290714</v>
      </c>
      <c r="E27" s="35">
        <f t="shared" si="5"/>
        <v>7.5738899170597063E-2</v>
      </c>
      <c r="F27" s="36">
        <f t="shared" si="1"/>
        <v>757.38899170597062</v>
      </c>
      <c r="G27" s="37">
        <f t="shared" si="2"/>
        <v>12216.683678828316</v>
      </c>
      <c r="H27" s="37">
        <f t="shared" si="3"/>
        <v>134469.80740089476</v>
      </c>
      <c r="I27" s="37">
        <f t="shared" si="4"/>
        <v>0.77780738155706786</v>
      </c>
    </row>
    <row r="28" spans="1:9" x14ac:dyDescent="0.25">
      <c r="A28" s="3">
        <v>44637</v>
      </c>
      <c r="B28" s="34">
        <v>28</v>
      </c>
      <c r="C28" s="33">
        <v>18.32</v>
      </c>
      <c r="D28">
        <f t="shared" si="0"/>
        <v>0.62036783829391706</v>
      </c>
      <c r="E28" s="35">
        <f t="shared" si="5"/>
        <v>0.18875201916100992</v>
      </c>
      <c r="F28" s="36">
        <f t="shared" si="1"/>
        <v>1887.5201916100991</v>
      </c>
      <c r="G28" s="37">
        <f t="shared" si="2"/>
        <v>34579.369910297013</v>
      </c>
      <c r="H28" s="37">
        <f t="shared" si="3"/>
        <v>169049.95511857333</v>
      </c>
      <c r="I28" s="37">
        <f t="shared" si="4"/>
        <v>0.97782770337653346</v>
      </c>
    </row>
    <row r="29" spans="1:9" x14ac:dyDescent="0.25">
      <c r="A29" s="3">
        <v>44638</v>
      </c>
      <c r="B29" s="34">
        <v>27</v>
      </c>
      <c r="C29" s="33">
        <v>18.989999999999998</v>
      </c>
      <c r="D29">
        <f t="shared" si="0"/>
        <v>0.67258126493842973</v>
      </c>
      <c r="E29" s="35">
        <f t="shared" si="5"/>
        <v>5.2213426644512673E-2</v>
      </c>
      <c r="F29" s="36">
        <f t="shared" si="1"/>
        <v>522.13426644512674</v>
      </c>
      <c r="G29" s="37">
        <f t="shared" si="2"/>
        <v>9915.3297197929569</v>
      </c>
      <c r="H29" s="37">
        <f t="shared" si="3"/>
        <v>178966.26266606967</v>
      </c>
      <c r="I29" s="37">
        <f t="shared" si="4"/>
        <v>1.0351861346862279</v>
      </c>
    </row>
    <row r="30" spans="1:9" x14ac:dyDescent="0.25">
      <c r="A30" s="3">
        <v>44641</v>
      </c>
      <c r="B30" s="34">
        <v>24</v>
      </c>
      <c r="C30" s="33">
        <v>19.620000999999998</v>
      </c>
      <c r="D30">
        <f t="shared" si="0"/>
        <v>0.72362706027430657</v>
      </c>
      <c r="E30" s="35">
        <f t="shared" si="5"/>
        <v>5.1045795335876831E-2</v>
      </c>
      <c r="F30" s="36">
        <f t="shared" si="1"/>
        <v>510.45795335876829</v>
      </c>
      <c r="G30" s="37">
        <f t="shared" si="2"/>
        <v>10015.185555356986</v>
      </c>
      <c r="H30" s="37">
        <f t="shared" si="3"/>
        <v>188982.48340756135</v>
      </c>
      <c r="I30" s="37">
        <f t="shared" si="4"/>
        <v>3.2793864361592568</v>
      </c>
    </row>
    <row r="31" spans="1:9" x14ac:dyDescent="0.25">
      <c r="A31" s="3">
        <v>44642</v>
      </c>
      <c r="B31" s="34">
        <v>23</v>
      </c>
      <c r="C31" s="33">
        <v>18.790001</v>
      </c>
      <c r="D31">
        <f t="shared" si="0"/>
        <v>0.66239524677195383</v>
      </c>
      <c r="E31" s="35">
        <f t="shared" si="5"/>
        <v>-6.1231813502352739E-2</v>
      </c>
      <c r="F31" s="36">
        <f t="shared" si="1"/>
        <v>-612.31813502352736</v>
      </c>
      <c r="G31" s="37">
        <f t="shared" si="2"/>
        <v>-11505.458369410215</v>
      </c>
      <c r="H31" s="37">
        <f t="shared" si="3"/>
        <v>177480.30442458729</v>
      </c>
      <c r="I31" s="37">
        <f t="shared" si="4"/>
        <v>1.0265909763111267</v>
      </c>
    </row>
    <row r="32" spans="1:9" x14ac:dyDescent="0.25">
      <c r="A32" s="3">
        <v>44643</v>
      </c>
      <c r="B32" s="34">
        <v>22</v>
      </c>
      <c r="C32" s="33">
        <v>19.41</v>
      </c>
      <c r="D32">
        <f t="shared" si="0"/>
        <v>0.71330509795398667</v>
      </c>
      <c r="E32" s="35">
        <f t="shared" si="5"/>
        <v>5.0909851182032839E-2</v>
      </c>
      <c r="F32" s="36">
        <f t="shared" si="1"/>
        <v>509.09851182032838</v>
      </c>
      <c r="G32" s="37">
        <f t="shared" si="2"/>
        <v>9881.6021144325732</v>
      </c>
      <c r="H32" s="37">
        <f t="shared" si="3"/>
        <v>187362.93312999618</v>
      </c>
      <c r="I32" s="37">
        <f t="shared" si="4"/>
        <v>1.0837546006659977</v>
      </c>
    </row>
    <row r="33" spans="1:9" x14ac:dyDescent="0.25">
      <c r="A33" s="3">
        <v>44644</v>
      </c>
      <c r="B33" s="34">
        <v>21</v>
      </c>
      <c r="C33" s="33">
        <v>18.91</v>
      </c>
      <c r="D33">
        <f t="shared" si="0"/>
        <v>0.67571558272158949</v>
      </c>
      <c r="E33" s="35">
        <f t="shared" si="5"/>
        <v>-3.7589515232397175E-2</v>
      </c>
      <c r="F33" s="36">
        <f t="shared" si="1"/>
        <v>-375.89515232397173</v>
      </c>
      <c r="G33" s="37">
        <f t="shared" si="2"/>
        <v>-7108.1773304463059</v>
      </c>
      <c r="H33" s="37">
        <f t="shared" si="3"/>
        <v>180255.83955415053</v>
      </c>
      <c r="I33" s="37">
        <f t="shared" si="4"/>
        <v>1.0426453736145049</v>
      </c>
    </row>
    <row r="34" spans="1:9" x14ac:dyDescent="0.25">
      <c r="A34" s="3">
        <v>44645</v>
      </c>
      <c r="B34" s="34">
        <v>20</v>
      </c>
      <c r="C34" s="33">
        <v>19.049999</v>
      </c>
      <c r="D34">
        <f t="shared" si="0"/>
        <v>0.68962858312997222</v>
      </c>
      <c r="E34" s="35">
        <f t="shared" si="5"/>
        <v>1.3913000408382725E-2</v>
      </c>
      <c r="F34" s="36">
        <f t="shared" si="1"/>
        <v>139.13000408382726</v>
      </c>
      <c r="G34" s="37">
        <f t="shared" si="2"/>
        <v>2650.4264386669051</v>
      </c>
      <c r="H34" s="37">
        <f t="shared" si="3"/>
        <v>182907.30863819105</v>
      </c>
      <c r="I34" s="37">
        <f t="shared" si="4"/>
        <v>1.0579821415012702</v>
      </c>
    </row>
    <row r="35" spans="1:9" x14ac:dyDescent="0.25">
      <c r="A35" s="3">
        <v>44648</v>
      </c>
      <c r="B35" s="34">
        <v>17</v>
      </c>
      <c r="C35" s="33">
        <v>18.200001</v>
      </c>
      <c r="D35">
        <f t="shared" si="0"/>
        <v>0.61591638923986136</v>
      </c>
      <c r="E35" s="35">
        <f t="shared" si="5"/>
        <v>-7.3712193890110855E-2</v>
      </c>
      <c r="F35" s="36">
        <f t="shared" si="1"/>
        <v>-737.12193890110859</v>
      </c>
      <c r="G35" s="37">
        <f t="shared" si="2"/>
        <v>-13415.620025122116</v>
      </c>
      <c r="H35" s="37">
        <f t="shared" si="3"/>
        <v>169492.74659521045</v>
      </c>
      <c r="I35" s="37">
        <f t="shared" si="4"/>
        <v>2.9411837763618678</v>
      </c>
    </row>
    <row r="36" spans="1:9" x14ac:dyDescent="0.25">
      <c r="A36" s="3">
        <v>44649</v>
      </c>
      <c r="B36" s="34">
        <v>16</v>
      </c>
      <c r="C36" s="33">
        <v>18.649999999999999</v>
      </c>
      <c r="D36">
        <f t="shared" si="0"/>
        <v>0.66315540667379691</v>
      </c>
      <c r="E36" s="35">
        <f t="shared" si="5"/>
        <v>4.7239017433935548E-2</v>
      </c>
      <c r="F36" s="36">
        <f t="shared" si="1"/>
        <v>472.3901743393555</v>
      </c>
      <c r="G36" s="37">
        <f t="shared" si="2"/>
        <v>8810.0767514289801</v>
      </c>
      <c r="H36" s="37">
        <f t="shared" si="3"/>
        <v>178305.76453041579</v>
      </c>
      <c r="I36" s="37">
        <f t="shared" si="4"/>
        <v>1.0313656463695224</v>
      </c>
    </row>
    <row r="37" spans="1:9" x14ac:dyDescent="0.25">
      <c r="A37" s="3">
        <v>44650</v>
      </c>
      <c r="B37" s="34">
        <v>15</v>
      </c>
      <c r="C37" s="33">
        <v>20.690000999999999</v>
      </c>
      <c r="D37">
        <f t="shared" si="0"/>
        <v>0.8340727030226962</v>
      </c>
      <c r="E37" s="35">
        <f t="shared" si="5"/>
        <v>0.17091729634889929</v>
      </c>
      <c r="F37" s="36">
        <f t="shared" si="1"/>
        <v>1709.172963488993</v>
      </c>
      <c r="G37" s="37">
        <f t="shared" si="2"/>
        <v>35362.79032376023</v>
      </c>
      <c r="H37" s="37">
        <f t="shared" si="3"/>
        <v>213669.58621982238</v>
      </c>
      <c r="I37" s="37">
        <f t="shared" si="4"/>
        <v>1.2359189366688952</v>
      </c>
    </row>
    <row r="38" spans="1:9" x14ac:dyDescent="0.25">
      <c r="A38" s="3">
        <v>44651</v>
      </c>
      <c r="B38" s="34">
        <v>14</v>
      </c>
      <c r="C38" s="33">
        <v>20.41</v>
      </c>
      <c r="D38">
        <f t="shared" si="0"/>
        <v>0.82230263931623826</v>
      </c>
      <c r="E38" s="35">
        <f t="shared" si="5"/>
        <v>-1.1770063706457945E-2</v>
      </c>
      <c r="F38" s="36">
        <f t="shared" si="1"/>
        <v>-117.70063706457945</v>
      </c>
      <c r="G38" s="37">
        <f t="shared" si="2"/>
        <v>-2402.2700024880664</v>
      </c>
      <c r="H38" s="37">
        <f t="shared" si="3"/>
        <v>211268.55213627097</v>
      </c>
      <c r="I38" s="37">
        <f t="shared" si="4"/>
        <v>1.2220307481766213</v>
      </c>
    </row>
    <row r="39" spans="1:9" x14ac:dyDescent="0.25">
      <c r="A39" s="3">
        <v>44652</v>
      </c>
      <c r="B39" s="34">
        <v>13</v>
      </c>
      <c r="C39" s="33">
        <v>19.469999000000001</v>
      </c>
      <c r="D39">
        <f t="shared" si="0"/>
        <v>0.75420167806112093</v>
      </c>
      <c r="E39" s="35">
        <f t="shared" si="5"/>
        <v>-6.8100961255117332E-2</v>
      </c>
      <c r="F39" s="36">
        <f t="shared" si="1"/>
        <v>-681.00961255117329</v>
      </c>
      <c r="G39" s="37">
        <f t="shared" si="2"/>
        <v>-13259.256475361732</v>
      </c>
      <c r="H39" s="37">
        <f t="shared" si="3"/>
        <v>198010.51769165741</v>
      </c>
      <c r="I39" s="37">
        <f t="shared" si="4"/>
        <v>1.1453429231769405</v>
      </c>
    </row>
    <row r="40" spans="1:9" x14ac:dyDescent="0.25">
      <c r="A40" s="3">
        <v>44655</v>
      </c>
      <c r="B40" s="34">
        <v>10</v>
      </c>
      <c r="C40" s="33">
        <v>19.049999</v>
      </c>
      <c r="D40">
        <f t="shared" si="0"/>
        <v>0.73275856987018662</v>
      </c>
      <c r="E40" s="35">
        <f t="shared" si="5"/>
        <v>-2.1443108190934312E-2</v>
      </c>
      <c r="F40" s="36">
        <f t="shared" si="1"/>
        <v>-214.43108190934313</v>
      </c>
      <c r="G40" s="37">
        <f t="shared" si="2"/>
        <v>-4084.9118959419047</v>
      </c>
      <c r="H40" s="37">
        <f t="shared" si="3"/>
        <v>193926.75113863868</v>
      </c>
      <c r="I40" s="37">
        <f t="shared" si="4"/>
        <v>3.3651836182107218</v>
      </c>
    </row>
    <row r="41" spans="1:9" x14ac:dyDescent="0.25">
      <c r="A41" s="3">
        <v>44656</v>
      </c>
      <c r="B41" s="34">
        <v>9</v>
      </c>
      <c r="C41" s="33">
        <v>20.41</v>
      </c>
      <c r="D41">
        <f t="shared" si="0"/>
        <v>0.86676718091267091</v>
      </c>
      <c r="E41" s="35">
        <f t="shared" si="5"/>
        <v>0.13400861104248429</v>
      </c>
      <c r="F41" s="36">
        <f t="shared" si="1"/>
        <v>1340.0861104248429</v>
      </c>
      <c r="G41" s="37">
        <f t="shared" si="2"/>
        <v>27351.157513771042</v>
      </c>
      <c r="H41" s="37">
        <f t="shared" si="3"/>
        <v>221281.27383602792</v>
      </c>
      <c r="I41" s="37">
        <f t="shared" si="4"/>
        <v>1.2799468633020297</v>
      </c>
    </row>
    <row r="42" spans="1:9" x14ac:dyDescent="0.25">
      <c r="A42" s="3">
        <v>44657</v>
      </c>
      <c r="B42" s="34">
        <v>8</v>
      </c>
      <c r="C42" s="33">
        <v>19.049999</v>
      </c>
      <c r="D42">
        <f t="shared" si="0"/>
        <v>0.75077425043026413</v>
      </c>
      <c r="E42" s="35">
        <f t="shared" si="5"/>
        <v>-0.11599293048240678</v>
      </c>
      <c r="F42" s="36">
        <f t="shared" si="1"/>
        <v>-1159.9293048240677</v>
      </c>
      <c r="G42" s="37">
        <f t="shared" si="2"/>
        <v>-22096.652096969185</v>
      </c>
      <c r="H42" s="37">
        <f t="shared" si="3"/>
        <v>199185.90168592203</v>
      </c>
      <c r="I42" s="37">
        <f t="shared" si="4"/>
        <v>1.1521416415343992</v>
      </c>
    </row>
    <row r="43" spans="1:9" x14ac:dyDescent="0.25">
      <c r="A43" s="3">
        <v>44658</v>
      </c>
      <c r="B43" s="34">
        <v>7</v>
      </c>
      <c r="C43" s="33">
        <v>17.68</v>
      </c>
      <c r="D43">
        <f t="shared" si="0"/>
        <v>0.55722570046924691</v>
      </c>
      <c r="E43" s="35">
        <f t="shared" si="5"/>
        <v>-0.19354854996101722</v>
      </c>
      <c r="F43" s="36">
        <f t="shared" si="1"/>
        <v>-1935.4854996101722</v>
      </c>
      <c r="G43" s="37">
        <f t="shared" si="2"/>
        <v>-34219.383633107842</v>
      </c>
      <c r="H43" s="37">
        <f t="shared" si="3"/>
        <v>164967.67019445571</v>
      </c>
      <c r="I43" s="37">
        <f t="shared" si="4"/>
        <v>0.95421473472379148</v>
      </c>
    </row>
    <row r="44" spans="1:9" x14ac:dyDescent="0.25">
      <c r="A44" s="3">
        <v>44659</v>
      </c>
      <c r="B44" s="34">
        <v>6</v>
      </c>
      <c r="C44" s="33">
        <v>17.200001</v>
      </c>
      <c r="D44">
        <f t="shared" si="0"/>
        <v>0.46737715371286526</v>
      </c>
      <c r="E44" s="35">
        <f t="shared" si="5"/>
        <v>-8.9848546756381653E-2</v>
      </c>
      <c r="F44" s="36">
        <f t="shared" si="1"/>
        <v>-898.48546756381654</v>
      </c>
      <c r="G44" s="37">
        <f t="shared" si="2"/>
        <v>-15453.950940583112</v>
      </c>
      <c r="H44" s="37">
        <f t="shared" si="3"/>
        <v>149514.67346860733</v>
      </c>
      <c r="I44" s="37">
        <f t="shared" si="4"/>
        <v>0.86483069267706014</v>
      </c>
    </row>
    <row r="45" spans="1:9" x14ac:dyDescent="0.25">
      <c r="A45" s="3">
        <v>44662</v>
      </c>
      <c r="B45" s="34">
        <v>3</v>
      </c>
      <c r="C45" s="33">
        <v>16.379999000000002</v>
      </c>
      <c r="D45">
        <f t="shared" si="0"/>
        <v>0.23299294057713246</v>
      </c>
      <c r="E45" s="35">
        <f t="shared" si="5"/>
        <v>-0.23438421313573279</v>
      </c>
      <c r="F45" s="36">
        <f t="shared" si="1"/>
        <v>-2343.8421313573281</v>
      </c>
      <c r="G45" s="37">
        <f t="shared" si="2"/>
        <v>-38392.131767790903</v>
      </c>
      <c r="H45" s="37">
        <f t="shared" si="3"/>
        <v>111123.4065315091</v>
      </c>
      <c r="I45" s="37">
        <f t="shared" si="4"/>
        <v>1.9283088334341301</v>
      </c>
    </row>
    <row r="46" spans="1:9" x14ac:dyDescent="0.25">
      <c r="A46" s="3">
        <v>44663</v>
      </c>
      <c r="B46" s="34">
        <v>2</v>
      </c>
      <c r="C46" s="33">
        <v>16.870000999999998</v>
      </c>
      <c r="D46">
        <f t="shared" si="0"/>
        <v>0.31240926690066517</v>
      </c>
      <c r="E46" s="35">
        <f t="shared" si="5"/>
        <v>7.941632632353271E-2</v>
      </c>
      <c r="F46" s="36">
        <f t="shared" si="1"/>
        <v>794.16326323532712</v>
      </c>
      <c r="G46" s="37">
        <f t="shared" si="2"/>
        <v>13397.53504494323</v>
      </c>
      <c r="H46" s="37">
        <f t="shared" si="3"/>
        <v>124522.86988528576</v>
      </c>
      <c r="I46" s="37">
        <f t="shared" si="4"/>
        <v>0.720271778802271</v>
      </c>
    </row>
    <row r="47" spans="1:9" x14ac:dyDescent="0.25">
      <c r="A47" s="3">
        <v>44664</v>
      </c>
      <c r="B47" s="34">
        <v>1</v>
      </c>
      <c r="C47" s="33">
        <v>16.41</v>
      </c>
      <c r="D47">
        <f t="shared" si="0"/>
        <v>0.10108285606822433</v>
      </c>
      <c r="E47" s="35">
        <f t="shared" si="5"/>
        <v>-0.21132641083244086</v>
      </c>
      <c r="F47" s="36">
        <f t="shared" si="1"/>
        <v>-2113.2641083244084</v>
      </c>
      <c r="G47" s="37">
        <f t="shared" si="2"/>
        <v>-34678.664017603543</v>
      </c>
      <c r="H47" s="37">
        <f t="shared" si="3"/>
        <v>89844.926139461022</v>
      </c>
      <c r="I47" s="37">
        <f t="shared" si="4"/>
        <v>0.51968578001833521</v>
      </c>
    </row>
    <row r="48" spans="1:9" x14ac:dyDescent="0.25">
      <c r="A48" s="3">
        <v>44665</v>
      </c>
      <c r="B48" s="34">
        <v>0</v>
      </c>
      <c r="C48" s="33">
        <v>16.75</v>
      </c>
      <c r="D48">
        <v>0</v>
      </c>
      <c r="E48" s="35">
        <f t="shared" si="5"/>
        <v>-0.10108285606822433</v>
      </c>
      <c r="F48" s="36">
        <f t="shared" si="1"/>
        <v>-1010.8285606822433</v>
      </c>
      <c r="G48" s="37">
        <f t="shared" si="2"/>
        <v>-16931.378391427574</v>
      </c>
      <c r="H48" s="37">
        <f t="shared" si="3"/>
        <v>72914.06743381347</v>
      </c>
      <c r="I48" s="37"/>
    </row>
    <row r="49" spans="1:7" x14ac:dyDescent="0.25">
      <c r="E49" t="s">
        <v>125</v>
      </c>
      <c r="F49" s="36">
        <f>SUM(F8:F48)</f>
        <v>0</v>
      </c>
    </row>
    <row r="50" spans="1:7" x14ac:dyDescent="0.25">
      <c r="A50" t="s">
        <v>102</v>
      </c>
      <c r="E50" t="s">
        <v>112</v>
      </c>
    </row>
    <row r="51" spans="1:7" x14ac:dyDescent="0.25">
      <c r="A51" t="s">
        <v>107</v>
      </c>
      <c r="C51" s="38">
        <v>0</v>
      </c>
      <c r="E51" t="s">
        <v>121</v>
      </c>
      <c r="F51" t="s">
        <v>122</v>
      </c>
      <c r="G51" s="33">
        <f>C54</f>
        <v>66021.76388429926</v>
      </c>
    </row>
    <row r="52" spans="1:7" x14ac:dyDescent="0.25">
      <c r="A52" t="s">
        <v>103</v>
      </c>
      <c r="C52" s="37">
        <f>H48</f>
        <v>72914.06743381347</v>
      </c>
      <c r="E52" t="s">
        <v>123</v>
      </c>
      <c r="F52" t="s">
        <v>124</v>
      </c>
      <c r="G52" s="1">
        <f>G51/C54</f>
        <v>1</v>
      </c>
    </row>
    <row r="53" spans="1:7" x14ac:dyDescent="0.25">
      <c r="A53" t="s">
        <v>104</v>
      </c>
      <c r="B53" t="s">
        <v>109</v>
      </c>
      <c r="C53" s="37">
        <f>C52-C51</f>
        <v>72914.06743381347</v>
      </c>
      <c r="G53" s="33"/>
    </row>
    <row r="54" spans="1:7" x14ac:dyDescent="0.25">
      <c r="A54" t="s">
        <v>105</v>
      </c>
      <c r="C54" s="33">
        <f>I3*10000*EXP(I2*B8/252)</f>
        <v>66021.76388429926</v>
      </c>
      <c r="G54" s="1"/>
    </row>
    <row r="55" spans="1:7" x14ac:dyDescent="0.25">
      <c r="A55" t="s">
        <v>106</v>
      </c>
      <c r="B55" t="s">
        <v>110</v>
      </c>
      <c r="C55" s="37">
        <f>C54-C53</f>
        <v>-6892.3035495142103</v>
      </c>
    </row>
    <row r="56" spans="1:7" x14ac:dyDescent="0.25">
      <c r="A56" t="s">
        <v>111</v>
      </c>
      <c r="C56" s="1">
        <f>ABS(C55/C54)</f>
        <v>0.10439441699244391</v>
      </c>
    </row>
    <row r="65" spans="1:11" x14ac:dyDescent="0.25">
      <c r="A65" t="s">
        <v>0</v>
      </c>
      <c r="B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</row>
    <row r="70" spans="1:11" x14ac:dyDescent="0.25">
      <c r="B70" s="3"/>
    </row>
    <row r="71" spans="1:11" x14ac:dyDescent="0.25">
      <c r="G71" s="2"/>
    </row>
    <row r="72" spans="1:11" x14ac:dyDescent="0.25">
      <c r="D72" s="1"/>
    </row>
    <row r="74" spans="1:11" x14ac:dyDescent="0.25"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</row>
    <row r="75" spans="1:11" x14ac:dyDescent="0.25"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</row>
    <row r="76" spans="1:11" x14ac:dyDescent="0.25"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</row>
    <row r="77" spans="1:11" x14ac:dyDescent="0.25"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</row>
    <row r="78" spans="1:11" x14ac:dyDescent="0.25"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</row>
    <row r="79" spans="1:11" x14ac:dyDescent="0.25"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</row>
    <row r="80" spans="1:11" x14ac:dyDescent="0.25"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</row>
    <row r="81" spans="1:11" x14ac:dyDescent="0.25">
      <c r="A81" t="s">
        <v>0</v>
      </c>
      <c r="B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</row>
    <row r="87" spans="1:11" x14ac:dyDescent="0.25">
      <c r="B87" s="3"/>
    </row>
    <row r="88" spans="1:11" x14ac:dyDescent="0.25">
      <c r="G88" s="2"/>
    </row>
    <row r="89" spans="1:11" x14ac:dyDescent="0.25">
      <c r="D89" s="1"/>
    </row>
    <row r="108" spans="8:11" x14ac:dyDescent="0.25">
      <c r="H108" t="s">
        <v>0</v>
      </c>
      <c r="I108" t="s">
        <v>0</v>
      </c>
      <c r="J108" t="s">
        <v>0</v>
      </c>
      <c r="K108" t="s">
        <v>0</v>
      </c>
    </row>
    <row r="114" spans="1:11" x14ac:dyDescent="0.25">
      <c r="B114" s="3"/>
    </row>
    <row r="115" spans="1:11" x14ac:dyDescent="0.25">
      <c r="G115" s="2"/>
    </row>
    <row r="116" spans="1:11" x14ac:dyDescent="0.25">
      <c r="D116" s="1"/>
    </row>
    <row r="118" spans="1:11" x14ac:dyDescent="0.25"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</row>
    <row r="119" spans="1:11" x14ac:dyDescent="0.25"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</row>
    <row r="120" spans="1:11" x14ac:dyDescent="0.25"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1" x14ac:dyDescent="0.25"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</row>
    <row r="122" spans="1:11" x14ac:dyDescent="0.25"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</row>
    <row r="123" spans="1:11" x14ac:dyDescent="0.25"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</row>
    <row r="124" spans="1:11" x14ac:dyDescent="0.25"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</row>
    <row r="125" spans="1:11" x14ac:dyDescent="0.25">
      <c r="A125" t="s">
        <v>0</v>
      </c>
      <c r="B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6"/>
  <sheetViews>
    <sheetView topLeftCell="A22" workbookViewId="0">
      <selection activeCell="F49" sqref="F49"/>
    </sheetView>
  </sheetViews>
  <sheetFormatPr defaultColWidth="11.5703125" defaultRowHeight="15" x14ac:dyDescent="0.25"/>
  <cols>
    <col min="1" max="1" width="41.5703125" bestFit="1" customWidth="1"/>
    <col min="2" max="2" width="16.42578125" bestFit="1" customWidth="1"/>
    <col min="3" max="3" width="49" bestFit="1" customWidth="1"/>
    <col min="4" max="4" width="12" bestFit="1" customWidth="1"/>
    <col min="5" max="5" width="30.5703125" bestFit="1" customWidth="1"/>
    <col min="6" max="6" width="44.85546875" bestFit="1" customWidth="1"/>
    <col min="7" max="7" width="19.85546875" bestFit="1" customWidth="1"/>
    <col min="8" max="8" width="26" bestFit="1" customWidth="1"/>
    <col min="9" max="9" width="10.7109375" bestFit="1" customWidth="1"/>
    <col min="12" max="12" width="36.28515625" bestFit="1" customWidth="1"/>
    <col min="13" max="13" width="13.85546875" bestFit="1" customWidth="1"/>
    <col min="14" max="14" width="12.85546875" bestFit="1" customWidth="1"/>
  </cols>
  <sheetData>
    <row r="1" spans="1:9" x14ac:dyDescent="0.25">
      <c r="H1" t="s">
        <v>120</v>
      </c>
    </row>
    <row r="2" spans="1:9" x14ac:dyDescent="0.25">
      <c r="H2" t="s">
        <v>65</v>
      </c>
      <c r="I2">
        <f>'Risk Free Rates'!D7</f>
        <v>1.4576275304207847E-3</v>
      </c>
    </row>
    <row r="3" spans="1:9" x14ac:dyDescent="0.25">
      <c r="C3" t="s">
        <v>26</v>
      </c>
      <c r="H3" t="s">
        <v>35</v>
      </c>
      <c r="I3">
        <f>'Option Data'!C15</f>
        <v>8.4</v>
      </c>
    </row>
    <row r="4" spans="1:9" x14ac:dyDescent="0.25">
      <c r="C4" t="s">
        <v>29</v>
      </c>
      <c r="H4" t="s">
        <v>100</v>
      </c>
      <c r="I4">
        <f>'Volatility C'!F9</f>
        <v>0.64806888811834895</v>
      </c>
    </row>
    <row r="5" spans="1:9" x14ac:dyDescent="0.25">
      <c r="C5" t="s">
        <v>30</v>
      </c>
      <c r="H5" t="s">
        <v>34</v>
      </c>
      <c r="I5">
        <f>'Option Data'!B15</f>
        <v>120</v>
      </c>
    </row>
    <row r="6" spans="1:9" x14ac:dyDescent="0.25">
      <c r="C6" s="7"/>
      <c r="E6" s="6"/>
      <c r="F6" s="6"/>
      <c r="G6" s="7"/>
    </row>
    <row r="7" spans="1:9" x14ac:dyDescent="0.25">
      <c r="A7" t="s">
        <v>50</v>
      </c>
      <c r="B7" s="5" t="s">
        <v>58</v>
      </c>
      <c r="C7" t="s">
        <v>93</v>
      </c>
      <c r="D7" t="s">
        <v>94</v>
      </c>
      <c r="E7" s="6" t="s">
        <v>95</v>
      </c>
      <c r="F7" s="6" t="s">
        <v>96</v>
      </c>
      <c r="G7" s="7" t="s">
        <v>97</v>
      </c>
      <c r="H7" s="7" t="s">
        <v>99</v>
      </c>
      <c r="I7" t="s">
        <v>98</v>
      </c>
    </row>
    <row r="8" spans="1:9" x14ac:dyDescent="0.25">
      <c r="A8" s="3">
        <v>44608</v>
      </c>
      <c r="B8" s="34">
        <v>57</v>
      </c>
      <c r="C8" s="33">
        <v>117.69000200000001</v>
      </c>
      <c r="D8">
        <f>_xlfn.NORM.DIST((LN(C8/$I$5)+($I$2+$I$4^2/2)*(B8/252))/($I$4*SQRT(B8/252)),0,1,TRUE)</f>
        <v>0.53669633231193736</v>
      </c>
      <c r="E8" s="6">
        <f>D8</f>
        <v>0.53669633231193736</v>
      </c>
      <c r="F8" s="36">
        <f>10000*E8</f>
        <v>5366.9633231193739</v>
      </c>
      <c r="G8" s="37">
        <f>C8*F8</f>
        <v>631637.92423184577</v>
      </c>
      <c r="H8" s="37">
        <f>G8</f>
        <v>631637.92423184577</v>
      </c>
      <c r="I8" s="37">
        <f>H8*EXP(I2*1/252)-H8</f>
        <v>3.6535535332513973</v>
      </c>
    </row>
    <row r="9" spans="1:9" x14ac:dyDescent="0.25">
      <c r="A9" s="3">
        <v>44609</v>
      </c>
      <c r="B9" s="34">
        <v>56</v>
      </c>
      <c r="C9" s="33">
        <v>112.370003</v>
      </c>
      <c r="D9">
        <f t="shared" ref="D9:D47" si="0">_xlfn.NORM.DIST((LN(C9/$I$5)+($I$2+$I$4^2/2)*(B9/252))/($I$4*SQRT(B9/252)),0,1,TRUE)</f>
        <v>0.47558937963400955</v>
      </c>
      <c r="E9" s="35">
        <f>D9-D8</f>
        <v>-6.1106952677927817E-2</v>
      </c>
      <c r="F9" s="36">
        <f t="shared" ref="F9:F48" si="1">10000*E9</f>
        <v>-611.06952677927814</v>
      </c>
      <c r="G9" s="37">
        <f t="shared" ref="G9:G48" si="2">C9*F9</f>
        <v>-68665.884557396057</v>
      </c>
      <c r="H9" s="37">
        <f>G9+H8+I8</f>
        <v>562975.69322798296</v>
      </c>
      <c r="I9" s="37">
        <f>H9*EXP($I$2*(B8-B9)/252)-H9</f>
        <v>3.2563938202802092</v>
      </c>
    </row>
    <row r="10" spans="1:9" x14ac:dyDescent="0.25">
      <c r="A10" s="3">
        <v>44610</v>
      </c>
      <c r="B10" s="34">
        <v>55</v>
      </c>
      <c r="C10" s="33">
        <v>113.83000199999999</v>
      </c>
      <c r="D10">
        <f t="shared" si="0"/>
        <v>0.491258088130269</v>
      </c>
      <c r="E10" s="35">
        <f>D10-D9</f>
        <v>1.5668708496259454E-2</v>
      </c>
      <c r="F10" s="36">
        <f t="shared" si="1"/>
        <v>156.68708496259453</v>
      </c>
      <c r="G10" s="37">
        <f t="shared" si="2"/>
        <v>17835.691194666302</v>
      </c>
      <c r="H10" s="37">
        <f t="shared" ref="H10:H48" si="3">G10+H9+I9</f>
        <v>580814.64081646956</v>
      </c>
      <c r="I10" s="37">
        <f t="shared" ref="I10:I47" si="4">H10*EXP($I$2*(B9-B10)/252)-H10</f>
        <v>3.3595788057427853</v>
      </c>
    </row>
    <row r="11" spans="1:9" x14ac:dyDescent="0.25">
      <c r="A11" s="3">
        <v>44614</v>
      </c>
      <c r="B11" s="34">
        <v>51</v>
      </c>
      <c r="C11" s="33">
        <v>115.650002</v>
      </c>
      <c r="D11">
        <f t="shared" si="0"/>
        <v>0.50803313927079596</v>
      </c>
      <c r="E11" s="35">
        <f>D11-D10</f>
        <v>1.6775051140526964E-2</v>
      </c>
      <c r="F11" s="36">
        <f t="shared" si="1"/>
        <v>167.75051140526963</v>
      </c>
      <c r="G11" s="37">
        <f t="shared" si="2"/>
        <v>19400.346979520455</v>
      </c>
      <c r="H11" s="37">
        <f t="shared" si="3"/>
        <v>600218.3473747957</v>
      </c>
      <c r="I11" s="37">
        <f t="shared" si="4"/>
        <v>13.887379502761178</v>
      </c>
    </row>
    <row r="12" spans="1:9" x14ac:dyDescent="0.25">
      <c r="A12" s="3">
        <v>44615</v>
      </c>
      <c r="B12" s="34">
        <v>50</v>
      </c>
      <c r="C12" s="33">
        <v>109.760002</v>
      </c>
      <c r="D12">
        <f t="shared" si="0"/>
        <v>0.4350046490704309</v>
      </c>
      <c r="E12" s="35">
        <f>D12-D11</f>
        <v>-7.3028490200365059E-2</v>
      </c>
      <c r="F12" s="36">
        <f t="shared" si="1"/>
        <v>-730.28490200365059</v>
      </c>
      <c r="G12" s="37">
        <f t="shared" si="2"/>
        <v>-80156.072304490488</v>
      </c>
      <c r="H12" s="37">
        <f t="shared" si="3"/>
        <v>520076.16244980798</v>
      </c>
      <c r="I12" s="37">
        <f t="shared" si="4"/>
        <v>3.0082520823925734</v>
      </c>
    </row>
    <row r="13" spans="1:9" x14ac:dyDescent="0.25">
      <c r="A13" s="3">
        <v>44616</v>
      </c>
      <c r="B13" s="34">
        <v>49</v>
      </c>
      <c r="C13" s="33">
        <v>116.610001</v>
      </c>
      <c r="D13">
        <f t="shared" si="0"/>
        <v>0.51738805206469518</v>
      </c>
      <c r="E13" s="35">
        <f>D13-D12</f>
        <v>8.2383402994264276E-2</v>
      </c>
      <c r="F13" s="36">
        <f t="shared" si="1"/>
        <v>823.83402994264281</v>
      </c>
      <c r="G13" s="37">
        <f t="shared" si="2"/>
        <v>96067.287055445602</v>
      </c>
      <c r="H13" s="37">
        <f t="shared" si="3"/>
        <v>616146.45775733597</v>
      </c>
      <c r="I13" s="37">
        <f t="shared" si="4"/>
        <v>3.5639469724847004</v>
      </c>
    </row>
    <row r="14" spans="1:9" x14ac:dyDescent="0.25">
      <c r="A14" s="3">
        <v>44617</v>
      </c>
      <c r="B14" s="34">
        <v>48</v>
      </c>
      <c r="C14" s="33">
        <v>121.05999799999999</v>
      </c>
      <c r="D14">
        <f t="shared" si="0"/>
        <v>0.56886900289878628</v>
      </c>
      <c r="E14" s="35">
        <f t="shared" ref="E14:E48" si="5">D14-D13</f>
        <v>5.1480950834091099E-2</v>
      </c>
      <c r="F14" s="36">
        <f t="shared" si="1"/>
        <v>514.80950834091095</v>
      </c>
      <c r="G14" s="37">
        <f t="shared" si="2"/>
        <v>62322.838050131657</v>
      </c>
      <c r="H14" s="37">
        <f t="shared" si="3"/>
        <v>678472.85975444014</v>
      </c>
      <c r="I14" s="37">
        <f t="shared" si="4"/>
        <v>3.9244586477288976</v>
      </c>
    </row>
    <row r="15" spans="1:9" x14ac:dyDescent="0.25">
      <c r="A15" s="3">
        <v>44620</v>
      </c>
      <c r="B15" s="34">
        <v>45</v>
      </c>
      <c r="C15" s="33">
        <v>123.339996</v>
      </c>
      <c r="D15">
        <f t="shared" si="0"/>
        <v>0.59410791287698617</v>
      </c>
      <c r="E15" s="35">
        <f t="shared" si="5"/>
        <v>2.5238909978199886E-2</v>
      </c>
      <c r="F15" s="36">
        <f t="shared" si="1"/>
        <v>252.38909978199885</v>
      </c>
      <c r="G15" s="37">
        <f t="shared" si="2"/>
        <v>31129.670557555339</v>
      </c>
      <c r="H15" s="37">
        <f>G15+H14+I14</f>
        <v>709606.45477064326</v>
      </c>
      <c r="I15" s="37">
        <f t="shared" si="4"/>
        <v>12.313700935803354</v>
      </c>
    </row>
    <row r="16" spans="1:9" x14ac:dyDescent="0.25">
      <c r="A16" s="3">
        <v>44621</v>
      </c>
      <c r="B16" s="34">
        <v>44</v>
      </c>
      <c r="C16" s="33">
        <v>113.83000199999999</v>
      </c>
      <c r="D16">
        <f t="shared" si="0"/>
        <v>0.47664093947698821</v>
      </c>
      <c r="E16" s="35">
        <f t="shared" si="5"/>
        <v>-0.11746697339999795</v>
      </c>
      <c r="F16" s="36">
        <f t="shared" si="1"/>
        <v>-1174.6697339999796</v>
      </c>
      <c r="G16" s="37">
        <f t="shared" si="2"/>
        <v>-133712.65817055714</v>
      </c>
      <c r="H16" s="37">
        <f t="shared" si="3"/>
        <v>575906.11030102195</v>
      </c>
      <c r="I16" s="37">
        <f t="shared" si="4"/>
        <v>3.3311866235453635</v>
      </c>
    </row>
    <row r="17" spans="1:9" x14ac:dyDescent="0.25">
      <c r="A17" s="3">
        <v>44622</v>
      </c>
      <c r="B17" s="34">
        <v>43</v>
      </c>
      <c r="C17" s="33">
        <v>118.279999</v>
      </c>
      <c r="D17">
        <f t="shared" si="0"/>
        <v>0.53222018664126636</v>
      </c>
      <c r="E17" s="35">
        <f t="shared" si="5"/>
        <v>5.5579247164278145E-2</v>
      </c>
      <c r="F17" s="36">
        <f t="shared" si="1"/>
        <v>555.79247164278149</v>
      </c>
      <c r="G17" s="37">
        <f t="shared" si="2"/>
        <v>65739.13299011573</v>
      </c>
      <c r="H17" s="37">
        <f t="shared" si="3"/>
        <v>641648.57447776129</v>
      </c>
      <c r="I17" s="37">
        <f t="shared" si="4"/>
        <v>3.7114576665917411</v>
      </c>
    </row>
    <row r="18" spans="1:9" x14ac:dyDescent="0.25">
      <c r="A18" s="3">
        <v>44623</v>
      </c>
      <c r="B18" s="34">
        <v>42</v>
      </c>
      <c r="C18" s="33">
        <v>111.980003</v>
      </c>
      <c r="D18">
        <f t="shared" si="0"/>
        <v>0.44897920846318395</v>
      </c>
      <c r="E18" s="35">
        <f t="shared" si="5"/>
        <v>-8.3240978178082403E-2</v>
      </c>
      <c r="F18" s="36">
        <f t="shared" si="1"/>
        <v>-832.40978178082401</v>
      </c>
      <c r="G18" s="37">
        <f t="shared" si="2"/>
        <v>-93213.249861046017</v>
      </c>
      <c r="H18" s="37">
        <f t="shared" si="3"/>
        <v>548439.0360743819</v>
      </c>
      <c r="I18" s="37">
        <f t="shared" si="4"/>
        <v>3.1723101180978119</v>
      </c>
    </row>
    <row r="19" spans="1:9" x14ac:dyDescent="0.25">
      <c r="A19" s="3">
        <v>44624</v>
      </c>
      <c r="B19" s="34">
        <v>41</v>
      </c>
      <c r="C19" s="33">
        <v>108.410004</v>
      </c>
      <c r="D19">
        <f t="shared" si="0"/>
        <v>0.39860832352470621</v>
      </c>
      <c r="E19" s="35">
        <f t="shared" si="5"/>
        <v>-5.0370884938477745E-2</v>
      </c>
      <c r="F19" s="36">
        <f t="shared" si="1"/>
        <v>-503.70884938477747</v>
      </c>
      <c r="G19" s="37">
        <f t="shared" si="2"/>
        <v>-54607.078376639125</v>
      </c>
      <c r="H19" s="37">
        <f t="shared" si="3"/>
        <v>493835.13000786089</v>
      </c>
      <c r="I19" s="37">
        <f t="shared" si="4"/>
        <v>2.8564673127839342</v>
      </c>
    </row>
    <row r="20" spans="1:9" x14ac:dyDescent="0.25">
      <c r="A20" s="3">
        <v>44627</v>
      </c>
      <c r="B20" s="34">
        <v>38</v>
      </c>
      <c r="C20" s="33">
        <v>102.949997</v>
      </c>
      <c r="D20">
        <f t="shared" si="0"/>
        <v>0.31481452090443474</v>
      </c>
      <c r="E20" s="35">
        <f t="shared" si="5"/>
        <v>-8.3793802620271474E-2</v>
      </c>
      <c r="F20" s="36">
        <f t="shared" si="1"/>
        <v>-837.9380262027147</v>
      </c>
      <c r="G20" s="37">
        <f t="shared" si="2"/>
        <v>-86265.717283755395</v>
      </c>
      <c r="H20" s="37">
        <f t="shared" si="3"/>
        <v>407572.26919141831</v>
      </c>
      <c r="I20" s="37">
        <f t="shared" si="4"/>
        <v>7.0725442233961076</v>
      </c>
    </row>
    <row r="21" spans="1:9" x14ac:dyDescent="0.25">
      <c r="A21" s="3">
        <v>44628</v>
      </c>
      <c r="B21" s="34">
        <v>37</v>
      </c>
      <c r="C21" s="33">
        <v>105.529999</v>
      </c>
      <c r="D21">
        <f t="shared" si="0"/>
        <v>0.34737153112862384</v>
      </c>
      <c r="E21" s="35">
        <f t="shared" si="5"/>
        <v>3.2557010224189109E-2</v>
      </c>
      <c r="F21" s="36">
        <f t="shared" si="1"/>
        <v>325.57010224189111</v>
      </c>
      <c r="G21" s="37">
        <f t="shared" si="2"/>
        <v>34357.412564016668</v>
      </c>
      <c r="H21" s="37">
        <f t="shared" si="3"/>
        <v>441936.75429965835</v>
      </c>
      <c r="I21" s="37">
        <f t="shared" si="4"/>
        <v>2.5562739794841036</v>
      </c>
    </row>
    <row r="22" spans="1:9" x14ac:dyDescent="0.25">
      <c r="A22" s="3">
        <v>44629</v>
      </c>
      <c r="B22" s="34">
        <v>36</v>
      </c>
      <c r="C22" s="33">
        <v>111.050003</v>
      </c>
      <c r="D22">
        <f t="shared" si="0"/>
        <v>0.42343370186713342</v>
      </c>
      <c r="E22" s="35">
        <f t="shared" si="5"/>
        <v>7.6062170738509571E-2</v>
      </c>
      <c r="F22" s="36">
        <f t="shared" si="1"/>
        <v>760.62170738509576</v>
      </c>
      <c r="G22" s="37">
        <f t="shared" si="2"/>
        <v>84467.042886980009</v>
      </c>
      <c r="H22" s="37">
        <f t="shared" si="3"/>
        <v>526406.35346061783</v>
      </c>
      <c r="I22" s="37">
        <f t="shared" si="4"/>
        <v>3.0448675084626302</v>
      </c>
    </row>
    <row r="23" spans="1:9" x14ac:dyDescent="0.25">
      <c r="A23" s="3">
        <v>44630</v>
      </c>
      <c r="B23" s="34">
        <v>35</v>
      </c>
      <c r="C23" s="33">
        <v>106.459999</v>
      </c>
      <c r="D23">
        <f t="shared" si="0"/>
        <v>0.3541637821764273</v>
      </c>
      <c r="E23" s="35">
        <f t="shared" si="5"/>
        <v>-6.9269919690706117E-2</v>
      </c>
      <c r="F23" s="36">
        <f t="shared" si="1"/>
        <v>-692.69919690706115</v>
      </c>
      <c r="G23" s="37">
        <f t="shared" si="2"/>
        <v>-73744.755810026531</v>
      </c>
      <c r="H23" s="37">
        <f t="shared" si="3"/>
        <v>452664.64251809975</v>
      </c>
      <c r="I23" s="37">
        <f t="shared" si="4"/>
        <v>2.6183267986634746</v>
      </c>
    </row>
    <row r="24" spans="1:9" x14ac:dyDescent="0.25">
      <c r="A24" s="3">
        <v>44631</v>
      </c>
      <c r="B24" s="34">
        <v>34</v>
      </c>
      <c r="C24" s="33">
        <v>104.290001</v>
      </c>
      <c r="D24">
        <f t="shared" si="0"/>
        <v>0.3193197475604988</v>
      </c>
      <c r="E24" s="35">
        <f t="shared" si="5"/>
        <v>-3.4844034615928499E-2</v>
      </c>
      <c r="F24" s="36">
        <f t="shared" si="1"/>
        <v>-348.44034615928501</v>
      </c>
      <c r="G24" s="37">
        <f t="shared" si="2"/>
        <v>-36338.844049392181</v>
      </c>
      <c r="H24" s="37">
        <f t="shared" si="3"/>
        <v>416328.41679550626</v>
      </c>
      <c r="I24" s="37">
        <f t="shared" si="4"/>
        <v>2.4081488774390891</v>
      </c>
    </row>
    <row r="25" spans="1:9" x14ac:dyDescent="0.25">
      <c r="A25" s="3">
        <v>44634</v>
      </c>
      <c r="B25" s="34">
        <v>31</v>
      </c>
      <c r="C25" s="33">
        <v>102.25</v>
      </c>
      <c r="D25">
        <f t="shared" si="0"/>
        <v>0.27766758946309955</v>
      </c>
      <c r="E25" s="35">
        <f t="shared" si="5"/>
        <v>-4.165215809739925E-2</v>
      </c>
      <c r="F25" s="36">
        <f t="shared" si="1"/>
        <v>-416.52158097399251</v>
      </c>
      <c r="G25" s="37">
        <f t="shared" si="2"/>
        <v>-42589.331654590736</v>
      </c>
      <c r="H25" s="37">
        <f t="shared" si="3"/>
        <v>373741.49328979297</v>
      </c>
      <c r="I25" s="37">
        <f t="shared" si="4"/>
        <v>6.4854835306759924</v>
      </c>
    </row>
    <row r="26" spans="1:9" x14ac:dyDescent="0.25">
      <c r="A26" s="3">
        <v>44635</v>
      </c>
      <c r="B26" s="34">
        <v>30</v>
      </c>
      <c r="C26" s="33">
        <v>109.33000199999999</v>
      </c>
      <c r="D26">
        <f t="shared" si="0"/>
        <v>0.38061191445614045</v>
      </c>
      <c r="E26" s="35">
        <f t="shared" si="5"/>
        <v>0.1029443249930409</v>
      </c>
      <c r="F26" s="36">
        <f t="shared" si="1"/>
        <v>1029.4432499304091</v>
      </c>
      <c r="G26" s="37">
        <f t="shared" si="2"/>
        <v>112549.03257377812</v>
      </c>
      <c r="H26" s="37">
        <f t="shared" si="3"/>
        <v>486297.01134710177</v>
      </c>
      <c r="I26" s="37">
        <f t="shared" si="4"/>
        <v>2.8128649276331998</v>
      </c>
    </row>
    <row r="27" spans="1:9" x14ac:dyDescent="0.25">
      <c r="A27" s="3">
        <v>44636</v>
      </c>
      <c r="B27" s="34">
        <v>29</v>
      </c>
      <c r="C27" s="33">
        <v>115.370003</v>
      </c>
      <c r="D27">
        <f t="shared" si="0"/>
        <v>0.47277737526877522</v>
      </c>
      <c r="E27" s="35">
        <f t="shared" si="5"/>
        <v>9.216546081263477E-2</v>
      </c>
      <c r="F27" s="36">
        <f t="shared" si="1"/>
        <v>921.65460812634774</v>
      </c>
      <c r="G27" s="37">
        <f t="shared" si="2"/>
        <v>106331.29490450057</v>
      </c>
      <c r="H27" s="37">
        <f t="shared" si="3"/>
        <v>592631.11911653006</v>
      </c>
      <c r="I27" s="37">
        <f t="shared" si="4"/>
        <v>3.4279283053474501</v>
      </c>
    </row>
    <row r="28" spans="1:9" x14ac:dyDescent="0.25">
      <c r="A28" s="3">
        <v>44637</v>
      </c>
      <c r="B28" s="34">
        <v>28</v>
      </c>
      <c r="C28" s="33">
        <v>111.69000200000001</v>
      </c>
      <c r="D28">
        <f t="shared" si="0"/>
        <v>0.41159391034503839</v>
      </c>
      <c r="E28" s="35">
        <f t="shared" si="5"/>
        <v>-6.118346492373683E-2</v>
      </c>
      <c r="F28" s="36">
        <f t="shared" si="1"/>
        <v>-611.83464923736835</v>
      </c>
      <c r="G28" s="37">
        <f t="shared" si="2"/>
        <v>-68335.813196990974</v>
      </c>
      <c r="H28" s="37">
        <f t="shared" si="3"/>
        <v>524298.73384784441</v>
      </c>
      <c r="I28" s="37">
        <f t="shared" si="4"/>
        <v>3.0326765035279095</v>
      </c>
    </row>
    <row r="29" spans="1:9" x14ac:dyDescent="0.25">
      <c r="A29" s="3">
        <v>44638</v>
      </c>
      <c r="B29" s="34">
        <v>27</v>
      </c>
      <c r="C29" s="33">
        <v>113.459999</v>
      </c>
      <c r="D29">
        <f t="shared" si="0"/>
        <v>0.43747173541560536</v>
      </c>
      <c r="E29" s="35">
        <f t="shared" si="5"/>
        <v>2.5877825070566962E-2</v>
      </c>
      <c r="F29" s="36">
        <f t="shared" si="1"/>
        <v>258.77825070566962</v>
      </c>
      <c r="G29" s="37">
        <f t="shared" si="2"/>
        <v>29360.980066287022</v>
      </c>
      <c r="H29" s="37">
        <f t="shared" si="3"/>
        <v>553662.74659063492</v>
      </c>
      <c r="I29" s="37">
        <f t="shared" si="4"/>
        <v>3.2025253811152652</v>
      </c>
    </row>
    <row r="30" spans="1:9" x14ac:dyDescent="0.25">
      <c r="A30" s="3">
        <v>44641</v>
      </c>
      <c r="B30" s="34">
        <v>24</v>
      </c>
      <c r="C30" s="33">
        <v>115.91999800000001</v>
      </c>
      <c r="D30">
        <f t="shared" si="0"/>
        <v>0.47119535822336323</v>
      </c>
      <c r="E30" s="35">
        <f t="shared" si="5"/>
        <v>3.3723622807757869E-2</v>
      </c>
      <c r="F30" s="36">
        <f t="shared" si="1"/>
        <v>337.23622807757869</v>
      </c>
      <c r="G30" s="37">
        <f t="shared" si="2"/>
        <v>39092.422884280466</v>
      </c>
      <c r="H30" s="37">
        <f t="shared" si="3"/>
        <v>592758.37200029648</v>
      </c>
      <c r="I30" s="37">
        <f t="shared" si="4"/>
        <v>10.286052601295523</v>
      </c>
    </row>
    <row r="31" spans="1:9" x14ac:dyDescent="0.25">
      <c r="A31" s="3">
        <v>44642</v>
      </c>
      <c r="B31" s="34">
        <v>23</v>
      </c>
      <c r="C31" s="33">
        <v>114.779999</v>
      </c>
      <c r="D31">
        <f t="shared" si="0"/>
        <v>0.44884347539383435</v>
      </c>
      <c r="E31" s="35">
        <f t="shared" si="5"/>
        <v>-2.235188282952888E-2</v>
      </c>
      <c r="F31" s="36">
        <f t="shared" si="1"/>
        <v>-223.51882829528878</v>
      </c>
      <c r="G31" s="37">
        <f t="shared" si="2"/>
        <v>-25655.490888214419</v>
      </c>
      <c r="H31" s="37">
        <f t="shared" si="3"/>
        <v>567113.16716468334</v>
      </c>
      <c r="I31" s="37">
        <f t="shared" si="4"/>
        <v>3.2803260161308572</v>
      </c>
    </row>
    <row r="32" spans="1:9" x14ac:dyDescent="0.25">
      <c r="A32" s="3">
        <v>44643</v>
      </c>
      <c r="B32" s="34">
        <v>22</v>
      </c>
      <c r="C32" s="33">
        <v>113.91999800000001</v>
      </c>
      <c r="D32">
        <f t="shared" si="0"/>
        <v>0.43048782879253333</v>
      </c>
      <c r="E32" s="35">
        <f t="shared" si="5"/>
        <v>-1.8355646601301012E-2</v>
      </c>
      <c r="F32" s="36">
        <f t="shared" si="1"/>
        <v>-183.55646601301012</v>
      </c>
      <c r="G32" s="37">
        <f t="shared" si="2"/>
        <v>-20910.752241089183</v>
      </c>
      <c r="H32" s="37">
        <f t="shared" si="3"/>
        <v>546205.69524961023</v>
      </c>
      <c r="I32" s="37">
        <f t="shared" si="4"/>
        <v>3.1593919098377228</v>
      </c>
    </row>
    <row r="33" spans="1:9" x14ac:dyDescent="0.25">
      <c r="A33" s="3">
        <v>44644</v>
      </c>
      <c r="B33" s="34">
        <v>21</v>
      </c>
      <c r="C33" s="33">
        <v>120.529999</v>
      </c>
      <c r="D33">
        <f t="shared" si="0"/>
        <v>0.54686562431734576</v>
      </c>
      <c r="E33" s="35">
        <f t="shared" si="5"/>
        <v>0.11637779552481242</v>
      </c>
      <c r="F33" s="36">
        <f t="shared" si="1"/>
        <v>1163.7779552481243</v>
      </c>
      <c r="G33" s="37">
        <f t="shared" si="2"/>
        <v>140270.15578227848</v>
      </c>
      <c r="H33" s="37">
        <f t="shared" si="3"/>
        <v>686479.01042379858</v>
      </c>
      <c r="I33" s="37">
        <f t="shared" si="4"/>
        <v>3.9707682484295219</v>
      </c>
    </row>
    <row r="34" spans="1:9" x14ac:dyDescent="0.25">
      <c r="A34" s="3">
        <v>44645</v>
      </c>
      <c r="B34" s="34">
        <v>20</v>
      </c>
      <c r="C34" s="33">
        <v>119.66999800000001</v>
      </c>
      <c r="D34">
        <f t="shared" si="0"/>
        <v>0.53062326000575277</v>
      </c>
      <c r="E34" s="35">
        <f t="shared" si="5"/>
        <v>-1.6242364311592983E-2</v>
      </c>
      <c r="F34" s="36">
        <f t="shared" si="1"/>
        <v>-162.42364311592982</v>
      </c>
      <c r="G34" s="37">
        <f t="shared" si="2"/>
        <v>-19437.237046836035</v>
      </c>
      <c r="H34" s="37">
        <f t="shared" si="3"/>
        <v>667045.74414521095</v>
      </c>
      <c r="I34" s="37">
        <f t="shared" si="4"/>
        <v>3.858361320453696</v>
      </c>
    </row>
    <row r="35" spans="1:9" x14ac:dyDescent="0.25">
      <c r="A35" s="3">
        <v>44648</v>
      </c>
      <c r="B35" s="34">
        <v>17</v>
      </c>
      <c r="C35" s="33">
        <v>120.239998</v>
      </c>
      <c r="D35">
        <f t="shared" si="0"/>
        <v>0.5384843063580057</v>
      </c>
      <c r="E35" s="35">
        <f t="shared" si="5"/>
        <v>7.8610463522529317E-3</v>
      </c>
      <c r="F35" s="36">
        <f t="shared" si="1"/>
        <v>78.610463522529315</v>
      </c>
      <c r="G35" s="37">
        <f t="shared" si="2"/>
        <v>9452.1219767279981</v>
      </c>
      <c r="H35" s="37">
        <f t="shared" si="3"/>
        <v>676501.72448325937</v>
      </c>
      <c r="I35" s="37">
        <f t="shared" si="4"/>
        <v>11.739239210495725</v>
      </c>
    </row>
    <row r="36" spans="1:9" x14ac:dyDescent="0.25">
      <c r="A36" s="3">
        <v>44649</v>
      </c>
      <c r="B36" s="34">
        <v>16</v>
      </c>
      <c r="C36" s="33">
        <v>123.230003</v>
      </c>
      <c r="D36">
        <f t="shared" si="0"/>
        <v>0.59672072792871966</v>
      </c>
      <c r="E36" s="35">
        <f t="shared" si="5"/>
        <v>5.8236421570713959E-2</v>
      </c>
      <c r="F36" s="36">
        <f t="shared" si="1"/>
        <v>582.36421570713958</v>
      </c>
      <c r="G36" s="37">
        <f t="shared" si="2"/>
        <v>71764.744048683453</v>
      </c>
      <c r="H36" s="37">
        <f t="shared" si="3"/>
        <v>748278.20777115331</v>
      </c>
      <c r="I36" s="37">
        <f t="shared" si="4"/>
        <v>4.3282304386375472</v>
      </c>
    </row>
    <row r="37" spans="1:9" x14ac:dyDescent="0.25">
      <c r="A37" s="3">
        <v>44650</v>
      </c>
      <c r="B37" s="34">
        <v>15</v>
      </c>
      <c r="C37" s="33">
        <v>119.220001</v>
      </c>
      <c r="D37">
        <f t="shared" si="0"/>
        <v>0.51530006435548614</v>
      </c>
      <c r="E37" s="35">
        <f t="shared" si="5"/>
        <v>-8.142066357323352E-2</v>
      </c>
      <c r="F37" s="36">
        <f t="shared" si="1"/>
        <v>-814.20663573233526</v>
      </c>
      <c r="G37" s="37">
        <f t="shared" si="2"/>
        <v>-97069.715926215649</v>
      </c>
      <c r="H37" s="37">
        <f t="shared" si="3"/>
        <v>651212.82007537631</v>
      </c>
      <c r="I37" s="37">
        <f t="shared" si="4"/>
        <v>3.7667796824825928</v>
      </c>
    </row>
    <row r="38" spans="1:9" x14ac:dyDescent="0.25">
      <c r="A38" s="3">
        <v>44651</v>
      </c>
      <c r="B38" s="34">
        <v>14</v>
      </c>
      <c r="C38" s="33">
        <v>109.339996</v>
      </c>
      <c r="D38">
        <f t="shared" si="0"/>
        <v>0.29732143458026761</v>
      </c>
      <c r="E38" s="35">
        <f t="shared" si="5"/>
        <v>-0.21797862977521854</v>
      </c>
      <c r="F38" s="36">
        <f t="shared" si="1"/>
        <v>-2179.7862977521854</v>
      </c>
      <c r="G38" s="37">
        <f t="shared" si="2"/>
        <v>-238337.82507707877</v>
      </c>
      <c r="H38" s="37">
        <f t="shared" si="3"/>
        <v>412878.76177798002</v>
      </c>
      <c r="I38" s="37">
        <f t="shared" si="4"/>
        <v>2.3881952001829632</v>
      </c>
    </row>
    <row r="39" spans="1:9" x14ac:dyDescent="0.25">
      <c r="A39" s="3">
        <v>44652</v>
      </c>
      <c r="B39" s="34">
        <v>13</v>
      </c>
      <c r="C39" s="33">
        <v>108.19000200000001</v>
      </c>
      <c r="D39">
        <f t="shared" si="0"/>
        <v>0.26443246157834305</v>
      </c>
      <c r="E39" s="35">
        <f t="shared" si="5"/>
        <v>-3.288897300192456E-2</v>
      </c>
      <c r="F39" s="36">
        <f t="shared" si="1"/>
        <v>-328.88973001924558</v>
      </c>
      <c r="G39" s="37">
        <f t="shared" si="2"/>
        <v>-35582.580548561644</v>
      </c>
      <c r="H39" s="37">
        <f t="shared" si="3"/>
        <v>377298.56942461856</v>
      </c>
      <c r="I39" s="37">
        <f t="shared" si="4"/>
        <v>2.1823903672047891</v>
      </c>
    </row>
    <row r="40" spans="1:9" x14ac:dyDescent="0.25">
      <c r="A40" s="3">
        <v>44655</v>
      </c>
      <c r="B40" s="34">
        <v>10</v>
      </c>
      <c r="C40" s="33">
        <v>110.529999</v>
      </c>
      <c r="D40">
        <f t="shared" si="0"/>
        <v>0.28374117808544014</v>
      </c>
      <c r="E40" s="35">
        <f t="shared" si="5"/>
        <v>1.930871650709709E-2</v>
      </c>
      <c r="F40" s="36">
        <f t="shared" si="1"/>
        <v>193.08716507097091</v>
      </c>
      <c r="G40" s="37">
        <f t="shared" si="2"/>
        <v>21341.924162207251</v>
      </c>
      <c r="H40" s="37">
        <f t="shared" si="3"/>
        <v>398642.67597719299</v>
      </c>
      <c r="I40" s="37">
        <f t="shared" si="4"/>
        <v>6.9175902490969747</v>
      </c>
    </row>
    <row r="41" spans="1:9" x14ac:dyDescent="0.25">
      <c r="A41" s="3">
        <v>44656</v>
      </c>
      <c r="B41" s="34">
        <v>9</v>
      </c>
      <c r="C41" s="33">
        <v>106.82</v>
      </c>
      <c r="D41">
        <f t="shared" si="0"/>
        <v>0.18718659853411845</v>
      </c>
      <c r="E41" s="35">
        <f t="shared" si="5"/>
        <v>-9.6554579551321684E-2</v>
      </c>
      <c r="F41" s="36">
        <f t="shared" si="1"/>
        <v>-965.54579551321683</v>
      </c>
      <c r="G41" s="37">
        <f t="shared" si="2"/>
        <v>-103139.60187672182</v>
      </c>
      <c r="H41" s="37">
        <f t="shared" si="3"/>
        <v>295509.99169072026</v>
      </c>
      <c r="I41" s="37">
        <f t="shared" si="4"/>
        <v>1.7093045443180017</v>
      </c>
    </row>
    <row r="42" spans="1:9" x14ac:dyDescent="0.25">
      <c r="A42" s="3">
        <v>44657</v>
      </c>
      <c r="B42" s="34">
        <v>8</v>
      </c>
      <c r="C42" s="33">
        <v>103.66999800000001</v>
      </c>
      <c r="D42">
        <f t="shared" si="0"/>
        <v>0.11339136967442653</v>
      </c>
      <c r="E42" s="35">
        <f t="shared" si="5"/>
        <v>-7.3795228859691919E-2</v>
      </c>
      <c r="F42" s="36">
        <f t="shared" si="1"/>
        <v>-737.95228859691917</v>
      </c>
      <c r="G42" s="37">
        <f t="shared" si="2"/>
        <v>-76503.512282938042</v>
      </c>
      <c r="H42" s="37">
        <f t="shared" si="3"/>
        <v>219008.18871232652</v>
      </c>
      <c r="I42" s="37">
        <f t="shared" si="4"/>
        <v>1.2667987639433704</v>
      </c>
    </row>
    <row r="43" spans="1:9" x14ac:dyDescent="0.25">
      <c r="A43" s="3">
        <v>44658</v>
      </c>
      <c r="B43" s="34">
        <v>7</v>
      </c>
      <c r="C43" s="33">
        <v>103.720001</v>
      </c>
      <c r="D43">
        <f t="shared" si="0"/>
        <v>9.7583207047559711E-2</v>
      </c>
      <c r="E43" s="35">
        <f t="shared" si="5"/>
        <v>-1.5808162626866823E-2</v>
      </c>
      <c r="F43" s="36">
        <f t="shared" si="1"/>
        <v>-158.08162626866823</v>
      </c>
      <c r="G43" s="37">
        <f t="shared" si="2"/>
        <v>-16396.226434667893</v>
      </c>
      <c r="H43" s="37">
        <f t="shared" si="3"/>
        <v>202613.22907642258</v>
      </c>
      <c r="I43" s="37">
        <f t="shared" si="4"/>
        <v>1.1719661701354198</v>
      </c>
    </row>
    <row r="44" spans="1:9" x14ac:dyDescent="0.25">
      <c r="A44" s="3">
        <v>44659</v>
      </c>
      <c r="B44" s="34">
        <v>6</v>
      </c>
      <c r="C44" s="33">
        <v>101</v>
      </c>
      <c r="D44">
        <f t="shared" si="0"/>
        <v>4.7126316814052382E-2</v>
      </c>
      <c r="E44" s="35">
        <f t="shared" si="5"/>
        <v>-5.0456890233507329E-2</v>
      </c>
      <c r="F44" s="36">
        <f t="shared" si="1"/>
        <v>-504.56890233507329</v>
      </c>
      <c r="G44" s="37">
        <f t="shared" si="2"/>
        <v>-50961.4591358424</v>
      </c>
      <c r="H44" s="37">
        <f t="shared" si="3"/>
        <v>151652.94190675032</v>
      </c>
      <c r="I44" s="37">
        <f t="shared" si="4"/>
        <v>0.8771989782107994</v>
      </c>
    </row>
    <row r="45" spans="1:9" x14ac:dyDescent="0.25">
      <c r="A45" s="3">
        <v>44662</v>
      </c>
      <c r="B45" s="34">
        <v>3</v>
      </c>
      <c r="C45" s="33">
        <v>97.370002999999997</v>
      </c>
      <c r="D45">
        <f t="shared" si="0"/>
        <v>1.7515302365733387E-3</v>
      </c>
      <c r="E45" s="35">
        <f t="shared" si="5"/>
        <v>-4.5374786577479044E-2</v>
      </c>
      <c r="F45" s="36">
        <f t="shared" si="1"/>
        <v>-453.74786577479045</v>
      </c>
      <c r="G45" s="37">
        <f t="shared" si="2"/>
        <v>-44181.431051734944</v>
      </c>
      <c r="H45" s="37">
        <f t="shared" si="3"/>
        <v>107472.38805399358</v>
      </c>
      <c r="I45" s="37">
        <f t="shared" si="4"/>
        <v>1.8649532236595405</v>
      </c>
    </row>
    <row r="46" spans="1:9" x14ac:dyDescent="0.25">
      <c r="A46" s="3">
        <v>44663</v>
      </c>
      <c r="B46" s="34">
        <v>2</v>
      </c>
      <c r="C46" s="33">
        <v>95.099997999999999</v>
      </c>
      <c r="D46">
        <f t="shared" si="0"/>
        <v>3.179589443267465E-5</v>
      </c>
      <c r="E46" s="35">
        <f t="shared" si="5"/>
        <v>-1.719734342140664E-3</v>
      </c>
      <c r="F46" s="36">
        <f t="shared" si="1"/>
        <v>-17.197343421406639</v>
      </c>
      <c r="G46" s="37">
        <f t="shared" si="2"/>
        <v>-1635.4673249810846</v>
      </c>
      <c r="H46" s="37">
        <f t="shared" si="3"/>
        <v>105838.78568223615</v>
      </c>
      <c r="I46" s="37">
        <f t="shared" si="4"/>
        <v>0.61219830943446141</v>
      </c>
    </row>
    <row r="47" spans="1:9" x14ac:dyDescent="0.25">
      <c r="A47" s="3">
        <v>44664</v>
      </c>
      <c r="B47" s="34">
        <v>1</v>
      </c>
      <c r="C47" s="33">
        <v>97.739998</v>
      </c>
      <c r="D47">
        <f t="shared" si="0"/>
        <v>2.7877321653990973E-7</v>
      </c>
      <c r="E47" s="35">
        <f t="shared" si="5"/>
        <v>-3.1517121216134742E-5</v>
      </c>
      <c r="F47" s="36">
        <f t="shared" si="1"/>
        <v>-0.31517121216134741</v>
      </c>
      <c r="G47" s="37">
        <f t="shared" si="2"/>
        <v>-30.804833646307671</v>
      </c>
      <c r="H47" s="37">
        <f t="shared" si="3"/>
        <v>105808.59304689927</v>
      </c>
      <c r="I47" s="37">
        <f t="shared" si="4"/>
        <v>0.61202366759243887</v>
      </c>
    </row>
    <row r="48" spans="1:9" x14ac:dyDescent="0.25">
      <c r="A48" s="3">
        <v>44665</v>
      </c>
      <c r="B48" s="34">
        <v>0</v>
      </c>
      <c r="C48" s="33">
        <v>93.059997999999993</v>
      </c>
      <c r="D48">
        <v>0</v>
      </c>
      <c r="E48" s="35">
        <f t="shared" si="5"/>
        <v>-2.7877321653990973E-7</v>
      </c>
      <c r="F48" s="36">
        <f t="shared" si="1"/>
        <v>-2.7877321653990974E-3</v>
      </c>
      <c r="G48" s="37">
        <f t="shared" si="2"/>
        <v>-0.25942634973657563</v>
      </c>
      <c r="H48" s="37">
        <f t="shared" si="3"/>
        <v>105808.94564421714</v>
      </c>
      <c r="I48" s="37"/>
    </row>
    <row r="49" spans="1:7" x14ac:dyDescent="0.25">
      <c r="E49" t="s">
        <v>125</v>
      </c>
      <c r="F49" s="36">
        <f>SUM(F8:F48)</f>
        <v>5.4448199421353038E-13</v>
      </c>
    </row>
    <row r="50" spans="1:7" x14ac:dyDescent="0.25">
      <c r="A50" t="s">
        <v>102</v>
      </c>
      <c r="E50" t="s">
        <v>112</v>
      </c>
    </row>
    <row r="51" spans="1:7" x14ac:dyDescent="0.25">
      <c r="A51" t="s">
        <v>107</v>
      </c>
      <c r="C51" s="38">
        <v>0</v>
      </c>
      <c r="E51" t="s">
        <v>121</v>
      </c>
      <c r="F51" t="s">
        <v>122</v>
      </c>
      <c r="G51" s="33">
        <f>C54</f>
        <v>84027.699489108141</v>
      </c>
    </row>
    <row r="52" spans="1:7" x14ac:dyDescent="0.25">
      <c r="A52" t="s">
        <v>103</v>
      </c>
      <c r="C52" s="37">
        <f>H48</f>
        <v>105808.94564421714</v>
      </c>
      <c r="E52" t="s">
        <v>123</v>
      </c>
      <c r="F52" t="s">
        <v>124</v>
      </c>
      <c r="G52" s="1">
        <f>G51/C54</f>
        <v>1</v>
      </c>
    </row>
    <row r="53" spans="1:7" x14ac:dyDescent="0.25">
      <c r="A53" t="s">
        <v>104</v>
      </c>
      <c r="B53" t="s">
        <v>109</v>
      </c>
      <c r="C53" s="37">
        <f>C52-C51</f>
        <v>105808.94564421714</v>
      </c>
      <c r="G53" s="33"/>
    </row>
    <row r="54" spans="1:7" x14ac:dyDescent="0.25">
      <c r="A54" t="s">
        <v>105</v>
      </c>
      <c r="C54" s="33">
        <f>I3*10000*EXP(I2*B8/252)</f>
        <v>84027.699489108141</v>
      </c>
      <c r="G54" s="1"/>
    </row>
    <row r="55" spans="1:7" x14ac:dyDescent="0.25">
      <c r="A55" t="s">
        <v>106</v>
      </c>
      <c r="B55" t="s">
        <v>110</v>
      </c>
      <c r="C55" s="37">
        <f>C54-C53</f>
        <v>-21781.246155108995</v>
      </c>
    </row>
    <row r="56" spans="1:7" x14ac:dyDescent="0.25">
      <c r="A56" t="s">
        <v>111</v>
      </c>
      <c r="C56" s="1">
        <f>ABS(C55/C54)</f>
        <v>0.25921507178632597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workbookViewId="0">
      <selection activeCell="D10" sqref="D10"/>
    </sheetView>
  </sheetViews>
  <sheetFormatPr defaultColWidth="11.5703125" defaultRowHeight="15" x14ac:dyDescent="0.25"/>
  <cols>
    <col min="4" max="4" width="15.42578125" bestFit="1" customWidth="1"/>
    <col min="5" max="5" width="15.85546875" bestFit="1" customWidth="1"/>
    <col min="6" max="6" width="14.28515625" bestFit="1" customWidth="1"/>
    <col min="7" max="7" width="16.28515625" bestFit="1" customWidth="1"/>
    <col min="8" max="9" width="12" customWidth="1"/>
    <col min="11" max="11" width="14.28515625" bestFit="1" customWidth="1"/>
  </cols>
  <sheetData>
    <row r="1" spans="1:6" x14ac:dyDescent="0.25">
      <c r="A1" t="s">
        <v>73</v>
      </c>
    </row>
    <row r="2" spans="1:6" x14ac:dyDescent="0.25">
      <c r="B2" t="s">
        <v>3</v>
      </c>
    </row>
    <row r="3" spans="1:6" x14ac:dyDescent="0.25">
      <c r="B3" t="s">
        <v>2</v>
      </c>
    </row>
    <row r="4" spans="1:6" x14ac:dyDescent="0.25">
      <c r="A4" t="s">
        <v>50</v>
      </c>
      <c r="B4" t="s">
        <v>51</v>
      </c>
      <c r="C4" t="s">
        <v>54</v>
      </c>
    </row>
    <row r="5" spans="1:6" x14ac:dyDescent="0.25">
      <c r="A5" s="3">
        <v>44550</v>
      </c>
      <c r="B5" s="5">
        <v>42.98</v>
      </c>
      <c r="C5">
        <f>LN(B6/B5)</f>
        <v>3.1603293810632982E-2</v>
      </c>
      <c r="E5" t="s">
        <v>52</v>
      </c>
      <c r="F5">
        <f>COUNT(C5:C42)</f>
        <v>38</v>
      </c>
    </row>
    <row r="6" spans="1:6" x14ac:dyDescent="0.25">
      <c r="A6" s="3">
        <v>44551</v>
      </c>
      <c r="B6" s="5">
        <v>44.360000999999997</v>
      </c>
      <c r="C6">
        <f>LN(B7/B6)</f>
        <v>-1.0423819385786124E-2</v>
      </c>
      <c r="E6" t="s">
        <v>53</v>
      </c>
      <c r="F6">
        <f>AVERAGE(C5:C42)</f>
        <v>-4.8911679402986489E-3</v>
      </c>
    </row>
    <row r="7" spans="1:6" x14ac:dyDescent="0.25">
      <c r="A7" s="3">
        <v>44552</v>
      </c>
      <c r="B7" s="5">
        <v>43.900002000000001</v>
      </c>
      <c r="C7">
        <f t="shared" ref="C7:C42" si="0">LN(B8/B7)</f>
        <v>5.9050363296286471E-3</v>
      </c>
      <c r="E7" t="s">
        <v>55</v>
      </c>
      <c r="F7">
        <f>_xlfn.STDEV.S(C5:C42)</f>
        <v>3.0928987194093961E-2</v>
      </c>
    </row>
    <row r="8" spans="1:6" x14ac:dyDescent="0.25">
      <c r="A8" s="3">
        <v>44553</v>
      </c>
      <c r="B8" s="5">
        <v>44.16</v>
      </c>
      <c r="C8">
        <f t="shared" si="0"/>
        <v>3.8422919042955476E-3</v>
      </c>
      <c r="E8" t="s">
        <v>56</v>
      </c>
      <c r="F8">
        <f>F7/SQRT(1/252)</f>
        <v>0.49098245051204414</v>
      </c>
    </row>
    <row r="9" spans="1:6" x14ac:dyDescent="0.25">
      <c r="A9" s="3">
        <v>44557</v>
      </c>
      <c r="B9" s="5">
        <v>44.330002</v>
      </c>
      <c r="C9">
        <f t="shared" si="0"/>
        <v>-2.0511247326404854E-2</v>
      </c>
    </row>
    <row r="10" spans="1:6" x14ac:dyDescent="0.25">
      <c r="A10" s="3">
        <v>44558</v>
      </c>
      <c r="B10" s="5">
        <v>43.43</v>
      </c>
      <c r="C10">
        <f t="shared" si="0"/>
        <v>-1.5547407162571813E-2</v>
      </c>
    </row>
    <row r="11" spans="1:6" x14ac:dyDescent="0.25">
      <c r="A11" s="3">
        <v>44559</v>
      </c>
      <c r="B11" s="5">
        <v>42.759998000000003</v>
      </c>
      <c r="C11">
        <f t="shared" si="0"/>
        <v>3.8986846659763791E-2</v>
      </c>
    </row>
    <row r="12" spans="1:6" x14ac:dyDescent="0.25">
      <c r="A12" s="3">
        <v>44560</v>
      </c>
      <c r="B12" s="5">
        <v>44.459999000000003</v>
      </c>
      <c r="C12">
        <f t="shared" si="0"/>
        <v>-2.8286511827746452E-2</v>
      </c>
    </row>
    <row r="13" spans="1:6" x14ac:dyDescent="0.25">
      <c r="A13" s="3">
        <v>44561</v>
      </c>
      <c r="B13" s="5">
        <v>43.220001000000003</v>
      </c>
      <c r="C13">
        <f t="shared" si="0"/>
        <v>-1.3041661172971652E-2</v>
      </c>
    </row>
    <row r="14" spans="1:6" x14ac:dyDescent="0.25">
      <c r="A14" s="3">
        <v>44564</v>
      </c>
      <c r="B14" s="5">
        <v>42.66</v>
      </c>
      <c r="C14">
        <f t="shared" si="0"/>
        <v>-4.3354940696802069E-2</v>
      </c>
    </row>
    <row r="15" spans="1:6" x14ac:dyDescent="0.25">
      <c r="A15" s="3">
        <v>44565</v>
      </c>
      <c r="B15" s="5">
        <v>40.849997999999999</v>
      </c>
      <c r="C15">
        <f t="shared" si="0"/>
        <v>-3.3606100439326193E-2</v>
      </c>
    </row>
    <row r="16" spans="1:6" x14ac:dyDescent="0.25">
      <c r="A16" s="3">
        <v>44566</v>
      </c>
      <c r="B16" s="5">
        <v>39.5</v>
      </c>
      <c r="C16">
        <f t="shared" si="0"/>
        <v>2.2758892109632101E-3</v>
      </c>
    </row>
    <row r="17" spans="1:3" x14ac:dyDescent="0.25">
      <c r="A17" s="3">
        <v>44567</v>
      </c>
      <c r="B17" s="5">
        <v>39.590000000000003</v>
      </c>
      <c r="C17">
        <f t="shared" si="0"/>
        <v>2.0186229922667426E-3</v>
      </c>
    </row>
    <row r="18" spans="1:3" x14ac:dyDescent="0.25">
      <c r="A18" s="3">
        <v>44568</v>
      </c>
      <c r="B18" s="5">
        <v>39.669998</v>
      </c>
      <c r="C18">
        <f t="shared" si="0"/>
        <v>7.5340136316898922E-3</v>
      </c>
    </row>
    <row r="19" spans="1:3" x14ac:dyDescent="0.25">
      <c r="A19" s="3">
        <v>44571</v>
      </c>
      <c r="B19" s="5">
        <v>39.970001000000003</v>
      </c>
      <c r="C19">
        <f t="shared" si="0"/>
        <v>1.7115610458204537E-2</v>
      </c>
    </row>
    <row r="20" spans="1:3" x14ac:dyDescent="0.25">
      <c r="A20" s="3">
        <v>44572</v>
      </c>
      <c r="B20" s="5">
        <v>40.659999999999997</v>
      </c>
      <c r="C20">
        <f t="shared" si="0"/>
        <v>-1.0134804335628149E-2</v>
      </c>
    </row>
    <row r="21" spans="1:3" x14ac:dyDescent="0.25">
      <c r="A21" s="3">
        <v>44573</v>
      </c>
      <c r="B21" s="5">
        <v>40.25</v>
      </c>
      <c r="C21">
        <f t="shared" si="0"/>
        <v>-3.9270377989043287E-2</v>
      </c>
    </row>
    <row r="22" spans="1:3" x14ac:dyDescent="0.25">
      <c r="A22" s="3">
        <v>44574</v>
      </c>
      <c r="B22" s="5">
        <v>38.700001</v>
      </c>
      <c r="C22">
        <f t="shared" si="0"/>
        <v>-6.7410677880058636E-3</v>
      </c>
    </row>
    <row r="23" spans="1:3" x14ac:dyDescent="0.25">
      <c r="A23" s="3">
        <v>44575</v>
      </c>
      <c r="B23" s="5">
        <v>38.439999</v>
      </c>
      <c r="C23">
        <f t="shared" si="0"/>
        <v>-3.0105258247405245E-2</v>
      </c>
    </row>
    <row r="24" spans="1:3" x14ac:dyDescent="0.25">
      <c r="A24" s="3">
        <v>44579</v>
      </c>
      <c r="B24" s="5">
        <v>37.299999</v>
      </c>
      <c r="C24">
        <f t="shared" si="0"/>
        <v>1.3395581911835057E-3</v>
      </c>
    </row>
    <row r="25" spans="1:3" x14ac:dyDescent="0.25">
      <c r="A25" s="3">
        <v>44580</v>
      </c>
      <c r="B25" s="5">
        <v>37.349997999999999</v>
      </c>
      <c r="C25">
        <f t="shared" si="0"/>
        <v>-1.8758950379458336E-3</v>
      </c>
    </row>
    <row r="26" spans="1:3" x14ac:dyDescent="0.25">
      <c r="A26" s="3">
        <v>44581</v>
      </c>
      <c r="B26" s="5">
        <v>37.279998999999997</v>
      </c>
      <c r="C26">
        <f t="shared" si="0"/>
        <v>-6.8265028653312618E-2</v>
      </c>
    </row>
    <row r="27" spans="1:3" x14ac:dyDescent="0.25">
      <c r="A27" s="3">
        <v>44582</v>
      </c>
      <c r="B27" s="5">
        <v>34.82</v>
      </c>
      <c r="C27">
        <f t="shared" si="0"/>
        <v>6.8689736755778363E-3</v>
      </c>
    </row>
    <row r="28" spans="1:3" x14ac:dyDescent="0.25">
      <c r="A28" s="3">
        <v>44585</v>
      </c>
      <c r="B28" s="5">
        <v>35.060001</v>
      </c>
      <c r="C28">
        <f t="shared" si="0"/>
        <v>-2.571290041929716E-2</v>
      </c>
    </row>
    <row r="29" spans="1:3" x14ac:dyDescent="0.25">
      <c r="A29" s="3">
        <v>44586</v>
      </c>
      <c r="B29" s="5">
        <v>34.169998</v>
      </c>
      <c r="C29">
        <f t="shared" si="0"/>
        <v>-1.6226909360054522E-2</v>
      </c>
    </row>
    <row r="30" spans="1:3" x14ac:dyDescent="0.25">
      <c r="A30" s="3">
        <v>44587</v>
      </c>
      <c r="B30" s="5">
        <v>33.619999</v>
      </c>
      <c r="C30">
        <f t="shared" si="0"/>
        <v>6.5224365017534126E-3</v>
      </c>
    </row>
    <row r="31" spans="1:3" x14ac:dyDescent="0.25">
      <c r="A31" s="3">
        <v>44588</v>
      </c>
      <c r="B31" s="5">
        <v>33.840000000000003</v>
      </c>
      <c r="C31">
        <f t="shared" si="0"/>
        <v>4.1389209509938088E-2</v>
      </c>
    </row>
    <row r="32" spans="1:3" x14ac:dyDescent="0.25">
      <c r="A32" s="3">
        <v>44589</v>
      </c>
      <c r="B32" s="5">
        <v>35.270000000000003</v>
      </c>
      <c r="C32">
        <f t="shared" si="0"/>
        <v>6.1574766526718949E-2</v>
      </c>
    </row>
    <row r="33" spans="1:3" x14ac:dyDescent="0.25">
      <c r="A33" s="3">
        <v>44592</v>
      </c>
      <c r="B33" s="5">
        <v>37.509998000000003</v>
      </c>
      <c r="C33">
        <f t="shared" si="0"/>
        <v>1.6131541778372723E-2</v>
      </c>
    </row>
    <row r="34" spans="1:3" x14ac:dyDescent="0.25">
      <c r="A34" s="3">
        <v>44593</v>
      </c>
      <c r="B34" s="5">
        <v>38.119999</v>
      </c>
      <c r="C34">
        <f t="shared" si="0"/>
        <v>-4.3152911665020798E-2</v>
      </c>
    </row>
    <row r="35" spans="1:3" x14ac:dyDescent="0.25">
      <c r="A35" s="3">
        <v>44594</v>
      </c>
      <c r="B35" s="5">
        <v>36.509998000000003</v>
      </c>
      <c r="C35">
        <f t="shared" si="0"/>
        <v>-5.7206695092539339E-2</v>
      </c>
    </row>
    <row r="36" spans="1:3" x14ac:dyDescent="0.25">
      <c r="A36" s="3">
        <v>44595</v>
      </c>
      <c r="B36" s="5">
        <v>34.479999999999997</v>
      </c>
      <c r="C36">
        <f t="shared" si="0"/>
        <v>6.8915501904675533E-2</v>
      </c>
    </row>
    <row r="37" spans="1:3" x14ac:dyDescent="0.25">
      <c r="A37" s="3">
        <v>44596</v>
      </c>
      <c r="B37" s="5">
        <v>36.939999</v>
      </c>
      <c r="C37">
        <f t="shared" si="0"/>
        <v>-2.4665487213083159E-2</v>
      </c>
    </row>
    <row r="38" spans="1:3" x14ac:dyDescent="0.25">
      <c r="A38" s="3">
        <v>44599</v>
      </c>
      <c r="B38" s="5">
        <v>36.040000999999997</v>
      </c>
      <c r="C38">
        <f t="shared" si="0"/>
        <v>-1.666231964697579E-3</v>
      </c>
    </row>
    <row r="39" spans="1:3" x14ac:dyDescent="0.25">
      <c r="A39" s="3">
        <v>44600</v>
      </c>
      <c r="B39" s="5">
        <v>35.979999999999997</v>
      </c>
      <c r="C39">
        <f t="shared" si="0"/>
        <v>5.0139262990643675E-2</v>
      </c>
    </row>
    <row r="40" spans="1:3" x14ac:dyDescent="0.25">
      <c r="A40" s="3">
        <v>44601</v>
      </c>
      <c r="B40" s="5">
        <v>37.830002</v>
      </c>
      <c r="C40">
        <f t="shared" si="0"/>
        <v>-2.0024696877945069E-2</v>
      </c>
    </row>
    <row r="41" spans="1:3" x14ac:dyDescent="0.25">
      <c r="A41" s="3">
        <v>44602</v>
      </c>
      <c r="B41" s="5">
        <v>37.080002</v>
      </c>
      <c r="C41">
        <f t="shared" si="0"/>
        <v>-3.4013206528355724E-2</v>
      </c>
    </row>
    <row r="42" spans="1:3" x14ac:dyDescent="0.25">
      <c r="A42" s="3">
        <v>44603</v>
      </c>
      <c r="B42" s="5">
        <v>35.840000000000003</v>
      </c>
      <c r="C42">
        <f t="shared" si="0"/>
        <v>-4.1940786237141961E-3</v>
      </c>
    </row>
    <row r="43" spans="1:3" x14ac:dyDescent="0.25">
      <c r="A43" s="3">
        <v>44606</v>
      </c>
      <c r="B43" s="5">
        <v>35.689999</v>
      </c>
    </row>
    <row r="44" spans="1:3" x14ac:dyDescent="0.25">
      <c r="B44" s="3"/>
    </row>
    <row r="45" spans="1:3" x14ac:dyDescent="0.25">
      <c r="B45" s="3"/>
    </row>
    <row r="46" spans="1:3" x14ac:dyDescent="0.25">
      <c r="B46" s="3"/>
    </row>
    <row r="47" spans="1:3" x14ac:dyDescent="0.25">
      <c r="B47" s="3"/>
    </row>
    <row r="48" spans="1:3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35"/>
  <sheetViews>
    <sheetView workbookViewId="0">
      <selection activeCell="B34" sqref="B34"/>
    </sheetView>
  </sheetViews>
  <sheetFormatPr defaultColWidth="8.85546875" defaultRowHeight="15" x14ac:dyDescent="0.25"/>
  <cols>
    <col min="1" max="1" width="10.28515625" bestFit="1" customWidth="1"/>
    <col min="2" max="2" width="12.28515625" customWidth="1"/>
    <col min="3" max="3" width="17.42578125" bestFit="1" customWidth="1"/>
    <col min="4" max="4" width="15.42578125" bestFit="1" customWidth="1"/>
    <col min="5" max="5" width="15.85546875" bestFit="1" customWidth="1"/>
    <col min="6" max="6" width="14.28515625" bestFit="1" customWidth="1"/>
    <col min="7" max="8" width="12" customWidth="1"/>
    <col min="9" max="9" width="23.7109375" bestFit="1" customWidth="1"/>
    <col min="10" max="10" width="12" customWidth="1"/>
    <col min="12" max="12" width="14.28515625" bestFit="1" customWidth="1"/>
    <col min="15" max="15" width="24" bestFit="1" customWidth="1"/>
  </cols>
  <sheetData>
    <row r="1" spans="1:12" x14ac:dyDescent="0.25">
      <c r="A1" t="s">
        <v>74</v>
      </c>
    </row>
    <row r="2" spans="1:12" x14ac:dyDescent="0.25">
      <c r="B2" t="s">
        <v>4</v>
      </c>
    </row>
    <row r="3" spans="1:12" x14ac:dyDescent="0.25">
      <c r="B3" t="s">
        <v>5</v>
      </c>
    </row>
    <row r="4" spans="1:12" x14ac:dyDescent="0.25">
      <c r="A4" t="s">
        <v>50</v>
      </c>
      <c r="B4" t="s">
        <v>51</v>
      </c>
      <c r="C4" t="s">
        <v>54</v>
      </c>
    </row>
    <row r="5" spans="1:12" x14ac:dyDescent="0.25">
      <c r="A5" s="3">
        <v>44550</v>
      </c>
      <c r="B5" s="5">
        <v>27.9</v>
      </c>
      <c r="C5">
        <f>LN(B6/B5)</f>
        <v>8.2850969249979547E-2</v>
      </c>
      <c r="E5" t="s">
        <v>52</v>
      </c>
      <c r="F5">
        <f>COUNT(C5:C42)</f>
        <v>38</v>
      </c>
    </row>
    <row r="6" spans="1:12" x14ac:dyDescent="0.25">
      <c r="A6" s="3">
        <v>44551</v>
      </c>
      <c r="B6" s="5">
        <v>30.309999000000001</v>
      </c>
      <c r="C6">
        <f>LN(B7/B6)</f>
        <v>-2.4717324212913627E-2</v>
      </c>
      <c r="E6" t="s">
        <v>53</v>
      </c>
      <c r="F6">
        <f>AVERAGE(C5:C42)</f>
        <v>-6.0140619711590059E-3</v>
      </c>
    </row>
    <row r="7" spans="1:12" x14ac:dyDescent="0.25">
      <c r="A7" s="3">
        <v>44552</v>
      </c>
      <c r="B7" s="5">
        <v>29.57</v>
      </c>
      <c r="C7">
        <f t="shared" ref="C7:C42" si="0">LN(B8/B7)</f>
        <v>-4.4060060363196847E-3</v>
      </c>
      <c r="E7" t="s">
        <v>55</v>
      </c>
      <c r="F7">
        <f>_xlfn.STDEV.S(C5:C42)</f>
        <v>4.9459610565550371E-2</v>
      </c>
    </row>
    <row r="8" spans="1:12" x14ac:dyDescent="0.25">
      <c r="A8" s="3">
        <v>44553</v>
      </c>
      <c r="B8" s="5">
        <v>29.440000999999999</v>
      </c>
      <c r="C8">
        <f t="shared" si="0"/>
        <v>-4.3032314423006E-2</v>
      </c>
      <c r="E8" t="s">
        <v>56</v>
      </c>
      <c r="F8">
        <f>F7/SQRT(1/252)</f>
        <v>0.78514697699129377</v>
      </c>
    </row>
    <row r="9" spans="1:12" x14ac:dyDescent="0.25">
      <c r="A9" s="3">
        <v>44557</v>
      </c>
      <c r="B9" s="5">
        <v>28.200001</v>
      </c>
      <c r="C9">
        <f t="shared" si="0"/>
        <v>-3.1702978702470831E-2</v>
      </c>
    </row>
    <row r="10" spans="1:12" x14ac:dyDescent="0.25">
      <c r="A10" s="3">
        <v>44558</v>
      </c>
      <c r="B10" s="5">
        <v>27.32</v>
      </c>
      <c r="C10">
        <f t="shared" si="0"/>
        <v>-2.7083829447660905E-2</v>
      </c>
    </row>
    <row r="11" spans="1:12" x14ac:dyDescent="0.25">
      <c r="A11" s="3">
        <v>44559</v>
      </c>
      <c r="B11" s="5">
        <v>26.59</v>
      </c>
      <c r="C11">
        <f t="shared" si="0"/>
        <v>6.7964352269742748E-2</v>
      </c>
      <c r="J11" s="3"/>
    </row>
    <row r="12" spans="1:12" x14ac:dyDescent="0.25">
      <c r="A12" s="3">
        <v>44560</v>
      </c>
      <c r="B12" s="5">
        <v>28.459999</v>
      </c>
      <c r="C12">
        <f t="shared" si="0"/>
        <v>-3.5405093820838431E-2</v>
      </c>
      <c r="H12" s="3"/>
      <c r="J12" s="3"/>
    </row>
    <row r="13" spans="1:12" x14ac:dyDescent="0.25">
      <c r="A13" s="3">
        <v>44561</v>
      </c>
      <c r="B13" s="5">
        <v>27.469999000000001</v>
      </c>
      <c r="C13">
        <f t="shared" si="0"/>
        <v>1.0861837614875419E-2</v>
      </c>
      <c r="J13" s="3"/>
    </row>
    <row r="14" spans="1:12" x14ac:dyDescent="0.25">
      <c r="A14" s="3">
        <v>44564</v>
      </c>
      <c r="B14" s="5">
        <v>27.77</v>
      </c>
      <c r="C14">
        <f t="shared" si="0"/>
        <v>-4.1917939044501473E-2</v>
      </c>
    </row>
    <row r="15" spans="1:12" x14ac:dyDescent="0.25">
      <c r="A15" s="3">
        <v>44565</v>
      </c>
      <c r="B15" s="5">
        <v>26.629999000000002</v>
      </c>
      <c r="C15">
        <f t="shared" si="0"/>
        <v>-7.7261461785507676E-2</v>
      </c>
      <c r="L15" s="1"/>
    </row>
    <row r="16" spans="1:12" x14ac:dyDescent="0.25">
      <c r="A16" s="3">
        <v>44566</v>
      </c>
      <c r="B16" s="5">
        <v>24.65</v>
      </c>
      <c r="C16">
        <f t="shared" si="0"/>
        <v>4.5597552679182085E-2</v>
      </c>
    </row>
    <row r="17" spans="1:20" x14ac:dyDescent="0.25">
      <c r="A17" s="3">
        <v>44567</v>
      </c>
      <c r="B17" s="5">
        <v>25.799999</v>
      </c>
      <c r="C17">
        <f t="shared" si="0"/>
        <v>5.4312028113430534E-2</v>
      </c>
    </row>
    <row r="18" spans="1:20" x14ac:dyDescent="0.25">
      <c r="A18" s="3">
        <v>44568</v>
      </c>
      <c r="B18" s="5">
        <v>27.24</v>
      </c>
      <c r="C18">
        <f t="shared" si="0"/>
        <v>-4.1602440018978608E-2</v>
      </c>
    </row>
    <row r="19" spans="1:20" x14ac:dyDescent="0.25">
      <c r="A19" s="3">
        <v>44571</v>
      </c>
      <c r="B19" s="5">
        <v>26.129999000000002</v>
      </c>
      <c r="C19">
        <f t="shared" si="0"/>
        <v>3.0528166839409041E-2</v>
      </c>
    </row>
    <row r="20" spans="1:20" x14ac:dyDescent="0.25">
      <c r="A20" s="3">
        <v>44572</v>
      </c>
      <c r="B20" s="5">
        <v>26.940000999999999</v>
      </c>
      <c r="C20">
        <f t="shared" si="0"/>
        <v>-3.1676893773094232E-2</v>
      </c>
    </row>
    <row r="21" spans="1:20" x14ac:dyDescent="0.25">
      <c r="A21" s="3">
        <v>44573</v>
      </c>
      <c r="B21" s="5">
        <v>26.1</v>
      </c>
      <c r="C21">
        <f t="shared" si="0"/>
        <v>-7.3931153127534094E-2</v>
      </c>
    </row>
    <row r="22" spans="1:20" x14ac:dyDescent="0.25">
      <c r="A22" s="3">
        <v>44574</v>
      </c>
      <c r="B22" s="5">
        <v>24.24</v>
      </c>
      <c r="C22">
        <f t="shared" si="0"/>
        <v>-4.4282966811638992E-2</v>
      </c>
      <c r="S22" t="s">
        <v>0</v>
      </c>
      <c r="T22" t="s">
        <v>0</v>
      </c>
    </row>
    <row r="23" spans="1:20" x14ac:dyDescent="0.25">
      <c r="A23" s="3">
        <v>44575</v>
      </c>
      <c r="B23" s="5">
        <v>23.190000999999999</v>
      </c>
      <c r="C23">
        <f t="shared" si="0"/>
        <v>-4.4530212467253749E-2</v>
      </c>
      <c r="R23" s="3"/>
      <c r="S23" t="s">
        <v>0</v>
      </c>
      <c r="T23" t="s">
        <v>0</v>
      </c>
    </row>
    <row r="24" spans="1:20" x14ac:dyDescent="0.25">
      <c r="A24" s="3">
        <v>44579</v>
      </c>
      <c r="B24" s="5">
        <v>22.18</v>
      </c>
      <c r="C24">
        <f t="shared" si="0"/>
        <v>-3.5800059894415225E-2</v>
      </c>
    </row>
    <row r="25" spans="1:20" x14ac:dyDescent="0.25">
      <c r="A25" s="3">
        <v>44580</v>
      </c>
      <c r="B25" s="5">
        <v>21.4</v>
      </c>
      <c r="C25">
        <f t="shared" si="0"/>
        <v>-3.4707548334128757E-2</v>
      </c>
    </row>
    <row r="26" spans="1:20" x14ac:dyDescent="0.25">
      <c r="A26" s="3">
        <v>44581</v>
      </c>
      <c r="B26" s="5">
        <v>20.67</v>
      </c>
      <c r="C26">
        <f t="shared" si="0"/>
        <v>-6.0322348323280789E-2</v>
      </c>
    </row>
    <row r="27" spans="1:20" x14ac:dyDescent="0.25">
      <c r="A27" s="3">
        <v>44582</v>
      </c>
      <c r="B27" s="5">
        <v>19.459999</v>
      </c>
      <c r="C27">
        <f t="shared" si="0"/>
        <v>2.8870174232441728E-2</v>
      </c>
      <c r="K27" t="s">
        <v>0</v>
      </c>
      <c r="P27" t="s">
        <v>0</v>
      </c>
    </row>
    <row r="28" spans="1:20" x14ac:dyDescent="0.25">
      <c r="A28" s="3">
        <v>44585</v>
      </c>
      <c r="B28" s="5">
        <v>20.030000999999999</v>
      </c>
      <c r="C28">
        <f t="shared" si="0"/>
        <v>-3.6090370818465931E-2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</row>
    <row r="29" spans="1:20" x14ac:dyDescent="0.25">
      <c r="A29" s="3">
        <v>44586</v>
      </c>
      <c r="B29" s="5">
        <v>19.32</v>
      </c>
      <c r="C29">
        <f t="shared" si="0"/>
        <v>5.0956798855883306E-2</v>
      </c>
      <c r="K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</row>
    <row r="30" spans="1:20" x14ac:dyDescent="0.25">
      <c r="A30" s="3">
        <v>44587</v>
      </c>
      <c r="B30" s="5">
        <v>20.329999999999998</v>
      </c>
      <c r="C30">
        <f t="shared" si="0"/>
        <v>-4.734020995867181E-2</v>
      </c>
      <c r="K30" t="s">
        <v>0</v>
      </c>
      <c r="P30" t="s">
        <v>0</v>
      </c>
    </row>
    <row r="31" spans="1:20" x14ac:dyDescent="0.25">
      <c r="A31" s="3">
        <v>44588</v>
      </c>
      <c r="B31" s="5">
        <v>19.389999</v>
      </c>
      <c r="C31">
        <f t="shared" si="0"/>
        <v>6.2473474482165052E-2</v>
      </c>
      <c r="K31" t="s">
        <v>0</v>
      </c>
      <c r="P31" t="s">
        <v>0</v>
      </c>
    </row>
    <row r="32" spans="1:20" x14ac:dyDescent="0.25">
      <c r="A32" s="3">
        <v>44589</v>
      </c>
      <c r="B32" s="5">
        <v>20.639999</v>
      </c>
      <c r="C32">
        <f t="shared" si="0"/>
        <v>6.7894125268277428E-2</v>
      </c>
      <c r="K32" t="s">
        <v>0</v>
      </c>
      <c r="P32" t="s">
        <v>0</v>
      </c>
    </row>
    <row r="33" spans="1:16" x14ac:dyDescent="0.25">
      <c r="A33" s="3">
        <v>44592</v>
      </c>
      <c r="B33" s="5">
        <v>22.09</v>
      </c>
      <c r="C33">
        <f t="shared" si="0"/>
        <v>6.9505792583779105E-2</v>
      </c>
      <c r="K33" t="s">
        <v>0</v>
      </c>
      <c r="P33" t="s">
        <v>0</v>
      </c>
    </row>
    <row r="34" spans="1:16" x14ac:dyDescent="0.25">
      <c r="A34" s="3">
        <v>44593</v>
      </c>
      <c r="B34" s="5">
        <v>23.68</v>
      </c>
      <c r="C34">
        <f t="shared" si="0"/>
        <v>-8.3179615166666152E-2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</row>
    <row r="35" spans="1:16" x14ac:dyDescent="0.25">
      <c r="A35" s="3">
        <v>44594</v>
      </c>
      <c r="B35" s="5">
        <v>21.790001</v>
      </c>
      <c r="C35">
        <f t="shared" si="0"/>
        <v>-5.8590302568696864E-2</v>
      </c>
    </row>
    <row r="36" spans="1:16" x14ac:dyDescent="0.25">
      <c r="A36" s="3">
        <v>44595</v>
      </c>
      <c r="B36" s="5">
        <v>20.549999</v>
      </c>
      <c r="C36">
        <f t="shared" si="0"/>
        <v>6.3168973571368234E-2</v>
      </c>
      <c r="J36" t="s">
        <v>0</v>
      </c>
      <c r="O36" t="s">
        <v>0</v>
      </c>
    </row>
    <row r="37" spans="1:16" x14ac:dyDescent="0.25">
      <c r="A37" s="3">
        <v>44596</v>
      </c>
      <c r="B37" s="5">
        <v>21.889999</v>
      </c>
      <c r="C37">
        <f t="shared" si="0"/>
        <v>-1.7976930718193188E-2</v>
      </c>
      <c r="H37" t="s">
        <v>0</v>
      </c>
      <c r="I37" t="s">
        <v>0</v>
      </c>
      <c r="J37" t="s">
        <v>0</v>
      </c>
      <c r="O37" t="s">
        <v>0</v>
      </c>
    </row>
    <row r="38" spans="1:16" x14ac:dyDescent="0.25">
      <c r="A38" s="3">
        <v>44599</v>
      </c>
      <c r="B38" s="5">
        <v>21.5</v>
      </c>
      <c r="C38">
        <f t="shared" si="0"/>
        <v>2.8429286728472385E-2</v>
      </c>
    </row>
    <row r="39" spans="1:16" x14ac:dyDescent="0.25">
      <c r="A39" s="3">
        <v>44600</v>
      </c>
      <c r="B39" s="5">
        <v>22.120000999999998</v>
      </c>
      <c r="C39">
        <f t="shared" si="0"/>
        <v>5.7108136307481711E-2</v>
      </c>
    </row>
    <row r="40" spans="1:16" x14ac:dyDescent="0.25">
      <c r="A40" s="3">
        <v>44601</v>
      </c>
      <c r="B40" s="5">
        <v>23.42</v>
      </c>
      <c r="C40">
        <f t="shared" si="0"/>
        <v>-2.770735625237998E-2</v>
      </c>
    </row>
    <row r="41" spans="1:16" x14ac:dyDescent="0.25">
      <c r="A41" s="3">
        <v>44602</v>
      </c>
      <c r="B41" s="5">
        <v>22.780000999999999</v>
      </c>
      <c r="C41">
        <f t="shared" si="0"/>
        <v>2.3857084116147176E-2</v>
      </c>
    </row>
    <row r="42" spans="1:16" x14ac:dyDescent="0.25">
      <c r="A42" s="3">
        <v>44603</v>
      </c>
      <c r="B42" s="5">
        <v>23.33</v>
      </c>
      <c r="C42">
        <f t="shared" si="0"/>
        <v>-4.9647752110060742E-2</v>
      </c>
    </row>
    <row r="43" spans="1:16" x14ac:dyDescent="0.25">
      <c r="A43" s="3">
        <v>44606</v>
      </c>
      <c r="B43" s="5">
        <v>22.200001</v>
      </c>
    </row>
    <row r="50" spans="2:32" x14ac:dyDescent="0.25">
      <c r="J50" s="3"/>
    </row>
    <row r="51" spans="2:32" x14ac:dyDescent="0.25">
      <c r="H51" s="3"/>
      <c r="J51" s="3"/>
    </row>
    <row r="52" spans="2:32" x14ac:dyDescent="0.25">
      <c r="F52" s="1"/>
      <c r="J52" s="3"/>
    </row>
    <row r="54" spans="2:32" x14ac:dyDescent="0.25">
      <c r="E54" t="s">
        <v>0</v>
      </c>
      <c r="L54" s="1"/>
    </row>
    <row r="55" spans="2:32" x14ac:dyDescent="0.25">
      <c r="E55" t="s">
        <v>0</v>
      </c>
    </row>
    <row r="56" spans="2:32" x14ac:dyDescent="0.25">
      <c r="E56" t="s">
        <v>0</v>
      </c>
      <c r="Q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</row>
    <row r="57" spans="2:32" x14ac:dyDescent="0.25">
      <c r="E57" t="s">
        <v>0</v>
      </c>
      <c r="Q57" t="s">
        <v>0</v>
      </c>
      <c r="W57" t="s">
        <v>0</v>
      </c>
      <c r="AB57" t="s">
        <v>0</v>
      </c>
    </row>
    <row r="58" spans="2:32" x14ac:dyDescent="0.25">
      <c r="E58" t="s">
        <v>0</v>
      </c>
      <c r="Q58" t="s">
        <v>0</v>
      </c>
      <c r="W58" t="s">
        <v>0</v>
      </c>
      <c r="AB58" t="s">
        <v>0</v>
      </c>
    </row>
    <row r="59" spans="2:32" x14ac:dyDescent="0.25">
      <c r="E59" t="s">
        <v>0</v>
      </c>
      <c r="Q59" t="s">
        <v>0</v>
      </c>
      <c r="W59" t="s">
        <v>0</v>
      </c>
      <c r="AB59" t="s">
        <v>0</v>
      </c>
    </row>
    <row r="60" spans="2:32" x14ac:dyDescent="0.25">
      <c r="B60" s="3"/>
      <c r="Q60" t="s">
        <v>0</v>
      </c>
      <c r="R60" t="s">
        <v>0</v>
      </c>
      <c r="W60" t="s">
        <v>0</v>
      </c>
      <c r="AB60" t="s">
        <v>0</v>
      </c>
    </row>
    <row r="61" spans="2:32" x14ac:dyDescent="0.25">
      <c r="B61" s="3"/>
      <c r="Q61" t="s">
        <v>0</v>
      </c>
      <c r="W61" t="s">
        <v>0</v>
      </c>
      <c r="AB61" t="s">
        <v>0</v>
      </c>
    </row>
    <row r="62" spans="2:32" x14ac:dyDescent="0.25">
      <c r="B62" s="3"/>
      <c r="Q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</row>
    <row r="63" spans="2:32" x14ac:dyDescent="0.25">
      <c r="B63" s="3"/>
      <c r="Q63" t="s">
        <v>0</v>
      </c>
      <c r="W63" t="s">
        <v>0</v>
      </c>
      <c r="AB63" t="s">
        <v>0</v>
      </c>
    </row>
    <row r="64" spans="2:32" x14ac:dyDescent="0.25">
      <c r="B64" s="3"/>
      <c r="F64" t="s">
        <v>0</v>
      </c>
      <c r="G64" t="s">
        <v>0</v>
      </c>
      <c r="K64" t="s">
        <v>0</v>
      </c>
      <c r="L64" t="s">
        <v>0</v>
      </c>
      <c r="Q64" t="s">
        <v>0</v>
      </c>
      <c r="W64" t="s">
        <v>0</v>
      </c>
      <c r="AB64" t="s">
        <v>0</v>
      </c>
    </row>
    <row r="65" spans="2:28" x14ac:dyDescent="0.25">
      <c r="B65" s="3"/>
      <c r="Q65" t="s">
        <v>0</v>
      </c>
      <c r="W65" t="s">
        <v>0</v>
      </c>
      <c r="AB65" t="s">
        <v>0</v>
      </c>
    </row>
    <row r="66" spans="2:28" x14ac:dyDescent="0.25">
      <c r="B66" s="3"/>
      <c r="Q66" t="s">
        <v>0</v>
      </c>
      <c r="R66" t="s">
        <v>0</v>
      </c>
      <c r="W66" t="s">
        <v>0</v>
      </c>
      <c r="AB66" t="s">
        <v>0</v>
      </c>
    </row>
    <row r="67" spans="2:28" x14ac:dyDescent="0.25">
      <c r="B67" s="3"/>
      <c r="Q67" t="s">
        <v>0</v>
      </c>
      <c r="W67" t="s">
        <v>0</v>
      </c>
      <c r="AB67" t="s">
        <v>0</v>
      </c>
    </row>
    <row r="68" spans="2:28" x14ac:dyDescent="0.25">
      <c r="B68" s="3"/>
      <c r="Q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</row>
    <row r="69" spans="2:28" x14ac:dyDescent="0.25">
      <c r="B69" s="3"/>
      <c r="Q69" t="s">
        <v>0</v>
      </c>
      <c r="W69" t="s">
        <v>0</v>
      </c>
      <c r="AB69" t="s">
        <v>0</v>
      </c>
    </row>
    <row r="70" spans="2:28" x14ac:dyDescent="0.25">
      <c r="B70" s="3"/>
      <c r="Q70" t="s">
        <v>0</v>
      </c>
      <c r="W70" t="s">
        <v>0</v>
      </c>
      <c r="AB70" t="s">
        <v>0</v>
      </c>
    </row>
    <row r="71" spans="2:28" x14ac:dyDescent="0.25">
      <c r="B71" s="3"/>
      <c r="Q71" t="s">
        <v>0</v>
      </c>
      <c r="W71" t="s">
        <v>0</v>
      </c>
      <c r="AB71" t="s">
        <v>0</v>
      </c>
    </row>
    <row r="72" spans="2:28" x14ac:dyDescent="0.25">
      <c r="B72" s="3"/>
      <c r="L72" s="1"/>
      <c r="W72" t="s">
        <v>0</v>
      </c>
      <c r="AB72" t="s">
        <v>0</v>
      </c>
    </row>
    <row r="73" spans="2:28" x14ac:dyDescent="0.25">
      <c r="B73" s="3"/>
      <c r="W73" t="s">
        <v>0</v>
      </c>
      <c r="AB73" t="s">
        <v>0</v>
      </c>
    </row>
    <row r="74" spans="2:28" x14ac:dyDescent="0.25">
      <c r="B74" s="3"/>
      <c r="K74" t="s">
        <v>0</v>
      </c>
      <c r="L74" t="s">
        <v>0</v>
      </c>
    </row>
    <row r="75" spans="2:28" x14ac:dyDescent="0.25">
      <c r="B75" s="3"/>
      <c r="K75" t="s">
        <v>0</v>
      </c>
      <c r="L75" t="s">
        <v>0</v>
      </c>
    </row>
    <row r="76" spans="2:28" x14ac:dyDescent="0.25">
      <c r="B76" s="3"/>
      <c r="K76" t="s">
        <v>0</v>
      </c>
      <c r="L76" t="s">
        <v>0</v>
      </c>
    </row>
    <row r="77" spans="2:28" x14ac:dyDescent="0.25">
      <c r="B77" s="3"/>
      <c r="K77" t="s">
        <v>0</v>
      </c>
      <c r="L77" t="s">
        <v>0</v>
      </c>
    </row>
    <row r="78" spans="2:28" x14ac:dyDescent="0.25">
      <c r="B78" s="3"/>
      <c r="K78" t="s">
        <v>0</v>
      </c>
      <c r="L78" t="s">
        <v>0</v>
      </c>
    </row>
    <row r="79" spans="2:28" x14ac:dyDescent="0.25">
      <c r="B79" s="3"/>
      <c r="K79" t="s">
        <v>0</v>
      </c>
      <c r="L79" t="s">
        <v>0</v>
      </c>
    </row>
    <row r="80" spans="2:28" x14ac:dyDescent="0.25">
      <c r="B80" s="3"/>
      <c r="F80" t="s">
        <v>0</v>
      </c>
      <c r="G80" t="s">
        <v>0</v>
      </c>
      <c r="K80" t="s">
        <v>0</v>
      </c>
      <c r="L80" t="s">
        <v>0</v>
      </c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22" spans="15:15" x14ac:dyDescent="0.25">
      <c r="O122" t="s">
        <v>0</v>
      </c>
    </row>
    <row r="123" spans="15:15" x14ac:dyDescent="0.25">
      <c r="O123" t="s">
        <v>0</v>
      </c>
    </row>
    <row r="124" spans="15:15" x14ac:dyDescent="0.25">
      <c r="O124" t="s">
        <v>0</v>
      </c>
    </row>
    <row r="125" spans="15:15" x14ac:dyDescent="0.25">
      <c r="O125" t="s">
        <v>0</v>
      </c>
    </row>
    <row r="126" spans="15:15" x14ac:dyDescent="0.25">
      <c r="O126" t="s">
        <v>0</v>
      </c>
    </row>
    <row r="127" spans="15:15" x14ac:dyDescent="0.25">
      <c r="O127" t="s">
        <v>0</v>
      </c>
    </row>
    <row r="128" spans="15:15" x14ac:dyDescent="0.25">
      <c r="O128" t="s">
        <v>0</v>
      </c>
    </row>
    <row r="129" spans="15:15" x14ac:dyDescent="0.25">
      <c r="O129" t="s">
        <v>0</v>
      </c>
    </row>
    <row r="130" spans="15:15" x14ac:dyDescent="0.25">
      <c r="O130" t="s">
        <v>0</v>
      </c>
    </row>
    <row r="131" spans="15:15" x14ac:dyDescent="0.25">
      <c r="O131" t="s">
        <v>0</v>
      </c>
    </row>
    <row r="132" spans="15:15" x14ac:dyDescent="0.25">
      <c r="O132" t="s">
        <v>0</v>
      </c>
    </row>
    <row r="133" spans="15:15" x14ac:dyDescent="0.25">
      <c r="O133" t="s">
        <v>0</v>
      </c>
    </row>
    <row r="134" spans="15:15" x14ac:dyDescent="0.25">
      <c r="O134" t="s">
        <v>0</v>
      </c>
    </row>
    <row r="135" spans="15:15" x14ac:dyDescent="0.25">
      <c r="O135" t="s">
        <v>0</v>
      </c>
    </row>
    <row r="136" spans="15:15" x14ac:dyDescent="0.25">
      <c r="O136" t="s">
        <v>0</v>
      </c>
    </row>
    <row r="137" spans="15:15" x14ac:dyDescent="0.25">
      <c r="O137" t="s">
        <v>0</v>
      </c>
    </row>
    <row r="138" spans="15:15" x14ac:dyDescent="0.25">
      <c r="O138" t="s">
        <v>0</v>
      </c>
    </row>
    <row r="139" spans="15:15" x14ac:dyDescent="0.25">
      <c r="O139" t="s">
        <v>0</v>
      </c>
    </row>
    <row r="145" spans="3:15" x14ac:dyDescent="0.25">
      <c r="E145" s="3"/>
    </row>
    <row r="146" spans="3:15" x14ac:dyDescent="0.25">
      <c r="C146" s="3"/>
      <c r="E146" s="3"/>
    </row>
    <row r="147" spans="3:15" x14ac:dyDescent="0.25">
      <c r="E147" s="3"/>
    </row>
    <row r="149" spans="3:15" x14ac:dyDescent="0.25">
      <c r="G149" s="1"/>
    </row>
    <row r="151" spans="3:15" x14ac:dyDescent="0.25"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</row>
    <row r="152" spans="3:15" x14ac:dyDescent="0.25"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</row>
    <row r="153" spans="3:15" x14ac:dyDescent="0.25"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</row>
    <row r="154" spans="3:15" x14ac:dyDescent="0.25"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</row>
    <row r="155" spans="3:15" x14ac:dyDescent="0.25"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</row>
    <row r="156" spans="3:15" x14ac:dyDescent="0.25"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</row>
    <row r="157" spans="3:15" x14ac:dyDescent="0.25"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</row>
    <row r="170" spans="15:15" x14ac:dyDescent="0.25">
      <c r="O170" t="s">
        <v>0</v>
      </c>
    </row>
    <row r="171" spans="15:15" x14ac:dyDescent="0.25">
      <c r="O171" t="s">
        <v>0</v>
      </c>
    </row>
    <row r="172" spans="15:15" x14ac:dyDescent="0.25">
      <c r="O172" t="s">
        <v>0</v>
      </c>
    </row>
    <row r="173" spans="15:15" x14ac:dyDescent="0.25">
      <c r="O173" t="s">
        <v>0</v>
      </c>
    </row>
    <row r="174" spans="15:15" x14ac:dyDescent="0.25">
      <c r="O174" t="s">
        <v>0</v>
      </c>
    </row>
    <row r="175" spans="15:15" x14ac:dyDescent="0.25">
      <c r="O175" t="s">
        <v>0</v>
      </c>
    </row>
    <row r="177" spans="15:15" x14ac:dyDescent="0.25">
      <c r="O177" t="s">
        <v>0</v>
      </c>
    </row>
    <row r="178" spans="15:15" x14ac:dyDescent="0.25">
      <c r="O178" t="s">
        <v>0</v>
      </c>
    </row>
    <row r="179" spans="15:15" x14ac:dyDescent="0.25">
      <c r="O179" t="s">
        <v>0</v>
      </c>
    </row>
    <row r="180" spans="15:15" x14ac:dyDescent="0.25">
      <c r="O180" t="s">
        <v>0</v>
      </c>
    </row>
    <row r="181" spans="15:15" x14ac:dyDescent="0.25">
      <c r="O181" t="s">
        <v>0</v>
      </c>
    </row>
    <row r="182" spans="15:15" x14ac:dyDescent="0.25">
      <c r="O182" t="s">
        <v>0</v>
      </c>
    </row>
    <row r="183" spans="15:15" x14ac:dyDescent="0.25">
      <c r="O183" t="s">
        <v>0</v>
      </c>
    </row>
    <row r="184" spans="15:15" x14ac:dyDescent="0.25">
      <c r="O184" t="s">
        <v>0</v>
      </c>
    </row>
    <row r="185" spans="15:15" x14ac:dyDescent="0.25">
      <c r="O185" t="s">
        <v>0</v>
      </c>
    </row>
    <row r="186" spans="15:15" x14ac:dyDescent="0.25">
      <c r="O186" t="s">
        <v>0</v>
      </c>
    </row>
    <row r="187" spans="15:15" x14ac:dyDescent="0.25">
      <c r="O187" t="s">
        <v>0</v>
      </c>
    </row>
    <row r="199" spans="15:15" x14ac:dyDescent="0.25">
      <c r="O199" t="s">
        <v>0</v>
      </c>
    </row>
    <row r="200" spans="15:15" x14ac:dyDescent="0.25">
      <c r="O200" t="s">
        <v>0</v>
      </c>
    </row>
    <row r="201" spans="15:15" x14ac:dyDescent="0.25">
      <c r="O201" t="s">
        <v>0</v>
      </c>
    </row>
    <row r="202" spans="15:15" x14ac:dyDescent="0.25">
      <c r="O202" t="s">
        <v>0</v>
      </c>
    </row>
    <row r="203" spans="15:15" x14ac:dyDescent="0.25">
      <c r="O203" t="s">
        <v>0</v>
      </c>
    </row>
    <row r="204" spans="15:15" x14ac:dyDescent="0.25">
      <c r="O204" t="s">
        <v>0</v>
      </c>
    </row>
    <row r="205" spans="15:15" x14ac:dyDescent="0.25">
      <c r="O205" t="s">
        <v>0</v>
      </c>
    </row>
    <row r="206" spans="15:15" x14ac:dyDescent="0.25">
      <c r="O206" t="s">
        <v>0</v>
      </c>
    </row>
    <row r="207" spans="15:15" x14ac:dyDescent="0.25">
      <c r="O207" t="s">
        <v>0</v>
      </c>
    </row>
    <row r="208" spans="15:15" x14ac:dyDescent="0.25">
      <c r="O208" t="s">
        <v>0</v>
      </c>
    </row>
    <row r="209" spans="3:15" x14ac:dyDescent="0.25">
      <c r="O209" t="s">
        <v>0</v>
      </c>
    </row>
    <row r="210" spans="3:15" x14ac:dyDescent="0.25">
      <c r="O210" t="s">
        <v>0</v>
      </c>
    </row>
    <row r="211" spans="3:15" x14ac:dyDescent="0.25">
      <c r="O211" t="s">
        <v>0</v>
      </c>
    </row>
    <row r="212" spans="3:15" x14ac:dyDescent="0.25">
      <c r="O212" t="s">
        <v>0</v>
      </c>
    </row>
    <row r="213" spans="3:15" x14ac:dyDescent="0.25">
      <c r="O213" t="s">
        <v>0</v>
      </c>
    </row>
    <row r="214" spans="3:15" x14ac:dyDescent="0.25">
      <c r="O214" t="s">
        <v>0</v>
      </c>
    </row>
    <row r="215" spans="3:15" x14ac:dyDescent="0.25">
      <c r="O215" t="s">
        <v>0</v>
      </c>
    </row>
    <row r="216" spans="3:15" x14ac:dyDescent="0.25">
      <c r="O216" t="s">
        <v>0</v>
      </c>
    </row>
    <row r="223" spans="3:15" x14ac:dyDescent="0.25">
      <c r="E223" s="3"/>
    </row>
    <row r="224" spans="3:15" x14ac:dyDescent="0.25">
      <c r="C224" s="3"/>
      <c r="E224" s="3"/>
    </row>
    <row r="225" spans="5:15" x14ac:dyDescent="0.25">
      <c r="E225" s="3"/>
    </row>
    <row r="227" spans="5:15" x14ac:dyDescent="0.25">
      <c r="G227" s="1"/>
    </row>
    <row r="229" spans="5:15" x14ac:dyDescent="0.25"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</row>
    <row r="230" spans="5:15" x14ac:dyDescent="0.25"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</row>
    <row r="231" spans="5:15" x14ac:dyDescent="0.25"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</row>
    <row r="232" spans="5:15" x14ac:dyDescent="0.25"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</row>
    <row r="233" spans="5:15" x14ac:dyDescent="0.25"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</row>
    <row r="234" spans="5:15" x14ac:dyDescent="0.25"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</row>
    <row r="235" spans="5:15" x14ac:dyDescent="0.25"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>
      <selection activeCell="A2" sqref="A2"/>
    </sheetView>
  </sheetViews>
  <sheetFormatPr defaultColWidth="11.5703125" defaultRowHeight="15" x14ac:dyDescent="0.25"/>
  <cols>
    <col min="5" max="5" width="13.42578125" bestFit="1" customWidth="1"/>
    <col min="6" max="6" width="14.28515625" bestFit="1" customWidth="1"/>
    <col min="7" max="10" width="12" customWidth="1"/>
    <col min="12" max="12" width="14.28515625" bestFit="1" customWidth="1"/>
  </cols>
  <sheetData>
    <row r="1" spans="1:6" x14ac:dyDescent="0.25">
      <c r="A1" t="s">
        <v>77</v>
      </c>
    </row>
    <row r="3" spans="1:6" x14ac:dyDescent="0.25">
      <c r="B3" t="s">
        <v>6</v>
      </c>
    </row>
    <row r="4" spans="1:6" x14ac:dyDescent="0.25">
      <c r="B4" t="s">
        <v>7</v>
      </c>
    </row>
    <row r="5" spans="1:6" x14ac:dyDescent="0.25">
      <c r="A5" t="s">
        <v>50</v>
      </c>
      <c r="B5" t="s">
        <v>51</v>
      </c>
      <c r="C5" t="s">
        <v>54</v>
      </c>
    </row>
    <row r="6" spans="1:6" x14ac:dyDescent="0.25">
      <c r="A6" s="3">
        <v>44550</v>
      </c>
      <c r="B6" s="5">
        <v>135.800003</v>
      </c>
      <c r="C6">
        <f>LN(B7/B6)</f>
        <v>6.0364668172302745E-2</v>
      </c>
      <c r="E6" t="s">
        <v>52</v>
      </c>
      <c r="F6">
        <f>COUNT(C6:C43)</f>
        <v>38</v>
      </c>
    </row>
    <row r="7" spans="1:6" x14ac:dyDescent="0.25">
      <c r="A7" s="3">
        <v>44551</v>
      </c>
      <c r="B7" s="5">
        <v>144.25</v>
      </c>
      <c r="C7">
        <f>LN(B8/B7)</f>
        <v>-2.5682518096047532E-3</v>
      </c>
      <c r="E7" t="s">
        <v>53</v>
      </c>
      <c r="F7">
        <f>AVERAGE(C6:C43)</f>
        <v>-4.542610376602467E-3</v>
      </c>
    </row>
    <row r="8" spans="1:6" x14ac:dyDescent="0.25">
      <c r="A8" s="3">
        <v>44552</v>
      </c>
      <c r="B8" s="5">
        <v>143.88000500000001</v>
      </c>
      <c r="C8">
        <f t="shared" ref="C8:C43" si="0">LN(B9/B8)</f>
        <v>1.5585405941713907E-2</v>
      </c>
      <c r="E8" t="s">
        <v>55</v>
      </c>
      <c r="F8">
        <f>_xlfn.STDEV.S(C6:C43)</f>
        <v>4.0824502628554603E-2</v>
      </c>
    </row>
    <row r="9" spans="1:6" x14ac:dyDescent="0.25">
      <c r="A9" s="3">
        <v>44553</v>
      </c>
      <c r="B9" s="5">
        <v>146.13999899999999</v>
      </c>
      <c r="C9">
        <f t="shared" si="0"/>
        <v>5.4722483627462286E-2</v>
      </c>
      <c r="E9" t="s">
        <v>56</v>
      </c>
      <c r="F9">
        <f>F8/SQRT(1/252)</f>
        <v>0.64806888811834895</v>
      </c>
    </row>
    <row r="10" spans="1:6" x14ac:dyDescent="0.25">
      <c r="A10" s="3">
        <v>44557</v>
      </c>
      <c r="B10" s="5">
        <v>154.36000100000001</v>
      </c>
      <c r="C10">
        <f t="shared" si="0"/>
        <v>-7.8697490462740563E-3</v>
      </c>
    </row>
    <row r="11" spans="1:6" x14ac:dyDescent="0.25">
      <c r="A11" s="3">
        <v>44558</v>
      </c>
      <c r="B11" s="5">
        <v>153.14999399999999</v>
      </c>
      <c r="C11">
        <f t="shared" si="0"/>
        <v>-3.2450338597471019E-2</v>
      </c>
    </row>
    <row r="12" spans="1:6" x14ac:dyDescent="0.25">
      <c r="A12" s="3">
        <v>44559</v>
      </c>
      <c r="B12" s="5">
        <v>148.259995</v>
      </c>
      <c r="C12">
        <f t="shared" si="0"/>
        <v>-2.1199806369945586E-2</v>
      </c>
    </row>
    <row r="13" spans="1:6" x14ac:dyDescent="0.25">
      <c r="A13" s="3">
        <v>44560</v>
      </c>
      <c r="B13" s="5">
        <v>145.14999399999999</v>
      </c>
      <c r="C13">
        <f t="shared" si="0"/>
        <v>-8.6490769363903389E-3</v>
      </c>
    </row>
    <row r="14" spans="1:6" x14ac:dyDescent="0.25">
      <c r="A14" s="3">
        <v>44561</v>
      </c>
      <c r="B14" s="5">
        <v>143.89999399999999</v>
      </c>
      <c r="C14">
        <f t="shared" si="0"/>
        <v>4.3115476542338167E-2</v>
      </c>
    </row>
    <row r="15" spans="1:6" x14ac:dyDescent="0.25">
      <c r="A15" s="3">
        <v>44564</v>
      </c>
      <c r="B15" s="5">
        <v>150.240005</v>
      </c>
      <c r="C15">
        <f t="shared" si="0"/>
        <v>-3.9508341565499372E-2</v>
      </c>
    </row>
    <row r="16" spans="1:6" x14ac:dyDescent="0.25">
      <c r="A16" s="3">
        <v>44565</v>
      </c>
      <c r="B16" s="5">
        <v>144.41999799999999</v>
      </c>
      <c r="C16">
        <f t="shared" si="0"/>
        <v>-5.8968532123811902E-2</v>
      </c>
    </row>
    <row r="17" spans="1:3" x14ac:dyDescent="0.25">
      <c r="A17" s="3">
        <v>44566</v>
      </c>
      <c r="B17" s="5">
        <v>136.14999399999999</v>
      </c>
      <c r="C17">
        <f t="shared" si="0"/>
        <v>5.8742936513468246E-4</v>
      </c>
    </row>
    <row r="18" spans="1:3" x14ac:dyDescent="0.25">
      <c r="A18" s="3">
        <v>44567</v>
      </c>
      <c r="B18" s="5">
        <v>136.229996</v>
      </c>
      <c r="C18">
        <f t="shared" si="0"/>
        <v>-3.1542681829489952E-2</v>
      </c>
    </row>
    <row r="19" spans="1:3" x14ac:dyDescent="0.25">
      <c r="A19" s="3">
        <v>44568</v>
      </c>
      <c r="B19" s="5">
        <v>132</v>
      </c>
      <c r="C19">
        <f t="shared" si="0"/>
        <v>0</v>
      </c>
    </row>
    <row r="20" spans="1:3" x14ac:dyDescent="0.25">
      <c r="A20" s="3">
        <v>44571</v>
      </c>
      <c r="B20" s="5">
        <v>132</v>
      </c>
      <c r="C20">
        <f t="shared" si="0"/>
        <v>3.9439206181707966E-2</v>
      </c>
    </row>
    <row r="21" spans="1:3" x14ac:dyDescent="0.25">
      <c r="A21" s="3">
        <v>44572</v>
      </c>
      <c r="B21" s="5">
        <v>137.30999800000001</v>
      </c>
      <c r="C21">
        <f t="shared" si="0"/>
        <v>1.1645899895642287E-3</v>
      </c>
    </row>
    <row r="22" spans="1:3" x14ac:dyDescent="0.25">
      <c r="A22" s="3">
        <v>44573</v>
      </c>
      <c r="B22" s="5">
        <v>137.470001</v>
      </c>
      <c r="C22">
        <f t="shared" si="0"/>
        <v>-3.501335337224392E-2</v>
      </c>
    </row>
    <row r="23" spans="1:3" x14ac:dyDescent="0.25">
      <c r="A23" s="3">
        <v>44574</v>
      </c>
      <c r="B23" s="5">
        <v>132.740005</v>
      </c>
      <c r="C23">
        <f t="shared" si="0"/>
        <v>3.0712300726884263E-2</v>
      </c>
    </row>
    <row r="24" spans="1:3" x14ac:dyDescent="0.25">
      <c r="A24" s="3">
        <v>44575</v>
      </c>
      <c r="B24" s="5">
        <v>136.88000500000001</v>
      </c>
      <c r="C24">
        <f t="shared" si="0"/>
        <v>-3.6833240275039758E-2</v>
      </c>
    </row>
    <row r="25" spans="1:3" x14ac:dyDescent="0.25">
      <c r="A25" s="3">
        <v>44579</v>
      </c>
      <c r="B25" s="5">
        <v>131.929993</v>
      </c>
      <c r="C25">
        <f t="shared" si="0"/>
        <v>-2.8133977341264028E-2</v>
      </c>
    </row>
    <row r="26" spans="1:3" x14ac:dyDescent="0.25">
      <c r="A26" s="3">
        <v>44580</v>
      </c>
      <c r="B26" s="5">
        <v>128.270004</v>
      </c>
      <c r="C26">
        <f t="shared" si="0"/>
        <v>-5.1018458032353102E-2</v>
      </c>
    </row>
    <row r="27" spans="1:3" x14ac:dyDescent="0.25">
      <c r="A27" s="3">
        <v>44581</v>
      </c>
      <c r="B27" s="5">
        <v>121.889999</v>
      </c>
      <c r="C27">
        <f t="shared" si="0"/>
        <v>-2.5593428827030661E-2</v>
      </c>
    </row>
    <row r="28" spans="1:3" x14ac:dyDescent="0.25">
      <c r="A28" s="3">
        <v>44582</v>
      </c>
      <c r="B28" s="5">
        <v>118.80999799999999</v>
      </c>
      <c r="C28">
        <f t="shared" si="0"/>
        <v>-1.9376819632905228E-2</v>
      </c>
    </row>
    <row r="29" spans="1:3" x14ac:dyDescent="0.25">
      <c r="A29" s="3">
        <v>44585</v>
      </c>
      <c r="B29" s="5">
        <v>116.529999</v>
      </c>
      <c r="C29">
        <f t="shared" si="0"/>
        <v>-4.7448081801546825E-2</v>
      </c>
    </row>
    <row r="30" spans="1:3" x14ac:dyDescent="0.25">
      <c r="A30" s="3">
        <v>44586</v>
      </c>
      <c r="B30" s="5">
        <v>111.129997</v>
      </c>
      <c r="C30">
        <f t="shared" si="0"/>
        <v>-3.7864993633763273E-3</v>
      </c>
    </row>
    <row r="31" spans="1:3" x14ac:dyDescent="0.25">
      <c r="A31" s="3">
        <v>44587</v>
      </c>
      <c r="B31" s="5">
        <v>110.709999</v>
      </c>
      <c r="C31">
        <f t="shared" si="0"/>
        <v>-7.6076247595276092E-2</v>
      </c>
    </row>
    <row r="32" spans="1:3" x14ac:dyDescent="0.25">
      <c r="A32" s="3">
        <v>44588</v>
      </c>
      <c r="B32" s="5">
        <v>102.599998</v>
      </c>
      <c r="C32">
        <f t="shared" si="0"/>
        <v>2.5405523924419388E-2</v>
      </c>
    </row>
    <row r="33" spans="1:3" x14ac:dyDescent="0.25">
      <c r="A33" s="3">
        <v>44589</v>
      </c>
      <c r="B33" s="5">
        <v>105.239998</v>
      </c>
      <c r="C33">
        <f t="shared" si="0"/>
        <v>8.2145592606403209E-2</v>
      </c>
    </row>
    <row r="34" spans="1:3" x14ac:dyDescent="0.25">
      <c r="A34" s="3">
        <v>44592</v>
      </c>
      <c r="B34" s="5">
        <v>114.25</v>
      </c>
      <c r="C34">
        <f t="shared" si="0"/>
        <v>2.1902784517967341E-2</v>
      </c>
    </row>
    <row r="35" spans="1:3" x14ac:dyDescent="0.25">
      <c r="A35" s="3">
        <v>44593</v>
      </c>
      <c r="B35" s="5">
        <v>116.779999</v>
      </c>
      <c r="C35">
        <f t="shared" si="0"/>
        <v>4.9939431751205736E-2</v>
      </c>
    </row>
    <row r="36" spans="1:3" x14ac:dyDescent="0.25">
      <c r="A36" s="3">
        <v>44594</v>
      </c>
      <c r="B36" s="5">
        <v>122.760002</v>
      </c>
      <c r="C36">
        <f t="shared" si="0"/>
        <v>-2.2073042062717846E-2</v>
      </c>
    </row>
    <row r="37" spans="1:3" x14ac:dyDescent="0.25">
      <c r="A37" s="3">
        <v>44595</v>
      </c>
      <c r="B37" s="5">
        <v>120.08000199999999</v>
      </c>
      <c r="C37">
        <f t="shared" si="0"/>
        <v>2.8892324861591257E-2</v>
      </c>
    </row>
    <row r="38" spans="1:3" x14ac:dyDescent="0.25">
      <c r="A38" s="3">
        <v>44596</v>
      </c>
      <c r="B38" s="5">
        <v>123.599998</v>
      </c>
      <c r="C38">
        <f t="shared" si="0"/>
        <v>5.661827395343999E-4</v>
      </c>
    </row>
    <row r="39" spans="1:3" x14ac:dyDescent="0.25">
      <c r="A39" s="3">
        <v>44599</v>
      </c>
      <c r="B39" s="5">
        <v>123.66999800000001</v>
      </c>
      <c r="C39">
        <f t="shared" si="0"/>
        <v>3.6208783695180866E-2</v>
      </c>
    </row>
    <row r="40" spans="1:3" x14ac:dyDescent="0.25">
      <c r="A40" s="3">
        <v>44600</v>
      </c>
      <c r="B40" s="5">
        <v>128.229996</v>
      </c>
      <c r="C40">
        <f t="shared" si="0"/>
        <v>3.5395222092464519E-2</v>
      </c>
    </row>
    <row r="41" spans="1:3" x14ac:dyDescent="0.25">
      <c r="A41" s="3">
        <v>44601</v>
      </c>
      <c r="B41" s="5">
        <v>132.85000600000001</v>
      </c>
      <c r="C41">
        <f t="shared" si="0"/>
        <v>-5.4765899163541278E-2</v>
      </c>
    </row>
    <row r="42" spans="1:3" x14ac:dyDescent="0.25">
      <c r="A42" s="3">
        <v>44602</v>
      </c>
      <c r="B42" s="5">
        <v>125.769997</v>
      </c>
      <c r="C42">
        <f t="shared" si="0"/>
        <v>-0.10547534649162101</v>
      </c>
    </row>
    <row r="43" spans="1:3" x14ac:dyDescent="0.25">
      <c r="A43" s="3">
        <v>44603</v>
      </c>
      <c r="B43" s="5">
        <v>113.18</v>
      </c>
      <c r="C43">
        <f t="shared" si="0"/>
        <v>9.5845711906342689E-3</v>
      </c>
    </row>
    <row r="44" spans="1:3" x14ac:dyDescent="0.25">
      <c r="A44" s="3">
        <v>44606</v>
      </c>
      <c r="B44" s="5">
        <v>114.269997</v>
      </c>
    </row>
    <row r="45" spans="1:3" x14ac:dyDescent="0.25">
      <c r="B45" s="3"/>
    </row>
    <row r="46" spans="1:3" x14ac:dyDescent="0.25">
      <c r="B46" s="3"/>
    </row>
    <row r="47" spans="1:3" x14ac:dyDescent="0.25">
      <c r="B47" s="3"/>
    </row>
    <row r="48" spans="1:3" x14ac:dyDescent="0.25">
      <c r="B48" s="3"/>
    </row>
    <row r="49" spans="2:2" x14ac:dyDescent="0.25">
      <c r="B49" s="3"/>
    </row>
    <row r="50" spans="2:2" x14ac:dyDescent="0.25">
      <c r="B50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</sheetData>
  <sortState xmlns:xlrd2="http://schemas.microsoft.com/office/spreadsheetml/2017/richdata2" ref="A6:C53">
    <sortCondition ref="B6:B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8"/>
  <sheetViews>
    <sheetView workbookViewId="0">
      <selection activeCell="A2" sqref="A2"/>
    </sheetView>
  </sheetViews>
  <sheetFormatPr defaultColWidth="11.5703125" defaultRowHeight="15" x14ac:dyDescent="0.25"/>
  <cols>
    <col min="3" max="3" width="12" customWidth="1"/>
    <col min="4" max="4" width="15.42578125" bestFit="1" customWidth="1"/>
    <col min="5" max="5" width="15.85546875" bestFit="1" customWidth="1"/>
    <col min="6" max="6" width="14.28515625" bestFit="1" customWidth="1"/>
    <col min="7" max="7" width="16.28515625" bestFit="1" customWidth="1"/>
    <col min="10" max="10" width="24.28515625" bestFit="1" customWidth="1"/>
  </cols>
  <sheetData>
    <row r="1" spans="1:6" x14ac:dyDescent="0.25">
      <c r="A1" t="s">
        <v>75</v>
      </c>
    </row>
    <row r="3" spans="1:6" x14ac:dyDescent="0.25">
      <c r="B3" t="s">
        <v>8</v>
      </c>
    </row>
    <row r="4" spans="1:6" x14ac:dyDescent="0.25">
      <c r="B4" t="s">
        <v>9</v>
      </c>
    </row>
    <row r="5" spans="1:6" x14ac:dyDescent="0.25">
      <c r="A5" t="s">
        <v>50</v>
      </c>
      <c r="B5" t="s">
        <v>51</v>
      </c>
      <c r="C5" t="s">
        <v>54</v>
      </c>
    </row>
    <row r="6" spans="1:6" x14ac:dyDescent="0.25">
      <c r="A6" s="3">
        <v>44487</v>
      </c>
      <c r="B6" s="5">
        <v>64.839995999999999</v>
      </c>
      <c r="C6">
        <f>LN(B7/B6)</f>
        <v>1.9397401294632362E-2</v>
      </c>
      <c r="E6" t="s">
        <v>52</v>
      </c>
      <c r="F6">
        <f>COUNT(C6:C87)</f>
        <v>82</v>
      </c>
    </row>
    <row r="7" spans="1:6" x14ac:dyDescent="0.25">
      <c r="A7" s="3">
        <v>44488</v>
      </c>
      <c r="B7" s="5">
        <v>66.110000999999997</v>
      </c>
      <c r="C7">
        <f t="shared" ref="C7:C70" si="0">LN(B8/B7)</f>
        <v>-4.7001525478155845E-3</v>
      </c>
      <c r="E7" t="s">
        <v>53</v>
      </c>
      <c r="F7">
        <f>AVERAGE(C6:C87)</f>
        <v>-7.2811234840749186E-3</v>
      </c>
    </row>
    <row r="8" spans="1:6" x14ac:dyDescent="0.25">
      <c r="A8" s="3">
        <v>44489</v>
      </c>
      <c r="B8" s="5">
        <v>65.800003000000004</v>
      </c>
      <c r="C8">
        <f t="shared" si="0"/>
        <v>-6.097594879783343E-3</v>
      </c>
      <c r="E8" t="s">
        <v>55</v>
      </c>
      <c r="F8">
        <f>_xlfn.STDEV.S(C6:C87)</f>
        <v>2.7999272476562302E-2</v>
      </c>
    </row>
    <row r="9" spans="1:6" x14ac:dyDescent="0.25">
      <c r="A9" s="3">
        <v>44490</v>
      </c>
      <c r="B9" s="5">
        <v>65.400002000000001</v>
      </c>
      <c r="C9">
        <f t="shared" si="0"/>
        <v>-4.9524377040380575E-2</v>
      </c>
      <c r="E9" t="s">
        <v>56</v>
      </c>
      <c r="F9">
        <f>F8/SQRT(1/252)</f>
        <v>0.44447467118231648</v>
      </c>
    </row>
    <row r="10" spans="1:6" x14ac:dyDescent="0.25">
      <c r="A10" s="3">
        <v>44491</v>
      </c>
      <c r="B10" s="5">
        <v>62.240001999999997</v>
      </c>
      <c r="C10">
        <f t="shared" si="0"/>
        <v>-2.0908893321332955E-3</v>
      </c>
    </row>
    <row r="11" spans="1:6" x14ac:dyDescent="0.25">
      <c r="A11" s="3">
        <v>44494</v>
      </c>
      <c r="B11" s="5">
        <v>62.110000999999997</v>
      </c>
      <c r="C11">
        <f t="shared" si="0"/>
        <v>-1.100870749584232E-2</v>
      </c>
    </row>
    <row r="12" spans="1:6" x14ac:dyDescent="0.25">
      <c r="A12" s="3">
        <v>44495</v>
      </c>
      <c r="B12" s="5">
        <v>61.43</v>
      </c>
      <c r="C12">
        <f t="shared" si="0"/>
        <v>-0.11402563787296535</v>
      </c>
    </row>
    <row r="13" spans="1:6" x14ac:dyDescent="0.25">
      <c r="A13" s="3">
        <v>44496</v>
      </c>
      <c r="B13" s="5">
        <v>54.810001</v>
      </c>
      <c r="C13">
        <f t="shared" si="0"/>
        <v>-9.5326109659127738E-3</v>
      </c>
    </row>
    <row r="14" spans="1:6" x14ac:dyDescent="0.25">
      <c r="A14" s="3">
        <v>44497</v>
      </c>
      <c r="B14" s="5">
        <v>54.290000999999997</v>
      </c>
      <c r="C14">
        <f t="shared" si="0"/>
        <v>-1.3911009567127514E-2</v>
      </c>
    </row>
    <row r="15" spans="1:6" x14ac:dyDescent="0.25">
      <c r="A15" s="3">
        <v>44498</v>
      </c>
      <c r="B15" s="5">
        <v>53.540000999999997</v>
      </c>
      <c r="C15">
        <f t="shared" si="0"/>
        <v>2.8902149270840522E-2</v>
      </c>
    </row>
    <row r="16" spans="1:6" x14ac:dyDescent="0.25">
      <c r="A16" s="3">
        <v>44501</v>
      </c>
      <c r="B16" s="5">
        <v>55.110000999999997</v>
      </c>
      <c r="C16">
        <f t="shared" si="0"/>
        <v>-2.0532324766578996E-2</v>
      </c>
    </row>
    <row r="17" spans="1:3" x14ac:dyDescent="0.25">
      <c r="A17" s="3">
        <v>44502</v>
      </c>
      <c r="B17" s="5">
        <v>53.990001999999997</v>
      </c>
      <c r="C17">
        <f t="shared" si="0"/>
        <v>9.9521093253489273E-3</v>
      </c>
    </row>
    <row r="18" spans="1:3" x14ac:dyDescent="0.25">
      <c r="A18" s="3">
        <v>44503</v>
      </c>
      <c r="B18" s="5">
        <v>54.529998999999997</v>
      </c>
      <c r="C18">
        <f t="shared" si="0"/>
        <v>-1.5710497936014357E-2</v>
      </c>
    </row>
    <row r="19" spans="1:3" x14ac:dyDescent="0.25">
      <c r="A19" s="3">
        <v>44504</v>
      </c>
      <c r="B19" s="5">
        <v>53.68</v>
      </c>
      <c r="C19">
        <f t="shared" si="0"/>
        <v>-9.9223502461192343E-3</v>
      </c>
    </row>
    <row r="20" spans="1:3" x14ac:dyDescent="0.25">
      <c r="A20" s="3">
        <v>44505</v>
      </c>
      <c r="B20" s="5">
        <v>53.150002000000001</v>
      </c>
      <c r="C20">
        <f t="shared" si="0"/>
        <v>1.7346326299649339E-2</v>
      </c>
    </row>
    <row r="21" spans="1:3" x14ac:dyDescent="0.25">
      <c r="A21" s="3">
        <v>44508</v>
      </c>
      <c r="B21" s="5">
        <v>54.080002</v>
      </c>
      <c r="C21">
        <f t="shared" si="0"/>
        <v>-7.0514485801637487E-3</v>
      </c>
    </row>
    <row r="22" spans="1:3" x14ac:dyDescent="0.25">
      <c r="A22" s="3">
        <v>44509</v>
      </c>
      <c r="B22" s="5">
        <v>53.700001</v>
      </c>
      <c r="C22">
        <f t="shared" si="0"/>
        <v>-2.5843161533682196E-2</v>
      </c>
    </row>
    <row r="23" spans="1:3" x14ac:dyDescent="0.25">
      <c r="A23" s="3">
        <v>44510</v>
      </c>
      <c r="B23" s="5">
        <v>52.330002</v>
      </c>
      <c r="C23">
        <f t="shared" si="0"/>
        <v>-6.7108293897663925E-3</v>
      </c>
    </row>
    <row r="24" spans="1:3" x14ac:dyDescent="0.25">
      <c r="A24" s="3">
        <v>44511</v>
      </c>
      <c r="B24" s="5">
        <v>51.98</v>
      </c>
      <c r="C24">
        <f t="shared" si="0"/>
        <v>5.1808616315761778E-3</v>
      </c>
    </row>
    <row r="25" spans="1:3" x14ac:dyDescent="0.25">
      <c r="A25" s="3">
        <v>44512</v>
      </c>
      <c r="B25" s="5">
        <v>52.25</v>
      </c>
      <c r="C25">
        <f t="shared" si="0"/>
        <v>1.3308200088236083E-2</v>
      </c>
    </row>
    <row r="26" spans="1:3" x14ac:dyDescent="0.25">
      <c r="A26" s="3">
        <v>44515</v>
      </c>
      <c r="B26" s="5">
        <v>52.950001</v>
      </c>
      <c r="C26">
        <f t="shared" si="0"/>
        <v>-1.5991202821858921E-2</v>
      </c>
    </row>
    <row r="27" spans="1:3" x14ac:dyDescent="0.25">
      <c r="A27" s="3">
        <v>44516</v>
      </c>
      <c r="B27" s="5">
        <v>52.110000999999997</v>
      </c>
      <c r="C27">
        <f t="shared" si="0"/>
        <v>-2.9207683126370308E-2</v>
      </c>
    </row>
    <row r="28" spans="1:3" x14ac:dyDescent="0.25">
      <c r="A28" s="3">
        <v>44517</v>
      </c>
      <c r="B28" s="5">
        <v>50.610000999999997</v>
      </c>
      <c r="C28">
        <f t="shared" si="0"/>
        <v>-4.0525715230743456E-2</v>
      </c>
    </row>
    <row r="29" spans="1:3" x14ac:dyDescent="0.25">
      <c r="A29" s="3">
        <v>44518</v>
      </c>
      <c r="B29" s="5">
        <v>48.599997999999999</v>
      </c>
      <c r="C29">
        <f t="shared" si="0"/>
        <v>-4.1236347092846615E-3</v>
      </c>
    </row>
    <row r="30" spans="1:3" x14ac:dyDescent="0.25">
      <c r="A30" s="3">
        <v>44519</v>
      </c>
      <c r="B30" s="5">
        <v>48.400002000000001</v>
      </c>
      <c r="C30">
        <f t="shared" si="0"/>
        <v>-2.2778144264662462E-2</v>
      </c>
    </row>
    <row r="31" spans="1:3" x14ac:dyDescent="0.25">
      <c r="A31" s="3">
        <v>44522</v>
      </c>
      <c r="B31" s="5">
        <v>47.310001</v>
      </c>
      <c r="C31">
        <f t="shared" si="0"/>
        <v>-3.5998344856587555E-3</v>
      </c>
    </row>
    <row r="32" spans="1:3" x14ac:dyDescent="0.25">
      <c r="A32" s="3">
        <v>44523</v>
      </c>
      <c r="B32" s="5">
        <v>47.139999000000003</v>
      </c>
      <c r="C32">
        <f t="shared" si="0"/>
        <v>8.0287987598114518E-3</v>
      </c>
    </row>
    <row r="33" spans="1:3" x14ac:dyDescent="0.25">
      <c r="A33" s="3">
        <v>44524</v>
      </c>
      <c r="B33" s="5">
        <v>47.52</v>
      </c>
      <c r="C33">
        <f t="shared" si="0"/>
        <v>-9.5148196413386201E-3</v>
      </c>
    </row>
    <row r="34" spans="1:3" x14ac:dyDescent="0.25">
      <c r="A34" s="3">
        <v>44526</v>
      </c>
      <c r="B34" s="5">
        <v>47.07</v>
      </c>
      <c r="C34">
        <f t="shared" si="0"/>
        <v>-2.7788562732230463E-2</v>
      </c>
    </row>
    <row r="35" spans="1:3" x14ac:dyDescent="0.25">
      <c r="A35" s="3">
        <v>44529</v>
      </c>
      <c r="B35" s="5">
        <v>45.779998999999997</v>
      </c>
      <c r="C35">
        <f t="shared" si="0"/>
        <v>-4.1022248482663413E-2</v>
      </c>
    </row>
    <row r="36" spans="1:3" x14ac:dyDescent="0.25">
      <c r="A36" s="3">
        <v>44530</v>
      </c>
      <c r="B36" s="5">
        <v>43.939999</v>
      </c>
      <c r="C36">
        <f t="shared" si="0"/>
        <v>-2.5819761036620335E-2</v>
      </c>
    </row>
    <row r="37" spans="1:3" x14ac:dyDescent="0.25">
      <c r="A37" s="3">
        <v>44531</v>
      </c>
      <c r="B37" s="5">
        <v>42.82</v>
      </c>
      <c r="C37">
        <f t="shared" si="0"/>
        <v>-3.9779623305320286E-3</v>
      </c>
    </row>
    <row r="38" spans="1:3" x14ac:dyDescent="0.25">
      <c r="A38" s="3">
        <v>44532</v>
      </c>
      <c r="B38" s="5">
        <v>42.650002000000001</v>
      </c>
      <c r="C38">
        <f t="shared" si="0"/>
        <v>-1.3692423228575239E-2</v>
      </c>
    </row>
    <row r="39" spans="1:3" x14ac:dyDescent="0.25">
      <c r="A39" s="3">
        <v>44533</v>
      </c>
      <c r="B39" s="5">
        <v>42.07</v>
      </c>
      <c r="C39">
        <f t="shared" si="0"/>
        <v>5.547992940724536E-2</v>
      </c>
    </row>
    <row r="40" spans="1:3" x14ac:dyDescent="0.25">
      <c r="A40" s="3">
        <v>44536</v>
      </c>
      <c r="B40" s="5">
        <v>44.470001000000003</v>
      </c>
      <c r="C40">
        <f t="shared" si="0"/>
        <v>-2.2494096575228112E-4</v>
      </c>
    </row>
    <row r="41" spans="1:3" x14ac:dyDescent="0.25">
      <c r="A41" s="3">
        <v>44537</v>
      </c>
      <c r="B41" s="5">
        <v>44.459999000000003</v>
      </c>
      <c r="C41">
        <f t="shared" si="0"/>
        <v>2.7945974754953116E-2</v>
      </c>
    </row>
    <row r="42" spans="1:3" x14ac:dyDescent="0.25">
      <c r="A42" s="3">
        <v>44538</v>
      </c>
      <c r="B42" s="5">
        <v>45.720001000000003</v>
      </c>
      <c r="C42">
        <f t="shared" si="0"/>
        <v>1.6055845019495665E-2</v>
      </c>
    </row>
    <row r="43" spans="1:3" x14ac:dyDescent="0.25">
      <c r="A43" s="3">
        <v>44539</v>
      </c>
      <c r="B43" s="5">
        <v>46.459999000000003</v>
      </c>
      <c r="C43">
        <f t="shared" si="0"/>
        <v>-1.9561545290312145E-2</v>
      </c>
    </row>
    <row r="44" spans="1:3" x14ac:dyDescent="0.25">
      <c r="A44" s="3">
        <v>44540</v>
      </c>
      <c r="B44" s="5">
        <v>45.560001</v>
      </c>
      <c r="C44">
        <f t="shared" si="0"/>
        <v>-2.1296346345091255E-2</v>
      </c>
    </row>
    <row r="45" spans="1:3" x14ac:dyDescent="0.25">
      <c r="A45" s="3">
        <v>44543</v>
      </c>
      <c r="B45" s="5">
        <v>44.599997999999999</v>
      </c>
      <c r="C45">
        <f t="shared" si="0"/>
        <v>-5.621150523209259E-3</v>
      </c>
    </row>
    <row r="46" spans="1:3" x14ac:dyDescent="0.25">
      <c r="A46" s="3">
        <v>44544</v>
      </c>
      <c r="B46" s="5">
        <v>44.349997999999999</v>
      </c>
      <c r="C46">
        <f t="shared" si="0"/>
        <v>-6.3333848058631913E-3</v>
      </c>
    </row>
    <row r="47" spans="1:3" x14ac:dyDescent="0.25">
      <c r="A47" s="3">
        <v>44545</v>
      </c>
      <c r="B47" s="5">
        <v>44.07</v>
      </c>
      <c r="C47">
        <f t="shared" si="0"/>
        <v>-2.1560445008426504E-2</v>
      </c>
    </row>
    <row r="48" spans="1:3" x14ac:dyDescent="0.25">
      <c r="A48" s="3">
        <v>44546</v>
      </c>
      <c r="B48" s="5">
        <v>43.130001</v>
      </c>
      <c r="C48">
        <f t="shared" si="0"/>
        <v>-1.3921347794498831E-3</v>
      </c>
    </row>
    <row r="49" spans="1:3" x14ac:dyDescent="0.25">
      <c r="A49" s="3">
        <v>44547</v>
      </c>
      <c r="B49" s="5">
        <v>43.07</v>
      </c>
      <c r="C49">
        <f t="shared" si="0"/>
        <v>-2.0918078516548428E-3</v>
      </c>
    </row>
    <row r="50" spans="1:3" x14ac:dyDescent="0.25">
      <c r="A50" s="3">
        <v>44550</v>
      </c>
      <c r="B50" s="5">
        <v>42.98</v>
      </c>
      <c r="C50">
        <f t="shared" si="0"/>
        <v>3.1603293810632982E-2</v>
      </c>
    </row>
    <row r="51" spans="1:3" x14ac:dyDescent="0.25">
      <c r="A51" s="3">
        <v>44551</v>
      </c>
      <c r="B51" s="5">
        <v>44.360000999999997</v>
      </c>
      <c r="C51">
        <f t="shared" si="0"/>
        <v>-1.0423819385786124E-2</v>
      </c>
    </row>
    <row r="52" spans="1:3" x14ac:dyDescent="0.25">
      <c r="A52" s="3">
        <v>44552</v>
      </c>
      <c r="B52" s="5">
        <v>43.900002000000001</v>
      </c>
      <c r="C52">
        <f t="shared" si="0"/>
        <v>5.9050363296286471E-3</v>
      </c>
    </row>
    <row r="53" spans="1:3" x14ac:dyDescent="0.25">
      <c r="A53" s="3">
        <v>44553</v>
      </c>
      <c r="B53" s="5">
        <v>44.16</v>
      </c>
      <c r="C53">
        <f t="shared" si="0"/>
        <v>3.8422919042955476E-3</v>
      </c>
    </row>
    <row r="54" spans="1:3" x14ac:dyDescent="0.25">
      <c r="A54" s="3">
        <v>44557</v>
      </c>
      <c r="B54" s="5">
        <v>44.330002</v>
      </c>
      <c r="C54">
        <f t="shared" si="0"/>
        <v>-2.0511247326404854E-2</v>
      </c>
    </row>
    <row r="55" spans="1:3" x14ac:dyDescent="0.25">
      <c r="A55" s="3">
        <v>44558</v>
      </c>
      <c r="B55" s="5">
        <v>43.43</v>
      </c>
      <c r="C55">
        <f t="shared" si="0"/>
        <v>-1.5547407162571813E-2</v>
      </c>
    </row>
    <row r="56" spans="1:3" x14ac:dyDescent="0.25">
      <c r="A56" s="3">
        <v>44559</v>
      </c>
      <c r="B56" s="5">
        <v>42.759998000000003</v>
      </c>
      <c r="C56">
        <f t="shared" si="0"/>
        <v>3.8986846659763791E-2</v>
      </c>
    </row>
    <row r="57" spans="1:3" x14ac:dyDescent="0.25">
      <c r="A57" s="3">
        <v>44560</v>
      </c>
      <c r="B57" s="5">
        <v>44.459999000000003</v>
      </c>
      <c r="C57">
        <f t="shared" si="0"/>
        <v>-2.8286511827746452E-2</v>
      </c>
    </row>
    <row r="58" spans="1:3" x14ac:dyDescent="0.25">
      <c r="A58" s="3">
        <v>44561</v>
      </c>
      <c r="B58" s="5">
        <v>43.220001000000003</v>
      </c>
      <c r="C58">
        <f t="shared" si="0"/>
        <v>-1.3041661172971652E-2</v>
      </c>
    </row>
    <row r="59" spans="1:3" x14ac:dyDescent="0.25">
      <c r="A59" s="3">
        <v>44564</v>
      </c>
      <c r="B59" s="5">
        <v>42.66</v>
      </c>
      <c r="C59">
        <f t="shared" si="0"/>
        <v>-4.3354940696802069E-2</v>
      </c>
    </row>
    <row r="60" spans="1:3" x14ac:dyDescent="0.25">
      <c r="A60" s="3">
        <v>44565</v>
      </c>
      <c r="B60" s="5">
        <v>40.849997999999999</v>
      </c>
      <c r="C60">
        <f t="shared" si="0"/>
        <v>-3.3606100439326193E-2</v>
      </c>
    </row>
    <row r="61" spans="1:3" x14ac:dyDescent="0.25">
      <c r="A61" s="3">
        <v>44566</v>
      </c>
      <c r="B61" s="5">
        <v>39.5</v>
      </c>
      <c r="C61">
        <f t="shared" si="0"/>
        <v>2.2758892109632101E-3</v>
      </c>
    </row>
    <row r="62" spans="1:3" x14ac:dyDescent="0.25">
      <c r="A62" s="3">
        <v>44567</v>
      </c>
      <c r="B62" s="5">
        <v>39.590000000000003</v>
      </c>
      <c r="C62">
        <f t="shared" si="0"/>
        <v>2.0186229922667426E-3</v>
      </c>
    </row>
    <row r="63" spans="1:3" x14ac:dyDescent="0.25">
      <c r="A63" s="3">
        <v>44568</v>
      </c>
      <c r="B63" s="5">
        <v>39.669998</v>
      </c>
      <c r="C63">
        <f t="shared" si="0"/>
        <v>7.5340136316898922E-3</v>
      </c>
    </row>
    <row r="64" spans="1:3" x14ac:dyDescent="0.25">
      <c r="A64" s="3">
        <v>44571</v>
      </c>
      <c r="B64" s="5">
        <v>39.970001000000003</v>
      </c>
      <c r="C64">
        <f t="shared" si="0"/>
        <v>1.7115610458204537E-2</v>
      </c>
    </row>
    <row r="65" spans="1:3" x14ac:dyDescent="0.25">
      <c r="A65" s="3">
        <v>44572</v>
      </c>
      <c r="B65" s="5">
        <v>40.659999999999997</v>
      </c>
      <c r="C65">
        <f t="shared" si="0"/>
        <v>-1.0134804335628149E-2</v>
      </c>
    </row>
    <row r="66" spans="1:3" x14ac:dyDescent="0.25">
      <c r="A66" s="3">
        <v>44573</v>
      </c>
      <c r="B66" s="5">
        <v>40.25</v>
      </c>
      <c r="C66">
        <f t="shared" si="0"/>
        <v>-3.9270377989043287E-2</v>
      </c>
    </row>
    <row r="67" spans="1:3" x14ac:dyDescent="0.25">
      <c r="A67" s="3">
        <v>44574</v>
      </c>
      <c r="B67" s="5">
        <v>38.700001</v>
      </c>
      <c r="C67">
        <f t="shared" si="0"/>
        <v>-6.7410677880058636E-3</v>
      </c>
    </row>
    <row r="68" spans="1:3" x14ac:dyDescent="0.25">
      <c r="A68" s="3">
        <v>44575</v>
      </c>
      <c r="B68" s="5">
        <v>38.439999</v>
      </c>
      <c r="C68">
        <f t="shared" si="0"/>
        <v>-3.0105258247405245E-2</v>
      </c>
    </row>
    <row r="69" spans="1:3" x14ac:dyDescent="0.25">
      <c r="A69" s="3">
        <v>44579</v>
      </c>
      <c r="B69" s="5">
        <v>37.299999</v>
      </c>
      <c r="C69">
        <f t="shared" si="0"/>
        <v>1.3395581911835057E-3</v>
      </c>
    </row>
    <row r="70" spans="1:3" x14ac:dyDescent="0.25">
      <c r="A70" s="3">
        <v>44580</v>
      </c>
      <c r="B70" s="5">
        <v>37.349997999999999</v>
      </c>
      <c r="C70">
        <f t="shared" si="0"/>
        <v>-1.8758950379458336E-3</v>
      </c>
    </row>
    <row r="71" spans="1:3" x14ac:dyDescent="0.25">
      <c r="A71" s="3">
        <v>44581</v>
      </c>
      <c r="B71" s="5">
        <v>37.279998999999997</v>
      </c>
      <c r="C71">
        <f t="shared" ref="C71:C87" si="1">LN(B72/B71)</f>
        <v>-6.8265028653312618E-2</v>
      </c>
    </row>
    <row r="72" spans="1:3" x14ac:dyDescent="0.25">
      <c r="A72" s="3">
        <v>44582</v>
      </c>
      <c r="B72" s="5">
        <v>34.82</v>
      </c>
      <c r="C72">
        <f t="shared" si="1"/>
        <v>6.8689736755778363E-3</v>
      </c>
    </row>
    <row r="73" spans="1:3" x14ac:dyDescent="0.25">
      <c r="A73" s="3">
        <v>44585</v>
      </c>
      <c r="B73" s="5">
        <v>35.060001</v>
      </c>
      <c r="C73">
        <f t="shared" si="1"/>
        <v>-2.571290041929716E-2</v>
      </c>
    </row>
    <row r="74" spans="1:3" x14ac:dyDescent="0.25">
      <c r="A74" s="3">
        <v>44586</v>
      </c>
      <c r="B74" s="5">
        <v>34.169998</v>
      </c>
      <c r="C74">
        <f t="shared" si="1"/>
        <v>-1.6226909360054522E-2</v>
      </c>
    </row>
    <row r="75" spans="1:3" x14ac:dyDescent="0.25">
      <c r="A75" s="3">
        <v>44587</v>
      </c>
      <c r="B75" s="5">
        <v>33.619999</v>
      </c>
      <c r="C75">
        <f t="shared" si="1"/>
        <v>6.5224365017534126E-3</v>
      </c>
    </row>
    <row r="76" spans="1:3" x14ac:dyDescent="0.25">
      <c r="A76" s="3">
        <v>44588</v>
      </c>
      <c r="B76" s="5">
        <v>33.840000000000003</v>
      </c>
      <c r="C76">
        <f t="shared" si="1"/>
        <v>4.1389209509938088E-2</v>
      </c>
    </row>
    <row r="77" spans="1:3" x14ac:dyDescent="0.25">
      <c r="A77" s="3">
        <v>44589</v>
      </c>
      <c r="B77" s="5">
        <v>35.270000000000003</v>
      </c>
      <c r="C77">
        <f t="shared" si="1"/>
        <v>6.1574766526718949E-2</v>
      </c>
    </row>
    <row r="78" spans="1:3" x14ac:dyDescent="0.25">
      <c r="A78" s="3">
        <v>44592</v>
      </c>
      <c r="B78" s="5">
        <v>37.509998000000003</v>
      </c>
      <c r="C78">
        <f t="shared" si="1"/>
        <v>1.6131541778372723E-2</v>
      </c>
    </row>
    <row r="79" spans="1:3" x14ac:dyDescent="0.25">
      <c r="A79" s="3">
        <v>44593</v>
      </c>
      <c r="B79" s="5">
        <v>38.119999</v>
      </c>
      <c r="C79">
        <f t="shared" si="1"/>
        <v>-4.3152911665020798E-2</v>
      </c>
    </row>
    <row r="80" spans="1:3" x14ac:dyDescent="0.25">
      <c r="A80" s="3">
        <v>44594</v>
      </c>
      <c r="B80" s="5">
        <v>36.509998000000003</v>
      </c>
      <c r="C80">
        <f t="shared" si="1"/>
        <v>-5.7206695092539339E-2</v>
      </c>
    </row>
    <row r="81" spans="1:3" x14ac:dyDescent="0.25">
      <c r="A81" s="3">
        <v>44595</v>
      </c>
      <c r="B81" s="5">
        <v>34.479999999999997</v>
      </c>
      <c r="C81">
        <f t="shared" si="1"/>
        <v>6.8915501904675533E-2</v>
      </c>
    </row>
    <row r="82" spans="1:3" x14ac:dyDescent="0.25">
      <c r="A82" s="3">
        <v>44596</v>
      </c>
      <c r="B82" s="5">
        <v>36.939999</v>
      </c>
      <c r="C82">
        <f t="shared" si="1"/>
        <v>-2.4665487213083159E-2</v>
      </c>
    </row>
    <row r="83" spans="1:3" x14ac:dyDescent="0.25">
      <c r="A83" s="3">
        <v>44599</v>
      </c>
      <c r="B83" s="5">
        <v>36.040000999999997</v>
      </c>
      <c r="C83">
        <f t="shared" si="1"/>
        <v>-1.666231964697579E-3</v>
      </c>
    </row>
    <row r="84" spans="1:3" x14ac:dyDescent="0.25">
      <c r="A84" s="3">
        <v>44600</v>
      </c>
      <c r="B84" s="5">
        <v>35.979999999999997</v>
      </c>
      <c r="C84">
        <f t="shared" si="1"/>
        <v>5.0139262990643675E-2</v>
      </c>
    </row>
    <row r="85" spans="1:3" x14ac:dyDescent="0.25">
      <c r="A85" s="3">
        <v>44601</v>
      </c>
      <c r="B85" s="5">
        <v>37.830002</v>
      </c>
      <c r="C85">
        <f t="shared" si="1"/>
        <v>-2.0024696877945069E-2</v>
      </c>
    </row>
    <row r="86" spans="1:3" x14ac:dyDescent="0.25">
      <c r="A86" s="3">
        <v>44602</v>
      </c>
      <c r="B86" s="5">
        <v>37.080002</v>
      </c>
      <c r="C86">
        <f t="shared" si="1"/>
        <v>-3.4013206528355724E-2</v>
      </c>
    </row>
    <row r="87" spans="1:3" x14ac:dyDescent="0.25">
      <c r="A87" s="3">
        <v>44603</v>
      </c>
      <c r="B87" s="5">
        <v>35.840000000000003</v>
      </c>
      <c r="C87">
        <f t="shared" si="1"/>
        <v>-4.1940786237141961E-3</v>
      </c>
    </row>
    <row r="88" spans="1:3" x14ac:dyDescent="0.25">
      <c r="A88" s="3">
        <v>44606</v>
      </c>
      <c r="B88" s="5">
        <v>35.689999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A2" sqref="A2"/>
    </sheetView>
  </sheetViews>
  <sheetFormatPr defaultColWidth="11.5703125" defaultRowHeight="15" x14ac:dyDescent="0.25"/>
  <cols>
    <col min="4" max="4" width="15.42578125" bestFit="1" customWidth="1"/>
    <col min="5" max="5" width="15.85546875" bestFit="1" customWidth="1"/>
    <col min="7" max="7" width="16.28515625" bestFit="1" customWidth="1"/>
  </cols>
  <sheetData>
    <row r="1" spans="1:6" x14ac:dyDescent="0.25">
      <c r="A1" t="s">
        <v>76</v>
      </c>
    </row>
    <row r="3" spans="1:6" x14ac:dyDescent="0.25">
      <c r="B3" t="s">
        <v>10</v>
      </c>
    </row>
    <row r="4" spans="1:6" x14ac:dyDescent="0.25">
      <c r="B4" t="s">
        <v>11</v>
      </c>
    </row>
    <row r="5" spans="1:6" x14ac:dyDescent="0.25">
      <c r="A5" t="s">
        <v>50</v>
      </c>
      <c r="B5" t="s">
        <v>51</v>
      </c>
      <c r="C5" t="s">
        <v>54</v>
      </c>
    </row>
    <row r="6" spans="1:6" x14ac:dyDescent="0.25">
      <c r="A6" s="3">
        <v>44487</v>
      </c>
      <c r="B6">
        <v>116.43</v>
      </c>
      <c r="C6">
        <f>LN(B7/B6)</f>
        <v>-8.5923702778020142E-4</v>
      </c>
      <c r="E6" t="s">
        <v>52</v>
      </c>
      <c r="F6">
        <f>COUNT(C6:C87)</f>
        <v>82</v>
      </c>
    </row>
    <row r="7" spans="1:6" x14ac:dyDescent="0.25">
      <c r="A7" s="3">
        <v>44488</v>
      </c>
      <c r="B7">
        <v>116.33000199999999</v>
      </c>
      <c r="C7">
        <f t="shared" ref="C7:C70" si="0">LN(B8/B7)</f>
        <v>5.1561534093694347E-4</v>
      </c>
      <c r="E7" t="s">
        <v>53</v>
      </c>
      <c r="F7">
        <f>AVERAGE(C6:C87)</f>
        <v>-2.2836818468185822E-4</v>
      </c>
    </row>
    <row r="8" spans="1:6" x14ac:dyDescent="0.25">
      <c r="A8" s="3">
        <v>44489</v>
      </c>
      <c r="B8">
        <v>116.389999</v>
      </c>
      <c r="C8">
        <f t="shared" si="0"/>
        <v>2.4946168779727395E-2</v>
      </c>
      <c r="E8" t="s">
        <v>55</v>
      </c>
      <c r="F8">
        <f>_xlfn.STDEV.S(C6:C87)</f>
        <v>3.7631076335529527E-2</v>
      </c>
    </row>
    <row r="9" spans="1:6" x14ac:dyDescent="0.25">
      <c r="A9" s="3">
        <v>44490</v>
      </c>
      <c r="B9">
        <v>119.33000199999999</v>
      </c>
      <c r="C9">
        <f t="shared" si="0"/>
        <v>4.0978355139698747E-3</v>
      </c>
      <c r="E9" t="s">
        <v>56</v>
      </c>
      <c r="F9">
        <f>F8/SQRT(1/252)</f>
        <v>0.59737481730899356</v>
      </c>
    </row>
    <row r="10" spans="1:6" x14ac:dyDescent="0.25">
      <c r="A10" s="3">
        <v>44491</v>
      </c>
      <c r="B10">
        <v>119.82</v>
      </c>
      <c r="C10">
        <f t="shared" si="0"/>
        <v>2.0976910799529375E-2</v>
      </c>
    </row>
    <row r="11" spans="1:6" x14ac:dyDescent="0.25">
      <c r="A11" s="3">
        <v>44494</v>
      </c>
      <c r="B11">
        <v>122.360001</v>
      </c>
      <c r="C11">
        <f t="shared" si="0"/>
        <v>4.6475602239416233E-3</v>
      </c>
    </row>
    <row r="12" spans="1:6" x14ac:dyDescent="0.25">
      <c r="A12" s="3">
        <v>44495</v>
      </c>
      <c r="B12">
        <v>122.93</v>
      </c>
      <c r="C12">
        <f t="shared" si="0"/>
        <v>-5.3015988345681804E-3</v>
      </c>
    </row>
    <row r="13" spans="1:6" x14ac:dyDescent="0.25">
      <c r="A13" s="3">
        <v>44496</v>
      </c>
      <c r="B13">
        <v>122.279999</v>
      </c>
      <c r="C13">
        <f t="shared" si="0"/>
        <v>-9.2014696714494155E-3</v>
      </c>
    </row>
    <row r="14" spans="1:6" x14ac:dyDescent="0.25">
      <c r="A14" s="3">
        <v>44497</v>
      </c>
      <c r="B14">
        <v>121.160004</v>
      </c>
      <c r="C14">
        <f t="shared" si="0"/>
        <v>-7.705419234239768E-3</v>
      </c>
    </row>
    <row r="15" spans="1:6" x14ac:dyDescent="0.25">
      <c r="A15" s="3">
        <v>44498</v>
      </c>
      <c r="B15">
        <v>120.230003</v>
      </c>
      <c r="C15">
        <f t="shared" si="0"/>
        <v>4.074547059286953E-2</v>
      </c>
    </row>
    <row r="16" spans="1:6" x14ac:dyDescent="0.25">
      <c r="A16" s="3">
        <v>44501</v>
      </c>
      <c r="B16">
        <v>125.230003</v>
      </c>
      <c r="C16">
        <f t="shared" si="0"/>
        <v>1.8983358957291859E-2</v>
      </c>
    </row>
    <row r="17" spans="1:3" x14ac:dyDescent="0.25">
      <c r="A17" s="3">
        <v>44502</v>
      </c>
      <c r="B17">
        <v>127.629997</v>
      </c>
      <c r="C17">
        <f t="shared" si="0"/>
        <v>2.2467648250470568E-2</v>
      </c>
    </row>
    <row r="18" spans="1:3" x14ac:dyDescent="0.25">
      <c r="A18" s="3">
        <v>44503</v>
      </c>
      <c r="B18">
        <v>130.529999</v>
      </c>
      <c r="C18">
        <f t="shared" si="0"/>
        <v>5.2020839367001623E-2</v>
      </c>
    </row>
    <row r="19" spans="1:3" x14ac:dyDescent="0.25">
      <c r="A19" s="3">
        <v>44504</v>
      </c>
      <c r="B19">
        <v>137.5</v>
      </c>
      <c r="C19">
        <f t="shared" si="0"/>
        <v>-8.4721805104057274E-3</v>
      </c>
    </row>
    <row r="20" spans="1:3" x14ac:dyDescent="0.25">
      <c r="A20" s="3">
        <v>44505</v>
      </c>
      <c r="B20">
        <v>136.33999600000001</v>
      </c>
      <c r="C20">
        <f t="shared" si="0"/>
        <v>9.654968232028531E-2</v>
      </c>
    </row>
    <row r="21" spans="1:3" x14ac:dyDescent="0.25">
      <c r="A21" s="3">
        <v>44508</v>
      </c>
      <c r="B21">
        <v>150.16000399999999</v>
      </c>
      <c r="C21">
        <f t="shared" si="0"/>
        <v>-8.2921833420190362E-3</v>
      </c>
    </row>
    <row r="22" spans="1:3" x14ac:dyDescent="0.25">
      <c r="A22" s="3">
        <v>44509</v>
      </c>
      <c r="B22">
        <v>148.91999799999999</v>
      </c>
      <c r="C22">
        <f t="shared" si="0"/>
        <v>-6.2695851530754423E-2</v>
      </c>
    </row>
    <row r="23" spans="1:3" x14ac:dyDescent="0.25">
      <c r="A23" s="3">
        <v>44510</v>
      </c>
      <c r="B23">
        <v>139.86999499999999</v>
      </c>
      <c r="C23">
        <f t="shared" si="0"/>
        <v>4.2961694225510154E-2</v>
      </c>
    </row>
    <row r="24" spans="1:3" x14ac:dyDescent="0.25">
      <c r="A24" s="3">
        <v>44511</v>
      </c>
      <c r="B24">
        <v>146.009995</v>
      </c>
      <c r="C24">
        <f t="shared" si="0"/>
        <v>1.2793669147653055E-2</v>
      </c>
    </row>
    <row r="25" spans="1:3" x14ac:dyDescent="0.25">
      <c r="A25" s="3">
        <v>44512</v>
      </c>
      <c r="B25">
        <v>147.88999899999999</v>
      </c>
      <c r="C25">
        <f t="shared" si="0"/>
        <v>-9.5115465431945597E-3</v>
      </c>
    </row>
    <row r="26" spans="1:3" x14ac:dyDescent="0.25">
      <c r="A26" s="3">
        <v>44515</v>
      </c>
      <c r="B26">
        <v>146.490005</v>
      </c>
      <c r="C26">
        <f t="shared" si="0"/>
        <v>3.9879452881979818E-2</v>
      </c>
    </row>
    <row r="27" spans="1:3" x14ac:dyDescent="0.25">
      <c r="A27" s="3">
        <v>44516</v>
      </c>
      <c r="B27">
        <v>152.449997</v>
      </c>
      <c r="C27">
        <f t="shared" si="0"/>
        <v>-7.3077189198588821E-3</v>
      </c>
    </row>
    <row r="28" spans="1:3" x14ac:dyDescent="0.25">
      <c r="A28" s="3">
        <v>44517</v>
      </c>
      <c r="B28">
        <v>151.33999600000001</v>
      </c>
      <c r="C28">
        <f t="shared" si="0"/>
        <v>2.4025231820665613E-2</v>
      </c>
    </row>
    <row r="29" spans="1:3" x14ac:dyDescent="0.25">
      <c r="A29" s="3">
        <v>44518</v>
      </c>
      <c r="B29">
        <v>155.020004</v>
      </c>
      <c r="C29">
        <f t="shared" si="0"/>
        <v>2.5126450094024857E-3</v>
      </c>
    </row>
    <row r="30" spans="1:3" x14ac:dyDescent="0.25">
      <c r="A30" s="3">
        <v>44519</v>
      </c>
      <c r="B30">
        <v>155.41000399999999</v>
      </c>
      <c r="C30">
        <f t="shared" si="0"/>
        <v>-1.8771050450458286E-2</v>
      </c>
    </row>
    <row r="31" spans="1:3" x14ac:dyDescent="0.25">
      <c r="A31" s="3">
        <v>44522</v>
      </c>
      <c r="B31">
        <v>152.520004</v>
      </c>
      <c r="C31">
        <f t="shared" si="0"/>
        <v>-1.7193956065767672E-2</v>
      </c>
    </row>
    <row r="32" spans="1:3" x14ac:dyDescent="0.25">
      <c r="A32" s="3">
        <v>44523</v>
      </c>
      <c r="B32">
        <v>149.91999799999999</v>
      </c>
      <c r="C32">
        <f t="shared" si="0"/>
        <v>5.1226622273516841E-2</v>
      </c>
    </row>
    <row r="33" spans="1:3" x14ac:dyDescent="0.25">
      <c r="A33" s="3">
        <v>44524</v>
      </c>
      <c r="B33">
        <v>157.800003</v>
      </c>
      <c r="C33">
        <f t="shared" si="0"/>
        <v>-1.9129881789868571E-2</v>
      </c>
    </row>
    <row r="34" spans="1:3" x14ac:dyDescent="0.25">
      <c r="A34" s="3">
        <v>44526</v>
      </c>
      <c r="B34">
        <v>154.80999800000001</v>
      </c>
      <c r="C34">
        <f t="shared" si="0"/>
        <v>4.48421043704317E-2</v>
      </c>
    </row>
    <row r="35" spans="1:3" x14ac:dyDescent="0.25">
      <c r="A35" s="3">
        <v>44529</v>
      </c>
      <c r="B35">
        <v>161.91000399999999</v>
      </c>
      <c r="C35">
        <f t="shared" si="0"/>
        <v>-2.2106614071745894E-2</v>
      </c>
    </row>
    <row r="36" spans="1:3" x14ac:dyDescent="0.25">
      <c r="A36" s="3">
        <v>44530</v>
      </c>
      <c r="B36">
        <v>158.36999499999999</v>
      </c>
      <c r="C36">
        <f t="shared" si="0"/>
        <v>-6.0249740622723563E-2</v>
      </c>
    </row>
    <row r="37" spans="1:3" x14ac:dyDescent="0.25">
      <c r="A37" s="3">
        <v>44531</v>
      </c>
      <c r="B37">
        <v>149.11000100000001</v>
      </c>
      <c r="C37">
        <f t="shared" si="0"/>
        <v>1.0474041058498902E-2</v>
      </c>
    </row>
    <row r="38" spans="1:3" x14ac:dyDescent="0.25">
      <c r="A38" s="3">
        <v>44532</v>
      </c>
      <c r="B38">
        <v>150.679993</v>
      </c>
      <c r="C38">
        <f t="shared" si="0"/>
        <v>-4.5275629478293861E-2</v>
      </c>
    </row>
    <row r="39" spans="1:3" x14ac:dyDescent="0.25">
      <c r="A39" s="3">
        <v>44533</v>
      </c>
      <c r="B39">
        <v>144.009995</v>
      </c>
      <c r="C39">
        <f t="shared" si="0"/>
        <v>-3.4977226600888901E-2</v>
      </c>
    </row>
    <row r="40" spans="1:3" x14ac:dyDescent="0.25">
      <c r="A40" s="3">
        <v>44536</v>
      </c>
      <c r="B40">
        <v>139.05999800000001</v>
      </c>
      <c r="C40">
        <f t="shared" si="0"/>
        <v>4.0793285348928829E-2</v>
      </c>
    </row>
    <row r="41" spans="1:3" x14ac:dyDescent="0.25">
      <c r="A41" s="3">
        <v>44537</v>
      </c>
      <c r="B41">
        <v>144.85000600000001</v>
      </c>
      <c r="C41">
        <f t="shared" si="0"/>
        <v>2.6888153343930933E-3</v>
      </c>
    </row>
    <row r="42" spans="1:3" x14ac:dyDescent="0.25">
      <c r="A42" s="3">
        <v>44538</v>
      </c>
      <c r="B42">
        <v>145.240005</v>
      </c>
      <c r="C42">
        <f t="shared" si="0"/>
        <v>-5.0409477109889231E-2</v>
      </c>
    </row>
    <row r="43" spans="1:3" x14ac:dyDescent="0.25">
      <c r="A43" s="3">
        <v>44539</v>
      </c>
      <c r="B43">
        <v>138.10000600000001</v>
      </c>
      <c r="C43">
        <f t="shared" si="0"/>
        <v>3.2531890997969425E-3</v>
      </c>
    </row>
    <row r="44" spans="1:3" x14ac:dyDescent="0.25">
      <c r="A44" s="3">
        <v>44540</v>
      </c>
      <c r="B44">
        <v>138.550003</v>
      </c>
      <c r="C44">
        <f t="shared" si="0"/>
        <v>-3.488512284616764E-2</v>
      </c>
    </row>
    <row r="45" spans="1:3" x14ac:dyDescent="0.25">
      <c r="A45" s="3">
        <v>44543</v>
      </c>
      <c r="B45">
        <v>133.800003</v>
      </c>
      <c r="C45">
        <f t="shared" si="0"/>
        <v>1.3363249638429324E-2</v>
      </c>
    </row>
    <row r="46" spans="1:3" x14ac:dyDescent="0.25">
      <c r="A46" s="3">
        <v>44544</v>
      </c>
      <c r="B46">
        <v>135.60000600000001</v>
      </c>
      <c r="C46">
        <f t="shared" si="0"/>
        <v>7.7316008703040118E-2</v>
      </c>
    </row>
    <row r="47" spans="1:3" x14ac:dyDescent="0.25">
      <c r="A47" s="3">
        <v>44545</v>
      </c>
      <c r="B47">
        <v>146.5</v>
      </c>
      <c r="C47">
        <f t="shared" si="0"/>
        <v>-5.5144790262696988E-2</v>
      </c>
    </row>
    <row r="48" spans="1:3" x14ac:dyDescent="0.25">
      <c r="A48" s="3">
        <v>44546</v>
      </c>
      <c r="B48">
        <v>138.63999899999999</v>
      </c>
      <c r="C48">
        <f t="shared" si="0"/>
        <v>-6.4401901614011174E-3</v>
      </c>
    </row>
    <row r="49" spans="1:3" x14ac:dyDescent="0.25">
      <c r="A49" s="3">
        <v>44547</v>
      </c>
      <c r="B49">
        <v>137.75</v>
      </c>
      <c r="C49">
        <f t="shared" si="0"/>
        <v>-1.425721081711756E-2</v>
      </c>
    </row>
    <row r="50" spans="1:3" x14ac:dyDescent="0.25">
      <c r="A50" s="3">
        <v>44550</v>
      </c>
      <c r="B50">
        <v>135.800003</v>
      </c>
      <c r="C50">
        <f t="shared" si="0"/>
        <v>6.0364668172302745E-2</v>
      </c>
    </row>
    <row r="51" spans="1:3" x14ac:dyDescent="0.25">
      <c r="A51" s="3">
        <v>44551</v>
      </c>
      <c r="B51">
        <v>144.25</v>
      </c>
      <c r="C51">
        <f t="shared" si="0"/>
        <v>-2.5682518096047532E-3</v>
      </c>
    </row>
    <row r="52" spans="1:3" x14ac:dyDescent="0.25">
      <c r="A52" s="3">
        <v>44552</v>
      </c>
      <c r="B52">
        <v>143.88000500000001</v>
      </c>
      <c r="C52">
        <f t="shared" si="0"/>
        <v>1.5585405941713907E-2</v>
      </c>
    </row>
    <row r="53" spans="1:3" x14ac:dyDescent="0.25">
      <c r="A53" s="3">
        <v>44553</v>
      </c>
      <c r="B53">
        <v>146.13999899999999</v>
      </c>
      <c r="C53">
        <f t="shared" si="0"/>
        <v>5.4722483627462286E-2</v>
      </c>
    </row>
    <row r="54" spans="1:3" x14ac:dyDescent="0.25">
      <c r="A54" s="3">
        <v>44557</v>
      </c>
      <c r="B54">
        <v>154.36000100000001</v>
      </c>
      <c r="C54">
        <f t="shared" si="0"/>
        <v>-7.8697490462740563E-3</v>
      </c>
    </row>
    <row r="55" spans="1:3" x14ac:dyDescent="0.25">
      <c r="A55" s="3">
        <v>44558</v>
      </c>
      <c r="B55">
        <v>153.14999399999999</v>
      </c>
      <c r="C55">
        <f t="shared" si="0"/>
        <v>-3.2450338597471019E-2</v>
      </c>
    </row>
    <row r="56" spans="1:3" x14ac:dyDescent="0.25">
      <c r="A56" s="3">
        <v>44559</v>
      </c>
      <c r="B56">
        <v>148.259995</v>
      </c>
      <c r="C56">
        <f t="shared" si="0"/>
        <v>-2.1199806369945586E-2</v>
      </c>
    </row>
    <row r="57" spans="1:3" x14ac:dyDescent="0.25">
      <c r="A57" s="3">
        <v>44560</v>
      </c>
      <c r="B57">
        <v>145.14999399999999</v>
      </c>
      <c r="C57">
        <f t="shared" si="0"/>
        <v>-8.6490769363903389E-3</v>
      </c>
    </row>
    <row r="58" spans="1:3" x14ac:dyDescent="0.25">
      <c r="A58" s="3">
        <v>44561</v>
      </c>
      <c r="B58">
        <v>143.89999399999999</v>
      </c>
      <c r="C58">
        <f t="shared" si="0"/>
        <v>4.3115476542338167E-2</v>
      </c>
    </row>
    <row r="59" spans="1:3" x14ac:dyDescent="0.25">
      <c r="A59" s="3">
        <v>44564</v>
      </c>
      <c r="B59">
        <v>150.240005</v>
      </c>
      <c r="C59">
        <f t="shared" si="0"/>
        <v>-3.9508341565499372E-2</v>
      </c>
    </row>
    <row r="60" spans="1:3" x14ac:dyDescent="0.25">
      <c r="A60" s="3">
        <v>44565</v>
      </c>
      <c r="B60">
        <v>144.41999799999999</v>
      </c>
      <c r="C60">
        <f t="shared" si="0"/>
        <v>-5.8968532123811902E-2</v>
      </c>
    </row>
    <row r="61" spans="1:3" x14ac:dyDescent="0.25">
      <c r="A61" s="3">
        <v>44566</v>
      </c>
      <c r="B61">
        <v>136.14999399999999</v>
      </c>
      <c r="C61">
        <f t="shared" si="0"/>
        <v>5.8742936513468246E-4</v>
      </c>
    </row>
    <row r="62" spans="1:3" x14ac:dyDescent="0.25">
      <c r="A62" s="3">
        <v>44567</v>
      </c>
      <c r="B62">
        <v>136.229996</v>
      </c>
      <c r="C62">
        <f t="shared" si="0"/>
        <v>-3.1542681829489952E-2</v>
      </c>
    </row>
    <row r="63" spans="1:3" x14ac:dyDescent="0.25">
      <c r="A63" s="3">
        <v>44568</v>
      </c>
      <c r="B63">
        <v>132</v>
      </c>
      <c r="C63">
        <f t="shared" si="0"/>
        <v>0</v>
      </c>
    </row>
    <row r="64" spans="1:3" x14ac:dyDescent="0.25">
      <c r="A64" s="3">
        <v>44571</v>
      </c>
      <c r="B64">
        <v>132</v>
      </c>
      <c r="C64">
        <f t="shared" si="0"/>
        <v>3.9439206181707966E-2</v>
      </c>
    </row>
    <row r="65" spans="1:3" x14ac:dyDescent="0.25">
      <c r="A65" s="3">
        <v>44572</v>
      </c>
      <c r="B65">
        <v>137.30999800000001</v>
      </c>
      <c r="C65">
        <f t="shared" si="0"/>
        <v>1.1645899895642287E-3</v>
      </c>
    </row>
    <row r="66" spans="1:3" x14ac:dyDescent="0.25">
      <c r="A66" s="3">
        <v>44573</v>
      </c>
      <c r="B66">
        <v>137.470001</v>
      </c>
      <c r="C66">
        <f t="shared" si="0"/>
        <v>-3.501335337224392E-2</v>
      </c>
    </row>
    <row r="67" spans="1:3" x14ac:dyDescent="0.25">
      <c r="A67" s="3">
        <v>44574</v>
      </c>
      <c r="B67">
        <v>132.740005</v>
      </c>
      <c r="C67">
        <f t="shared" si="0"/>
        <v>3.0712300726884263E-2</v>
      </c>
    </row>
    <row r="68" spans="1:3" x14ac:dyDescent="0.25">
      <c r="A68" s="3">
        <v>44575</v>
      </c>
      <c r="B68">
        <v>136.88000500000001</v>
      </c>
      <c r="C68">
        <f t="shared" si="0"/>
        <v>-3.6833240275039758E-2</v>
      </c>
    </row>
    <row r="69" spans="1:3" x14ac:dyDescent="0.25">
      <c r="A69" s="3">
        <v>44579</v>
      </c>
      <c r="B69">
        <v>131.929993</v>
      </c>
      <c r="C69">
        <f t="shared" si="0"/>
        <v>-2.8133977341264028E-2</v>
      </c>
    </row>
    <row r="70" spans="1:3" x14ac:dyDescent="0.25">
      <c r="A70" s="3">
        <v>44580</v>
      </c>
      <c r="B70">
        <v>128.270004</v>
      </c>
      <c r="C70">
        <f t="shared" si="0"/>
        <v>-5.1018458032353102E-2</v>
      </c>
    </row>
    <row r="71" spans="1:3" x14ac:dyDescent="0.25">
      <c r="A71" s="3">
        <v>44581</v>
      </c>
      <c r="B71">
        <v>121.889999</v>
      </c>
      <c r="C71">
        <f t="shared" ref="C71:C87" si="1">LN(B72/B71)</f>
        <v>-2.5593428827030661E-2</v>
      </c>
    </row>
    <row r="72" spans="1:3" x14ac:dyDescent="0.25">
      <c r="A72" s="3">
        <v>44582</v>
      </c>
      <c r="B72">
        <v>118.80999799999999</v>
      </c>
      <c r="C72">
        <f t="shared" si="1"/>
        <v>-1.9376819632905228E-2</v>
      </c>
    </row>
    <row r="73" spans="1:3" x14ac:dyDescent="0.25">
      <c r="A73" s="3">
        <v>44585</v>
      </c>
      <c r="B73">
        <v>116.529999</v>
      </c>
      <c r="C73">
        <f t="shared" si="1"/>
        <v>-4.7448081801546825E-2</v>
      </c>
    </row>
    <row r="74" spans="1:3" x14ac:dyDescent="0.25">
      <c r="A74" s="3">
        <v>44586</v>
      </c>
      <c r="B74">
        <v>111.129997</v>
      </c>
      <c r="C74">
        <f t="shared" si="1"/>
        <v>-3.7864993633763273E-3</v>
      </c>
    </row>
    <row r="75" spans="1:3" x14ac:dyDescent="0.25">
      <c r="A75" s="3">
        <v>44587</v>
      </c>
      <c r="B75">
        <v>110.709999</v>
      </c>
      <c r="C75">
        <f t="shared" si="1"/>
        <v>-7.6076247595276092E-2</v>
      </c>
    </row>
    <row r="76" spans="1:3" x14ac:dyDescent="0.25">
      <c r="A76" s="3">
        <v>44588</v>
      </c>
      <c r="B76">
        <v>102.599998</v>
      </c>
      <c r="C76">
        <f t="shared" si="1"/>
        <v>2.5405523924419388E-2</v>
      </c>
    </row>
    <row r="77" spans="1:3" x14ac:dyDescent="0.25">
      <c r="A77" s="3">
        <v>44589</v>
      </c>
      <c r="B77">
        <v>105.239998</v>
      </c>
      <c r="C77">
        <f t="shared" si="1"/>
        <v>8.2145592606403209E-2</v>
      </c>
    </row>
    <row r="78" spans="1:3" x14ac:dyDescent="0.25">
      <c r="A78" s="3">
        <v>44592</v>
      </c>
      <c r="B78">
        <v>114.25</v>
      </c>
      <c r="C78">
        <f t="shared" si="1"/>
        <v>2.1902784517967341E-2</v>
      </c>
    </row>
    <row r="79" spans="1:3" x14ac:dyDescent="0.25">
      <c r="A79" s="3">
        <v>44593</v>
      </c>
      <c r="B79">
        <v>116.779999</v>
      </c>
      <c r="C79">
        <f t="shared" si="1"/>
        <v>4.9939431751205736E-2</v>
      </c>
    </row>
    <row r="80" spans="1:3" x14ac:dyDescent="0.25">
      <c r="A80" s="3">
        <v>44594</v>
      </c>
      <c r="B80">
        <v>122.760002</v>
      </c>
      <c r="C80">
        <f t="shared" si="1"/>
        <v>-2.2073042062717846E-2</v>
      </c>
    </row>
    <row r="81" spans="1:3" x14ac:dyDescent="0.25">
      <c r="A81" s="3">
        <v>44595</v>
      </c>
      <c r="B81">
        <v>120.08000199999999</v>
      </c>
      <c r="C81">
        <f t="shared" si="1"/>
        <v>2.8892324861591257E-2</v>
      </c>
    </row>
    <row r="82" spans="1:3" x14ac:dyDescent="0.25">
      <c r="A82" s="3">
        <v>44596</v>
      </c>
      <c r="B82">
        <v>123.599998</v>
      </c>
      <c r="C82">
        <f t="shared" si="1"/>
        <v>5.661827395343999E-4</v>
      </c>
    </row>
    <row r="83" spans="1:3" x14ac:dyDescent="0.25">
      <c r="A83" s="3">
        <v>44599</v>
      </c>
      <c r="B83">
        <v>123.66999800000001</v>
      </c>
      <c r="C83">
        <f t="shared" si="1"/>
        <v>3.6208783695180866E-2</v>
      </c>
    </row>
    <row r="84" spans="1:3" x14ac:dyDescent="0.25">
      <c r="A84" s="3">
        <v>44600</v>
      </c>
      <c r="B84">
        <v>128.229996</v>
      </c>
      <c r="C84">
        <f t="shared" si="1"/>
        <v>3.5395222092464519E-2</v>
      </c>
    </row>
    <row r="85" spans="1:3" x14ac:dyDescent="0.25">
      <c r="A85" s="3">
        <v>44601</v>
      </c>
      <c r="B85">
        <v>132.85000600000001</v>
      </c>
      <c r="C85">
        <f t="shared" si="1"/>
        <v>-5.4765899163541278E-2</v>
      </c>
    </row>
    <row r="86" spans="1:3" x14ac:dyDescent="0.25">
      <c r="A86" s="3">
        <v>44602</v>
      </c>
      <c r="B86">
        <v>125.769997</v>
      </c>
      <c r="C86">
        <f t="shared" si="1"/>
        <v>-0.10547534649162101</v>
      </c>
    </row>
    <row r="87" spans="1:3" x14ac:dyDescent="0.25">
      <c r="A87" s="3">
        <v>44603</v>
      </c>
      <c r="B87">
        <v>113.18</v>
      </c>
      <c r="C87">
        <f t="shared" si="1"/>
        <v>9.5845711906342689E-3</v>
      </c>
    </row>
    <row r="88" spans="1:3" x14ac:dyDescent="0.25">
      <c r="A88" s="3">
        <v>44606</v>
      </c>
      <c r="B88">
        <v>114.269997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EA99-A69F-459B-A509-691E24026B2A}">
  <dimension ref="C3:E7"/>
  <sheetViews>
    <sheetView workbookViewId="0">
      <selection activeCell="D12" sqref="D12"/>
    </sheetView>
  </sheetViews>
  <sheetFormatPr defaultRowHeight="15" x14ac:dyDescent="0.25"/>
  <cols>
    <col min="2" max="2" width="9.28515625" bestFit="1" customWidth="1"/>
    <col min="3" max="3" width="21.42578125" bestFit="1" customWidth="1"/>
    <col min="4" max="5" width="10.7109375" bestFit="1" customWidth="1"/>
  </cols>
  <sheetData>
    <row r="3" spans="3:5" x14ac:dyDescent="0.25">
      <c r="D3" s="3">
        <v>44665</v>
      </c>
      <c r="E3" s="3">
        <v>44729</v>
      </c>
    </row>
    <row r="4" spans="3:5" x14ac:dyDescent="0.25">
      <c r="C4" t="s">
        <v>57</v>
      </c>
      <c r="D4">
        <v>99.977638900000002</v>
      </c>
      <c r="E4">
        <v>99.850010400000002</v>
      </c>
    </row>
    <row r="5" spans="3:5" x14ac:dyDescent="0.25">
      <c r="C5" t="s">
        <v>58</v>
      </c>
      <c r="D5">
        <v>56</v>
      </c>
      <c r="E5">
        <v>119</v>
      </c>
    </row>
    <row r="6" spans="3:5" x14ac:dyDescent="0.25">
      <c r="D6">
        <v>100</v>
      </c>
      <c r="E6">
        <v>100</v>
      </c>
    </row>
    <row r="7" spans="3:5" x14ac:dyDescent="0.25">
      <c r="C7" t="s">
        <v>59</v>
      </c>
      <c r="D7">
        <f>LN(D6/D4)*(365/D5)</f>
        <v>1.4576275304207847E-3</v>
      </c>
      <c r="E7">
        <f>LN(E6/E4)*(365/E5)</f>
        <v>4.6039749501168631E-3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zoomScale="80" zoomScaleNormal="80" workbookViewId="0">
      <selection activeCell="B8" sqref="B8"/>
    </sheetView>
  </sheetViews>
  <sheetFormatPr defaultColWidth="11.5703125" defaultRowHeight="15" x14ac:dyDescent="0.25"/>
  <cols>
    <col min="1" max="1" width="41.42578125" customWidth="1"/>
    <col min="2" max="2" width="34.28515625" customWidth="1"/>
    <col min="4" max="4" width="42.28515625" customWidth="1"/>
  </cols>
  <sheetData>
    <row r="1" spans="1:3" x14ac:dyDescent="0.25">
      <c r="A1" t="s">
        <v>73</v>
      </c>
    </row>
    <row r="2" spans="1:3" x14ac:dyDescent="0.25">
      <c r="C2" t="s">
        <v>12</v>
      </c>
    </row>
    <row r="3" spans="1:3" x14ac:dyDescent="0.25">
      <c r="C3" t="s">
        <v>13</v>
      </c>
    </row>
    <row r="5" spans="1:3" x14ac:dyDescent="0.25">
      <c r="C5" t="s">
        <v>14</v>
      </c>
    </row>
    <row r="7" spans="1:3" x14ac:dyDescent="0.25">
      <c r="A7" t="s">
        <v>60</v>
      </c>
    </row>
    <row r="8" spans="1:3" ht="18" x14ac:dyDescent="0.35">
      <c r="A8" t="s">
        <v>61</v>
      </c>
      <c r="B8" s="33">
        <f>'Option Data'!D8</f>
        <v>35.799999999999997</v>
      </c>
    </row>
    <row r="9" spans="1:3" x14ac:dyDescent="0.25">
      <c r="A9" t="s">
        <v>62</v>
      </c>
      <c r="B9" s="33">
        <f>'Option Data'!B13</f>
        <v>36</v>
      </c>
    </row>
    <row r="10" spans="1:3" x14ac:dyDescent="0.25">
      <c r="A10" t="s">
        <v>63</v>
      </c>
      <c r="B10">
        <f>'Volatility A'!F8</f>
        <v>0.49098245051204414</v>
      </c>
    </row>
    <row r="11" spans="1:3" x14ac:dyDescent="0.25">
      <c r="A11" t="s">
        <v>64</v>
      </c>
      <c r="B11">
        <v>56</v>
      </c>
    </row>
    <row r="12" spans="1:3" x14ac:dyDescent="0.25">
      <c r="A12" t="s">
        <v>65</v>
      </c>
      <c r="B12">
        <f>'Risk Free Rates'!D7</f>
        <v>1.4576275304207847E-3</v>
      </c>
    </row>
    <row r="14" spans="1:3" ht="36.75" customHeight="1" x14ac:dyDescent="0.25">
      <c r="B14">
        <f>(LN(B8/B9)+(B12+((B10^2)/2))*(B11/252))/(B10*SQRT(B11/252))</f>
        <v>9.3055129923116431E-2</v>
      </c>
    </row>
    <row r="15" spans="1:3" x14ac:dyDescent="0.25">
      <c r="B15">
        <f>B14-(B10*SQRT(B11/252))</f>
        <v>-0.13839621687732018</v>
      </c>
    </row>
    <row r="16" spans="1:3" ht="18" x14ac:dyDescent="0.35">
      <c r="A16" t="s">
        <v>66</v>
      </c>
      <c r="B16">
        <f>_xlfn.NORM.DIST(B14,0,1,TRUE)</f>
        <v>0.53707011808307348</v>
      </c>
    </row>
    <row r="17" spans="1:5" ht="18" x14ac:dyDescent="0.35">
      <c r="A17" t="s">
        <v>67</v>
      </c>
      <c r="B17">
        <f>_xlfn.NORM.DIST(B15,0,1,TRUE)</f>
        <v>0.44496364337074362</v>
      </c>
    </row>
    <row r="18" spans="1:5" ht="18" x14ac:dyDescent="0.35">
      <c r="A18" t="s">
        <v>69</v>
      </c>
      <c r="B18" s="33">
        <f>(B8*B16)-(B9*EXP(-B12*B11/252)*B17)</f>
        <v>3.2136069558113647</v>
      </c>
    </row>
    <row r="20" spans="1:5" x14ac:dyDescent="0.25">
      <c r="A20" t="s">
        <v>68</v>
      </c>
    </row>
    <row r="21" spans="1:5" ht="18" x14ac:dyDescent="0.35">
      <c r="A21" t="s">
        <v>70</v>
      </c>
      <c r="B21" s="33">
        <f>B18+B9*EXP(-B12*B11/252)-B8</f>
        <v>3.4019478239667862</v>
      </c>
    </row>
    <row r="22" spans="1:5" x14ac:dyDescent="0.25">
      <c r="A22" t="s">
        <v>71</v>
      </c>
      <c r="D22" t="s">
        <v>72</v>
      </c>
    </row>
    <row r="23" spans="1:5" ht="50.45" customHeight="1" x14ac:dyDescent="0.25">
      <c r="B23">
        <f>B16</f>
        <v>0.53707011808307348</v>
      </c>
      <c r="E23">
        <f>B23-1</f>
        <v>-0.46292988191692652</v>
      </c>
    </row>
    <row r="24" spans="1:5" ht="33.950000000000003" customHeight="1" x14ac:dyDescent="0.25">
      <c r="B24">
        <f>(1/(SQRT(2*PI())*B8*B10*SQRT(B11/252)))*EXP(-((B14^2)/2))</f>
        <v>4.7938781731341217E-2</v>
      </c>
      <c r="E24">
        <f>(1/(SQRT(2*PI())*B8*B10*SQRT(B11/252)))*EXP(-((B14^2)/2))</f>
        <v>4.7938781731341217E-2</v>
      </c>
    </row>
    <row r="25" spans="1:5" ht="34.35" customHeight="1" x14ac:dyDescent="0.25">
      <c r="B25">
        <f>((B8*SQRT(B11/252))/(SQRT(2*PI())))*EXP(-(B14^2/2))</f>
        <v>6.7035754493351023</v>
      </c>
      <c r="E25">
        <f>((B8*SQRT(B11/252))/(SQRT(2*PI())))*EXP(-(B14^2/2))</f>
        <v>6.7035754493351023</v>
      </c>
    </row>
    <row r="26" spans="1:5" ht="34.35" customHeight="1" x14ac:dyDescent="0.25">
      <c r="B26">
        <f>((-(B8*B10)/(2*SQRT(2*PI())*SQRT(B11/252)))*EXP(-(B14^2/2)))-(B9*B12*EXP(-B12*B11/252)*B17)</f>
        <v>-7.4288520011676979</v>
      </c>
      <c r="E26">
        <f>((-(B8*B10)/(2*SQRT(2*PI())*SQRT(B11/252)))*EXP(-(B14^2/2)))+B10*B12*EXP(-B12*B11/252)*(1-B17)</f>
        <v>-7.4051131839747288</v>
      </c>
    </row>
    <row r="27" spans="1:5" x14ac:dyDescent="0.25">
      <c r="B27">
        <f>(B11/252)*B9*EXP(B12*B11/252)*B17</f>
        <v>3.560862384855545</v>
      </c>
      <c r="E27">
        <f>-(B11/252)*B9*EXP(B12*B11/252)*(1-B17)</f>
        <v>-4.4417293727111185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D31" sqref="D31"/>
    </sheetView>
  </sheetViews>
  <sheetFormatPr defaultColWidth="11.5703125" defaultRowHeight="15" x14ac:dyDescent="0.25"/>
  <cols>
    <col min="1" max="1" width="41.140625" customWidth="1"/>
    <col min="2" max="2" width="35.85546875" customWidth="1"/>
    <col min="4" max="4" width="43.28515625" customWidth="1"/>
  </cols>
  <sheetData>
    <row r="1" spans="1:3" x14ac:dyDescent="0.25">
      <c r="A1" t="s">
        <v>74</v>
      </c>
    </row>
    <row r="2" spans="1:3" x14ac:dyDescent="0.25">
      <c r="B2" s="7"/>
      <c r="C2" t="s">
        <v>12</v>
      </c>
    </row>
    <row r="3" spans="1:3" x14ac:dyDescent="0.25">
      <c r="C3" t="s">
        <v>15</v>
      </c>
    </row>
    <row r="5" spans="1:3" x14ac:dyDescent="0.25">
      <c r="C5" t="s">
        <v>16</v>
      </c>
    </row>
    <row r="7" spans="1:3" x14ac:dyDescent="0.25">
      <c r="A7" t="s">
        <v>60</v>
      </c>
    </row>
    <row r="8" spans="1:3" ht="18" x14ac:dyDescent="0.35">
      <c r="A8" t="s">
        <v>61</v>
      </c>
      <c r="B8" s="33">
        <f>'Option Data'!B8</f>
        <v>22.94</v>
      </c>
    </row>
    <row r="9" spans="1:3" x14ac:dyDescent="0.25">
      <c r="A9" t="s">
        <v>62</v>
      </c>
      <c r="B9" s="33">
        <f>'Option Data'!B14</f>
        <v>17.5</v>
      </c>
    </row>
    <row r="10" spans="1:3" x14ac:dyDescent="0.25">
      <c r="A10" t="s">
        <v>63</v>
      </c>
      <c r="B10">
        <f>'Volatility B'!F8</f>
        <v>0.78514697699129377</v>
      </c>
    </row>
    <row r="11" spans="1:3" x14ac:dyDescent="0.25">
      <c r="A11" t="s">
        <v>64</v>
      </c>
      <c r="B11">
        <v>56</v>
      </c>
    </row>
    <row r="12" spans="1:3" x14ac:dyDescent="0.25">
      <c r="A12" t="s">
        <v>65</v>
      </c>
      <c r="B12">
        <f>'Risk Free Rates'!D7</f>
        <v>1.4576275304207847E-3</v>
      </c>
    </row>
    <row r="14" spans="1:3" ht="34.5" customHeight="1" x14ac:dyDescent="0.25">
      <c r="B14">
        <f>(LN(B8/B9)+(B12+((B10^2)/2))*(B11/252))/(B10*SQRT(B11/252))</f>
        <v>0.91726616096429758</v>
      </c>
    </row>
    <row r="15" spans="1:3" ht="22.7" customHeight="1" x14ac:dyDescent="0.25">
      <c r="B15">
        <f>B14-(B10*SQRT(B11/252))</f>
        <v>0.54714432652518963</v>
      </c>
    </row>
    <row r="16" spans="1:3" ht="18" x14ac:dyDescent="0.35">
      <c r="A16" t="s">
        <v>66</v>
      </c>
      <c r="B16">
        <f>_xlfn.NORM.DIST(B14,0,1,TRUE)</f>
        <v>0.82049840753581793</v>
      </c>
    </row>
    <row r="17" spans="1:5" ht="18" x14ac:dyDescent="0.35">
      <c r="A17" t="s">
        <v>67</v>
      </c>
      <c r="B17">
        <f>_xlfn.NORM.DIST(B15,0,1,TRUE)</f>
        <v>0.70786020938905214</v>
      </c>
    </row>
    <row r="18" spans="1:5" ht="18" x14ac:dyDescent="0.35">
      <c r="A18" t="s">
        <v>69</v>
      </c>
      <c r="B18" s="33">
        <f>(B8*B16)-(B9*EXP(-B12*B11/252)*B17)</f>
        <v>6.4386916968244776</v>
      </c>
    </row>
    <row r="20" spans="1:5" x14ac:dyDescent="0.25">
      <c r="A20" t="s">
        <v>68</v>
      </c>
    </row>
    <row r="21" spans="1:5" ht="18" x14ac:dyDescent="0.35">
      <c r="A21" t="s">
        <v>70</v>
      </c>
      <c r="B21" s="33">
        <f>B18+B9*EXP(-B12*B11/252)-B8</f>
        <v>0.99302406328891379</v>
      </c>
    </row>
    <row r="22" spans="1:5" x14ac:dyDescent="0.25">
      <c r="A22" t="s">
        <v>71</v>
      </c>
      <c r="D22" t="s">
        <v>72</v>
      </c>
    </row>
    <row r="23" spans="1:5" ht="43.35" customHeight="1" x14ac:dyDescent="0.25">
      <c r="B23">
        <f>B16</f>
        <v>0.82049840753581793</v>
      </c>
      <c r="E23">
        <f>B23-1</f>
        <v>-0.17950159246418207</v>
      </c>
    </row>
    <row r="24" spans="1:5" ht="35.1" customHeight="1" x14ac:dyDescent="0.25">
      <c r="B24">
        <f>(1/(SQRT(2*PI())*B8*B10*SQRT(B11/252)))*EXP(-((B14^2)/2))</f>
        <v>3.085099721081553E-2</v>
      </c>
      <c r="E24">
        <f>(1/(SQRT(2*PI())*B8*B10*SQRT(B11/252)))*EXP(-((B14^2)/2))</f>
        <v>3.085099721081553E-2</v>
      </c>
    </row>
    <row r="25" spans="1:5" ht="32.450000000000003" customHeight="1" x14ac:dyDescent="0.25">
      <c r="B25">
        <f>((B8*SQRT(B11/252))/(SQRT(2*PI())))*EXP(-(B14^2/2))</f>
        <v>2.8326602140259509</v>
      </c>
      <c r="E25">
        <f>((B8*SQRT(B11/252))/(SQRT(2*PI())))*EXP(-(B14^2/2))</f>
        <v>2.8326602140259509</v>
      </c>
    </row>
    <row r="26" spans="1:5" ht="33" customHeight="1" x14ac:dyDescent="0.25">
      <c r="B26">
        <f>((-(B8*B10)/(2*SQRT(2*PI())*SQRT(B11/252)))*EXP(-(B14^2/2)))-(B9*B12*EXP(-B12*B11/252)*B17)</f>
        <v>-5.0221734501545221</v>
      </c>
      <c r="E26">
        <f>((-(B8*B10)/(2*SQRT(2*PI())*SQRT(B11/252)))*EXP(-(B14^2/2)))+B10*B12*EXP(-B12*B11/252)*(1-B17)</f>
        <v>-5.0037886271008372</v>
      </c>
    </row>
    <row r="27" spans="1:5" x14ac:dyDescent="0.25">
      <c r="B27">
        <f>(B11/252)*B9*EXP(B12*B11/252)*B17</f>
        <v>2.7536815236224781</v>
      </c>
      <c r="E27">
        <f>-(B11/252)*B9*EXP(B12*B11/252)*(1-B17)</f>
        <v>-1.1364672474168718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Option Data</vt:lpstr>
      <vt:lpstr>Volatility A</vt:lpstr>
      <vt:lpstr>Volatility B</vt:lpstr>
      <vt:lpstr>Volatility C</vt:lpstr>
      <vt:lpstr>Volatility D</vt:lpstr>
      <vt:lpstr>Volatility E</vt:lpstr>
      <vt:lpstr>Risk Free Rates</vt:lpstr>
      <vt:lpstr>Pricing A</vt:lpstr>
      <vt:lpstr>Pricing B</vt:lpstr>
      <vt:lpstr>Pricing C</vt:lpstr>
      <vt:lpstr>Pricing D</vt:lpstr>
      <vt:lpstr>Pricing E</vt:lpstr>
      <vt:lpstr>Option Pricing Summary</vt:lpstr>
      <vt:lpstr>Hedging A</vt:lpstr>
      <vt:lpstr>Hedging B</vt:lpstr>
      <vt:lpstr>Hedging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TJ Smith</cp:lastModifiedBy>
  <dcterms:created xsi:type="dcterms:W3CDTF">2013-04-03T15:49:21Z</dcterms:created>
  <dcterms:modified xsi:type="dcterms:W3CDTF">2023-02-09T22:40:07Z</dcterms:modified>
</cp:coreProperties>
</file>