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s.khamardiuk\Desktop\MBA THESIS\"/>
    </mc:Choice>
  </mc:AlternateContent>
  <xr:revisionPtr revIDLastSave="0" documentId="13_ncr:1_{EA11E81E-EDE1-4FD1-8ACB-FD5362C6EB0E}" xr6:coauthVersionLast="45" xr6:coauthVersionMax="45" xr10:uidLastSave="{00000000-0000-0000-0000-000000000000}"/>
  <bookViews>
    <workbookView xWindow="20370" yWindow="-120" windowWidth="25440" windowHeight="15390" xr2:uid="{98BDCC7B-F254-417C-B468-A557DF09F64B}"/>
  </bookViews>
  <sheets>
    <sheet name="Вместимость" sheetId="7" r:id="rId1"/>
    <sheet name="Предварительный план и расчет" sheetId="15" r:id="rId2"/>
    <sheet name="Точка безубыточности" sheetId="17" r:id="rId3"/>
    <sheet name="Точка Оптимум" sheetId="18" r:id="rId4"/>
    <sheet name="Инвестиции" sheetId="4" r:id="rId5"/>
    <sheet name="InvestForm" sheetId="5" r:id="rId6"/>
    <sheet name="DCF &amp; NVP" sheetId="6" r:id="rId7"/>
    <sheet name="Вместимость (2)" sheetId="19" r:id="rId8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8" i="15" l="1"/>
  <c r="D38" i="17"/>
  <c r="D41" i="17"/>
  <c r="D40" i="17"/>
  <c r="E39" i="17"/>
  <c r="D39" i="17"/>
  <c r="B79" i="17"/>
  <c r="B68" i="17"/>
  <c r="A2" i="15" l="1"/>
  <c r="B130" i="4"/>
  <c r="B129" i="4"/>
  <c r="B128" i="4"/>
  <c r="B127" i="4"/>
  <c r="B131" i="4"/>
  <c r="A25" i="19"/>
  <c r="A24" i="19"/>
  <c r="A23" i="19"/>
  <c r="A20" i="19"/>
  <c r="A19" i="19"/>
  <c r="T18" i="19"/>
  <c r="M18" i="19"/>
  <c r="A18" i="19"/>
  <c r="T17" i="19"/>
  <c r="M17" i="19"/>
  <c r="T16" i="19"/>
  <c r="M16" i="19"/>
  <c r="W15" i="19"/>
  <c r="V15" i="19"/>
  <c r="U15" i="19"/>
  <c r="P15" i="19"/>
  <c r="O15" i="19"/>
  <c r="N15" i="19"/>
  <c r="A15" i="19"/>
  <c r="A14" i="19"/>
  <c r="A13" i="19"/>
  <c r="A10" i="19"/>
  <c r="A9" i="19"/>
  <c r="A8" i="19"/>
  <c r="C4" i="19"/>
  <c r="C5" i="19" s="1"/>
  <c r="C7" i="19" l="1"/>
  <c r="K21" i="17"/>
  <c r="N21" i="17" s="1"/>
  <c r="K20" i="17"/>
  <c r="N20" i="17" s="1"/>
  <c r="K19" i="17"/>
  <c r="N19" i="17" s="1"/>
  <c r="K18" i="17"/>
  <c r="N18" i="17" s="1"/>
  <c r="K17" i="17"/>
  <c r="N17" i="17" s="1"/>
  <c r="K16" i="17"/>
  <c r="N16" i="17" s="1"/>
  <c r="K15" i="17"/>
  <c r="N15" i="17" s="1"/>
  <c r="K14" i="17"/>
  <c r="N14" i="17" s="1"/>
  <c r="K13" i="17"/>
  <c r="N13" i="17" s="1"/>
  <c r="K12" i="17"/>
  <c r="N12" i="17" s="1"/>
  <c r="K11" i="17"/>
  <c r="N11" i="17" s="1"/>
  <c r="K10" i="17"/>
  <c r="N10" i="17" s="1"/>
  <c r="K9" i="17"/>
  <c r="N9" i="17" s="1"/>
  <c r="K8" i="17"/>
  <c r="N8" i="17" s="1"/>
  <c r="K7" i="17"/>
  <c r="N7" i="17" s="1"/>
  <c r="E133" i="18"/>
  <c r="F133" i="18" s="1"/>
  <c r="E132" i="18"/>
  <c r="F132" i="18" s="1"/>
  <c r="E131" i="18"/>
  <c r="F131" i="18" s="1"/>
  <c r="E130" i="18"/>
  <c r="D31" i="18" s="1"/>
  <c r="E129" i="18"/>
  <c r="F129" i="18" s="1"/>
  <c r="E128" i="18"/>
  <c r="D29" i="18" s="1"/>
  <c r="E127" i="18"/>
  <c r="F127" i="18" s="1"/>
  <c r="E126" i="18"/>
  <c r="F126" i="18" s="1"/>
  <c r="E125" i="18"/>
  <c r="F125" i="18" s="1"/>
  <c r="E124" i="18"/>
  <c r="F124" i="18" s="1"/>
  <c r="E123" i="18"/>
  <c r="F123" i="18" s="1"/>
  <c r="E119" i="18"/>
  <c r="F119" i="18" s="1"/>
  <c r="E118" i="18"/>
  <c r="F118" i="18" s="1"/>
  <c r="E117" i="18"/>
  <c r="F117" i="18" s="1"/>
  <c r="E113" i="18"/>
  <c r="F113" i="18" s="1"/>
  <c r="E16" i="18" s="1"/>
  <c r="E112" i="18"/>
  <c r="F112" i="18" s="1"/>
  <c r="E17" i="18" s="1"/>
  <c r="E111" i="18"/>
  <c r="F111" i="18" s="1"/>
  <c r="E19" i="18" s="1"/>
  <c r="E110" i="18"/>
  <c r="F110" i="18" s="1"/>
  <c r="E109" i="18"/>
  <c r="F109" i="18" s="1"/>
  <c r="E18" i="18" s="1"/>
  <c r="E108" i="18"/>
  <c r="F108" i="18" s="1"/>
  <c r="E107" i="18"/>
  <c r="F107" i="18" s="1"/>
  <c r="E102" i="18"/>
  <c r="E104" i="18" s="1"/>
  <c r="F104" i="18" s="1"/>
  <c r="E10" i="18" s="1"/>
  <c r="A94" i="18"/>
  <c r="D93" i="18"/>
  <c r="F92" i="18"/>
  <c r="G92" i="18" s="1"/>
  <c r="C91" i="18"/>
  <c r="F91" i="18" s="1"/>
  <c r="G91" i="18" s="1"/>
  <c r="C90" i="18"/>
  <c r="F90" i="18" s="1"/>
  <c r="C89" i="18"/>
  <c r="F89" i="18" s="1"/>
  <c r="E84" i="18"/>
  <c r="C84" i="18"/>
  <c r="F83" i="18"/>
  <c r="G83" i="18" s="1"/>
  <c r="A78" i="18"/>
  <c r="E77" i="18"/>
  <c r="E78" i="18" s="1"/>
  <c r="D77" i="18"/>
  <c r="F76" i="18"/>
  <c r="F75" i="18"/>
  <c r="G75" i="18" s="1"/>
  <c r="F74" i="18"/>
  <c r="G74" i="18" s="1"/>
  <c r="F73" i="18"/>
  <c r="F72" i="18"/>
  <c r="F71" i="18"/>
  <c r="G71" i="18" s="1"/>
  <c r="F70" i="18"/>
  <c r="G70" i="18" s="1"/>
  <c r="C67" i="18"/>
  <c r="C78" i="18" s="1"/>
  <c r="A67" i="18"/>
  <c r="L66" i="18"/>
  <c r="E66" i="18" s="1"/>
  <c r="F66" i="18" s="1"/>
  <c r="B66" i="18"/>
  <c r="L65" i="18"/>
  <c r="E65" i="18" s="1"/>
  <c r="F65" i="18" s="1"/>
  <c r="B65" i="18"/>
  <c r="L64" i="18"/>
  <c r="E64" i="18" s="1"/>
  <c r="F64" i="18" s="1"/>
  <c r="B64" i="18"/>
  <c r="L63" i="18"/>
  <c r="E63" i="18" s="1"/>
  <c r="F63" i="18" s="1"/>
  <c r="B63" i="18"/>
  <c r="L62" i="18"/>
  <c r="E62" i="18" s="1"/>
  <c r="F62" i="18" s="1"/>
  <c r="B62" i="18"/>
  <c r="L61" i="18"/>
  <c r="E61" i="18" s="1"/>
  <c r="F61" i="18" s="1"/>
  <c r="B61" i="18"/>
  <c r="L60" i="18"/>
  <c r="E60" i="18" s="1"/>
  <c r="F60" i="18" s="1"/>
  <c r="B60" i="18"/>
  <c r="L59" i="18"/>
  <c r="E59" i="18" s="1"/>
  <c r="F59" i="18" s="1"/>
  <c r="B59" i="18"/>
  <c r="L58" i="18"/>
  <c r="E58" i="18" s="1"/>
  <c r="F58" i="18" s="1"/>
  <c r="B58" i="18"/>
  <c r="L57" i="18"/>
  <c r="E57" i="18" s="1"/>
  <c r="B57" i="18"/>
  <c r="D53" i="18"/>
  <c r="A53" i="18"/>
  <c r="A42" i="18"/>
  <c r="E41" i="18"/>
  <c r="E39" i="18"/>
  <c r="D38" i="18"/>
  <c r="D42" i="18" s="1"/>
  <c r="B37" i="18"/>
  <c r="C38" i="18" s="1"/>
  <c r="A35" i="18"/>
  <c r="C34" i="18"/>
  <c r="D33" i="18"/>
  <c r="C33" i="18"/>
  <c r="D32" i="18"/>
  <c r="C32" i="18"/>
  <c r="C31" i="18"/>
  <c r="D30" i="18"/>
  <c r="C30" i="18"/>
  <c r="C29" i="18"/>
  <c r="C28" i="18"/>
  <c r="D27" i="18"/>
  <c r="C27" i="18"/>
  <c r="C26" i="18"/>
  <c r="C25" i="18"/>
  <c r="C24" i="18"/>
  <c r="A20" i="18"/>
  <c r="E15" i="18"/>
  <c r="E14" i="18"/>
  <c r="D12" i="18"/>
  <c r="D7" i="18"/>
  <c r="D2" i="18"/>
  <c r="B6" i="18" s="1"/>
  <c r="A2" i="18"/>
  <c r="F134" i="17"/>
  <c r="G134" i="17" s="1"/>
  <c r="F133" i="17"/>
  <c r="E34" i="17" s="1"/>
  <c r="F132" i="17"/>
  <c r="G132" i="17" s="1"/>
  <c r="F131" i="17"/>
  <c r="E32" i="17" s="1"/>
  <c r="F130" i="17"/>
  <c r="G130" i="17" s="1"/>
  <c r="F129" i="17"/>
  <c r="E30" i="17" s="1"/>
  <c r="F128" i="17"/>
  <c r="G128" i="17" s="1"/>
  <c r="F127" i="17"/>
  <c r="F126" i="17"/>
  <c r="G126" i="17" s="1"/>
  <c r="F125" i="17"/>
  <c r="G125" i="17" s="1"/>
  <c r="F124" i="17"/>
  <c r="G124" i="17" s="1"/>
  <c r="F120" i="17"/>
  <c r="G120" i="17" s="1"/>
  <c r="F119" i="17"/>
  <c r="G119" i="17" s="1"/>
  <c r="F118" i="17"/>
  <c r="G118" i="17" s="1"/>
  <c r="F114" i="17"/>
  <c r="G114" i="17" s="1"/>
  <c r="F17" i="17" s="1"/>
  <c r="F113" i="17"/>
  <c r="G113" i="17" s="1"/>
  <c r="F18" i="17" s="1"/>
  <c r="F112" i="17"/>
  <c r="G112" i="17" s="1"/>
  <c r="F20" i="17" s="1"/>
  <c r="F111" i="17"/>
  <c r="G111" i="17" s="1"/>
  <c r="F16" i="17" s="1"/>
  <c r="F110" i="17"/>
  <c r="G110" i="17" s="1"/>
  <c r="F19" i="17" s="1"/>
  <c r="F109" i="17"/>
  <c r="G109" i="17" s="1"/>
  <c r="F15" i="17" s="1"/>
  <c r="F108" i="17"/>
  <c r="G108" i="17" s="1"/>
  <c r="F103" i="17"/>
  <c r="F105" i="17" s="1"/>
  <c r="G105" i="17" s="1"/>
  <c r="F11" i="17" s="1"/>
  <c r="B95" i="17"/>
  <c r="E94" i="17"/>
  <c r="G93" i="17"/>
  <c r="H93" i="17" s="1"/>
  <c r="G92" i="17"/>
  <c r="H92" i="17" s="1"/>
  <c r="D92" i="17"/>
  <c r="G91" i="17"/>
  <c r="D91" i="17"/>
  <c r="G90" i="17"/>
  <c r="H90" i="17" s="1"/>
  <c r="D90" i="17"/>
  <c r="F85" i="17"/>
  <c r="D85" i="17"/>
  <c r="G84" i="17"/>
  <c r="H84" i="17" s="1"/>
  <c r="F78" i="17"/>
  <c r="F79" i="17" s="1"/>
  <c r="E78" i="17"/>
  <c r="G77" i="17"/>
  <c r="G76" i="17"/>
  <c r="H76" i="17" s="1"/>
  <c r="G75" i="17"/>
  <c r="H75" i="17" s="1"/>
  <c r="G74" i="17"/>
  <c r="G73" i="17"/>
  <c r="H73" i="17" s="1"/>
  <c r="G72" i="17"/>
  <c r="H72" i="17" s="1"/>
  <c r="G71" i="17"/>
  <c r="H71" i="17" s="1"/>
  <c r="D68" i="17"/>
  <c r="D79" i="17" s="1"/>
  <c r="M67" i="17"/>
  <c r="F67" i="17" s="1"/>
  <c r="G67" i="17" s="1"/>
  <c r="H67" i="17" s="1"/>
  <c r="C67" i="17"/>
  <c r="M66" i="17"/>
  <c r="F66" i="17" s="1"/>
  <c r="G66" i="17" s="1"/>
  <c r="C66" i="17"/>
  <c r="M65" i="17"/>
  <c r="F65" i="17" s="1"/>
  <c r="G65" i="17" s="1"/>
  <c r="C65" i="17"/>
  <c r="M64" i="17"/>
  <c r="F64" i="17" s="1"/>
  <c r="G64" i="17" s="1"/>
  <c r="H64" i="17" s="1"/>
  <c r="C64" i="17"/>
  <c r="M63" i="17"/>
  <c r="F63" i="17" s="1"/>
  <c r="G63" i="17" s="1"/>
  <c r="C63" i="17"/>
  <c r="M62" i="17"/>
  <c r="F62" i="17" s="1"/>
  <c r="G62" i="17" s="1"/>
  <c r="C62" i="17"/>
  <c r="M61" i="17"/>
  <c r="F61" i="17" s="1"/>
  <c r="G61" i="17" s="1"/>
  <c r="H61" i="17" s="1"/>
  <c r="C61" i="17"/>
  <c r="M60" i="17"/>
  <c r="F60" i="17"/>
  <c r="G60" i="17" s="1"/>
  <c r="C60" i="17"/>
  <c r="M59" i="17"/>
  <c r="F59" i="17" s="1"/>
  <c r="G59" i="17" s="1"/>
  <c r="H59" i="17" s="1"/>
  <c r="C59" i="17"/>
  <c r="M58" i="17"/>
  <c r="F58" i="17" s="1"/>
  <c r="G58" i="17" s="1"/>
  <c r="C58" i="17"/>
  <c r="E54" i="17"/>
  <c r="B54" i="17"/>
  <c r="B43" i="17"/>
  <c r="F42" i="17"/>
  <c r="F40" i="17"/>
  <c r="E43" i="17"/>
  <c r="D42" i="17"/>
  <c r="G42" i="17" s="1"/>
  <c r="H42" i="17" s="1"/>
  <c r="C38" i="17"/>
  <c r="B36" i="17"/>
  <c r="D35" i="17"/>
  <c r="D34" i="17"/>
  <c r="D33" i="17"/>
  <c r="F32" i="17"/>
  <c r="G32" i="17" s="1"/>
  <c r="H32" i="17" s="1"/>
  <c r="D32" i="17"/>
  <c r="E31" i="17"/>
  <c r="D31" i="17"/>
  <c r="D30" i="17"/>
  <c r="D29" i="17"/>
  <c r="D28" i="17"/>
  <c r="D27" i="17"/>
  <c r="D26" i="17"/>
  <c r="E25" i="17"/>
  <c r="F25" i="17" s="1"/>
  <c r="G25" i="17" s="1"/>
  <c r="D25" i="17"/>
  <c r="B21" i="17"/>
  <c r="E13" i="17"/>
  <c r="E21" i="17" s="1"/>
  <c r="E8" i="17"/>
  <c r="E3" i="17"/>
  <c r="C7" i="17" s="1"/>
  <c r="B3" i="17"/>
  <c r="D2" i="15"/>
  <c r="B6" i="15" s="1"/>
  <c r="C7" i="15" s="1"/>
  <c r="C8" i="15" s="1"/>
  <c r="J8" i="15" s="1"/>
  <c r="M8" i="15" s="1"/>
  <c r="E135" i="15"/>
  <c r="F135" i="15" s="1"/>
  <c r="E134" i="15"/>
  <c r="E133" i="15"/>
  <c r="F133" i="15" s="1"/>
  <c r="E132" i="15"/>
  <c r="F132" i="15" s="1"/>
  <c r="E131" i="15"/>
  <c r="F131" i="15" s="1"/>
  <c r="E130" i="15"/>
  <c r="E129" i="15"/>
  <c r="F129" i="15" s="1"/>
  <c r="E128" i="15"/>
  <c r="E127" i="15"/>
  <c r="F127" i="15" s="1"/>
  <c r="E126" i="15"/>
  <c r="E125" i="15"/>
  <c r="F125" i="15" s="1"/>
  <c r="E121" i="15"/>
  <c r="F121" i="15" s="1"/>
  <c r="E120" i="15"/>
  <c r="F120" i="15" s="1"/>
  <c r="E119" i="15"/>
  <c r="E39" i="15" s="1"/>
  <c r="E115" i="15"/>
  <c r="F115" i="15" s="1"/>
  <c r="E16" i="15" s="1"/>
  <c r="E114" i="15"/>
  <c r="F114" i="15" s="1"/>
  <c r="E17" i="15" s="1"/>
  <c r="E113" i="15"/>
  <c r="F113" i="15" s="1"/>
  <c r="E19" i="15" s="1"/>
  <c r="E112" i="15"/>
  <c r="F112" i="15" s="1"/>
  <c r="E15" i="15" s="1"/>
  <c r="E111" i="15"/>
  <c r="F111" i="15" s="1"/>
  <c r="E18" i="15" s="1"/>
  <c r="E110" i="15"/>
  <c r="F110" i="15" s="1"/>
  <c r="E14" i="15" s="1"/>
  <c r="E109" i="15"/>
  <c r="F109" i="15" s="1"/>
  <c r="E104" i="15"/>
  <c r="E106" i="15" s="1"/>
  <c r="F106" i="15" s="1"/>
  <c r="E10" i="15" s="1"/>
  <c r="A96" i="15"/>
  <c r="D95" i="15"/>
  <c r="F94" i="15"/>
  <c r="G94" i="15" s="1"/>
  <c r="C93" i="15"/>
  <c r="F93" i="15" s="1"/>
  <c r="C92" i="15"/>
  <c r="F92" i="15" s="1"/>
  <c r="C91" i="15"/>
  <c r="F91" i="15" s="1"/>
  <c r="E86" i="15"/>
  <c r="C86" i="15"/>
  <c r="F85" i="15"/>
  <c r="G85" i="15" s="1"/>
  <c r="A78" i="15"/>
  <c r="D77" i="15"/>
  <c r="E77" i="15" s="1"/>
  <c r="F76" i="15"/>
  <c r="G76" i="15" s="1"/>
  <c r="F75" i="15"/>
  <c r="G75" i="15" s="1"/>
  <c r="F74" i="15"/>
  <c r="G74" i="15" s="1"/>
  <c r="F73" i="15"/>
  <c r="F72" i="15"/>
  <c r="G72" i="15" s="1"/>
  <c r="F71" i="15"/>
  <c r="G71" i="15" s="1"/>
  <c r="G70" i="15"/>
  <c r="F70" i="15"/>
  <c r="C67" i="15"/>
  <c r="C78" i="15" s="1"/>
  <c r="A67" i="15"/>
  <c r="L66" i="15"/>
  <c r="E66" i="15" s="1"/>
  <c r="F66" i="15" s="1"/>
  <c r="G66" i="15" s="1"/>
  <c r="B66" i="15"/>
  <c r="L65" i="15"/>
  <c r="E65" i="15" s="1"/>
  <c r="F65" i="15" s="1"/>
  <c r="B65" i="15"/>
  <c r="L64" i="15"/>
  <c r="E64" i="15" s="1"/>
  <c r="F64" i="15" s="1"/>
  <c r="G64" i="15" s="1"/>
  <c r="B64" i="15"/>
  <c r="L63" i="15"/>
  <c r="E63" i="15" s="1"/>
  <c r="F63" i="15" s="1"/>
  <c r="B63" i="15"/>
  <c r="L62" i="15"/>
  <c r="E62" i="15" s="1"/>
  <c r="F62" i="15" s="1"/>
  <c r="G62" i="15" s="1"/>
  <c r="B62" i="15"/>
  <c r="L61" i="15"/>
  <c r="E61" i="15" s="1"/>
  <c r="F61" i="15" s="1"/>
  <c r="B61" i="15"/>
  <c r="L60" i="15"/>
  <c r="E60" i="15" s="1"/>
  <c r="F60" i="15" s="1"/>
  <c r="G60" i="15" s="1"/>
  <c r="B60" i="15"/>
  <c r="L59" i="15"/>
  <c r="E59" i="15"/>
  <c r="F59" i="15" s="1"/>
  <c r="B59" i="15"/>
  <c r="L58" i="15"/>
  <c r="E58" i="15" s="1"/>
  <c r="F58" i="15" s="1"/>
  <c r="G58" i="15" s="1"/>
  <c r="B58" i="15"/>
  <c r="L57" i="15"/>
  <c r="E57" i="15" s="1"/>
  <c r="F57" i="15" s="1"/>
  <c r="B57" i="15"/>
  <c r="D53" i="15"/>
  <c r="A53" i="15"/>
  <c r="A42" i="15"/>
  <c r="E41" i="15"/>
  <c r="D38" i="15"/>
  <c r="D42" i="15" s="1"/>
  <c r="B37" i="15"/>
  <c r="C38" i="15" s="1"/>
  <c r="C40" i="15" s="1"/>
  <c r="A35" i="15"/>
  <c r="D34" i="15"/>
  <c r="C34" i="15"/>
  <c r="C33" i="15"/>
  <c r="C32" i="15"/>
  <c r="D31" i="15"/>
  <c r="C31" i="15"/>
  <c r="D30" i="15"/>
  <c r="C30" i="15"/>
  <c r="C29" i="15"/>
  <c r="C28" i="15"/>
  <c r="D27" i="15"/>
  <c r="C27" i="15"/>
  <c r="C26" i="15"/>
  <c r="C25" i="15"/>
  <c r="C24" i="15"/>
  <c r="A20" i="15"/>
  <c r="D12" i="15"/>
  <c r="D7" i="15"/>
  <c r="F65" i="4"/>
  <c r="B124" i="4"/>
  <c r="B118" i="4"/>
  <c r="B106" i="4"/>
  <c r="B91" i="4"/>
  <c r="B66" i="4"/>
  <c r="B55" i="4"/>
  <c r="B44" i="4"/>
  <c r="B28" i="4"/>
  <c r="B15" i="4"/>
  <c r="F64" i="4"/>
  <c r="F11" i="4"/>
  <c r="F10" i="4"/>
  <c r="F7" i="4"/>
  <c r="F8" i="4"/>
  <c r="F9" i="4"/>
  <c r="F12" i="4"/>
  <c r="F13" i="4"/>
  <c r="E15" i="4"/>
  <c r="F6" i="4"/>
  <c r="L20" i="7"/>
  <c r="L19" i="7"/>
  <c r="L18" i="7"/>
  <c r="K20" i="7"/>
  <c r="K19" i="7"/>
  <c r="K18" i="7"/>
  <c r="J20" i="7"/>
  <c r="J19" i="7"/>
  <c r="J18" i="7"/>
  <c r="I20" i="7"/>
  <c r="I19" i="7"/>
  <c r="I18" i="7"/>
  <c r="L17" i="7"/>
  <c r="K17" i="7"/>
  <c r="J17" i="7"/>
  <c r="L27" i="7"/>
  <c r="L26" i="7"/>
  <c r="L25" i="7"/>
  <c r="K27" i="7"/>
  <c r="K26" i="7"/>
  <c r="K25" i="7"/>
  <c r="J27" i="7"/>
  <c r="J26" i="7"/>
  <c r="J25" i="7"/>
  <c r="I27" i="7"/>
  <c r="I26" i="7"/>
  <c r="I25" i="7"/>
  <c r="L24" i="7"/>
  <c r="K24" i="7"/>
  <c r="J24" i="7"/>
  <c r="F27" i="7"/>
  <c r="F26" i="7"/>
  <c r="F25" i="7"/>
  <c r="F22" i="7"/>
  <c r="F21" i="7"/>
  <c r="F20" i="7"/>
  <c r="F16" i="7"/>
  <c r="F17" i="7"/>
  <c r="F15" i="7"/>
  <c r="E25" i="7"/>
  <c r="E21" i="7"/>
  <c r="E22" i="7"/>
  <c r="E20" i="7"/>
  <c r="E16" i="7"/>
  <c r="E17" i="7"/>
  <c r="E15" i="7"/>
  <c r="E27" i="7"/>
  <c r="C27" i="7"/>
  <c r="E26" i="7"/>
  <c r="C26" i="7"/>
  <c r="C25" i="7"/>
  <c r="C22" i="7"/>
  <c r="C21" i="7"/>
  <c r="C20" i="7"/>
  <c r="C12" i="7"/>
  <c r="C11" i="7"/>
  <c r="C10" i="7"/>
  <c r="C17" i="7"/>
  <c r="C16" i="7"/>
  <c r="C15" i="7"/>
  <c r="E6" i="7"/>
  <c r="E7" i="7" s="1"/>
  <c r="E9" i="7" s="1"/>
  <c r="E27" i="17" l="1"/>
  <c r="E33" i="17"/>
  <c r="F33" i="17" s="1"/>
  <c r="G33" i="17" s="1"/>
  <c r="H33" i="17" s="1"/>
  <c r="E26" i="17"/>
  <c r="G129" i="17"/>
  <c r="E28" i="17"/>
  <c r="F28" i="17" s="1"/>
  <c r="G28" i="17" s="1"/>
  <c r="H28" i="17" s="1"/>
  <c r="F30" i="17"/>
  <c r="G30" i="17" s="1"/>
  <c r="H30" i="17" s="1"/>
  <c r="F27" i="17"/>
  <c r="G27" i="17" s="1"/>
  <c r="H27" i="17" s="1"/>
  <c r="F31" i="17"/>
  <c r="G31" i="17" s="1"/>
  <c r="H31" i="17" s="1"/>
  <c r="E35" i="17"/>
  <c r="F35" i="17" s="1"/>
  <c r="G35" i="17" s="1"/>
  <c r="H35" i="17" s="1"/>
  <c r="G117" i="17"/>
  <c r="F41" i="17"/>
  <c r="F104" i="17"/>
  <c r="G104" i="17" s="1"/>
  <c r="F10" i="17" s="1"/>
  <c r="G107" i="17"/>
  <c r="F14" i="17"/>
  <c r="F106" i="17"/>
  <c r="G106" i="17" s="1"/>
  <c r="F12" i="17" s="1"/>
  <c r="G103" i="17"/>
  <c r="F9" i="17" s="1"/>
  <c r="J7" i="15"/>
  <c r="M7" i="15" s="1"/>
  <c r="C10" i="19"/>
  <c r="C8" i="19"/>
  <c r="C9" i="19"/>
  <c r="D28" i="18"/>
  <c r="E31" i="18"/>
  <c r="F31" i="18" s="1"/>
  <c r="G31" i="18" s="1"/>
  <c r="F130" i="18"/>
  <c r="D34" i="18"/>
  <c r="K7" i="15"/>
  <c r="K8" i="15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E32" i="18"/>
  <c r="F32" i="18" s="1"/>
  <c r="G32" i="18" s="1"/>
  <c r="D25" i="18"/>
  <c r="F77" i="18"/>
  <c r="G77" i="18" s="1"/>
  <c r="F84" i="18"/>
  <c r="G84" i="18" s="1"/>
  <c r="D26" i="18"/>
  <c r="E25" i="18"/>
  <c r="F25" i="18" s="1"/>
  <c r="G25" i="18" s="1"/>
  <c r="E27" i="18"/>
  <c r="F27" i="18" s="1"/>
  <c r="G27" i="18" s="1"/>
  <c r="E105" i="18"/>
  <c r="F105" i="18" s="1"/>
  <c r="E11" i="18" s="1"/>
  <c r="F116" i="18"/>
  <c r="E28" i="18"/>
  <c r="F28" i="18" s="1"/>
  <c r="G28" i="18" s="1"/>
  <c r="E33" i="18"/>
  <c r="F33" i="18" s="1"/>
  <c r="G33" i="18" s="1"/>
  <c r="F102" i="18"/>
  <c r="E8" i="18" s="1"/>
  <c r="F128" i="18"/>
  <c r="E29" i="18"/>
  <c r="F29" i="18" s="1"/>
  <c r="G29" i="18" s="1"/>
  <c r="E103" i="18"/>
  <c r="F103" i="18" s="1"/>
  <c r="E9" i="18" s="1"/>
  <c r="D24" i="18"/>
  <c r="E24" i="18" s="1"/>
  <c r="F24" i="18" s="1"/>
  <c r="G24" i="18" s="1"/>
  <c r="C7" i="18"/>
  <c r="G58" i="18"/>
  <c r="G62" i="18"/>
  <c r="G64" i="18"/>
  <c r="G66" i="18"/>
  <c r="G76" i="18"/>
  <c r="G90" i="18"/>
  <c r="G72" i="18"/>
  <c r="G60" i="18"/>
  <c r="F106" i="18"/>
  <c r="E13" i="18"/>
  <c r="E30" i="18"/>
  <c r="F30" i="18" s="1"/>
  <c r="G30" i="18" s="1"/>
  <c r="E34" i="18"/>
  <c r="F34" i="18" s="1"/>
  <c r="G34" i="18" s="1"/>
  <c r="E40" i="18"/>
  <c r="E67" i="18"/>
  <c r="F57" i="18"/>
  <c r="G59" i="18"/>
  <c r="G61" i="18"/>
  <c r="G63" i="18"/>
  <c r="G65" i="18"/>
  <c r="F122" i="18"/>
  <c r="G73" i="18"/>
  <c r="G89" i="18"/>
  <c r="D20" i="18"/>
  <c r="E26" i="18"/>
  <c r="F26" i="18" s="1"/>
  <c r="G26" i="18" s="1"/>
  <c r="C41" i="18"/>
  <c r="F41" i="18" s="1"/>
  <c r="G41" i="18" s="1"/>
  <c r="C40" i="18"/>
  <c r="C39" i="18"/>
  <c r="F39" i="18" s="1"/>
  <c r="F78" i="18"/>
  <c r="H66" i="17"/>
  <c r="H77" i="17"/>
  <c r="H91" i="17"/>
  <c r="H63" i="17"/>
  <c r="H74" i="17"/>
  <c r="H65" i="17"/>
  <c r="D8" i="17"/>
  <c r="H25" i="17"/>
  <c r="G56" i="17"/>
  <c r="E58" i="17" s="1"/>
  <c r="G68" i="17"/>
  <c r="H58" i="17"/>
  <c r="E29" i="17"/>
  <c r="F29" i="17" s="1"/>
  <c r="G29" i="17" s="1"/>
  <c r="H29" i="17" s="1"/>
  <c r="G127" i="17"/>
  <c r="F34" i="17"/>
  <c r="G34" i="17" s="1"/>
  <c r="H34" i="17" s="1"/>
  <c r="H60" i="17"/>
  <c r="G133" i="17"/>
  <c r="F68" i="17"/>
  <c r="F26" i="17"/>
  <c r="G26" i="17" s="1"/>
  <c r="H26" i="17" s="1"/>
  <c r="H62" i="17"/>
  <c r="G78" i="17"/>
  <c r="H78" i="17" s="1"/>
  <c r="G85" i="17"/>
  <c r="G131" i="17"/>
  <c r="G40" i="17"/>
  <c r="F119" i="15"/>
  <c r="E34" i="15"/>
  <c r="F34" i="15" s="1"/>
  <c r="G34" i="15" s="1"/>
  <c r="E40" i="15"/>
  <c r="F40" i="15" s="1"/>
  <c r="F104" i="15"/>
  <c r="E8" i="15" s="1"/>
  <c r="F8" i="15" s="1"/>
  <c r="E30" i="15"/>
  <c r="F30" i="15" s="1"/>
  <c r="G30" i="15" s="1"/>
  <c r="D32" i="15"/>
  <c r="E32" i="15" s="1"/>
  <c r="F32" i="15" s="1"/>
  <c r="G32" i="15" s="1"/>
  <c r="C41" i="15"/>
  <c r="F41" i="15" s="1"/>
  <c r="G41" i="15" s="1"/>
  <c r="D20" i="15"/>
  <c r="D25" i="15"/>
  <c r="E25" i="15" s="1"/>
  <c r="F25" i="15" s="1"/>
  <c r="G25" i="15" s="1"/>
  <c r="D26" i="15"/>
  <c r="E26" i="15" s="1"/>
  <c r="F26" i="15" s="1"/>
  <c r="G26" i="15" s="1"/>
  <c r="C39" i="15"/>
  <c r="F39" i="15" s="1"/>
  <c r="G39" i="15" s="1"/>
  <c r="F86" i="15"/>
  <c r="G86" i="15" s="1"/>
  <c r="C9" i="15"/>
  <c r="J9" i="15" s="1"/>
  <c r="M9" i="15" s="1"/>
  <c r="C12" i="15"/>
  <c r="J12" i="15" s="1"/>
  <c r="M12" i="15" s="1"/>
  <c r="A7" i="15"/>
  <c r="G63" i="15"/>
  <c r="G61" i="15"/>
  <c r="G92" i="15"/>
  <c r="G59" i="15"/>
  <c r="E67" i="15"/>
  <c r="G73" i="15"/>
  <c r="E78" i="15"/>
  <c r="F77" i="15"/>
  <c r="G77" i="15" s="1"/>
  <c r="F108" i="15"/>
  <c r="E13" i="15"/>
  <c r="F118" i="15"/>
  <c r="F126" i="15"/>
  <c r="D24" i="15"/>
  <c r="E24" i="15" s="1"/>
  <c r="F24" i="15" s="1"/>
  <c r="D29" i="15"/>
  <c r="E29" i="15" s="1"/>
  <c r="F29" i="15" s="1"/>
  <c r="G29" i="15" s="1"/>
  <c r="F130" i="15"/>
  <c r="D33" i="15"/>
  <c r="E33" i="15" s="1"/>
  <c r="F33" i="15" s="1"/>
  <c r="G33" i="15" s="1"/>
  <c r="F134" i="15"/>
  <c r="F128" i="15"/>
  <c r="D28" i="15"/>
  <c r="E28" i="15" s="1"/>
  <c r="F28" i="15" s="1"/>
  <c r="G28" i="15" s="1"/>
  <c r="C11" i="15"/>
  <c r="J11" i="15" s="1"/>
  <c r="M11" i="15" s="1"/>
  <c r="C10" i="15"/>
  <c r="J10" i="15" s="1"/>
  <c r="M10" i="15" s="1"/>
  <c r="E27" i="15"/>
  <c r="F27" i="15" s="1"/>
  <c r="G27" i="15" s="1"/>
  <c r="E31" i="15"/>
  <c r="F31" i="15" s="1"/>
  <c r="G31" i="15" s="1"/>
  <c r="F55" i="15"/>
  <c r="D64" i="15" s="1"/>
  <c r="F67" i="15"/>
  <c r="G57" i="15"/>
  <c r="G65" i="15"/>
  <c r="G91" i="15"/>
  <c r="G93" i="15"/>
  <c r="E105" i="15"/>
  <c r="F105" i="15" s="1"/>
  <c r="E9" i="15" s="1"/>
  <c r="E107" i="15"/>
  <c r="F107" i="15" s="1"/>
  <c r="E11" i="15" s="1"/>
  <c r="F15" i="4"/>
  <c r="F5" i="4" s="1"/>
  <c r="E12" i="7"/>
  <c r="E11" i="7"/>
  <c r="E10" i="7"/>
  <c r="G102" i="17" l="1"/>
  <c r="G123" i="17"/>
  <c r="G36" i="17"/>
  <c r="G24" i="17" s="1"/>
  <c r="H24" i="17" s="1"/>
  <c r="H79" i="17"/>
  <c r="E62" i="17"/>
  <c r="E64" i="17"/>
  <c r="E60" i="17"/>
  <c r="E65" i="17"/>
  <c r="C13" i="15"/>
  <c r="J13" i="15" s="1"/>
  <c r="C14" i="15"/>
  <c r="J14" i="15" s="1"/>
  <c r="M14" i="15" s="1"/>
  <c r="C18" i="19"/>
  <c r="C19" i="19"/>
  <c r="C20" i="19"/>
  <c r="C14" i="19"/>
  <c r="C15" i="19"/>
  <c r="C13" i="19"/>
  <c r="C24" i="19"/>
  <c r="C25" i="19"/>
  <c r="C23" i="19"/>
  <c r="C19" i="15"/>
  <c r="J19" i="15" s="1"/>
  <c r="K10" i="15"/>
  <c r="K9" i="15"/>
  <c r="K12" i="15"/>
  <c r="K11" i="15"/>
  <c r="F69" i="18"/>
  <c r="D73" i="18" s="1"/>
  <c r="G69" i="18"/>
  <c r="F35" i="18"/>
  <c r="F23" i="18" s="1"/>
  <c r="G23" i="18" s="1"/>
  <c r="F101" i="18"/>
  <c r="D72" i="18"/>
  <c r="D76" i="18"/>
  <c r="G78" i="18"/>
  <c r="F55" i="18"/>
  <c r="D57" i="18" s="1"/>
  <c r="G57" i="18"/>
  <c r="F67" i="18"/>
  <c r="C37" i="18"/>
  <c r="F40" i="18"/>
  <c r="G35" i="18"/>
  <c r="G22" i="18" s="1"/>
  <c r="G39" i="18"/>
  <c r="D74" i="18"/>
  <c r="D70" i="18"/>
  <c r="D75" i="18"/>
  <c r="D71" i="18"/>
  <c r="C11" i="18"/>
  <c r="J7" i="18"/>
  <c r="C12" i="18"/>
  <c r="C10" i="18"/>
  <c r="A7" i="18"/>
  <c r="C9" i="18"/>
  <c r="C8" i="18"/>
  <c r="G41" i="17"/>
  <c r="G43" i="17" s="1"/>
  <c r="G38" i="17" s="1"/>
  <c r="H68" i="17"/>
  <c r="H56" i="17"/>
  <c r="H40" i="17"/>
  <c r="H36" i="17"/>
  <c r="H23" i="17" s="1"/>
  <c r="D13" i="17"/>
  <c r="D9" i="17"/>
  <c r="D11" i="17"/>
  <c r="B8" i="17"/>
  <c r="D12" i="17"/>
  <c r="D10" i="17"/>
  <c r="G79" i="17"/>
  <c r="G70" i="17"/>
  <c r="H85" i="17"/>
  <c r="E61" i="17"/>
  <c r="E67" i="17"/>
  <c r="E59" i="17"/>
  <c r="H70" i="17"/>
  <c r="E63" i="17"/>
  <c r="E66" i="17"/>
  <c r="C83" i="15"/>
  <c r="F83" i="15" s="1"/>
  <c r="C16" i="15"/>
  <c r="J16" i="15" s="1"/>
  <c r="C18" i="15"/>
  <c r="J18" i="15" s="1"/>
  <c r="C17" i="15"/>
  <c r="J17" i="15" s="1"/>
  <c r="C15" i="15"/>
  <c r="J15" i="15" s="1"/>
  <c r="F69" i="15"/>
  <c r="D74" i="15" s="1"/>
  <c r="F124" i="15"/>
  <c r="C37" i="15"/>
  <c r="F42" i="15"/>
  <c r="F37" i="15" s="1"/>
  <c r="F9" i="15"/>
  <c r="F78" i="15"/>
  <c r="G78" i="15"/>
  <c r="G69" i="15"/>
  <c r="E129" i="4" s="1"/>
  <c r="F129" i="4" s="1"/>
  <c r="F10" i="15"/>
  <c r="G10" i="15" s="1"/>
  <c r="L10" i="15" s="1"/>
  <c r="F11" i="15"/>
  <c r="G11" i="15" s="1"/>
  <c r="L11" i="15" s="1"/>
  <c r="G8" i="15"/>
  <c r="L8" i="15" s="1"/>
  <c r="F35" i="15"/>
  <c r="G24" i="15"/>
  <c r="G35" i="15" s="1"/>
  <c r="G22" i="15" s="1"/>
  <c r="D62" i="15"/>
  <c r="D60" i="15"/>
  <c r="D66" i="15"/>
  <c r="D61" i="15"/>
  <c r="G67" i="15"/>
  <c r="G55" i="15"/>
  <c r="E128" i="4" s="1"/>
  <c r="F128" i="4" s="1"/>
  <c r="D59" i="15"/>
  <c r="D63" i="15"/>
  <c r="G40" i="15"/>
  <c r="G42" i="15" s="1"/>
  <c r="G37" i="15" s="1"/>
  <c r="F38" i="15"/>
  <c r="G38" i="15" s="1"/>
  <c r="D65" i="15"/>
  <c r="D57" i="15"/>
  <c r="F103" i="15"/>
  <c r="D58" i="15"/>
  <c r="C11" i="4"/>
  <c r="C10" i="4"/>
  <c r="C6" i="4"/>
  <c r="C13" i="4"/>
  <c r="C8" i="4"/>
  <c r="C9" i="4"/>
  <c r="C12" i="4"/>
  <c r="C7" i="4"/>
  <c r="C25" i="6"/>
  <c r="C24" i="6"/>
  <c r="C22" i="6"/>
  <c r="C23" i="6" s="1"/>
  <c r="K7" i="6"/>
  <c r="J7" i="6"/>
  <c r="I7" i="6"/>
  <c r="H7" i="6"/>
  <c r="G7" i="6"/>
  <c r="F7" i="6"/>
  <c r="G5" i="6"/>
  <c r="H5" i="6" s="1"/>
  <c r="J48" i="5"/>
  <c r="F48" i="5"/>
  <c r="C48" i="5"/>
  <c r="I48" i="5" s="1"/>
  <c r="K45" i="5"/>
  <c r="G45" i="5"/>
  <c r="C45" i="5"/>
  <c r="J45" i="5" s="1"/>
  <c r="I37" i="5"/>
  <c r="J36" i="5"/>
  <c r="I36" i="5"/>
  <c r="H36" i="5"/>
  <c r="G36" i="5"/>
  <c r="F36" i="5"/>
  <c r="K35" i="5"/>
  <c r="J35" i="5"/>
  <c r="I35" i="5"/>
  <c r="H35" i="5"/>
  <c r="G35" i="5"/>
  <c r="F35" i="5"/>
  <c r="K34" i="5"/>
  <c r="K37" i="5" s="1"/>
  <c r="K38" i="5" s="1"/>
  <c r="K39" i="5" s="1"/>
  <c r="J34" i="5"/>
  <c r="I34" i="5"/>
  <c r="I38" i="5" s="1"/>
  <c r="I39" i="5" s="1"/>
  <c r="H34" i="5"/>
  <c r="H37" i="5" s="1"/>
  <c r="G34" i="5"/>
  <c r="G37" i="5" s="1"/>
  <c r="G38" i="5" s="1"/>
  <c r="G39" i="5" s="1"/>
  <c r="F34" i="5"/>
  <c r="E27" i="5"/>
  <c r="E44" i="5" s="1"/>
  <c r="E25" i="5"/>
  <c r="E24" i="5"/>
  <c r="F21" i="5"/>
  <c r="G21" i="5" s="1"/>
  <c r="H21" i="5" s="1"/>
  <c r="I21" i="5" s="1"/>
  <c r="J21" i="5" s="1"/>
  <c r="K21" i="5" s="1"/>
  <c r="E13" i="5"/>
  <c r="E28" i="5" s="1"/>
  <c r="E12" i="5"/>
  <c r="F13" i="5" s="1"/>
  <c r="F122" i="4"/>
  <c r="E124" i="4"/>
  <c r="F121" i="4"/>
  <c r="G23" i="17" l="1"/>
  <c r="G39" i="17"/>
  <c r="H39" i="17" s="1"/>
  <c r="E68" i="17"/>
  <c r="F13" i="15"/>
  <c r="F14" i="15"/>
  <c r="G14" i="15" s="1"/>
  <c r="L14" i="15" s="1"/>
  <c r="C90" i="15"/>
  <c r="F90" i="15" s="1"/>
  <c r="G90" i="15" s="1"/>
  <c r="F19" i="15"/>
  <c r="G19" i="15" s="1"/>
  <c r="L19" i="15" s="1"/>
  <c r="C84" i="15"/>
  <c r="F84" i="15" s="1"/>
  <c r="G84" i="15" s="1"/>
  <c r="K14" i="15"/>
  <c r="D71" i="15"/>
  <c r="D72" i="15"/>
  <c r="D75" i="15"/>
  <c r="D70" i="15"/>
  <c r="C88" i="15"/>
  <c r="E88" i="15" s="1"/>
  <c r="C87" i="15"/>
  <c r="F87" i="15" s="1"/>
  <c r="G87" i="15" s="1"/>
  <c r="D76" i="15"/>
  <c r="M13" i="15"/>
  <c r="K13" i="15"/>
  <c r="F16" i="15"/>
  <c r="G16" i="15" s="1"/>
  <c r="L16" i="15" s="1"/>
  <c r="D25" i="19"/>
  <c r="W18" i="19" s="1"/>
  <c r="P18" i="19"/>
  <c r="N17" i="19"/>
  <c r="D14" i="19"/>
  <c r="V16" i="19" s="1"/>
  <c r="P17" i="19"/>
  <c r="D24" i="19"/>
  <c r="V18" i="19" s="1"/>
  <c r="O18" i="19"/>
  <c r="D20" i="19"/>
  <c r="W17" i="19" s="1"/>
  <c r="N16" i="19"/>
  <c r="D13" i="19"/>
  <c r="U16" i="19" s="1"/>
  <c r="D19" i="19"/>
  <c r="V17" i="19" s="1"/>
  <c r="O17" i="19"/>
  <c r="D23" i="19"/>
  <c r="U18" i="19" s="1"/>
  <c r="P16" i="19"/>
  <c r="D15" i="19"/>
  <c r="W16" i="19" s="1"/>
  <c r="N18" i="19"/>
  <c r="D18" i="19"/>
  <c r="U17" i="19" s="1"/>
  <c r="O16" i="19"/>
  <c r="F22" i="18"/>
  <c r="F7" i="15"/>
  <c r="G7" i="15" s="1"/>
  <c r="L7" i="15" s="1"/>
  <c r="M16" i="15"/>
  <c r="K16" i="15"/>
  <c r="M15" i="15"/>
  <c r="K15" i="15"/>
  <c r="M18" i="15"/>
  <c r="K18" i="15"/>
  <c r="M17" i="15"/>
  <c r="K17" i="15"/>
  <c r="M19" i="15"/>
  <c r="K19" i="15"/>
  <c r="F8" i="18"/>
  <c r="J8" i="18"/>
  <c r="J10" i="18"/>
  <c r="F10" i="18"/>
  <c r="G40" i="18"/>
  <c r="G42" i="18" s="1"/>
  <c r="G37" i="18" s="1"/>
  <c r="F38" i="18"/>
  <c r="G38" i="18" s="1"/>
  <c r="F9" i="18"/>
  <c r="J9" i="18"/>
  <c r="C17" i="18"/>
  <c r="C13" i="18"/>
  <c r="C18" i="18"/>
  <c r="C15" i="18"/>
  <c r="C19" i="18"/>
  <c r="C16" i="18"/>
  <c r="J12" i="18"/>
  <c r="C14" i="18"/>
  <c r="C81" i="18"/>
  <c r="F42" i="18"/>
  <c r="F37" i="18" s="1"/>
  <c r="D61" i="18"/>
  <c r="D65" i="18"/>
  <c r="D62" i="18"/>
  <c r="D66" i="18"/>
  <c r="D58" i="18"/>
  <c r="D64" i="18"/>
  <c r="D60" i="18"/>
  <c r="D59" i="18"/>
  <c r="D63" i="18"/>
  <c r="M7" i="18"/>
  <c r="K7" i="18"/>
  <c r="D78" i="18"/>
  <c r="F11" i="18"/>
  <c r="J11" i="18"/>
  <c r="G67" i="18"/>
  <c r="G55" i="18"/>
  <c r="G11" i="17"/>
  <c r="E72" i="17"/>
  <c r="E73" i="17"/>
  <c r="E76" i="17"/>
  <c r="E71" i="17"/>
  <c r="E74" i="17"/>
  <c r="E77" i="17"/>
  <c r="E75" i="17"/>
  <c r="G9" i="17"/>
  <c r="G12" i="17"/>
  <c r="D17" i="17"/>
  <c r="D14" i="17"/>
  <c r="D20" i="17"/>
  <c r="D18" i="17"/>
  <c r="D15" i="17"/>
  <c r="D16" i="17"/>
  <c r="D19" i="17"/>
  <c r="D82" i="17"/>
  <c r="H41" i="17"/>
  <c r="H43" i="17" s="1"/>
  <c r="H38" i="17" s="1"/>
  <c r="G10" i="17"/>
  <c r="F18" i="15"/>
  <c r="G18" i="15" s="1"/>
  <c r="L18" i="15" s="1"/>
  <c r="G9" i="15"/>
  <c r="L9" i="15" s="1"/>
  <c r="C89" i="15"/>
  <c r="E89" i="15" s="1"/>
  <c r="F89" i="15" s="1"/>
  <c r="F17" i="15"/>
  <c r="C20" i="15"/>
  <c r="F15" i="15"/>
  <c r="G15" i="15" s="1"/>
  <c r="L15" i="15" s="1"/>
  <c r="D73" i="15"/>
  <c r="D67" i="15"/>
  <c r="G13" i="15"/>
  <c r="L13" i="15" s="1"/>
  <c r="G83" i="15"/>
  <c r="F23" i="15"/>
  <c r="G23" i="15" s="1"/>
  <c r="F22" i="15"/>
  <c r="H8" i="6"/>
  <c r="H9" i="6" s="1"/>
  <c r="I5" i="6"/>
  <c r="G9" i="6"/>
  <c r="G8" i="6"/>
  <c r="G40" i="5"/>
  <c r="G41" i="5" s="1"/>
  <c r="G42" i="5" s="1"/>
  <c r="K40" i="5"/>
  <c r="K41" i="5"/>
  <c r="K42" i="5" s="1"/>
  <c r="K43" i="5" s="1"/>
  <c r="K44" i="5" s="1"/>
  <c r="E30" i="5"/>
  <c r="G29" i="5"/>
  <c r="E32" i="5"/>
  <c r="J29" i="5"/>
  <c r="F29" i="5"/>
  <c r="H29" i="5"/>
  <c r="I29" i="5"/>
  <c r="E49" i="5"/>
  <c r="E50" i="5" s="1"/>
  <c r="E47" i="5"/>
  <c r="E46" i="5"/>
  <c r="I40" i="5"/>
  <c r="I41" i="5"/>
  <c r="I42" i="5" s="1"/>
  <c r="F37" i="5"/>
  <c r="F38" i="5" s="1"/>
  <c r="F39" i="5" s="1"/>
  <c r="J37" i="5"/>
  <c r="J38" i="5" s="1"/>
  <c r="J39" i="5" s="1"/>
  <c r="H38" i="5"/>
  <c r="H39" i="5" s="1"/>
  <c r="H45" i="5"/>
  <c r="G48" i="5"/>
  <c r="K48" i="5"/>
  <c r="I45" i="5"/>
  <c r="H48" i="5"/>
  <c r="F45" i="5"/>
  <c r="F124" i="4"/>
  <c r="F120" i="4" s="1"/>
  <c r="D78" i="15" l="1"/>
  <c r="C96" i="15"/>
  <c r="C6" i="15"/>
  <c r="J20" i="15"/>
  <c r="D67" i="18"/>
  <c r="C88" i="18"/>
  <c r="F88" i="18" s="1"/>
  <c r="J18" i="18"/>
  <c r="F18" i="18"/>
  <c r="K11" i="18"/>
  <c r="M11" i="18"/>
  <c r="F16" i="18"/>
  <c r="J16" i="18"/>
  <c r="C86" i="18"/>
  <c r="J13" i="18"/>
  <c r="F13" i="18"/>
  <c r="C20" i="18"/>
  <c r="K10" i="18"/>
  <c r="M10" i="18"/>
  <c r="G10" i="18"/>
  <c r="L10" i="18" s="1"/>
  <c r="G11" i="18"/>
  <c r="L11" i="18" s="1"/>
  <c r="F81" i="18"/>
  <c r="F19" i="18"/>
  <c r="C82" i="18"/>
  <c r="F82" i="18" s="1"/>
  <c r="J19" i="18"/>
  <c r="J17" i="18"/>
  <c r="C87" i="18"/>
  <c r="F17" i="18"/>
  <c r="M8" i="18"/>
  <c r="K8" i="18"/>
  <c r="K12" i="18"/>
  <c r="M12" i="18"/>
  <c r="G9" i="18"/>
  <c r="L9" i="18" s="1"/>
  <c r="J14" i="18"/>
  <c r="F14" i="18"/>
  <c r="F15" i="18"/>
  <c r="C85" i="18"/>
  <c r="F85" i="18" s="1"/>
  <c r="J15" i="18"/>
  <c r="K9" i="18"/>
  <c r="M9" i="18"/>
  <c r="G8" i="18"/>
  <c r="L8" i="18" s="1"/>
  <c r="F7" i="18"/>
  <c r="G20" i="17"/>
  <c r="D83" i="17"/>
  <c r="G83" i="17" s="1"/>
  <c r="D21" i="17"/>
  <c r="G14" i="17"/>
  <c r="G15" i="17"/>
  <c r="D89" i="17"/>
  <c r="G89" i="17" s="1"/>
  <c r="G19" i="17"/>
  <c r="D86" i="17"/>
  <c r="G86" i="17" s="1"/>
  <c r="G16" i="17"/>
  <c r="H12" i="17"/>
  <c r="M12" i="17" s="1"/>
  <c r="H10" i="17"/>
  <c r="M10" i="17" s="1"/>
  <c r="G82" i="17"/>
  <c r="D88" i="17"/>
  <c r="G18" i="17"/>
  <c r="G17" i="17"/>
  <c r="D87" i="17"/>
  <c r="G8" i="17"/>
  <c r="H9" i="17"/>
  <c r="M9" i="17" s="1"/>
  <c r="E79" i="17"/>
  <c r="H11" i="17"/>
  <c r="M11" i="17" s="1"/>
  <c r="F12" i="15"/>
  <c r="G12" i="15" s="1"/>
  <c r="L12" i="15" s="1"/>
  <c r="G17" i="15"/>
  <c r="L17" i="15" s="1"/>
  <c r="G89" i="15"/>
  <c r="E95" i="15"/>
  <c r="F95" i="15" s="1"/>
  <c r="G95" i="15" s="1"/>
  <c r="F88" i="15"/>
  <c r="I8" i="6"/>
  <c r="I9" i="6" s="1"/>
  <c r="J5" i="6"/>
  <c r="F40" i="5"/>
  <c r="F41" i="5"/>
  <c r="F42" i="5" s="1"/>
  <c r="J40" i="5"/>
  <c r="J41" i="5"/>
  <c r="J42" i="5" s="1"/>
  <c r="K46" i="5"/>
  <c r="K49" i="5"/>
  <c r="F30" i="5"/>
  <c r="F31" i="5"/>
  <c r="F32" i="5" s="1"/>
  <c r="H40" i="5"/>
  <c r="H41" i="5" s="1"/>
  <c r="H42" i="5" s="1"/>
  <c r="C121" i="4"/>
  <c r="F20" i="15" l="1"/>
  <c r="F6" i="15" s="1"/>
  <c r="B9" i="15" s="1"/>
  <c r="M20" i="15"/>
  <c r="J6" i="15"/>
  <c r="K20" i="15"/>
  <c r="C94" i="18"/>
  <c r="M17" i="18"/>
  <c r="K17" i="18"/>
  <c r="J20" i="18"/>
  <c r="C6" i="18"/>
  <c r="G14" i="18"/>
  <c r="L14" i="18" s="1"/>
  <c r="M19" i="18"/>
  <c r="K19" i="18"/>
  <c r="G13" i="18"/>
  <c r="L13" i="18" s="1"/>
  <c r="F12" i="18"/>
  <c r="G16" i="18"/>
  <c r="L16" i="18" s="1"/>
  <c r="G18" i="18"/>
  <c r="L18" i="18" s="1"/>
  <c r="G81" i="18"/>
  <c r="K15" i="18"/>
  <c r="M15" i="18"/>
  <c r="M14" i="18"/>
  <c r="K14" i="18"/>
  <c r="G17" i="18"/>
  <c r="L17" i="18" s="1"/>
  <c r="G82" i="18"/>
  <c r="M13" i="18"/>
  <c r="K13" i="18"/>
  <c r="M18" i="18"/>
  <c r="K18" i="18"/>
  <c r="G15" i="18"/>
  <c r="L15" i="18" s="1"/>
  <c r="K16" i="18"/>
  <c r="M16" i="18"/>
  <c r="G7" i="18"/>
  <c r="L7" i="18" s="1"/>
  <c r="G85" i="18"/>
  <c r="E87" i="18"/>
  <c r="F87" i="18" s="1"/>
  <c r="G19" i="18"/>
  <c r="L19" i="18" s="1"/>
  <c r="E86" i="18"/>
  <c r="F86" i="18" s="1"/>
  <c r="G88" i="18"/>
  <c r="F87" i="17"/>
  <c r="D7" i="17"/>
  <c r="H15" i="17"/>
  <c r="M15" i="17" s="1"/>
  <c r="H82" i="17"/>
  <c r="H86" i="17"/>
  <c r="H19" i="17"/>
  <c r="M19" i="17" s="1"/>
  <c r="H14" i="17"/>
  <c r="M14" i="17" s="1"/>
  <c r="G13" i="17"/>
  <c r="H83" i="17"/>
  <c r="H17" i="17"/>
  <c r="M17" i="17" s="1"/>
  <c r="F88" i="17"/>
  <c r="G88" i="17" s="1"/>
  <c r="H16" i="17"/>
  <c r="M16" i="17" s="1"/>
  <c r="H20" i="17"/>
  <c r="M20" i="17" s="1"/>
  <c r="H8" i="17"/>
  <c r="M8" i="17" s="1"/>
  <c r="H18" i="17"/>
  <c r="M18" i="17" s="1"/>
  <c r="D95" i="17"/>
  <c r="H89" i="17"/>
  <c r="G20" i="15"/>
  <c r="L20" i="15" s="1"/>
  <c r="B8" i="15"/>
  <c r="B19" i="15"/>
  <c r="B18" i="15"/>
  <c r="G88" i="15"/>
  <c r="F82" i="15"/>
  <c r="D88" i="15" s="1"/>
  <c r="F96" i="15"/>
  <c r="B12" i="15"/>
  <c r="E96" i="15"/>
  <c r="K5" i="6"/>
  <c r="J8" i="6"/>
  <c r="J9" i="6" s="1"/>
  <c r="G31" i="5"/>
  <c r="G32" i="5" s="1"/>
  <c r="G43" i="5" s="1"/>
  <c r="G44" i="5" s="1"/>
  <c r="G30" i="5"/>
  <c r="F43" i="5"/>
  <c r="F44" i="5" s="1"/>
  <c r="B7" i="15" l="1"/>
  <c r="B10" i="15"/>
  <c r="B15" i="15"/>
  <c r="B14" i="15"/>
  <c r="F4" i="15"/>
  <c r="F49" i="15" s="1"/>
  <c r="G49" i="15" s="1"/>
  <c r="B11" i="15"/>
  <c r="B16" i="15"/>
  <c r="B17" i="15"/>
  <c r="B13" i="15"/>
  <c r="M6" i="15"/>
  <c r="K6" i="15"/>
  <c r="G87" i="18"/>
  <c r="K20" i="18"/>
  <c r="M20" i="18"/>
  <c r="J6" i="18"/>
  <c r="F20" i="18"/>
  <c r="F6" i="18" s="1"/>
  <c r="B12" i="18" s="1"/>
  <c r="G12" i="18"/>
  <c r="G86" i="18"/>
  <c r="E93" i="18"/>
  <c r="F93" i="18" s="1"/>
  <c r="G93" i="18" s="1"/>
  <c r="F94" i="17"/>
  <c r="G94" i="17" s="1"/>
  <c r="H94" i="17" s="1"/>
  <c r="H88" i="17"/>
  <c r="H13" i="17"/>
  <c r="M13" i="17" s="1"/>
  <c r="G21" i="17"/>
  <c r="G7" i="17" s="1"/>
  <c r="C13" i="17" s="1"/>
  <c r="G87" i="17"/>
  <c r="G6" i="15"/>
  <c r="G96" i="15"/>
  <c r="G82" i="15"/>
  <c r="E130" i="4" s="1"/>
  <c r="F130" i="4" s="1"/>
  <c r="F51" i="15"/>
  <c r="G51" i="15" s="1"/>
  <c r="F52" i="15"/>
  <c r="G52" i="15" s="1"/>
  <c r="D85" i="15"/>
  <c r="D86" i="15"/>
  <c r="D91" i="15"/>
  <c r="D92" i="15"/>
  <c r="D94" i="15"/>
  <c r="D93" i="15"/>
  <c r="D83" i="15"/>
  <c r="D87" i="15"/>
  <c r="D90" i="15"/>
  <c r="D84" i="15"/>
  <c r="D89" i="15"/>
  <c r="L5" i="6"/>
  <c r="M5" i="6" s="1"/>
  <c r="N5" i="6" s="1"/>
  <c r="O5" i="6" s="1"/>
  <c r="P5" i="6" s="1"/>
  <c r="K8" i="6"/>
  <c r="K9" i="6" s="1"/>
  <c r="F10" i="6" s="1"/>
  <c r="H31" i="5"/>
  <c r="H32" i="5" s="1"/>
  <c r="H43" i="5" s="1"/>
  <c r="H44" i="5" s="1"/>
  <c r="H30" i="5"/>
  <c r="F49" i="5"/>
  <c r="F50" i="5" s="1"/>
  <c r="G50" i="5" s="1"/>
  <c r="F46" i="5"/>
  <c r="F47" i="5" s="1"/>
  <c r="G47" i="5" s="1"/>
  <c r="G46" i="5"/>
  <c r="G49" i="5"/>
  <c r="D6" i="15" l="1"/>
  <c r="D22" i="15"/>
  <c r="D35" i="15" s="1"/>
  <c r="F50" i="15"/>
  <c r="G50" i="15" s="1"/>
  <c r="F48" i="15"/>
  <c r="G48" i="15" s="1"/>
  <c r="D37" i="15"/>
  <c r="F47" i="15"/>
  <c r="D4" i="15"/>
  <c r="G4" i="15"/>
  <c r="E4" i="15" s="1"/>
  <c r="L6" i="15"/>
  <c r="G80" i="18"/>
  <c r="F80" i="18"/>
  <c r="D86" i="18" s="1"/>
  <c r="G94" i="18"/>
  <c r="F4" i="18"/>
  <c r="D6" i="18" s="1"/>
  <c r="B11" i="18"/>
  <c r="B10" i="18"/>
  <c r="B8" i="18"/>
  <c r="B9" i="18"/>
  <c r="B16" i="18"/>
  <c r="B17" i="18"/>
  <c r="B7" i="18"/>
  <c r="B15" i="18"/>
  <c r="B14" i="18"/>
  <c r="B13" i="18"/>
  <c r="B18" i="18"/>
  <c r="B19" i="18"/>
  <c r="E94" i="18"/>
  <c r="K6" i="18"/>
  <c r="M6" i="18"/>
  <c r="G20" i="18"/>
  <c r="L12" i="18"/>
  <c r="F94" i="18"/>
  <c r="G5" i="17"/>
  <c r="E7" i="17" s="1"/>
  <c r="C12" i="17"/>
  <c r="C11" i="17"/>
  <c r="C9" i="17"/>
  <c r="C10" i="17"/>
  <c r="C16" i="17"/>
  <c r="C18" i="17"/>
  <c r="C8" i="17"/>
  <c r="C14" i="17"/>
  <c r="C15" i="17"/>
  <c r="C20" i="17"/>
  <c r="C19" i="17"/>
  <c r="C17" i="17"/>
  <c r="H87" i="17"/>
  <c r="G95" i="17"/>
  <c r="G81" i="17"/>
  <c r="H21" i="17"/>
  <c r="M21" i="17" s="1"/>
  <c r="F95" i="17"/>
  <c r="D96" i="15"/>
  <c r="G47" i="15"/>
  <c r="F11" i="6"/>
  <c r="C12" i="6" s="1"/>
  <c r="C11" i="6"/>
  <c r="I30" i="5"/>
  <c r="I31" i="5"/>
  <c r="I32" i="5" s="1"/>
  <c r="I43" i="5" s="1"/>
  <c r="I44" i="5" s="1"/>
  <c r="H50" i="5"/>
  <c r="H46" i="5"/>
  <c r="H47" i="5" s="1"/>
  <c r="H49" i="5"/>
  <c r="F53" i="15" l="1"/>
  <c r="F46" i="15"/>
  <c r="D88" i="18"/>
  <c r="D92" i="18"/>
  <c r="D81" i="18"/>
  <c r="D87" i="18"/>
  <c r="D89" i="18"/>
  <c r="D82" i="18"/>
  <c r="D90" i="18"/>
  <c r="D84" i="18"/>
  <c r="D85" i="18"/>
  <c r="D91" i="18"/>
  <c r="D83" i="18"/>
  <c r="G6" i="18"/>
  <c r="L20" i="18"/>
  <c r="F51" i="18"/>
  <c r="G51" i="18" s="1"/>
  <c r="F49" i="18"/>
  <c r="G49" i="18" s="1"/>
  <c r="F47" i="18"/>
  <c r="F52" i="18"/>
  <c r="G52" i="18" s="1"/>
  <c r="F48" i="18"/>
  <c r="G48" i="18" s="1"/>
  <c r="F50" i="18"/>
  <c r="G50" i="18" s="1"/>
  <c r="D22" i="18"/>
  <c r="D35" i="18" s="1"/>
  <c r="D37" i="18"/>
  <c r="E84" i="17"/>
  <c r="E91" i="17"/>
  <c r="E93" i="17"/>
  <c r="E92" i="17"/>
  <c r="E90" i="17"/>
  <c r="E85" i="17"/>
  <c r="E86" i="17"/>
  <c r="E83" i="17"/>
  <c r="E89" i="17"/>
  <c r="E82" i="17"/>
  <c r="E88" i="17"/>
  <c r="G52" i="17"/>
  <c r="H52" i="17" s="1"/>
  <c r="G50" i="17"/>
  <c r="H50" i="17" s="1"/>
  <c r="G48" i="17"/>
  <c r="G53" i="17"/>
  <c r="H53" i="17" s="1"/>
  <c r="G49" i="17"/>
  <c r="H49" i="17" s="1"/>
  <c r="G51" i="17"/>
  <c r="H51" i="17" s="1"/>
  <c r="E38" i="17"/>
  <c r="E23" i="17"/>
  <c r="E36" i="17" s="1"/>
  <c r="H81" i="17"/>
  <c r="H95" i="17"/>
  <c r="H7" i="17"/>
  <c r="E87" i="17"/>
  <c r="G53" i="15"/>
  <c r="G46" i="15"/>
  <c r="I50" i="5"/>
  <c r="J30" i="5"/>
  <c r="J31" i="5"/>
  <c r="J32" i="5" s="1"/>
  <c r="J43" i="5" s="1"/>
  <c r="J44" i="5" s="1"/>
  <c r="I49" i="5"/>
  <c r="I46" i="5"/>
  <c r="I47" i="5" s="1"/>
  <c r="H5" i="17" l="1"/>
  <c r="F5" i="17" s="1"/>
  <c r="M7" i="17"/>
  <c r="E95" i="17"/>
  <c r="E127" i="4"/>
  <c r="F127" i="4" s="1"/>
  <c r="G4" i="18"/>
  <c r="L6" i="18"/>
  <c r="D94" i="18"/>
  <c r="G47" i="18"/>
  <c r="F53" i="18"/>
  <c r="F46" i="18"/>
  <c r="F44" i="18" s="1"/>
  <c r="E4" i="18"/>
  <c r="D4" i="18"/>
  <c r="H48" i="17"/>
  <c r="G54" i="17"/>
  <c r="G47" i="17"/>
  <c r="G45" i="17" s="1"/>
  <c r="E5" i="17"/>
  <c r="J49" i="5"/>
  <c r="J46" i="5"/>
  <c r="J47" i="5" s="1"/>
  <c r="J50" i="5"/>
  <c r="K50" i="5" s="1"/>
  <c r="E131" i="4" l="1"/>
  <c r="F131" i="4"/>
  <c r="C127" i="4" s="1"/>
  <c r="D69" i="18"/>
  <c r="D80" i="18"/>
  <c r="F96" i="18"/>
  <c r="D96" i="18" s="1"/>
  <c r="G53" i="18"/>
  <c r="G46" i="18"/>
  <c r="E70" i="17"/>
  <c r="E81" i="17"/>
  <c r="G97" i="17"/>
  <c r="E97" i="17" s="1"/>
  <c r="H47" i="17"/>
  <c r="H54" i="17"/>
  <c r="G54" i="5"/>
  <c r="I13" i="5" s="1"/>
  <c r="K47" i="5"/>
  <c r="F126" i="4" l="1"/>
  <c r="C128" i="4"/>
  <c r="C129" i="4"/>
  <c r="C130" i="4"/>
  <c r="G44" i="18"/>
  <c r="H45" i="17"/>
  <c r="G53" i="5"/>
  <c r="I12" i="5" s="1"/>
  <c r="I10" i="5"/>
  <c r="G52" i="5"/>
  <c r="H52" i="5" s="1"/>
  <c r="I11" i="5" s="1"/>
  <c r="C131" i="4" l="1"/>
  <c r="E44" i="18"/>
  <c r="E96" i="18" s="1"/>
  <c r="D55" i="18"/>
  <c r="G96" i="18"/>
  <c r="D46" i="18"/>
  <c r="F45" i="17"/>
  <c r="F97" i="17" s="1"/>
  <c r="E56" i="17"/>
  <c r="H97" i="17"/>
  <c r="E47" i="17"/>
  <c r="F53" i="4"/>
  <c r="F52" i="4"/>
  <c r="F63" i="4"/>
  <c r="E55" i="4"/>
  <c r="F51" i="4"/>
  <c r="F50" i="4"/>
  <c r="F49" i="4"/>
  <c r="F48" i="4"/>
  <c r="F47" i="4"/>
  <c r="F58" i="4"/>
  <c r="F89" i="4"/>
  <c r="F88" i="4"/>
  <c r="F87" i="4"/>
  <c r="F86" i="4"/>
  <c r="F116" i="4"/>
  <c r="F115" i="4"/>
  <c r="F114" i="4"/>
  <c r="E118" i="4"/>
  <c r="F113" i="4"/>
  <c r="F112" i="4"/>
  <c r="F111" i="4"/>
  <c r="F110" i="4"/>
  <c r="F109" i="4"/>
  <c r="F85" i="4"/>
  <c r="F84" i="4"/>
  <c r="F83" i="4"/>
  <c r="F82" i="4"/>
  <c r="F81" i="4"/>
  <c r="F80" i="4"/>
  <c r="F79" i="4"/>
  <c r="F78" i="4"/>
  <c r="F62" i="4"/>
  <c r="F77" i="4"/>
  <c r="E106" i="4"/>
  <c r="F103" i="4"/>
  <c r="F102" i="4"/>
  <c r="F101" i="4"/>
  <c r="F100" i="4"/>
  <c r="F99" i="4"/>
  <c r="F98" i="4"/>
  <c r="F97" i="4"/>
  <c r="F96" i="4"/>
  <c r="F95" i="4"/>
  <c r="F94" i="4"/>
  <c r="E91" i="4"/>
  <c r="F76" i="4"/>
  <c r="F75" i="4"/>
  <c r="F74" i="4"/>
  <c r="F73" i="4"/>
  <c r="F72" i="4"/>
  <c r="F71" i="4"/>
  <c r="F70" i="4"/>
  <c r="F69" i="4"/>
  <c r="F35" i="4"/>
  <c r="F36" i="4"/>
  <c r="F59" i="4"/>
  <c r="F43" i="4"/>
  <c r="F42" i="4"/>
  <c r="E66" i="4"/>
  <c r="F61" i="4"/>
  <c r="F60" i="4"/>
  <c r="E44" i="4"/>
  <c r="F41" i="4"/>
  <c r="F40" i="4"/>
  <c r="F39" i="4"/>
  <c r="F38" i="4"/>
  <c r="F37" i="4"/>
  <c r="F34" i="4"/>
  <c r="F33" i="4"/>
  <c r="F32" i="4"/>
  <c r="F31" i="4"/>
  <c r="E45" i="17" l="1"/>
  <c r="D44" i="18"/>
  <c r="F55" i="4"/>
  <c r="C53" i="4" s="1"/>
  <c r="F44" i="4"/>
  <c r="C34" i="4" s="1"/>
  <c r="F118" i="4"/>
  <c r="F106" i="4"/>
  <c r="F91" i="4"/>
  <c r="C88" i="4" s="1"/>
  <c r="F24" i="4"/>
  <c r="F23" i="4"/>
  <c r="E28" i="4"/>
  <c r="F19" i="4"/>
  <c r="F20" i="4"/>
  <c r="F21" i="4"/>
  <c r="F22" i="4"/>
  <c r="F18" i="4"/>
  <c r="C42" i="4" l="1"/>
  <c r="F108" i="4"/>
  <c r="C122" i="4"/>
  <c r="F46" i="4"/>
  <c r="C51" i="4"/>
  <c r="C48" i="4"/>
  <c r="C52" i="4"/>
  <c r="C49" i="4"/>
  <c r="C47" i="4"/>
  <c r="C50" i="4"/>
  <c r="F66" i="4"/>
  <c r="C65" i="4" s="1"/>
  <c r="C38" i="4"/>
  <c r="C89" i="4"/>
  <c r="C37" i="4"/>
  <c r="C33" i="4"/>
  <c r="C36" i="4"/>
  <c r="C32" i="4"/>
  <c r="C40" i="4"/>
  <c r="C31" i="4"/>
  <c r="C43" i="4"/>
  <c r="C41" i="4"/>
  <c r="C39" i="4"/>
  <c r="C35" i="4"/>
  <c r="C86" i="4"/>
  <c r="C87" i="4"/>
  <c r="C116" i="4"/>
  <c r="C115" i="4"/>
  <c r="C114" i="4"/>
  <c r="C112" i="4"/>
  <c r="C113" i="4"/>
  <c r="C110" i="4"/>
  <c r="C111" i="4"/>
  <c r="C109" i="4"/>
  <c r="F93" i="4"/>
  <c r="C96" i="4"/>
  <c r="C94" i="4"/>
  <c r="C97" i="4"/>
  <c r="C101" i="4"/>
  <c r="C98" i="4"/>
  <c r="C102" i="4"/>
  <c r="C95" i="4"/>
  <c r="C99" i="4"/>
  <c r="C103" i="4"/>
  <c r="C100" i="4"/>
  <c r="C80" i="4"/>
  <c r="C84" i="4"/>
  <c r="C79" i="4"/>
  <c r="C81" i="4"/>
  <c r="C85" i="4"/>
  <c r="C82" i="4"/>
  <c r="C83" i="4"/>
  <c r="C72" i="4"/>
  <c r="C76" i="4"/>
  <c r="C73" i="4"/>
  <c r="C77" i="4"/>
  <c r="C70" i="4"/>
  <c r="C74" i="4"/>
  <c r="C69" i="4"/>
  <c r="C71" i="4"/>
  <c r="C75" i="4"/>
  <c r="C78" i="4"/>
  <c r="F28" i="4"/>
  <c r="F68" i="4"/>
  <c r="F30" i="4"/>
  <c r="C59" i="4" l="1"/>
  <c r="C64" i="4"/>
  <c r="C124" i="4"/>
  <c r="C24" i="4"/>
  <c r="C61" i="4"/>
  <c r="C55" i="4"/>
  <c r="C62" i="4"/>
  <c r="C63" i="4"/>
  <c r="C60" i="4"/>
  <c r="F57" i="4"/>
  <c r="C58" i="4"/>
  <c r="C44" i="4"/>
  <c r="C118" i="4"/>
  <c r="C106" i="4"/>
  <c r="C91" i="4"/>
  <c r="F17" i="4"/>
  <c r="C21" i="4"/>
  <c r="C22" i="4"/>
  <c r="C19" i="4"/>
  <c r="C18" i="4"/>
  <c r="C20" i="4"/>
  <c r="C23" i="4"/>
  <c r="G80" i="15" l="1"/>
  <c r="F3" i="4"/>
  <c r="C126" i="4" s="1"/>
  <c r="C15" i="4"/>
  <c r="C66" i="4"/>
  <c r="C28" i="4"/>
  <c r="C5" i="4" l="1"/>
  <c r="F80" i="15"/>
  <c r="F44" i="15" s="1"/>
  <c r="G44" i="15"/>
  <c r="C93" i="4"/>
  <c r="C17" i="4"/>
  <c r="C30" i="4"/>
  <c r="C108" i="4"/>
  <c r="C57" i="4"/>
  <c r="C68" i="4"/>
  <c r="C46" i="4"/>
  <c r="C120" i="4"/>
  <c r="C3" i="4" l="1"/>
  <c r="E44" i="15"/>
  <c r="D55" i="15"/>
  <c r="G98" i="15"/>
  <c r="D46" i="15"/>
  <c r="D80" i="15"/>
  <c r="F98" i="15"/>
  <c r="D98" i="15" s="1"/>
  <c r="D82" i="15"/>
  <c r="D69" i="15"/>
  <c r="D44" i="15" l="1"/>
</calcChain>
</file>

<file path=xl/sharedStrings.xml><?xml version="1.0" encoding="utf-8"?>
<sst xmlns="http://schemas.openxmlformats.org/spreadsheetml/2006/main" count="647" uniqueCount="298">
  <si>
    <t>Зарплата</t>
  </si>
  <si>
    <t>Директор</t>
  </si>
  <si>
    <t>Прораб</t>
  </si>
  <si>
    <t>Послуги за фактом</t>
  </si>
  <si>
    <t>Транспортування труни</t>
  </si>
  <si>
    <t>Перенесення могили</t>
  </si>
  <si>
    <t>Кремація</t>
  </si>
  <si>
    <t>Відновлення архівних даних</t>
  </si>
  <si>
    <t>Інше</t>
  </si>
  <si>
    <t>Бухгалтер</t>
  </si>
  <si>
    <t>Юрист</t>
  </si>
  <si>
    <t>Телефон</t>
  </si>
  <si>
    <t>Кв м.</t>
  </si>
  <si>
    <t>Місяців</t>
  </si>
  <si>
    <t>Куб м.</t>
  </si>
  <si>
    <t>Чистий прибуток</t>
  </si>
  <si>
    <t>Деталі</t>
  </si>
  <si>
    <t>Лавка</t>
  </si>
  <si>
    <t>Сейф</t>
  </si>
  <si>
    <t>Тип/предмет</t>
  </si>
  <si>
    <t>Гардероб</t>
  </si>
  <si>
    <t>Ноутбук</t>
  </si>
  <si>
    <t>Принтер</t>
  </si>
  <si>
    <t>Модем</t>
  </si>
  <si>
    <t>Роутер</t>
  </si>
  <si>
    <t>Калькулятор</t>
  </si>
  <si>
    <t>Телефон (с)</t>
  </si>
  <si>
    <t>Планшет</t>
  </si>
  <si>
    <t>Телефон (м)</t>
  </si>
  <si>
    <t>Лопата</t>
  </si>
  <si>
    <t>Сапа</t>
  </si>
  <si>
    <t>Тачка</t>
  </si>
  <si>
    <t>Генератор</t>
  </si>
  <si>
    <t>Мотокоса</t>
  </si>
  <si>
    <t>Бензопила</t>
  </si>
  <si>
    <t>Шуруповерт</t>
  </si>
  <si>
    <t>Дрель</t>
  </si>
  <si>
    <t>Коловорот</t>
  </si>
  <si>
    <t>Молоток</t>
  </si>
  <si>
    <t>Уніформа літня</t>
  </si>
  <si>
    <t>Футболка літня</t>
  </si>
  <si>
    <t>Кепка</t>
  </si>
  <si>
    <t>Розгрузка</t>
  </si>
  <si>
    <t>Тримачі інструментів</t>
  </si>
  <si>
    <t>Калоші</t>
  </si>
  <si>
    <t>Зимова куртка</t>
  </si>
  <si>
    <t>Рукавиці</t>
  </si>
  <si>
    <t>Рулетка</t>
  </si>
  <si>
    <t>Ручки</t>
  </si>
  <si>
    <t>ПДВ</t>
  </si>
  <si>
    <t>Міні-екскаватор</t>
  </si>
  <si>
    <t>Екскаватор</t>
  </si>
  <si>
    <t>Дизель</t>
  </si>
  <si>
    <t>Дано:</t>
  </si>
  <si>
    <t>Інвестиції</t>
  </si>
  <si>
    <t>NPV</t>
  </si>
  <si>
    <t>Власний капітал</t>
  </si>
  <si>
    <t>IRR</t>
  </si>
  <si>
    <t>Процент вкладення ВК</t>
  </si>
  <si>
    <t>DPI</t>
  </si>
  <si>
    <t>Кредитні кошти</t>
  </si>
  <si>
    <t>DPP</t>
  </si>
  <si>
    <t>Процент по кредиту</t>
  </si>
  <si>
    <t>Обладнання</t>
  </si>
  <si>
    <t>Операційні витрати</t>
  </si>
  <si>
    <t>Дохід з ПДВ</t>
  </si>
  <si>
    <t>Податок на прибуток</t>
  </si>
  <si>
    <t>Коефіціент дискотування (r)</t>
  </si>
  <si>
    <t>k2</t>
  </si>
  <si>
    <t>№</t>
  </si>
  <si>
    <t>Вид діяльності</t>
  </si>
  <si>
    <t>ПОЯСНЕННЯ</t>
  </si>
  <si>
    <t>ІНВЕСТИЦІЙНА ДІЯЛЬНІСТЬ</t>
  </si>
  <si>
    <t>CF від інвестиційної діяльності</t>
  </si>
  <si>
    <t>ФІНАНСОВА ДІЯЛЬНІСТЬ</t>
  </si>
  <si>
    <t>Виплати по кредиту</t>
  </si>
  <si>
    <t>(7)=(6)/5</t>
  </si>
  <si>
    <t>Залишок по кредиту</t>
  </si>
  <si>
    <t>(8)=(8)n-(7)n-1</t>
  </si>
  <si>
    <t>(9)=(8)n-1*0,18</t>
  </si>
  <si>
    <t>CF від фінансової діяльності</t>
  </si>
  <si>
    <t>(10)=(5)+(6)</t>
  </si>
  <si>
    <t>ОПЕРАЦІЙНА ДІЯЛЬНІСТЬ</t>
  </si>
  <si>
    <t>Амортизація</t>
  </si>
  <si>
    <t>(14)=650000/5</t>
  </si>
  <si>
    <t>(15)=(12)*1/6</t>
  </si>
  <si>
    <t>Дохід без ПДВ</t>
  </si>
  <si>
    <t>(16)=(12)-(15)</t>
  </si>
  <si>
    <t>Прибуток до податків</t>
  </si>
  <si>
    <t>(17)=(16)-(13)-(14)</t>
  </si>
  <si>
    <t>(18)=(17)*18%</t>
  </si>
  <si>
    <t>(19)=(17)-(18)</t>
  </si>
  <si>
    <t>CF від операційної діялності</t>
  </si>
  <si>
    <t>(20)=(19)+(14)</t>
  </si>
  <si>
    <t>Сальдо CF</t>
  </si>
  <si>
    <t>(21)=(3)+(-10)+(20)</t>
  </si>
  <si>
    <t>CF для оцінки власного капіталу</t>
  </si>
  <si>
    <r>
      <t xml:space="preserve">k </t>
    </r>
    <r>
      <rPr>
        <sz val="11"/>
        <color theme="1"/>
        <rFont val="Calibri"/>
        <family val="2"/>
        <scheme val="minor"/>
      </rPr>
      <t xml:space="preserve">при </t>
    </r>
  </si>
  <si>
    <t>DCF</t>
  </si>
  <si>
    <t>(24)=(22)*(23)</t>
  </si>
  <si>
    <r>
      <t xml:space="preserve">Накопичений DCF </t>
    </r>
    <r>
      <rPr>
        <b/>
        <sz val="11"/>
        <color theme="1"/>
        <rFont val="Calibri"/>
        <family val="2"/>
        <charset val="204"/>
        <scheme val="minor"/>
      </rPr>
      <t>(NPV)</t>
    </r>
  </si>
  <si>
    <t>(25)=(25)n-1+(24)n</t>
  </si>
  <si>
    <t>DCF 2</t>
  </si>
  <si>
    <t>(27)=(22)*(26)</t>
  </si>
  <si>
    <r>
      <t xml:space="preserve">Накопичений DCF 2 </t>
    </r>
    <r>
      <rPr>
        <b/>
        <sz val="11"/>
        <color theme="1"/>
        <rFont val="Calibri"/>
        <family val="2"/>
        <charset val="204"/>
        <scheme val="minor"/>
      </rPr>
      <t>(NPV 2)</t>
    </r>
  </si>
  <si>
    <t>(28)=(27)n-1+(26)n</t>
  </si>
  <si>
    <t>IRR=r+(NPV*(k2-k1))/NPV1-NPV2</t>
  </si>
  <si>
    <t>IRR=</t>
  </si>
  <si>
    <t>DPI=1+(NPV/IC-module)</t>
  </si>
  <si>
    <t>DPI=</t>
  </si>
  <si>
    <t>UAH----&gt;</t>
  </si>
  <si>
    <t>за 1 UAH вкладену</t>
  </si>
  <si>
    <t>DPP=Останній +(MODULE-0,01)/0,26</t>
  </si>
  <si>
    <t>DPP=</t>
  </si>
  <si>
    <t>роки</t>
  </si>
  <si>
    <t>Хамардюк Т. Т.</t>
  </si>
  <si>
    <t>Future Value in a Compound Interest World</t>
  </si>
  <si>
    <t xml:space="preserve">Inputs </t>
  </si>
  <si>
    <t>Initial Investment</t>
  </si>
  <si>
    <t>Period</t>
  </si>
  <si>
    <t>Cash Flow</t>
  </si>
  <si>
    <t>i</t>
  </si>
  <si>
    <t>n</t>
  </si>
  <si>
    <t>Discount Factor</t>
  </si>
  <si>
    <t>PV of Each Period</t>
  </si>
  <si>
    <t>Output</t>
  </si>
  <si>
    <t>Anuity Factor</t>
  </si>
  <si>
    <r>
      <t>Для запуску нової виробничої лінії підприємству необхідно інвестувати 1</t>
    </r>
    <r>
      <rPr>
        <b/>
        <sz val="11"/>
        <color theme="1"/>
        <rFont val="Calibri"/>
        <family val="2"/>
        <charset val="204"/>
        <scheme val="minor"/>
      </rPr>
      <t>.000.000</t>
    </r>
    <r>
      <rPr>
        <sz val="11"/>
        <color theme="1"/>
        <rFont val="Calibri"/>
        <family val="2"/>
        <scheme val="minor"/>
      </rPr>
      <t xml:space="preserve"> грн у 2020 році. З них 800</t>
    </r>
    <r>
      <rPr>
        <b/>
        <sz val="11"/>
        <color theme="1"/>
        <rFont val="Calibri"/>
        <family val="2"/>
        <charset val="204"/>
        <scheme val="minor"/>
      </rPr>
      <t>.000</t>
    </r>
    <r>
      <rPr>
        <sz val="11"/>
        <color theme="1"/>
        <rFont val="Calibri"/>
        <family val="2"/>
        <scheme val="minor"/>
      </rPr>
      <t xml:space="preserve"> грн підприємство витратить на купівлю обладнання, корисний строк використання якого складає 5 років. Для реалізації проекту підприємство вкладає 100</t>
    </r>
    <r>
      <rPr>
        <b/>
        <sz val="11"/>
        <color theme="1"/>
        <rFont val="Calibri"/>
        <family val="2"/>
        <charset val="204"/>
        <scheme val="minor"/>
      </rPr>
      <t>%</t>
    </r>
    <r>
      <rPr>
        <sz val="11"/>
        <color theme="1"/>
        <rFont val="Calibri"/>
        <family val="2"/>
        <scheme val="minor"/>
      </rPr>
      <t xml:space="preserve"> власного капіталу, а другу частину бере у кредит під 17</t>
    </r>
    <r>
      <rPr>
        <b/>
        <sz val="11"/>
        <color theme="1"/>
        <rFont val="Calibri"/>
        <family val="2"/>
        <charset val="204"/>
        <scheme val="minor"/>
      </rPr>
      <t>% річних на 5 років</t>
    </r>
    <r>
      <rPr>
        <sz val="11"/>
        <color theme="1"/>
        <rFont val="Calibri"/>
        <family val="2"/>
        <scheme val="minor"/>
      </rPr>
      <t xml:space="preserve">. Відстрочка виплати по кредиту складає </t>
    </r>
    <r>
      <rPr>
        <b/>
        <sz val="11"/>
        <color theme="1"/>
        <rFont val="Calibri"/>
        <family val="2"/>
        <charset val="204"/>
        <scheme val="minor"/>
      </rPr>
      <t>1 рік</t>
    </r>
    <r>
      <rPr>
        <sz val="11"/>
        <color theme="1"/>
        <rFont val="Calibri"/>
        <family val="2"/>
        <scheme val="minor"/>
      </rPr>
      <t xml:space="preserve">. Після запуску виробничої лінії у  2021 році підприємство планує отримувати щорічний дохід із ПДВ у розмірі </t>
    </r>
    <r>
      <rPr>
        <b/>
        <sz val="11"/>
        <color theme="1"/>
        <rFont val="Calibri"/>
        <family val="2"/>
        <charset val="204"/>
        <scheme val="minor"/>
      </rPr>
      <t>250.000</t>
    </r>
    <r>
      <rPr>
        <sz val="11"/>
        <color theme="1"/>
        <rFont val="Calibri"/>
        <family val="2"/>
        <scheme val="minor"/>
      </rPr>
      <t xml:space="preserve"> грн протягом 5 років. Операційні витрати підприємства складають 120</t>
    </r>
    <r>
      <rPr>
        <b/>
        <sz val="11"/>
        <color theme="1"/>
        <rFont val="Calibri"/>
        <family val="2"/>
        <charset val="204"/>
        <scheme val="minor"/>
      </rPr>
      <t>.000</t>
    </r>
    <r>
      <rPr>
        <sz val="11"/>
        <color theme="1"/>
        <rFont val="Calibri"/>
        <family val="2"/>
        <scheme val="minor"/>
      </rPr>
      <t xml:space="preserve"> грн щорічно. Чи вигідним є проект для підприємства при умові, що податок на прибуток складає 18%, ПДВ=20%, ставка дисконтування </t>
    </r>
    <r>
      <rPr>
        <b/>
        <sz val="11"/>
        <color theme="1"/>
        <rFont val="Calibri"/>
        <family val="2"/>
        <charset val="204"/>
        <scheme val="minor"/>
      </rPr>
      <t>(r)=23%</t>
    </r>
    <r>
      <rPr>
        <sz val="11"/>
        <color theme="1"/>
        <rFont val="Calibri"/>
        <family val="2"/>
        <scheme val="minor"/>
      </rPr>
      <t>.
Ефективність проекту необхідно оцінити за допомогою критеріїв NPV, IRR, DPI, DPP.</t>
    </r>
  </si>
  <si>
    <t>Период</t>
  </si>
  <si>
    <t>Количество</t>
  </si>
  <si>
    <t>Процент</t>
  </si>
  <si>
    <t>Стоимость</t>
  </si>
  <si>
    <t>1 месяц</t>
  </si>
  <si>
    <t>12 месяцев</t>
  </si>
  <si>
    <t>Валовая прибыль</t>
  </si>
  <si>
    <t>Организация похорон</t>
  </si>
  <si>
    <t>Услуги захоронения</t>
  </si>
  <si>
    <t>Валовые расходы</t>
  </si>
  <si>
    <t>Налоги</t>
  </si>
  <si>
    <t>Расходы на офис</t>
  </si>
  <si>
    <t>Расходы на предоставление услуг</t>
  </si>
  <si>
    <t>Чистая прибыль</t>
  </si>
  <si>
    <t>Договор на 1 месяц</t>
  </si>
  <si>
    <t>Договор на 3 месяца</t>
  </si>
  <si>
    <t>Договор на 6 месяцев</t>
  </si>
  <si>
    <t>Договор на 12 месяцев</t>
  </si>
  <si>
    <t>Разовая уборка</t>
  </si>
  <si>
    <t>Обрезание деревьев</t>
  </si>
  <si>
    <t>Покраска инфраструктуры</t>
  </si>
  <si>
    <t>за кв м.</t>
  </si>
  <si>
    <t>Услуги по договору</t>
  </si>
  <si>
    <t>Место на кладбище</t>
  </si>
  <si>
    <t>Вырывание могилы</t>
  </si>
  <si>
    <t>Засыпание могилы</t>
  </si>
  <si>
    <t>НДС</t>
  </si>
  <si>
    <t>Налог</t>
  </si>
  <si>
    <t>Пенсионный взнос</t>
  </si>
  <si>
    <t>Платежная система</t>
  </si>
  <si>
    <t>Банковские услуи</t>
  </si>
  <si>
    <t>Страхование</t>
  </si>
  <si>
    <t>Коэф. ЗП</t>
  </si>
  <si>
    <t>Прожиточный минимум (2021)</t>
  </si>
  <si>
    <t>Вывоз мусора</t>
  </si>
  <si>
    <t>Подготовка документов</t>
  </si>
  <si>
    <t>Заказ катафалка</t>
  </si>
  <si>
    <t>Деревянный крест</t>
  </si>
  <si>
    <t>Заказ автобуса</t>
  </si>
  <si>
    <t>Заказ таблички</t>
  </si>
  <si>
    <t>За куб м.</t>
  </si>
  <si>
    <t>Инвентарь</t>
  </si>
  <si>
    <t>Краска</t>
  </si>
  <si>
    <t>Электричество</t>
  </si>
  <si>
    <t>Масло</t>
  </si>
  <si>
    <t>Пестициды</t>
  </si>
  <si>
    <t>Инсектициды</t>
  </si>
  <si>
    <t>Мелкий ремонт</t>
  </si>
  <si>
    <t>Другое</t>
  </si>
  <si>
    <t>Непредвиденные расходы</t>
  </si>
  <si>
    <t>Изготовление креста и таблички</t>
  </si>
  <si>
    <t>УСЛУГИ  И РАБОТЫ</t>
  </si>
  <si>
    <t>Услуги уборки и досмотра</t>
  </si>
  <si>
    <t>Похоронный набор</t>
  </si>
  <si>
    <t>Подтоговка документов</t>
  </si>
  <si>
    <t>Поднос и перенос гроба</t>
  </si>
  <si>
    <t>Подушка и покрывало</t>
  </si>
  <si>
    <t>Гроб</t>
  </si>
  <si>
    <t>Транспортировка тела в морг</t>
  </si>
  <si>
    <t>Услуги по факту</t>
  </si>
  <si>
    <t>Обработка пестицидами</t>
  </si>
  <si>
    <t>Обработка инсектицидами</t>
  </si>
  <si>
    <t>Услуги по захоронению</t>
  </si>
  <si>
    <t>Обрезание деревьев и кустов</t>
  </si>
  <si>
    <t>Заместитель</t>
  </si>
  <si>
    <t>Деловод</t>
  </si>
  <si>
    <t>Складовщик</t>
  </si>
  <si>
    <t>Работник</t>
  </si>
  <si>
    <t>Охранник</t>
  </si>
  <si>
    <t>Столяр</t>
  </si>
  <si>
    <t>Услуга</t>
  </si>
  <si>
    <t>Древесина</t>
  </si>
  <si>
    <t>Покрывало и подушка</t>
  </si>
  <si>
    <t>Участок (с могилой или без), м кв.</t>
  </si>
  <si>
    <t>Площадь кладбища, м кв.</t>
  </si>
  <si>
    <t>Инфраструктура и хозяйство, %</t>
  </si>
  <si>
    <t>Расчет емкости</t>
  </si>
  <si>
    <t>Расчетная вместимость чистая, мест</t>
  </si>
  <si>
    <t>Вместимость кладбища полная, мест</t>
  </si>
  <si>
    <t>Расчет объема разовых услуг, сценарий А</t>
  </si>
  <si>
    <t>Расчет объема разовых услуг, сценарий Б</t>
  </si>
  <si>
    <t>Расчет объема разовых услуг, сценарий В</t>
  </si>
  <si>
    <t>Месяцев</t>
  </si>
  <si>
    <t>Сценарии</t>
  </si>
  <si>
    <t>Вместимость</t>
  </si>
  <si>
    <t>В месяц</t>
  </si>
  <si>
    <t>В год</t>
  </si>
  <si>
    <t>Услуг в год</t>
  </si>
  <si>
    <t>Услуг в месяц</t>
  </si>
  <si>
    <t>Интернет</t>
  </si>
  <si>
    <t>Оргтехника (обслуживание)</t>
  </si>
  <si>
    <t>Бумага</t>
  </si>
  <si>
    <t>Расходники на принтеры</t>
  </si>
  <si>
    <t>Компьютерное обеспечение и программы</t>
  </si>
  <si>
    <t>Канцелярия</t>
  </si>
  <si>
    <t>Стоимость 1 шт.</t>
  </si>
  <si>
    <t>Всего</t>
  </si>
  <si>
    <t>Кол-во</t>
  </si>
  <si>
    <t>Помещения</t>
  </si>
  <si>
    <t>Офис</t>
  </si>
  <si>
    <t>Склад</t>
  </si>
  <si>
    <t>Туалет</t>
  </si>
  <si>
    <t>Ритуальный зал</t>
  </si>
  <si>
    <t>Часовня</t>
  </si>
  <si>
    <t>Пост охраны</t>
  </si>
  <si>
    <t>Хоз.двор</t>
  </si>
  <si>
    <t>Мастерская</t>
  </si>
  <si>
    <t>Мебель</t>
  </si>
  <si>
    <t>Оргтехника и связь</t>
  </si>
  <si>
    <t>Электрические приборы</t>
  </si>
  <si>
    <t>Инвентарь простой</t>
  </si>
  <si>
    <t>Инвентарь механический</t>
  </si>
  <si>
    <t>Спецодежда</t>
  </si>
  <si>
    <t>Спецтехника</t>
  </si>
  <si>
    <t>Угловая шлифмашина</t>
  </si>
  <si>
    <t>Отбойный молоток</t>
  </si>
  <si>
    <t>Сварочный аппарат</t>
  </si>
  <si>
    <t>Грабли</t>
  </si>
  <si>
    <t>Метла</t>
  </si>
  <si>
    <t>Веник</t>
  </si>
  <si>
    <t>Ножницы садовые</t>
  </si>
  <si>
    <t>Лом</t>
  </si>
  <si>
    <t>Секатор</t>
  </si>
  <si>
    <t>Топор</t>
  </si>
  <si>
    <t>Пила</t>
  </si>
  <si>
    <t>Отвертка</t>
  </si>
  <si>
    <t>Гвоздодер</t>
  </si>
  <si>
    <t>Набор ключей</t>
  </si>
  <si>
    <t>Ящик для инструментов</t>
  </si>
  <si>
    <t>Ведро</t>
  </si>
  <si>
    <t>Корзина для мусора</t>
  </si>
  <si>
    <t>Бак для воды</t>
  </si>
  <si>
    <t>Лампы освещения</t>
  </si>
  <si>
    <t>Настольные лампы</t>
  </si>
  <si>
    <t>Удлинитель</t>
  </si>
  <si>
    <t>Кондиционер</t>
  </si>
  <si>
    <t>Фонарь</t>
  </si>
  <si>
    <t>Бойлер водонагревательный</t>
  </si>
  <si>
    <t>Насос</t>
  </si>
  <si>
    <t>Карандаши</t>
  </si>
  <si>
    <t>Планшеты</t>
  </si>
  <si>
    <t>Линейки</t>
  </si>
  <si>
    <t>Резинки</t>
  </si>
  <si>
    <t>Корректор</t>
  </si>
  <si>
    <t>Приходные ордеры</t>
  </si>
  <si>
    <t>Радиотсанции</t>
  </si>
  <si>
    <t>радыо-база</t>
  </si>
  <si>
    <t>Стабилизатор</t>
  </si>
  <si>
    <t>Мышь</t>
  </si>
  <si>
    <t>Клавиатура</t>
  </si>
  <si>
    <t>Стол</t>
  </si>
  <si>
    <t>Стул</t>
  </si>
  <si>
    <t>Шкаф</t>
  </si>
  <si>
    <t>Вешалка</t>
  </si>
  <si>
    <t>Холодильник</t>
  </si>
  <si>
    <t>х12</t>
  </si>
  <si>
    <t>Установка креста и таблички</t>
  </si>
  <si>
    <t>Уборка по факту</t>
  </si>
  <si>
    <t>Услуги по уборке (договор+разовые)</t>
  </si>
  <si>
    <t>Сценарий</t>
  </si>
  <si>
    <t>Расчет сценария</t>
  </si>
  <si>
    <t>Нейтральный</t>
  </si>
  <si>
    <t>Пессимистический</t>
  </si>
  <si>
    <t>Нейтральная</t>
  </si>
  <si>
    <t>Пессимистическая</t>
  </si>
  <si>
    <t>Инструментарий</t>
  </si>
  <si>
    <t>Оптимистический</t>
  </si>
  <si>
    <t>Оптимистическая</t>
  </si>
  <si>
    <t>Стоимость/день</t>
  </si>
  <si>
    <t>Место на кладбище за кв 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</si>
</sst>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[$₴-422]_-;\-* #,##0.00\ [$₴-422]_-;_-* &quot;-&quot;??\ [$₴-422]_-;_-@_-"/>
    <numFmt numFmtId="165" formatCode="0.0%"/>
    <numFmt numFmtId="166" formatCode="_-* #,##0.0\ [$₴-422]_-;\-* #,##0.0\ [$₴-422]_-;_-* &quot;-&quot;?\ [$₴-422]_-;_-@_-"/>
    <numFmt numFmtId="167" formatCode="0_ ;[Red]\-0\ "/>
    <numFmt numFmtId="168" formatCode="0.0"/>
    <numFmt numFmtId="169" formatCode="0.000_ ;[Red]\-0.000\ 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0.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6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1" fillId="0" borderId="0"/>
    <xf numFmtId="17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7">
    <xf numFmtId="0" fontId="0" fillId="0" borderId="0" xfId="0"/>
    <xf numFmtId="9" fontId="0" fillId="0" borderId="0" xfId="0" applyNumberFormat="1"/>
    <xf numFmtId="0" fontId="2" fillId="2" borderId="2" xfId="0" applyFont="1" applyFill="1" applyBorder="1"/>
    <xf numFmtId="0" fontId="2" fillId="0" borderId="2" xfId="0" applyFont="1" applyBorder="1"/>
    <xf numFmtId="44" fontId="2" fillId="0" borderId="2" xfId="0" applyNumberFormat="1" applyFont="1" applyBorder="1"/>
    <xf numFmtId="164" fontId="2" fillId="0" borderId="2" xfId="0" applyNumberFormat="1" applyFont="1" applyBorder="1"/>
    <xf numFmtId="9" fontId="3" fillId="0" borderId="0" xfId="0" applyNumberFormat="1" applyFont="1"/>
    <xf numFmtId="44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0" fontId="2" fillId="0" borderId="3" xfId="0" applyFont="1" applyBorder="1"/>
    <xf numFmtId="165" fontId="0" fillId="0" borderId="3" xfId="0" applyNumberFormat="1" applyBorder="1"/>
    <xf numFmtId="44" fontId="2" fillId="0" borderId="3" xfId="1" applyFont="1" applyBorder="1"/>
    <xf numFmtId="166" fontId="2" fillId="0" borderId="3" xfId="0" applyNumberFormat="1" applyFont="1" applyBorder="1"/>
    <xf numFmtId="0" fontId="2" fillId="2" borderId="0" xfId="0" applyFont="1" applyFill="1"/>
    <xf numFmtId="44" fontId="2" fillId="0" borderId="0" xfId="1" applyFont="1" applyBorder="1"/>
    <xf numFmtId="166" fontId="2" fillId="0" borderId="0" xfId="0" applyNumberFormat="1" applyFont="1"/>
    <xf numFmtId="0" fontId="0" fillId="0" borderId="2" xfId="0" applyBorder="1"/>
    <xf numFmtId="165" fontId="3" fillId="0" borderId="0" xfId="0" applyNumberFormat="1" applyFont="1"/>
    <xf numFmtId="0" fontId="2" fillId="0" borderId="0" xfId="0" applyFont="1"/>
    <xf numFmtId="44" fontId="0" fillId="0" borderId="0" xfId="1" applyFont="1"/>
    <xf numFmtId="166" fontId="0" fillId="0" borderId="0" xfId="0" applyNumberFormat="1"/>
    <xf numFmtId="0" fontId="4" fillId="3" borderId="5" xfId="0" applyFont="1" applyFill="1" applyBorder="1"/>
    <xf numFmtId="9" fontId="5" fillId="0" borderId="0" xfId="0" applyNumberFormat="1" applyFont="1"/>
    <xf numFmtId="165" fontId="5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44" fontId="3" fillId="0" borderId="0" xfId="1" applyFont="1"/>
    <xf numFmtId="0" fontId="2" fillId="2" borderId="1" xfId="0" applyFont="1" applyFill="1" applyBorder="1"/>
    <xf numFmtId="9" fontId="0" fillId="0" borderId="1" xfId="0" applyNumberFormat="1" applyBorder="1"/>
    <xf numFmtId="166" fontId="3" fillId="0" borderId="0" xfId="0" applyNumberFormat="1" applyFont="1"/>
    <xf numFmtId="0" fontId="2" fillId="0" borderId="0" xfId="0" applyFont="1" applyFill="1" applyBorder="1"/>
    <xf numFmtId="164" fontId="2" fillId="0" borderId="0" xfId="0" applyNumberFormat="1" applyFont="1" applyFill="1" applyBorder="1"/>
    <xf numFmtId="166" fontId="2" fillId="2" borderId="2" xfId="0" applyNumberFormat="1" applyFont="1" applyFill="1" applyBorder="1"/>
    <xf numFmtId="0" fontId="2" fillId="0" borderId="0" xfId="0" applyFont="1" applyBorder="1"/>
    <xf numFmtId="165" fontId="0" fillId="0" borderId="0" xfId="0" applyNumberFormat="1" applyBorder="1"/>
    <xf numFmtId="166" fontId="2" fillId="0" borderId="0" xfId="0" applyNumberFormat="1" applyFont="1" applyBorder="1"/>
    <xf numFmtId="166" fontId="2" fillId="0" borderId="2" xfId="0" applyNumberFormat="1" applyFont="1" applyBorder="1"/>
    <xf numFmtId="0" fontId="2" fillId="0" borderId="0" xfId="0" applyFont="1" applyAlignment="1">
      <alignment horizontal="center" vertical="center"/>
    </xf>
    <xf numFmtId="9" fontId="0" fillId="0" borderId="0" xfId="2" applyFont="1" applyAlignment="1">
      <alignment horizontal="center"/>
    </xf>
    <xf numFmtId="165" fontId="0" fillId="0" borderId="3" xfId="0" applyNumberFormat="1" applyBorder="1" applyAlignment="1">
      <alignment horizontal="center"/>
    </xf>
    <xf numFmtId="9" fontId="2" fillId="2" borderId="2" xfId="2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2" fillId="0" borderId="2" xfId="0" applyNumberFormat="1" applyFont="1" applyFill="1" applyBorder="1"/>
    <xf numFmtId="44" fontId="2" fillId="0" borderId="2" xfId="1" applyFont="1" applyFill="1" applyBorder="1"/>
    <xf numFmtId="0" fontId="0" fillId="0" borderId="0" xfId="0" applyFill="1"/>
    <xf numFmtId="166" fontId="0" fillId="0" borderId="0" xfId="0" applyNumberFormat="1" applyFill="1"/>
    <xf numFmtId="0" fontId="0" fillId="0" borderId="1" xfId="0" applyFill="1" applyBorder="1"/>
    <xf numFmtId="44" fontId="2" fillId="0" borderId="3" xfId="1" applyFont="1" applyFill="1" applyBorder="1"/>
    <xf numFmtId="44" fontId="2" fillId="0" borderId="0" xfId="1" applyFont="1" applyFill="1" applyBorder="1"/>
    <xf numFmtId="166" fontId="2" fillId="0" borderId="2" xfId="0" applyNumberFormat="1" applyFont="1" applyFill="1" applyBorder="1"/>
    <xf numFmtId="166" fontId="2" fillId="0" borderId="0" xfId="0" applyNumberFormat="1" applyFont="1" applyFill="1"/>
    <xf numFmtId="166" fontId="2" fillId="0" borderId="1" xfId="0" applyNumberFormat="1" applyFont="1" applyFill="1" applyBorder="1"/>
    <xf numFmtId="166" fontId="2" fillId="0" borderId="3" xfId="0" applyNumberFormat="1" applyFont="1" applyFill="1" applyBorder="1"/>
    <xf numFmtId="166" fontId="2" fillId="0" borderId="0" xfId="0" applyNumberFormat="1" applyFont="1" applyFill="1" applyBorder="1"/>
    <xf numFmtId="9" fontId="2" fillId="0" borderId="0" xfId="0" applyNumberFormat="1" applyFont="1" applyAlignment="1">
      <alignment horizontal="center" vertical="center"/>
    </xf>
    <xf numFmtId="0" fontId="2" fillId="4" borderId="6" xfId="0" applyFont="1" applyFill="1" applyBorder="1"/>
    <xf numFmtId="165" fontId="2" fillId="4" borderId="6" xfId="0" applyNumberFormat="1" applyFont="1" applyFill="1" applyBorder="1"/>
    <xf numFmtId="166" fontId="2" fillId="4" borderId="6" xfId="0" applyNumberFormat="1" applyFont="1" applyFill="1" applyBorder="1"/>
    <xf numFmtId="164" fontId="2" fillId="4" borderId="6" xfId="0" applyNumberFormat="1" applyFont="1" applyFill="1" applyBorder="1"/>
    <xf numFmtId="0" fontId="2" fillId="0" borderId="2" xfId="0" applyFont="1" applyFill="1" applyBorder="1" applyAlignment="1">
      <alignment horizontal="center"/>
    </xf>
    <xf numFmtId="0" fontId="6" fillId="0" borderId="5" xfId="0" applyFont="1" applyFill="1" applyBorder="1"/>
    <xf numFmtId="0" fontId="4" fillId="3" borderId="4" xfId="0" applyFont="1" applyFill="1" applyBorder="1" applyAlignment="1">
      <alignment horizontal="center"/>
    </xf>
    <xf numFmtId="166" fontId="7" fillId="0" borderId="0" xfId="0" applyNumberFormat="1" applyFont="1"/>
    <xf numFmtId="0" fontId="8" fillId="0" borderId="0" xfId="3"/>
    <xf numFmtId="0" fontId="10" fillId="0" borderId="0" xfId="4" applyFont="1"/>
    <xf numFmtId="0" fontId="9" fillId="0" borderId="0" xfId="4"/>
    <xf numFmtId="49" fontId="9" fillId="0" borderId="0" xfId="4" applyNumberFormat="1"/>
    <xf numFmtId="1" fontId="9" fillId="0" borderId="4" xfId="4" applyNumberFormat="1" applyBorder="1" applyAlignment="1">
      <alignment vertical="center" wrapText="1"/>
    </xf>
    <xf numFmtId="0" fontId="9" fillId="0" borderId="0" xfId="4" applyAlignment="1">
      <alignment vertical="center" wrapText="1"/>
    </xf>
    <xf numFmtId="167" fontId="9" fillId="0" borderId="0" xfId="4" applyNumberFormat="1" applyAlignment="1">
      <alignment vertical="center" wrapText="1"/>
    </xf>
    <xf numFmtId="0" fontId="9" fillId="0" borderId="8" xfId="4" applyBorder="1" applyAlignment="1">
      <alignment vertical="center" wrapText="1"/>
    </xf>
    <xf numFmtId="9" fontId="9" fillId="0" borderId="0" xfId="4" applyNumberFormat="1" applyAlignment="1">
      <alignment vertical="center" wrapText="1"/>
    </xf>
    <xf numFmtId="9" fontId="9" fillId="0" borderId="4" xfId="4" applyNumberFormat="1" applyBorder="1" applyAlignment="1">
      <alignment vertical="center" wrapText="1"/>
    </xf>
    <xf numFmtId="168" fontId="9" fillId="0" borderId="0" xfId="4" applyNumberFormat="1" applyAlignment="1">
      <alignment vertical="center" wrapText="1"/>
    </xf>
    <xf numFmtId="2" fontId="9" fillId="0" borderId="0" xfId="4" applyNumberFormat="1" applyAlignment="1">
      <alignment vertical="center" wrapText="1"/>
    </xf>
    <xf numFmtId="0" fontId="9" fillId="0" borderId="4" xfId="4" applyBorder="1"/>
    <xf numFmtId="0" fontId="9" fillId="0" borderId="4" xfId="4" applyBorder="1" applyAlignment="1">
      <alignment vertical="center" wrapText="1"/>
    </xf>
    <xf numFmtId="0" fontId="10" fillId="0" borderId="4" xfId="4" applyFont="1" applyBorder="1" applyAlignment="1">
      <alignment horizontal="center" vertical="center" wrapText="1"/>
    </xf>
    <xf numFmtId="9" fontId="9" fillId="0" borderId="4" xfId="4" applyNumberFormat="1" applyBorder="1" applyAlignment="1">
      <alignment horizontal="center" vertical="center" wrapText="1"/>
    </xf>
    <xf numFmtId="0" fontId="9" fillId="0" borderId="12" xfId="4" applyBorder="1"/>
    <xf numFmtId="167" fontId="9" fillId="0" borderId="5" xfId="4" applyNumberFormat="1" applyBorder="1"/>
    <xf numFmtId="49" fontId="9" fillId="0" borderId="4" xfId="4" applyNumberFormat="1" applyBorder="1"/>
    <xf numFmtId="167" fontId="9" fillId="0" borderId="12" xfId="4" applyNumberFormat="1" applyBorder="1"/>
    <xf numFmtId="167" fontId="9" fillId="0" borderId="4" xfId="4" applyNumberFormat="1" applyBorder="1"/>
    <xf numFmtId="167" fontId="9" fillId="0" borderId="0" xfId="4" applyNumberFormat="1"/>
    <xf numFmtId="0" fontId="9" fillId="0" borderId="5" xfId="4" applyBorder="1" applyAlignment="1">
      <alignment vertical="center"/>
    </xf>
    <xf numFmtId="9" fontId="9" fillId="0" borderId="5" xfId="4" applyNumberFormat="1" applyBorder="1" applyAlignment="1">
      <alignment vertical="center"/>
    </xf>
    <xf numFmtId="169" fontId="9" fillId="0" borderId="5" xfId="4" applyNumberFormat="1" applyBorder="1"/>
    <xf numFmtId="0" fontId="9" fillId="0" borderId="4" xfId="4" applyBorder="1" applyAlignment="1">
      <alignment vertical="center"/>
    </xf>
    <xf numFmtId="9" fontId="9" fillId="0" borderId="4" xfId="4" applyNumberFormat="1" applyBorder="1" applyAlignment="1">
      <alignment vertical="center"/>
    </xf>
    <xf numFmtId="169" fontId="9" fillId="0" borderId="4" xfId="4" applyNumberFormat="1" applyBorder="1"/>
    <xf numFmtId="9" fontId="0" fillId="0" borderId="0" xfId="5" applyFont="1"/>
    <xf numFmtId="0" fontId="11" fillId="0" borderId="0" xfId="6"/>
    <xf numFmtId="0" fontId="12" fillId="0" borderId="0" xfId="6" applyFont="1"/>
    <xf numFmtId="2" fontId="12" fillId="0" borderId="0" xfId="6" applyNumberFormat="1" applyFont="1"/>
    <xf numFmtId="0" fontId="13" fillId="0" borderId="0" xfId="6" applyFont="1"/>
    <xf numFmtId="0" fontId="14" fillId="5" borderId="13" xfId="6" applyFont="1" applyFill="1" applyBorder="1"/>
    <xf numFmtId="0" fontId="15" fillId="5" borderId="14" xfId="6" applyFont="1" applyFill="1" applyBorder="1"/>
    <xf numFmtId="0" fontId="12" fillId="6" borderId="15" xfId="6" applyFont="1" applyFill="1" applyBorder="1"/>
    <xf numFmtId="170" fontId="12" fillId="6" borderId="16" xfId="7" applyFont="1" applyFill="1" applyBorder="1"/>
    <xf numFmtId="0" fontId="14" fillId="5" borderId="0" xfId="6" applyFont="1" applyFill="1"/>
    <xf numFmtId="0" fontId="11" fillId="0" borderId="0" xfId="6" applyAlignment="1">
      <alignment horizontal="center"/>
    </xf>
    <xf numFmtId="1" fontId="12" fillId="0" borderId="0" xfId="7" applyNumberFormat="1" applyFont="1" applyFill="1" applyBorder="1" applyAlignment="1">
      <alignment horizontal="center"/>
    </xf>
    <xf numFmtId="1" fontId="12" fillId="0" borderId="0" xfId="7" applyNumberFormat="1" applyFont="1" applyFill="1" applyBorder="1"/>
    <xf numFmtId="10" fontId="12" fillId="6" borderId="16" xfId="8" applyNumberFormat="1" applyFont="1" applyFill="1" applyBorder="1"/>
    <xf numFmtId="170" fontId="12" fillId="0" borderId="0" xfId="7" applyFont="1" applyFill="1" applyBorder="1"/>
    <xf numFmtId="0" fontId="12" fillId="6" borderId="17" xfId="6" applyFont="1" applyFill="1" applyBorder="1"/>
    <xf numFmtId="0" fontId="12" fillId="6" borderId="18" xfId="6" applyFont="1" applyFill="1" applyBorder="1"/>
    <xf numFmtId="171" fontId="12" fillId="0" borderId="0" xfId="7" applyNumberFormat="1" applyFont="1" applyFill="1" applyBorder="1"/>
    <xf numFmtId="0" fontId="14" fillId="7" borderId="19" xfId="6" applyFont="1" applyFill="1" applyBorder="1"/>
    <xf numFmtId="0" fontId="15" fillId="7" borderId="20" xfId="6" applyFont="1" applyFill="1" applyBorder="1"/>
    <xf numFmtId="0" fontId="12" fillId="8" borderId="19" xfId="6" applyFont="1" applyFill="1" applyBorder="1"/>
    <xf numFmtId="170" fontId="12" fillId="8" borderId="20" xfId="7" applyFont="1" applyFill="1" applyBorder="1"/>
    <xf numFmtId="1" fontId="12" fillId="0" borderId="0" xfId="6" applyNumberFormat="1" applyFont="1" applyAlignment="1">
      <alignment horizontal="right"/>
    </xf>
    <xf numFmtId="1" fontId="12" fillId="0" borderId="0" xfId="6" applyNumberFormat="1" applyFont="1"/>
    <xf numFmtId="0" fontId="12" fillId="8" borderId="17" xfId="6" applyFont="1" applyFill="1" applyBorder="1"/>
    <xf numFmtId="170" fontId="12" fillId="8" borderId="21" xfId="7" applyFont="1" applyFill="1" applyBorder="1"/>
    <xf numFmtId="172" fontId="11" fillId="0" borderId="0" xfId="6" applyNumberFormat="1"/>
    <xf numFmtId="170" fontId="11" fillId="0" borderId="0" xfId="6" applyNumberFormat="1"/>
    <xf numFmtId="43" fontId="0" fillId="0" borderId="0" xfId="9" applyFont="1"/>
    <xf numFmtId="170" fontId="12" fillId="0" borderId="21" xfId="7" applyFont="1" applyFill="1" applyBorder="1"/>
    <xf numFmtId="44" fontId="11" fillId="0" borderId="0" xfId="6" applyNumberFormat="1"/>
    <xf numFmtId="43" fontId="12" fillId="8" borderId="21" xfId="9" applyFont="1" applyFill="1" applyBorder="1"/>
    <xf numFmtId="0" fontId="2" fillId="2" borderId="0" xfId="0" applyFont="1" applyFill="1" applyBorder="1"/>
    <xf numFmtId="165" fontId="2" fillId="0" borderId="0" xfId="0" applyNumberFormat="1" applyFont="1" applyFill="1" applyBorder="1"/>
    <xf numFmtId="164" fontId="2" fillId="0" borderId="0" xfId="0" applyNumberFormat="1" applyFont="1" applyBorder="1"/>
    <xf numFmtId="43" fontId="0" fillId="0" borderId="0" xfId="10" applyNumberFormat="1" applyFont="1"/>
    <xf numFmtId="43" fontId="0" fillId="0" borderId="0" xfId="0" applyNumberFormat="1"/>
    <xf numFmtId="0" fontId="3" fillId="0" borderId="0" xfId="0" applyFont="1" applyAlignment="1">
      <alignment horizontal="center"/>
    </xf>
    <xf numFmtId="9" fontId="2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2" fillId="0" borderId="25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0" fillId="0" borderId="0" xfId="2" applyFont="1" applyFill="1" applyAlignment="1">
      <alignment horizontal="center"/>
    </xf>
    <xf numFmtId="9" fontId="0" fillId="0" borderId="1" xfId="2" applyFont="1" applyFill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9" fontId="17" fillId="0" borderId="0" xfId="0" applyNumberFormat="1" applyFont="1"/>
    <xf numFmtId="2" fontId="18" fillId="0" borderId="0" xfId="0" applyNumberFormat="1" applyFont="1"/>
    <xf numFmtId="164" fontId="2" fillId="0" borderId="0" xfId="0" applyNumberFormat="1" applyFont="1"/>
    <xf numFmtId="2" fontId="19" fillId="0" borderId="0" xfId="0" applyNumberFormat="1" applyFont="1"/>
    <xf numFmtId="164" fontId="19" fillId="4" borderId="6" xfId="0" applyNumberFormat="1" applyFont="1" applyFill="1" applyBorder="1"/>
    <xf numFmtId="164" fontId="20" fillId="4" borderId="6" xfId="0" applyNumberFormat="1" applyFont="1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4" fillId="3" borderId="12" xfId="0" applyFont="1" applyFill="1" applyBorder="1" applyAlignment="1">
      <alignment horizontal="center"/>
    </xf>
    <xf numFmtId="9" fontId="4" fillId="3" borderId="12" xfId="2" applyFont="1" applyFill="1" applyBorder="1" applyAlignment="1">
      <alignment horizontal="center"/>
    </xf>
    <xf numFmtId="2" fontId="4" fillId="0" borderId="0" xfId="0" applyNumberFormat="1" applyFont="1"/>
    <xf numFmtId="0" fontId="0" fillId="0" borderId="0" xfId="0" applyAlignment="1">
      <alignment horizontal="center" textRotation="90"/>
    </xf>
    <xf numFmtId="9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/>
    <xf numFmtId="0" fontId="0" fillId="0" borderId="22" xfId="0" applyBorder="1"/>
    <xf numFmtId="0" fontId="0" fillId="0" borderId="22" xfId="0" applyBorder="1" applyAlignment="1">
      <alignment horizontal="center" textRotation="90"/>
    </xf>
    <xf numFmtId="0" fontId="0" fillId="0" borderId="20" xfId="0" applyBorder="1" applyAlignment="1">
      <alignment horizontal="center" textRotation="90"/>
    </xf>
    <xf numFmtId="0" fontId="0" fillId="0" borderId="15" xfId="0" applyBorder="1"/>
    <xf numFmtId="0" fontId="0" fillId="0" borderId="15" xfId="0" applyBorder="1" applyAlignment="1">
      <alignment horizontal="right"/>
    </xf>
    <xf numFmtId="0" fontId="0" fillId="0" borderId="17" xfId="0" applyBorder="1" applyAlignment="1">
      <alignment horizontal="right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6" fillId="0" borderId="26" xfId="0" applyFont="1" applyBorder="1" applyAlignment="1">
      <alignment horizontal="center" vertical="center" textRotation="90"/>
    </xf>
    <xf numFmtId="0" fontId="16" fillId="0" borderId="27" xfId="0" applyFont="1" applyBorder="1" applyAlignment="1">
      <alignment horizontal="center" vertical="center" textRotation="90"/>
    </xf>
    <xf numFmtId="0" fontId="16" fillId="0" borderId="19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9" fillId="0" borderId="12" xfId="4" applyBorder="1" applyAlignment="1">
      <alignment horizontal="left" vertical="center"/>
    </xf>
    <xf numFmtId="0" fontId="9" fillId="0" borderId="4" xfId="4" applyBorder="1" applyAlignment="1">
      <alignment horizontal="left" vertical="center"/>
    </xf>
    <xf numFmtId="0" fontId="9" fillId="0" borderId="5" xfId="4" applyBorder="1" applyAlignment="1">
      <alignment horizontal="left" vertical="center"/>
    </xf>
    <xf numFmtId="0" fontId="10" fillId="0" borderId="5" xfId="4" applyFont="1" applyBorder="1" applyAlignment="1">
      <alignment horizontal="left" vertical="center"/>
    </xf>
    <xf numFmtId="0" fontId="9" fillId="0" borderId="4" xfId="4" applyBorder="1" applyAlignment="1">
      <alignment horizontal="center" vertical="center"/>
    </xf>
    <xf numFmtId="0" fontId="9" fillId="0" borderId="12" xfId="4" applyBorder="1" applyAlignment="1">
      <alignment horizontal="center" vertical="center"/>
    </xf>
    <xf numFmtId="49" fontId="9" fillId="0" borderId="4" xfId="4" applyNumberFormat="1" applyBorder="1" applyAlignment="1">
      <alignment horizontal="center" vertical="center"/>
    </xf>
    <xf numFmtId="0" fontId="9" fillId="0" borderId="4" xfId="4" applyBorder="1" applyAlignment="1">
      <alignment horizontal="center" vertical="center" wrapText="1"/>
    </xf>
    <xf numFmtId="0" fontId="9" fillId="0" borderId="7" xfId="4" applyBorder="1" applyAlignment="1">
      <alignment horizontal="center" vertical="center" wrapText="1"/>
    </xf>
    <xf numFmtId="0" fontId="9" fillId="0" borderId="0" xfId="4" applyAlignment="1">
      <alignment horizontal="center" vertical="center" wrapText="1"/>
    </xf>
    <xf numFmtId="0" fontId="9" fillId="0" borderId="9" xfId="4" applyBorder="1" applyAlignment="1">
      <alignment horizontal="center" vertical="center" wrapText="1"/>
    </xf>
    <xf numFmtId="0" fontId="9" fillId="0" borderId="10" xfId="4" applyBorder="1" applyAlignment="1">
      <alignment horizontal="center" vertical="center" wrapText="1"/>
    </xf>
    <xf numFmtId="0" fontId="9" fillId="0" borderId="11" xfId="4" applyBorder="1" applyAlignment="1">
      <alignment horizontal="center" vertical="center" wrapText="1"/>
    </xf>
    <xf numFmtId="0" fontId="0" fillId="0" borderId="20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9" xfId="0" applyBorder="1"/>
    <xf numFmtId="0" fontId="3" fillId="0" borderId="0" xfId="0" applyFont="1" applyBorder="1"/>
    <xf numFmtId="9" fontId="3" fillId="0" borderId="0" xfId="0" applyNumberFormat="1" applyFont="1" applyBorder="1"/>
    <xf numFmtId="9" fontId="0" fillId="0" borderId="0" xfId="0" applyNumberFormat="1" applyBorder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7" xfId="0" applyBorder="1"/>
    <xf numFmtId="0" fontId="0" fillId="0" borderId="21" xfId="0" applyBorder="1"/>
    <xf numFmtId="164" fontId="21" fillId="4" borderId="6" xfId="0" applyNumberFormat="1" applyFont="1" applyFill="1" applyBorder="1"/>
    <xf numFmtId="0" fontId="2" fillId="0" borderId="1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</cellXfs>
  <cellStyles count="11">
    <cellStyle name="Comma" xfId="10" builtinId="3"/>
    <cellStyle name="Comma 2" xfId="9" xr:uid="{7949D386-EA2A-45A5-82A0-9A12D1E68225}"/>
    <cellStyle name="Currency" xfId="1" builtinId="4"/>
    <cellStyle name="Currency 2" xfId="7" xr:uid="{58C11284-610B-48DF-BA49-E6CECDB7369A}"/>
    <cellStyle name="Hyperlink" xfId="3" builtinId="8"/>
    <cellStyle name="Normal" xfId="0" builtinId="0"/>
    <cellStyle name="Normal 2" xfId="4" xr:uid="{45B1C1A0-3791-401C-B0C7-B45D7526DCAE}"/>
    <cellStyle name="Normal 3" xfId="6" xr:uid="{DF407ED3-BFB7-4168-ADA5-D96BC7307438}"/>
    <cellStyle name="Percent" xfId="2" builtinId="5"/>
    <cellStyle name="Percent 2" xfId="5" xr:uid="{4B65D7BB-788C-45B9-95B5-1C054489E2DA}"/>
    <cellStyle name="Percent 3" xfId="8" xr:uid="{A13E8A19-A62A-4BE1-B7C8-5EB497D18684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takeuchi.com.ua/?gclid=Cj0KCQjwy8f6BRC7ARIsAPIXOjgMuZztmlUz919eNmbxbXhq8Vnp2mR1JoO8RqPaTWxXbI5o5LpNnugaAjaiEALw_wcB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79FC-EBEF-4951-BA72-B6DD606FE162}">
  <sheetPr>
    <pageSetUpPr fitToPage="1"/>
  </sheetPr>
  <dimension ref="B1:M28"/>
  <sheetViews>
    <sheetView showGridLines="0" tabSelected="1" workbookViewId="0">
      <selection activeCell="P18" sqref="P18"/>
    </sheetView>
  </sheetViews>
  <sheetFormatPr defaultRowHeight="15" x14ac:dyDescent="0.25"/>
  <cols>
    <col min="1" max="1" width="9.7109375" customWidth="1"/>
    <col min="2" max="2" width="2.42578125" customWidth="1"/>
    <col min="3" max="3" width="40" bestFit="1" customWidth="1"/>
    <col min="4" max="4" width="9" bestFit="1" customWidth="1"/>
    <col min="5" max="5" width="7.140625" customWidth="1"/>
    <col min="6" max="6" width="6.7109375" customWidth="1"/>
    <col min="7" max="7" width="7.28515625" customWidth="1"/>
    <col min="8" max="8" width="4.42578125" customWidth="1"/>
    <col min="9" max="9" width="5.7109375" customWidth="1"/>
    <col min="10" max="10" width="5" customWidth="1"/>
    <col min="11" max="12" width="5.42578125" customWidth="1"/>
    <col min="13" max="13" width="2.7109375" customWidth="1"/>
    <col min="14" max="14" width="4.7109375" customWidth="1"/>
    <col min="15" max="15" width="5.140625" customWidth="1"/>
    <col min="16" max="16" width="5" customWidth="1"/>
    <col min="17" max="17" width="5.140625" customWidth="1"/>
    <col min="18" max="18" width="5" customWidth="1"/>
  </cols>
  <sheetData>
    <row r="1" spans="2:13" ht="21" customHeight="1" thickBot="1" x14ac:dyDescent="0.3"/>
    <row r="2" spans="2:13" ht="13.5" customHeight="1" x14ac:dyDescent="0.25">
      <c r="B2" s="163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91"/>
    </row>
    <row r="3" spans="2:13" x14ac:dyDescent="0.25">
      <c r="B3" s="167"/>
      <c r="C3" s="3" t="s">
        <v>204</v>
      </c>
      <c r="D3" s="192"/>
      <c r="E3" s="192"/>
      <c r="F3" s="193"/>
      <c r="G3" s="192"/>
      <c r="H3" s="192"/>
      <c r="I3" s="192"/>
      <c r="J3" s="192"/>
      <c r="K3" s="192"/>
      <c r="L3" s="192"/>
      <c r="M3" s="194"/>
    </row>
    <row r="4" spans="2:13" x14ac:dyDescent="0.25">
      <c r="B4" s="167"/>
      <c r="C4" s="192" t="s">
        <v>202</v>
      </c>
      <c r="D4" s="192"/>
      <c r="E4" s="195">
        <v>85000</v>
      </c>
      <c r="F4" s="193"/>
      <c r="G4" s="192"/>
      <c r="H4" s="192"/>
      <c r="I4" s="192"/>
      <c r="J4" s="192"/>
      <c r="K4" s="192"/>
      <c r="L4" s="192"/>
      <c r="M4" s="194"/>
    </row>
    <row r="5" spans="2:13" x14ac:dyDescent="0.25">
      <c r="B5" s="167"/>
      <c r="C5" s="192" t="s">
        <v>201</v>
      </c>
      <c r="D5" s="192"/>
      <c r="E5" s="195">
        <v>10</v>
      </c>
      <c r="F5" s="193"/>
      <c r="G5" s="192"/>
      <c r="H5" s="192"/>
      <c r="I5" s="192"/>
      <c r="J5" s="192"/>
      <c r="K5" s="192"/>
      <c r="L5" s="192"/>
      <c r="M5" s="194"/>
    </row>
    <row r="6" spans="2:13" x14ac:dyDescent="0.25">
      <c r="B6" s="167"/>
      <c r="C6" s="3" t="s">
        <v>206</v>
      </c>
      <c r="D6" s="192"/>
      <c r="E6" s="36">
        <f>E4/E5</f>
        <v>8500</v>
      </c>
      <c r="F6" s="193"/>
      <c r="G6" s="192"/>
      <c r="H6" s="192"/>
      <c r="I6" s="192"/>
      <c r="J6" s="192"/>
      <c r="K6" s="192"/>
      <c r="L6" s="192"/>
      <c r="M6" s="194"/>
    </row>
    <row r="7" spans="2:13" x14ac:dyDescent="0.25">
      <c r="B7" s="167"/>
      <c r="C7" s="192" t="s">
        <v>203</v>
      </c>
      <c r="D7" s="196">
        <v>0.1</v>
      </c>
      <c r="E7" s="192">
        <f>E6*D7</f>
        <v>850</v>
      </c>
      <c r="F7" s="193"/>
      <c r="G7" s="192"/>
      <c r="H7" s="192"/>
      <c r="I7" s="192"/>
      <c r="J7" s="192"/>
      <c r="K7" s="192"/>
      <c r="L7" s="192"/>
      <c r="M7" s="194"/>
    </row>
    <row r="8" spans="2:13" x14ac:dyDescent="0.25">
      <c r="B8" s="167"/>
      <c r="C8" s="192"/>
      <c r="D8" s="197"/>
      <c r="E8" s="192"/>
      <c r="F8" s="193"/>
      <c r="G8" s="192"/>
      <c r="H8" s="192"/>
      <c r="I8" s="192"/>
      <c r="J8" s="192"/>
      <c r="K8" s="192"/>
      <c r="L8" s="192"/>
      <c r="M8" s="194"/>
    </row>
    <row r="9" spans="2:13" x14ac:dyDescent="0.25">
      <c r="B9" s="167"/>
      <c r="C9" s="3" t="s">
        <v>205</v>
      </c>
      <c r="D9" s="192"/>
      <c r="E9" s="36">
        <f>E6-E7</f>
        <v>7650</v>
      </c>
      <c r="F9" s="193"/>
      <c r="G9" s="192"/>
      <c r="H9" s="192"/>
      <c r="I9" s="192"/>
      <c r="J9" s="192"/>
      <c r="K9" s="192"/>
      <c r="L9" s="192"/>
      <c r="M9" s="194"/>
    </row>
    <row r="10" spans="2:13" x14ac:dyDescent="0.25">
      <c r="B10" s="167"/>
      <c r="C10" s="192" t="str">
        <f>"А - Оптимистический сценарий ("&amp;D10*100&amp;"%)"</f>
        <v>А - Оптимистический сценарий (90%)</v>
      </c>
      <c r="D10" s="196">
        <v>0.9</v>
      </c>
      <c r="E10" s="192">
        <f>D10*$E$9</f>
        <v>6885</v>
      </c>
      <c r="F10" s="193"/>
      <c r="G10" s="192"/>
      <c r="H10" s="192"/>
      <c r="I10" s="192"/>
      <c r="J10" s="192"/>
      <c r="K10" s="192"/>
      <c r="L10" s="192"/>
      <c r="M10" s="194"/>
    </row>
    <row r="11" spans="2:13" x14ac:dyDescent="0.25">
      <c r="B11" s="167"/>
      <c r="C11" s="192" t="str">
        <f>"Б - Нейтральный сценарий ("&amp;D11*100&amp;"%)"</f>
        <v>Б - Нейтральный сценарий (80%)</v>
      </c>
      <c r="D11" s="196">
        <v>0.8</v>
      </c>
      <c r="E11" s="192">
        <f t="shared" ref="E11:E12" si="0">D11*$E$9</f>
        <v>6120</v>
      </c>
      <c r="F11" s="193"/>
      <c r="G11" s="192"/>
      <c r="H11" s="192"/>
      <c r="I11" s="192"/>
      <c r="J11" s="192"/>
      <c r="K11" s="192"/>
      <c r="L11" s="192"/>
      <c r="M11" s="194"/>
    </row>
    <row r="12" spans="2:13" x14ac:dyDescent="0.25">
      <c r="B12" s="167"/>
      <c r="C12" s="192" t="str">
        <f>"В - Пессимистический сценарий ("&amp;D12*100&amp;"%)"</f>
        <v>В - Пессимистический сценарий (70%)</v>
      </c>
      <c r="D12" s="196">
        <v>0.7</v>
      </c>
      <c r="E12" s="192">
        <f t="shared" si="0"/>
        <v>5355</v>
      </c>
      <c r="F12" s="193"/>
      <c r="G12" s="192"/>
      <c r="H12" s="192"/>
      <c r="I12" s="192"/>
      <c r="J12" s="192"/>
      <c r="K12" s="192"/>
      <c r="L12" s="192"/>
      <c r="M12" s="194"/>
    </row>
    <row r="13" spans="2:13" x14ac:dyDescent="0.25">
      <c r="B13" s="167"/>
      <c r="C13" s="192"/>
      <c r="D13" s="192"/>
      <c r="E13" s="192"/>
      <c r="F13" s="193"/>
      <c r="G13" s="192"/>
      <c r="H13" s="192"/>
      <c r="I13" s="192"/>
      <c r="J13" s="192"/>
      <c r="K13" s="192"/>
      <c r="L13" s="192"/>
      <c r="M13" s="194"/>
    </row>
    <row r="14" spans="2:13" x14ac:dyDescent="0.25">
      <c r="B14" s="167"/>
      <c r="C14" s="36" t="s">
        <v>207</v>
      </c>
      <c r="D14" s="36" t="s">
        <v>210</v>
      </c>
      <c r="E14" s="36">
        <v>12</v>
      </c>
      <c r="F14" s="198">
        <v>1</v>
      </c>
      <c r="G14" s="192"/>
      <c r="H14" s="192"/>
      <c r="I14" s="192"/>
      <c r="J14" s="192"/>
      <c r="K14" s="192"/>
      <c r="L14" s="192"/>
      <c r="M14" s="194"/>
    </row>
    <row r="15" spans="2:13" ht="15.75" thickBot="1" x14ac:dyDescent="0.3">
      <c r="B15" s="167"/>
      <c r="C15" s="192" t="str">
        <f>"Оптимистический сценарий ("&amp;D15*100&amp;"%)"</f>
        <v>Оптимистический сценарий (30%)</v>
      </c>
      <c r="D15" s="196">
        <v>0.3</v>
      </c>
      <c r="E15" s="192">
        <f>ROUNDDOWN(D15*$E$10,0)</f>
        <v>2065</v>
      </c>
      <c r="F15" s="199">
        <f>ROUNDDOWN(E15/$E$14,0)</f>
        <v>172</v>
      </c>
      <c r="G15" s="192"/>
      <c r="H15" s="192"/>
      <c r="I15" s="192"/>
      <c r="J15" s="192"/>
      <c r="K15" s="192"/>
      <c r="L15" s="192"/>
      <c r="M15" s="194"/>
    </row>
    <row r="16" spans="2:13" ht="15" customHeight="1" x14ac:dyDescent="0.25">
      <c r="B16" s="167"/>
      <c r="C16" s="192" t="str">
        <f>"Нейтральный сценарий ("&amp;D16*100&amp;"%)"</f>
        <v>Нейтральный сценарий (20%)</v>
      </c>
      <c r="D16" s="196">
        <v>0.2</v>
      </c>
      <c r="E16" s="192">
        <f t="shared" ref="E16:E17" si="1">ROUNDDOWN(D16*$E$10,0)</f>
        <v>1377</v>
      </c>
      <c r="F16" s="199">
        <f t="shared" ref="F16:F17" si="2">ROUNDDOWN(E16/$E$14,0)</f>
        <v>114</v>
      </c>
      <c r="G16" s="192"/>
      <c r="H16" s="174" t="s">
        <v>215</v>
      </c>
      <c r="I16" s="175"/>
      <c r="J16" s="170" t="s">
        <v>212</v>
      </c>
      <c r="K16" s="170"/>
      <c r="L16" s="171"/>
      <c r="M16" s="194"/>
    </row>
    <row r="17" spans="2:13" x14ac:dyDescent="0.25">
      <c r="B17" s="167"/>
      <c r="C17" s="192" t="str">
        <f>"Пессимистический сценарий ("&amp;D17*100&amp;"%)"</f>
        <v>Пессимистический сценарий (10%)</v>
      </c>
      <c r="D17" s="196">
        <v>0.1</v>
      </c>
      <c r="E17" s="192">
        <f t="shared" si="1"/>
        <v>688</v>
      </c>
      <c r="F17" s="199">
        <f t="shared" si="2"/>
        <v>57</v>
      </c>
      <c r="G17" s="192"/>
      <c r="H17" s="176"/>
      <c r="I17" s="177"/>
      <c r="J17" s="132">
        <f>D10</f>
        <v>0.9</v>
      </c>
      <c r="K17" s="132">
        <f>D11</f>
        <v>0.8</v>
      </c>
      <c r="L17" s="134">
        <f>D12</f>
        <v>0.7</v>
      </c>
      <c r="M17" s="194"/>
    </row>
    <row r="18" spans="2:13" ht="15" customHeight="1" x14ac:dyDescent="0.25">
      <c r="B18" s="167"/>
      <c r="C18" s="192"/>
      <c r="D18" s="192"/>
      <c r="E18" s="192"/>
      <c r="F18" s="199"/>
      <c r="G18" s="192"/>
      <c r="H18" s="172" t="s">
        <v>211</v>
      </c>
      <c r="I18" s="132">
        <f t="shared" ref="I18:J20" si="3">D15</f>
        <v>0.3</v>
      </c>
      <c r="J18" s="133">
        <f t="shared" si="3"/>
        <v>2065</v>
      </c>
      <c r="K18" s="133">
        <f>E20</f>
        <v>1836</v>
      </c>
      <c r="L18" s="135">
        <f>E25</f>
        <v>1606</v>
      </c>
      <c r="M18" s="194"/>
    </row>
    <row r="19" spans="2:13" x14ac:dyDescent="0.25">
      <c r="B19" s="167"/>
      <c r="C19" s="36" t="s">
        <v>208</v>
      </c>
      <c r="D19" s="36" t="s">
        <v>210</v>
      </c>
      <c r="E19" s="36">
        <v>12</v>
      </c>
      <c r="F19" s="198">
        <v>1</v>
      </c>
      <c r="G19" s="192"/>
      <c r="H19" s="172"/>
      <c r="I19" s="132">
        <f t="shared" si="3"/>
        <v>0.2</v>
      </c>
      <c r="J19" s="133">
        <f t="shared" si="3"/>
        <v>1377</v>
      </c>
      <c r="K19" s="133">
        <f>E21</f>
        <v>1224</v>
      </c>
      <c r="L19" s="135">
        <f>E26</f>
        <v>1071</v>
      </c>
      <c r="M19" s="194"/>
    </row>
    <row r="20" spans="2:13" ht="15.75" thickBot="1" x14ac:dyDescent="0.3">
      <c r="B20" s="167"/>
      <c r="C20" s="192" t="str">
        <f>"Оптимистический сценарий ("&amp;D20*100&amp;"%)"</f>
        <v>Оптимистический сценарий (30%)</v>
      </c>
      <c r="D20" s="196">
        <v>0.3</v>
      </c>
      <c r="E20" s="192">
        <f>ROUNDDOWN(D20*$E$11,0)</f>
        <v>1836</v>
      </c>
      <c r="F20" s="199">
        <f>ROUNDDOWN(E20/$E$14,0)</f>
        <v>153</v>
      </c>
      <c r="G20" s="192"/>
      <c r="H20" s="173"/>
      <c r="I20" s="136">
        <f t="shared" si="3"/>
        <v>0.1</v>
      </c>
      <c r="J20" s="137">
        <f t="shared" si="3"/>
        <v>688</v>
      </c>
      <c r="K20" s="137">
        <f>E22</f>
        <v>612</v>
      </c>
      <c r="L20" s="138">
        <f>E27</f>
        <v>535</v>
      </c>
      <c r="M20" s="194"/>
    </row>
    <row r="21" spans="2:13" x14ac:dyDescent="0.25">
      <c r="B21" s="167"/>
      <c r="C21" s="192" t="str">
        <f>"Нейтральный сценарий ("&amp;D21*100&amp;"%)"</f>
        <v>Нейтральный сценарий (20%)</v>
      </c>
      <c r="D21" s="196">
        <v>0.2</v>
      </c>
      <c r="E21" s="192">
        <f t="shared" ref="E21:E22" si="4">ROUNDDOWN(D21*$E$11,0)</f>
        <v>1224</v>
      </c>
      <c r="F21" s="199">
        <f t="shared" ref="F21:F22" si="5">ROUNDDOWN(E21/$E$14,0)</f>
        <v>102</v>
      </c>
      <c r="G21" s="192"/>
      <c r="H21" s="192"/>
      <c r="I21" s="192"/>
      <c r="J21" s="192"/>
      <c r="K21" s="192"/>
      <c r="L21" s="192"/>
      <c r="M21" s="194"/>
    </row>
    <row r="22" spans="2:13" ht="15.75" thickBot="1" x14ac:dyDescent="0.3">
      <c r="B22" s="167"/>
      <c r="C22" s="192" t="str">
        <f>"Пессимистический сценарий ("&amp;D22*100&amp;"%)"</f>
        <v>Пессимистический сценарий (10%)</v>
      </c>
      <c r="D22" s="196">
        <v>0.1</v>
      </c>
      <c r="E22" s="192">
        <f t="shared" si="4"/>
        <v>612</v>
      </c>
      <c r="F22" s="199">
        <f t="shared" si="5"/>
        <v>51</v>
      </c>
      <c r="G22" s="192"/>
      <c r="H22" s="192"/>
      <c r="I22" s="192"/>
      <c r="J22" s="192"/>
      <c r="K22" s="192"/>
      <c r="L22" s="192"/>
      <c r="M22" s="194"/>
    </row>
    <row r="23" spans="2:13" x14ac:dyDescent="0.25">
      <c r="B23" s="167"/>
      <c r="C23" s="192"/>
      <c r="D23" s="192"/>
      <c r="E23" s="192"/>
      <c r="F23" s="199"/>
      <c r="G23" s="192"/>
      <c r="H23" s="174" t="s">
        <v>216</v>
      </c>
      <c r="I23" s="175"/>
      <c r="J23" s="170" t="s">
        <v>212</v>
      </c>
      <c r="K23" s="170"/>
      <c r="L23" s="171"/>
      <c r="M23" s="194"/>
    </row>
    <row r="24" spans="2:13" x14ac:dyDescent="0.25">
      <c r="B24" s="167"/>
      <c r="C24" s="36" t="s">
        <v>209</v>
      </c>
      <c r="D24" s="36" t="s">
        <v>210</v>
      </c>
      <c r="E24" s="36">
        <v>12</v>
      </c>
      <c r="F24" s="198">
        <v>1</v>
      </c>
      <c r="G24" s="192"/>
      <c r="H24" s="176"/>
      <c r="I24" s="177"/>
      <c r="J24" s="132">
        <f>D10</f>
        <v>0.9</v>
      </c>
      <c r="K24" s="132">
        <f>D11</f>
        <v>0.8</v>
      </c>
      <c r="L24" s="134">
        <f>D12</f>
        <v>0.7</v>
      </c>
      <c r="M24" s="194"/>
    </row>
    <row r="25" spans="2:13" x14ac:dyDescent="0.25">
      <c r="B25" s="167"/>
      <c r="C25" s="192" t="str">
        <f>"Оптимистический сценарий ("&amp;D25*100&amp;"%)"</f>
        <v>Оптимистический сценарий (30%)</v>
      </c>
      <c r="D25" s="196">
        <v>0.3</v>
      </c>
      <c r="E25" s="192">
        <f>ROUNDDOWN(D25*$E$12,0)</f>
        <v>1606</v>
      </c>
      <c r="F25" s="199">
        <f>ROUNDDOWN(E25/$E$14,0)</f>
        <v>133</v>
      </c>
      <c r="G25" s="192"/>
      <c r="H25" s="172" t="s">
        <v>211</v>
      </c>
      <c r="I25" s="132">
        <f>D15</f>
        <v>0.3</v>
      </c>
      <c r="J25" s="133">
        <f>F15</f>
        <v>172</v>
      </c>
      <c r="K25" s="133">
        <f>F16</f>
        <v>114</v>
      </c>
      <c r="L25" s="135">
        <f>F17</f>
        <v>57</v>
      </c>
      <c r="M25" s="194"/>
    </row>
    <row r="26" spans="2:13" x14ac:dyDescent="0.25">
      <c r="B26" s="167"/>
      <c r="C26" s="192" t="str">
        <f>"Нейтральный сценарий ("&amp;D26*100&amp;"%)"</f>
        <v>Нейтральный сценарий (20%)</v>
      </c>
      <c r="D26" s="196">
        <v>0.2</v>
      </c>
      <c r="E26" s="192">
        <f t="shared" ref="E26:E27" si="6">ROUNDDOWN(D26*$E$12,0)</f>
        <v>1071</v>
      </c>
      <c r="F26" s="199">
        <f t="shared" ref="F26:F27" si="7">ROUNDDOWN(E26/$E$14,0)</f>
        <v>89</v>
      </c>
      <c r="G26" s="192"/>
      <c r="H26" s="172"/>
      <c r="I26" s="132">
        <f>D16</f>
        <v>0.2</v>
      </c>
      <c r="J26" s="133">
        <f>F20</f>
        <v>153</v>
      </c>
      <c r="K26" s="133">
        <f>F21</f>
        <v>102</v>
      </c>
      <c r="L26" s="135">
        <f>F22</f>
        <v>51</v>
      </c>
      <c r="M26" s="194"/>
    </row>
    <row r="27" spans="2:13" ht="15.75" thickBot="1" x14ac:dyDescent="0.3">
      <c r="B27" s="167"/>
      <c r="C27" s="192" t="str">
        <f>"Пессимистический сценарий ("&amp;D27*100&amp;"%)"</f>
        <v>Пессимистический сценарий (10%)</v>
      </c>
      <c r="D27" s="196">
        <v>0.1</v>
      </c>
      <c r="E27" s="192">
        <f t="shared" si="6"/>
        <v>535</v>
      </c>
      <c r="F27" s="199">
        <f t="shared" si="7"/>
        <v>44</v>
      </c>
      <c r="G27" s="192"/>
      <c r="H27" s="173"/>
      <c r="I27" s="136">
        <f>D17</f>
        <v>0.1</v>
      </c>
      <c r="J27" s="137">
        <f>F25</f>
        <v>133</v>
      </c>
      <c r="K27" s="137">
        <f>F26</f>
        <v>89</v>
      </c>
      <c r="L27" s="138">
        <f>F27</f>
        <v>44</v>
      </c>
      <c r="M27" s="194"/>
    </row>
    <row r="28" spans="2:13" ht="13.5" customHeight="1" thickBot="1" x14ac:dyDescent="0.3">
      <c r="B28" s="200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201"/>
    </row>
  </sheetData>
  <mergeCells count="6">
    <mergeCell ref="J23:L23"/>
    <mergeCell ref="H25:H27"/>
    <mergeCell ref="H23:I24"/>
    <mergeCell ref="H16:I17"/>
    <mergeCell ref="J16:L16"/>
    <mergeCell ref="H18:H20"/>
  </mergeCells>
  <pageMargins left="0.28999999999999998" right="0.33" top="0.62" bottom="0.75" header="0.28999999999999998" footer="0.3"/>
  <pageSetup scale="92" orientation="portrait" r:id="rId1"/>
  <headerFooter>
    <oddHeader>&amp;L&amp;F&amp;R&amp;A</oddHeader>
    <oddFooter>&amp;LТ. Х.&amp;R&amp;D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7437-C8C4-4278-8F24-FAA32C1A2B32}">
  <sheetPr>
    <pageSetUpPr fitToPage="1"/>
  </sheetPr>
  <dimension ref="A1:M144"/>
  <sheetViews>
    <sheetView workbookViewId="0">
      <pane ySplit="3" topLeftCell="A79" activePane="bottomLeft" state="frozen"/>
      <selection pane="bottomLeft" activeCell="E98" sqref="E98"/>
    </sheetView>
  </sheetViews>
  <sheetFormatPr defaultRowHeight="15" outlineLevelRow="2" x14ac:dyDescent="0.25"/>
  <cols>
    <col min="1" max="1" width="37.5703125" bestFit="1" customWidth="1"/>
    <col min="2" max="2" width="11.7109375" bestFit="1" customWidth="1"/>
    <col min="3" max="3" width="11.5703125" bestFit="1" customWidth="1"/>
    <col min="4" max="4" width="10" bestFit="1" customWidth="1"/>
    <col min="5" max="5" width="12" bestFit="1" customWidth="1"/>
    <col min="6" max="6" width="13.28515625" bestFit="1" customWidth="1"/>
    <col min="7" max="7" width="15.85546875" bestFit="1" customWidth="1"/>
    <col min="10" max="10" width="14.7109375" bestFit="1" customWidth="1"/>
    <col min="12" max="12" width="12" bestFit="1" customWidth="1"/>
  </cols>
  <sheetData>
    <row r="1" spans="1:13" x14ac:dyDescent="0.25">
      <c r="A1" s="19" t="s">
        <v>288</v>
      </c>
      <c r="B1" s="26" t="s">
        <v>214</v>
      </c>
      <c r="C1" s="26" t="s">
        <v>287</v>
      </c>
      <c r="D1" s="26" t="s">
        <v>213</v>
      </c>
      <c r="F1" s="25"/>
      <c r="G1" s="25"/>
    </row>
    <row r="2" spans="1:13" ht="15.75" thickBot="1" x14ac:dyDescent="0.3">
      <c r="A2" s="156" t="str">
        <f>IF(B2&lt;=Вместимость!E27,Вместимость!C27,IF(B2&lt;Вместимость!E26,Вместимость!C26,IF(B2&lt;Вместимость!E25,Вместимость!C25,"Фантастика")))</f>
        <v>Пессимистический сценарий (10%)</v>
      </c>
      <c r="B2" s="157">
        <v>535</v>
      </c>
      <c r="C2" s="158">
        <v>0.95</v>
      </c>
      <c r="D2" s="155">
        <f>ROUNDDOWN(B2/12,0)</f>
        <v>44</v>
      </c>
      <c r="E2" s="156"/>
      <c r="F2" s="155">
        <v>1</v>
      </c>
      <c r="G2" s="155">
        <v>12</v>
      </c>
    </row>
    <row r="3" spans="1:13" x14ac:dyDescent="0.25">
      <c r="B3" s="26" t="s">
        <v>128</v>
      </c>
      <c r="C3" s="26" t="s">
        <v>129</v>
      </c>
      <c r="D3" s="26" t="s">
        <v>130</v>
      </c>
      <c r="E3" s="26" t="s">
        <v>131</v>
      </c>
      <c r="F3" s="26" t="s">
        <v>132</v>
      </c>
      <c r="G3" s="26" t="s">
        <v>133</v>
      </c>
    </row>
    <row r="4" spans="1:13" ht="15.75" thickBot="1" x14ac:dyDescent="0.3">
      <c r="A4" s="58" t="s">
        <v>134</v>
      </c>
      <c r="B4" s="58"/>
      <c r="C4" s="58"/>
      <c r="D4" s="59">
        <f>D6+D22+D37</f>
        <v>1</v>
      </c>
      <c r="E4" s="154">
        <f>G4/365</f>
        <v>8608.767123287671</v>
      </c>
      <c r="F4" s="60">
        <f>F6+F22+F37</f>
        <v>261850</v>
      </c>
      <c r="G4" s="61">
        <f>G6+G22+G37</f>
        <v>3142200</v>
      </c>
      <c r="J4" s="21"/>
    </row>
    <row r="5" spans="1:13" x14ac:dyDescent="0.25">
      <c r="A5" s="33"/>
      <c r="B5" s="33"/>
      <c r="C5" s="33"/>
      <c r="D5" s="33"/>
      <c r="E5" s="33"/>
      <c r="F5" s="34"/>
      <c r="G5" s="34"/>
      <c r="J5" s="19">
        <v>1</v>
      </c>
      <c r="K5" s="19">
        <v>12</v>
      </c>
      <c r="L5" s="19">
        <v>365</v>
      </c>
    </row>
    <row r="6" spans="1:13" x14ac:dyDescent="0.25">
      <c r="A6" s="2" t="s">
        <v>286</v>
      </c>
      <c r="B6" s="64">
        <f>ROUNDDOWN(D2*C2,0)</f>
        <v>41</v>
      </c>
      <c r="C6" s="62" t="str">
        <f>C7&amp;" + "&amp;C20</f>
        <v>41 + 79</v>
      </c>
      <c r="D6" s="45">
        <f>F6/F4</f>
        <v>0.12927248424670612</v>
      </c>
      <c r="E6" s="46"/>
      <c r="F6" s="52">
        <f>F20</f>
        <v>33850</v>
      </c>
      <c r="G6" s="52">
        <f>G20</f>
        <v>406200</v>
      </c>
      <c r="I6" s="140" t="s">
        <v>283</v>
      </c>
      <c r="J6" s="19">
        <f>J7+J20</f>
        <v>1440</v>
      </c>
      <c r="K6" s="19">
        <f>J6/12</f>
        <v>120</v>
      </c>
      <c r="L6" s="151">
        <f>G6/L5</f>
        <v>1112.8767123287671</v>
      </c>
      <c r="M6" s="152">
        <f t="shared" ref="M6:M20" si="0">J6/365</f>
        <v>3.9452054794520546</v>
      </c>
    </row>
    <row r="7" spans="1:13" hidden="1" outlineLevel="1" x14ac:dyDescent="0.25">
      <c r="A7" s="14" t="str">
        <f>"Уборка по договору (на "&amp;C7&amp;" услуг)"</f>
        <v>Уборка по договору (на 41 услуг)</v>
      </c>
      <c r="B7" s="144">
        <f>F7/$F$6</f>
        <v>0.54505169867060566</v>
      </c>
      <c r="C7" s="147">
        <f>B6</f>
        <v>41</v>
      </c>
      <c r="D7" s="1">
        <f>SUM(D8:D11)</f>
        <v>1</v>
      </c>
      <c r="E7" s="47"/>
      <c r="F7" s="53">
        <f>SUM(F8:F11)</f>
        <v>18450</v>
      </c>
      <c r="G7" s="53">
        <f t="shared" ref="G7:G19" si="1">F7*$G$2</f>
        <v>221400</v>
      </c>
      <c r="J7" s="19">
        <f t="shared" ref="J7:J20" si="2">C7*$G$2</f>
        <v>492</v>
      </c>
      <c r="K7">
        <f t="shared" ref="K7:K20" si="3">J7/$K$5</f>
        <v>41</v>
      </c>
      <c r="L7" s="151">
        <f>G7/$L$5</f>
        <v>606.57534246575347</v>
      </c>
      <c r="M7" s="159">
        <f t="shared" si="0"/>
        <v>1.3479452054794521</v>
      </c>
    </row>
    <row r="8" spans="1:13" hidden="1" outlineLevel="1" x14ac:dyDescent="0.25">
      <c r="A8" t="s">
        <v>142</v>
      </c>
      <c r="B8" s="144">
        <f t="shared" ref="B8:B11" si="4">F8/$F$6</f>
        <v>0.3988183161004431</v>
      </c>
      <c r="C8" s="25">
        <f>ROUNDDOWN(D8*$C$7,0)</f>
        <v>36</v>
      </c>
      <c r="D8" s="149">
        <v>0.89</v>
      </c>
      <c r="E8" s="48">
        <f>F104</f>
        <v>375</v>
      </c>
      <c r="F8" s="48">
        <f>C8*E8</f>
        <v>13500</v>
      </c>
      <c r="G8" s="48">
        <f t="shared" si="1"/>
        <v>162000</v>
      </c>
      <c r="J8">
        <f t="shared" si="2"/>
        <v>432</v>
      </c>
      <c r="K8">
        <f t="shared" si="3"/>
        <v>36</v>
      </c>
      <c r="L8" s="8">
        <f t="shared" ref="L8:L20" si="5">G8/$L$5</f>
        <v>443.83561643835617</v>
      </c>
      <c r="M8" s="150">
        <f t="shared" si="0"/>
        <v>1.1835616438356165</v>
      </c>
    </row>
    <row r="9" spans="1:13" hidden="1" outlineLevel="1" x14ac:dyDescent="0.25">
      <c r="A9" t="s">
        <v>143</v>
      </c>
      <c r="B9" s="144">
        <f t="shared" si="4"/>
        <v>8.9734121122599708E-2</v>
      </c>
      <c r="C9" s="25">
        <f t="shared" ref="C9:C11" si="6">ROUNDDOWN(D9*$C$7,0)</f>
        <v>3</v>
      </c>
      <c r="D9" s="149">
        <v>0.08</v>
      </c>
      <c r="E9" s="48">
        <f>F105</f>
        <v>1012.5</v>
      </c>
      <c r="F9" s="48">
        <f t="shared" ref="F9:F11" si="7">C9*E9</f>
        <v>3037.5</v>
      </c>
      <c r="G9" s="48">
        <f t="shared" si="1"/>
        <v>36450</v>
      </c>
      <c r="J9">
        <f t="shared" si="2"/>
        <v>36</v>
      </c>
      <c r="K9">
        <f t="shared" si="3"/>
        <v>3</v>
      </c>
      <c r="L9" s="8">
        <f t="shared" si="5"/>
        <v>99.863013698630141</v>
      </c>
      <c r="M9" s="150">
        <f t="shared" si="0"/>
        <v>9.8630136986301367E-2</v>
      </c>
    </row>
    <row r="10" spans="1:13" hidden="1" outlineLevel="1" x14ac:dyDescent="0.25">
      <c r="A10" t="s">
        <v>144</v>
      </c>
      <c r="B10" s="144">
        <f t="shared" si="4"/>
        <v>5.6499261447562774E-2</v>
      </c>
      <c r="C10" s="25">
        <f t="shared" si="6"/>
        <v>1</v>
      </c>
      <c r="D10" s="149">
        <v>0.03</v>
      </c>
      <c r="E10" s="48">
        <f>F106</f>
        <v>1912.5</v>
      </c>
      <c r="F10" s="48">
        <f t="shared" si="7"/>
        <v>1912.5</v>
      </c>
      <c r="G10" s="48">
        <f t="shared" si="1"/>
        <v>22950</v>
      </c>
      <c r="J10">
        <f t="shared" si="2"/>
        <v>12</v>
      </c>
      <c r="K10">
        <f t="shared" si="3"/>
        <v>1</v>
      </c>
      <c r="L10" s="8">
        <f t="shared" si="5"/>
        <v>62.876712328767127</v>
      </c>
      <c r="M10" s="150">
        <f t="shared" si="0"/>
        <v>3.287671232876712E-2</v>
      </c>
    </row>
    <row r="11" spans="1:13" hidden="1" outlineLevel="1" x14ac:dyDescent="0.25">
      <c r="A11" t="s">
        <v>145</v>
      </c>
      <c r="B11" s="144">
        <f t="shared" si="4"/>
        <v>0</v>
      </c>
      <c r="C11" s="25">
        <f t="shared" si="6"/>
        <v>0</v>
      </c>
      <c r="D11" s="149">
        <v>0</v>
      </c>
      <c r="E11" s="48">
        <f>F107</f>
        <v>3600</v>
      </c>
      <c r="F11" s="48">
        <f t="shared" si="7"/>
        <v>0</v>
      </c>
      <c r="G11" s="48">
        <f t="shared" si="1"/>
        <v>0</v>
      </c>
      <c r="J11">
        <f t="shared" si="2"/>
        <v>0</v>
      </c>
      <c r="K11">
        <f t="shared" si="3"/>
        <v>0</v>
      </c>
      <c r="L11" s="8">
        <f t="shared" si="5"/>
        <v>0</v>
      </c>
      <c r="M11" s="150">
        <f t="shared" si="0"/>
        <v>0</v>
      </c>
    </row>
    <row r="12" spans="1:13" hidden="1" outlineLevel="1" x14ac:dyDescent="0.25">
      <c r="A12" s="30" t="s">
        <v>285</v>
      </c>
      <c r="B12" s="145">
        <f>F12/$F$6</f>
        <v>0.4549483013293944</v>
      </c>
      <c r="C12" s="148">
        <f>C7+40</f>
        <v>81</v>
      </c>
      <c r="D12" s="31">
        <f>SUM(D13:D19)</f>
        <v>1.0000000000000002</v>
      </c>
      <c r="E12" s="49"/>
      <c r="F12" s="54">
        <f>SUM(F13:F19)</f>
        <v>15400</v>
      </c>
      <c r="G12" s="54">
        <f t="shared" si="1"/>
        <v>184800</v>
      </c>
      <c r="J12" s="19">
        <f t="shared" si="2"/>
        <v>972</v>
      </c>
      <c r="K12">
        <f t="shared" si="3"/>
        <v>81</v>
      </c>
      <c r="L12" s="151">
        <f t="shared" si="5"/>
        <v>506.30136986301369</v>
      </c>
      <c r="M12" s="150">
        <f t="shared" si="0"/>
        <v>2.6630136986301371</v>
      </c>
    </row>
    <row r="13" spans="1:13" hidden="1" outlineLevel="1" x14ac:dyDescent="0.25">
      <c r="A13" t="s">
        <v>146</v>
      </c>
      <c r="B13" s="146">
        <f t="shared" ref="B13:B19" si="8">F13/$F$6</f>
        <v>0.33234859675036926</v>
      </c>
      <c r="C13" s="25">
        <f>ROUNDDOWN(D13*$C$12,0)</f>
        <v>45</v>
      </c>
      <c r="D13" s="149">
        <v>0.55555555555555558</v>
      </c>
      <c r="E13" s="48">
        <f>F109</f>
        <v>250</v>
      </c>
      <c r="F13" s="48">
        <f>C13*E13</f>
        <v>11250</v>
      </c>
      <c r="G13" s="48">
        <f t="shared" si="1"/>
        <v>135000</v>
      </c>
      <c r="J13">
        <f t="shared" si="2"/>
        <v>540</v>
      </c>
      <c r="K13">
        <f t="shared" si="3"/>
        <v>45</v>
      </c>
      <c r="L13" s="8">
        <f t="shared" si="5"/>
        <v>369.86301369863014</v>
      </c>
      <c r="M13" s="150">
        <f t="shared" si="0"/>
        <v>1.4794520547945205</v>
      </c>
    </row>
    <row r="14" spans="1:13" hidden="1" outlineLevel="1" x14ac:dyDescent="0.25">
      <c r="A14" t="s">
        <v>162</v>
      </c>
      <c r="B14" s="146">
        <f t="shared" si="8"/>
        <v>5.9084194977843431E-3</v>
      </c>
      <c r="C14" s="25">
        <f t="shared" ref="C14:C19" si="9">ROUNDDOWN(D14*$C$12,0)</f>
        <v>4</v>
      </c>
      <c r="D14" s="149">
        <v>5.5555555555555552E-2</v>
      </c>
      <c r="E14" s="48">
        <f>F110</f>
        <v>50</v>
      </c>
      <c r="F14" s="48">
        <f t="shared" ref="F14:F19" si="10">C14*E14</f>
        <v>200</v>
      </c>
      <c r="G14" s="48">
        <f t="shared" si="1"/>
        <v>2400</v>
      </c>
      <c r="J14">
        <f t="shared" si="2"/>
        <v>48</v>
      </c>
      <c r="K14">
        <f t="shared" si="3"/>
        <v>4</v>
      </c>
      <c r="L14" s="8">
        <f t="shared" si="5"/>
        <v>6.5753424657534243</v>
      </c>
      <c r="M14" s="150">
        <f t="shared" si="0"/>
        <v>0.13150684931506848</v>
      </c>
    </row>
    <row r="15" spans="1:13" hidden="1" outlineLevel="1" x14ac:dyDescent="0.25">
      <c r="A15" t="s">
        <v>191</v>
      </c>
      <c r="B15" s="146">
        <f t="shared" si="8"/>
        <v>1.1816838995568686E-2</v>
      </c>
      <c r="C15" s="25">
        <f t="shared" si="9"/>
        <v>4</v>
      </c>
      <c r="D15" s="149">
        <v>5.5555555555555552E-2</v>
      </c>
      <c r="E15" s="48">
        <f>F112</f>
        <v>100</v>
      </c>
      <c r="F15" s="48">
        <f t="shared" si="10"/>
        <v>400</v>
      </c>
      <c r="G15" s="48">
        <f t="shared" si="1"/>
        <v>4800</v>
      </c>
      <c r="J15">
        <f t="shared" si="2"/>
        <v>48</v>
      </c>
      <c r="K15">
        <f t="shared" si="3"/>
        <v>4</v>
      </c>
      <c r="L15" s="8">
        <f t="shared" si="5"/>
        <v>13.150684931506849</v>
      </c>
      <c r="M15" s="150">
        <f t="shared" si="0"/>
        <v>0.13150684931506848</v>
      </c>
    </row>
    <row r="16" spans="1:13" hidden="1" outlineLevel="1" x14ac:dyDescent="0.25">
      <c r="A16" t="s">
        <v>188</v>
      </c>
      <c r="B16" s="146">
        <f t="shared" si="8"/>
        <v>5.9084194977843431E-3</v>
      </c>
      <c r="C16" s="25">
        <f t="shared" si="9"/>
        <v>4</v>
      </c>
      <c r="D16" s="149">
        <v>5.5555555555555552E-2</v>
      </c>
      <c r="E16" s="48">
        <f>F115</f>
        <v>50</v>
      </c>
      <c r="F16" s="48">
        <f t="shared" si="10"/>
        <v>200</v>
      </c>
      <c r="G16" s="48">
        <f t="shared" si="1"/>
        <v>2400</v>
      </c>
      <c r="J16">
        <f t="shared" si="2"/>
        <v>48</v>
      </c>
      <c r="K16">
        <f t="shared" si="3"/>
        <v>4</v>
      </c>
      <c r="L16" s="8">
        <f t="shared" si="5"/>
        <v>6.5753424657534243</v>
      </c>
      <c r="M16" s="150">
        <f t="shared" si="0"/>
        <v>0.13150684931506848</v>
      </c>
    </row>
    <row r="17" spans="1:13" hidden="1" outlineLevel="1" x14ac:dyDescent="0.25">
      <c r="A17" t="s">
        <v>189</v>
      </c>
      <c r="B17" s="146">
        <f t="shared" si="8"/>
        <v>5.9084194977843431E-3</v>
      </c>
      <c r="C17" s="25">
        <f t="shared" si="9"/>
        <v>4</v>
      </c>
      <c r="D17" s="149">
        <v>5.5555555555555552E-2</v>
      </c>
      <c r="E17" s="48">
        <f t="shared" ref="E17" si="11">F114</f>
        <v>50</v>
      </c>
      <c r="F17" s="48">
        <f t="shared" si="10"/>
        <v>200</v>
      </c>
      <c r="G17" s="48">
        <f t="shared" si="1"/>
        <v>2400</v>
      </c>
      <c r="J17">
        <f t="shared" si="2"/>
        <v>48</v>
      </c>
      <c r="K17">
        <f t="shared" si="3"/>
        <v>4</v>
      </c>
      <c r="L17" s="8">
        <f t="shared" si="5"/>
        <v>6.5753424657534243</v>
      </c>
      <c r="M17" s="150">
        <f t="shared" si="0"/>
        <v>0.13150684931506848</v>
      </c>
    </row>
    <row r="18" spans="1:13" hidden="1" outlineLevel="1" x14ac:dyDescent="0.25">
      <c r="A18" t="s">
        <v>175</v>
      </c>
      <c r="B18" s="146">
        <f t="shared" si="8"/>
        <v>3.9881831610044313E-2</v>
      </c>
      <c r="C18" s="25">
        <f t="shared" si="9"/>
        <v>9</v>
      </c>
      <c r="D18" s="149">
        <v>0.1111111111111111</v>
      </c>
      <c r="E18" s="48">
        <f>F111</f>
        <v>150</v>
      </c>
      <c r="F18" s="48">
        <f t="shared" si="10"/>
        <v>1350</v>
      </c>
      <c r="G18" s="48">
        <f t="shared" si="1"/>
        <v>16200</v>
      </c>
      <c r="J18">
        <f t="shared" si="2"/>
        <v>108</v>
      </c>
      <c r="K18">
        <f t="shared" si="3"/>
        <v>9</v>
      </c>
      <c r="L18" s="8">
        <f t="shared" si="5"/>
        <v>44.38356164383562</v>
      </c>
      <c r="M18" s="150">
        <f t="shared" si="0"/>
        <v>0.29589041095890412</v>
      </c>
    </row>
    <row r="19" spans="1:13" hidden="1" outlineLevel="1" x14ac:dyDescent="0.25">
      <c r="A19" t="s">
        <v>148</v>
      </c>
      <c r="B19" s="146">
        <f t="shared" si="8"/>
        <v>5.3175775480059084E-2</v>
      </c>
      <c r="C19" s="25">
        <f t="shared" si="9"/>
        <v>9</v>
      </c>
      <c r="D19" s="149">
        <v>0.1111111111111111</v>
      </c>
      <c r="E19" s="48">
        <f>F113</f>
        <v>200</v>
      </c>
      <c r="F19" s="48">
        <f t="shared" si="10"/>
        <v>1800</v>
      </c>
      <c r="G19" s="48">
        <f t="shared" si="1"/>
        <v>21600</v>
      </c>
      <c r="J19">
        <f t="shared" si="2"/>
        <v>108</v>
      </c>
      <c r="K19">
        <f t="shared" si="3"/>
        <v>9</v>
      </c>
      <c r="L19" s="8">
        <f t="shared" si="5"/>
        <v>59.178082191780824</v>
      </c>
      <c r="M19" s="150">
        <f t="shared" si="0"/>
        <v>0.29589041095890412</v>
      </c>
    </row>
    <row r="20" spans="1:13" ht="15.75" hidden="1" outlineLevel="1" thickBot="1" x14ac:dyDescent="0.3">
      <c r="A20" s="10" t="str">
        <f>"Всего "&amp;A6</f>
        <v>Всего Услуги по уборке (договор+разовые)</v>
      </c>
      <c r="B20" s="142"/>
      <c r="C20" s="142">
        <f>SUM(C13:C19)</f>
        <v>79</v>
      </c>
      <c r="D20" s="11">
        <f>(D12+D7)/2</f>
        <v>1</v>
      </c>
      <c r="E20" s="50"/>
      <c r="F20" s="55">
        <f>F12+F7</f>
        <v>33850</v>
      </c>
      <c r="G20" s="55">
        <f>G12+G7</f>
        <v>406200</v>
      </c>
      <c r="J20">
        <f t="shared" si="2"/>
        <v>948</v>
      </c>
      <c r="K20">
        <f t="shared" si="3"/>
        <v>79</v>
      </c>
      <c r="L20" s="8">
        <f t="shared" si="5"/>
        <v>1112.8767123287671</v>
      </c>
      <c r="M20" s="152">
        <f t="shared" si="0"/>
        <v>2.5972602739726027</v>
      </c>
    </row>
    <row r="21" spans="1:13" collapsed="1" x14ac:dyDescent="0.25">
      <c r="A21" s="36"/>
      <c r="B21" s="33"/>
      <c r="C21" s="143"/>
      <c r="D21" s="37"/>
      <c r="E21" s="51"/>
      <c r="F21" s="56"/>
      <c r="G21" s="56"/>
    </row>
    <row r="22" spans="1:13" x14ac:dyDescent="0.25">
      <c r="A22" s="2" t="s">
        <v>135</v>
      </c>
      <c r="B22" s="64">
        <v>20</v>
      </c>
      <c r="C22" s="62"/>
      <c r="D22" s="45">
        <f>F22/F4</f>
        <v>0.71033034179873977</v>
      </c>
      <c r="E22" s="46"/>
      <c r="F22" s="52">
        <f>F35</f>
        <v>186000</v>
      </c>
      <c r="G22" s="52">
        <f>G35</f>
        <v>2232000</v>
      </c>
    </row>
    <row r="23" spans="1:13" hidden="1" outlineLevel="1" x14ac:dyDescent="0.25">
      <c r="A23" s="14" t="s">
        <v>150</v>
      </c>
      <c r="B23" s="28"/>
      <c r="C23" s="26"/>
      <c r="F23" s="16">
        <f>F35</f>
        <v>186000</v>
      </c>
      <c r="G23" s="16">
        <f>F23*G2</f>
        <v>2232000</v>
      </c>
    </row>
    <row r="24" spans="1:13" hidden="1" outlineLevel="1" x14ac:dyDescent="0.25">
      <c r="A24" t="s">
        <v>186</v>
      </c>
      <c r="B24" s="27"/>
      <c r="C24" s="141">
        <f>B22</f>
        <v>20</v>
      </c>
      <c r="D24" s="21">
        <f>E126</f>
        <v>750</v>
      </c>
      <c r="E24" s="21">
        <f>C24*D24</f>
        <v>15000</v>
      </c>
      <c r="F24" s="21">
        <f t="shared" ref="F24:F34" si="12">E24*$B$109</f>
        <v>15000</v>
      </c>
      <c r="G24" s="21">
        <f t="shared" ref="G24:G34" si="13">F24*$G$2</f>
        <v>180000</v>
      </c>
    </row>
    <row r="25" spans="1:13" hidden="1" outlineLevel="1" x14ac:dyDescent="0.25">
      <c r="A25" t="s">
        <v>151</v>
      </c>
      <c r="B25" s="27"/>
      <c r="C25" s="141">
        <f>B22</f>
        <v>20</v>
      </c>
      <c r="D25" s="21">
        <f>E125</f>
        <v>1600</v>
      </c>
      <c r="E25" s="21">
        <f>C25*D25</f>
        <v>32000</v>
      </c>
      <c r="F25" s="21">
        <f t="shared" si="12"/>
        <v>32000</v>
      </c>
      <c r="G25" s="21">
        <f t="shared" si="13"/>
        <v>384000</v>
      </c>
    </row>
    <row r="26" spans="1:13" hidden="1" outlineLevel="1" x14ac:dyDescent="0.25">
      <c r="A26" t="s">
        <v>183</v>
      </c>
      <c r="B26" s="27"/>
      <c r="C26" s="141">
        <f>B22</f>
        <v>20</v>
      </c>
      <c r="D26" s="21">
        <f>E129</f>
        <v>750</v>
      </c>
      <c r="E26" s="21">
        <f t="shared" ref="E26:E34" si="14">C26*D26</f>
        <v>15000</v>
      </c>
      <c r="F26" s="21">
        <f t="shared" si="12"/>
        <v>15000</v>
      </c>
      <c r="G26" s="21">
        <f t="shared" si="13"/>
        <v>180000</v>
      </c>
    </row>
    <row r="27" spans="1:13" hidden="1" outlineLevel="1" x14ac:dyDescent="0.25">
      <c r="A27" t="s">
        <v>166</v>
      </c>
      <c r="B27" s="27"/>
      <c r="C27" s="141">
        <f>B22</f>
        <v>20</v>
      </c>
      <c r="D27" s="21">
        <f>E127</f>
        <v>1500</v>
      </c>
      <c r="E27" s="21">
        <f t="shared" si="14"/>
        <v>30000</v>
      </c>
      <c r="F27" s="21">
        <f t="shared" si="12"/>
        <v>30000</v>
      </c>
      <c r="G27" s="21">
        <f t="shared" si="13"/>
        <v>360000</v>
      </c>
    </row>
    <row r="28" spans="1:13" hidden="1" outlineLevel="1" x14ac:dyDescent="0.25">
      <c r="A28" t="s">
        <v>164</v>
      </c>
      <c r="B28" s="27"/>
      <c r="C28" s="141">
        <f>B22</f>
        <v>20</v>
      </c>
      <c r="D28" s="21">
        <f>E128</f>
        <v>1500</v>
      </c>
      <c r="E28" s="21">
        <f t="shared" si="14"/>
        <v>30000</v>
      </c>
      <c r="F28" s="21">
        <f t="shared" si="12"/>
        <v>30000</v>
      </c>
      <c r="G28" s="21">
        <f t="shared" si="13"/>
        <v>360000</v>
      </c>
    </row>
    <row r="29" spans="1:13" hidden="1" outlineLevel="1" x14ac:dyDescent="0.25">
      <c r="A29" t="s">
        <v>163</v>
      </c>
      <c r="B29" s="27"/>
      <c r="C29" s="141">
        <f>B22</f>
        <v>20</v>
      </c>
      <c r="D29" s="21">
        <f>E130</f>
        <v>600</v>
      </c>
      <c r="E29" s="21">
        <f t="shared" si="14"/>
        <v>12000</v>
      </c>
      <c r="F29" s="21">
        <f t="shared" si="12"/>
        <v>12000</v>
      </c>
      <c r="G29" s="21">
        <f t="shared" si="13"/>
        <v>144000</v>
      </c>
    </row>
    <row r="30" spans="1:13" hidden="1" outlineLevel="1" x14ac:dyDescent="0.25">
      <c r="A30" t="s">
        <v>185</v>
      </c>
      <c r="B30" s="27"/>
      <c r="C30" s="141">
        <f>B22</f>
        <v>20</v>
      </c>
      <c r="D30" s="21">
        <f>E131</f>
        <v>1000</v>
      </c>
      <c r="E30" s="21">
        <f t="shared" si="14"/>
        <v>20000</v>
      </c>
      <c r="F30" s="21">
        <f t="shared" si="12"/>
        <v>20000</v>
      </c>
      <c r="G30" s="21">
        <f t="shared" si="13"/>
        <v>240000</v>
      </c>
    </row>
    <row r="31" spans="1:13" hidden="1" outlineLevel="1" x14ac:dyDescent="0.25">
      <c r="A31" t="s">
        <v>184</v>
      </c>
      <c r="B31" s="27"/>
      <c r="C31" s="141">
        <f>B22</f>
        <v>20</v>
      </c>
      <c r="D31" s="21">
        <f t="shared" ref="D31:D32" si="15">E132</f>
        <v>300</v>
      </c>
      <c r="E31" s="21">
        <f t="shared" si="14"/>
        <v>6000</v>
      </c>
      <c r="F31" s="21">
        <f t="shared" si="12"/>
        <v>6000</v>
      </c>
      <c r="G31" s="21">
        <f t="shared" si="13"/>
        <v>72000</v>
      </c>
    </row>
    <row r="32" spans="1:13" hidden="1" outlineLevel="1" x14ac:dyDescent="0.25">
      <c r="A32" t="s">
        <v>181</v>
      </c>
      <c r="B32" s="27"/>
      <c r="C32" s="141">
        <f>B22</f>
        <v>20</v>
      </c>
      <c r="D32" s="21">
        <f t="shared" si="15"/>
        <v>600</v>
      </c>
      <c r="E32" s="21">
        <f t="shared" si="14"/>
        <v>12000</v>
      </c>
      <c r="F32" s="21">
        <f t="shared" si="12"/>
        <v>12000</v>
      </c>
      <c r="G32" s="21">
        <f t="shared" si="13"/>
        <v>144000</v>
      </c>
    </row>
    <row r="33" spans="1:10" hidden="1" outlineLevel="1" x14ac:dyDescent="0.25">
      <c r="A33" t="s">
        <v>165</v>
      </c>
      <c r="B33" s="27"/>
      <c r="C33" s="141">
        <f>B22</f>
        <v>20</v>
      </c>
      <c r="D33" s="21">
        <f>E134</f>
        <v>500</v>
      </c>
      <c r="E33" s="21">
        <f t="shared" si="14"/>
        <v>10000</v>
      </c>
      <c r="F33" s="21">
        <f t="shared" si="12"/>
        <v>10000</v>
      </c>
      <c r="G33" s="21">
        <f t="shared" si="13"/>
        <v>120000</v>
      </c>
    </row>
    <row r="34" spans="1:10" hidden="1" outlineLevel="1" x14ac:dyDescent="0.25">
      <c r="A34" t="s">
        <v>167</v>
      </c>
      <c r="B34" s="27"/>
      <c r="C34" s="141">
        <f>B22</f>
        <v>20</v>
      </c>
      <c r="D34" s="21">
        <f>E135</f>
        <v>200</v>
      </c>
      <c r="E34" s="21">
        <f t="shared" si="14"/>
        <v>4000</v>
      </c>
      <c r="F34" s="21">
        <f t="shared" si="12"/>
        <v>4000</v>
      </c>
      <c r="G34" s="21">
        <f t="shared" si="13"/>
        <v>48000</v>
      </c>
    </row>
    <row r="35" spans="1:10" ht="15.75" hidden="1" outlineLevel="1" thickBot="1" x14ac:dyDescent="0.3">
      <c r="A35" s="10" t="str">
        <f>"Всего "&amp;A22</f>
        <v>Всего Организация похорон</v>
      </c>
      <c r="B35" s="10"/>
      <c r="C35" s="10"/>
      <c r="D35" s="11">
        <f>D22</f>
        <v>0.71033034179873977</v>
      </c>
      <c r="E35" s="12"/>
      <c r="F35" s="13">
        <f>SUM(F24:F34)</f>
        <v>186000</v>
      </c>
      <c r="G35" s="13">
        <f>SUM(G24:G34)</f>
        <v>2232000</v>
      </c>
    </row>
    <row r="36" spans="1:10" collapsed="1" x14ac:dyDescent="0.25">
      <c r="A36" s="36"/>
      <c r="B36" s="33"/>
      <c r="C36" s="36"/>
      <c r="D36" s="37"/>
      <c r="E36" s="51"/>
      <c r="F36" s="56"/>
      <c r="G36" s="56"/>
    </row>
    <row r="37" spans="1:10" x14ac:dyDescent="0.25">
      <c r="A37" s="2" t="s">
        <v>136</v>
      </c>
      <c r="B37" s="64">
        <f>B22</f>
        <v>20</v>
      </c>
      <c r="C37" s="62" t="str">
        <f>C40&amp;" + "&amp;C41</f>
        <v>20 + 20</v>
      </c>
      <c r="D37" s="45">
        <f>F37/F4</f>
        <v>0.16039717395455413</v>
      </c>
      <c r="E37" s="46"/>
      <c r="F37" s="52">
        <f>F42</f>
        <v>42000</v>
      </c>
      <c r="G37" s="52">
        <f>G42</f>
        <v>504000</v>
      </c>
    </row>
    <row r="38" spans="1:10" hidden="1" outlineLevel="1" x14ac:dyDescent="0.25">
      <c r="A38" s="14" t="s">
        <v>150</v>
      </c>
      <c r="C38" s="63">
        <f>B37*2</f>
        <v>40</v>
      </c>
      <c r="D38" s="1">
        <f>SUM(D40:D41)</f>
        <v>1</v>
      </c>
      <c r="F38" s="16">
        <f>SUM(F40:F41)</f>
        <v>40000</v>
      </c>
      <c r="G38" s="16">
        <f>F38*$G$2</f>
        <v>480000</v>
      </c>
    </row>
    <row r="39" spans="1:10" hidden="1" outlineLevel="1" x14ac:dyDescent="0.25">
      <c r="A39" t="s">
        <v>284</v>
      </c>
      <c r="C39">
        <f>ROUNDDOWN(D40*C38,0)</f>
        <v>20</v>
      </c>
      <c r="D39" s="6">
        <v>-0.5</v>
      </c>
      <c r="E39" s="21">
        <f>E119</f>
        <v>100</v>
      </c>
      <c r="F39" s="21">
        <f>C39*E39</f>
        <v>2000</v>
      </c>
      <c r="G39" s="21">
        <f>F39*$G$2</f>
        <v>24000</v>
      </c>
    </row>
    <row r="40" spans="1:10" hidden="1" outlineLevel="1" x14ac:dyDescent="0.25">
      <c r="A40" t="s">
        <v>152</v>
      </c>
      <c r="C40">
        <f>ROUNDDOWN(D40*C38,0)</f>
        <v>20</v>
      </c>
      <c r="D40" s="6">
        <v>0.5</v>
      </c>
      <c r="E40" s="21">
        <f>E120</f>
        <v>1500</v>
      </c>
      <c r="F40" s="21">
        <f>C40*E40</f>
        <v>30000</v>
      </c>
      <c r="G40" s="21">
        <f>F40*$G$2</f>
        <v>360000</v>
      </c>
    </row>
    <row r="41" spans="1:10" hidden="1" outlineLevel="1" x14ac:dyDescent="0.25">
      <c r="A41" t="s">
        <v>153</v>
      </c>
      <c r="C41">
        <f>ROUNDDOWN(D41*C38,0)</f>
        <v>20</v>
      </c>
      <c r="D41" s="6">
        <v>0.5</v>
      </c>
      <c r="E41" s="21">
        <f>E121</f>
        <v>500</v>
      </c>
      <c r="F41" s="21">
        <f t="shared" ref="F41" si="16">C41*E41</f>
        <v>10000</v>
      </c>
      <c r="G41" s="21">
        <f>F41*$G$2</f>
        <v>120000</v>
      </c>
    </row>
    <row r="42" spans="1:10" ht="15.75" hidden="1" outlineLevel="1" thickBot="1" x14ac:dyDescent="0.3">
      <c r="A42" s="10" t="str">
        <f>"Всего "&amp;A37</f>
        <v>Всего Услуги захоронения</v>
      </c>
      <c r="B42" s="10"/>
      <c r="C42" s="10"/>
      <c r="D42" s="11">
        <f>D38</f>
        <v>1</v>
      </c>
      <c r="E42" s="12"/>
      <c r="F42" s="13">
        <f>SUM(F39:F41)</f>
        <v>42000</v>
      </c>
      <c r="G42" s="13">
        <f>SUM(G39:G41)</f>
        <v>504000</v>
      </c>
    </row>
    <row r="43" spans="1:10" collapsed="1" x14ac:dyDescent="0.25">
      <c r="A43" s="36"/>
      <c r="B43" s="36"/>
      <c r="C43" s="36"/>
      <c r="D43" s="37"/>
      <c r="E43" s="15"/>
      <c r="F43" s="38"/>
      <c r="G43" s="38"/>
    </row>
    <row r="44" spans="1:10" ht="15.75" thickBot="1" x14ac:dyDescent="0.3">
      <c r="A44" s="58" t="s">
        <v>137</v>
      </c>
      <c r="B44" s="58"/>
      <c r="C44" s="58"/>
      <c r="D44" s="59">
        <f>D46+D55+D69+D82</f>
        <v>0.91641023089948959</v>
      </c>
      <c r="E44" s="153">
        <f>G44/365</f>
        <v>9386.6439123287673</v>
      </c>
      <c r="F44" s="61">
        <f>F46+F55+F69+F82+F80</f>
        <v>285510.41899999999</v>
      </c>
      <c r="G44" s="61">
        <f>G46+G55+G69+G82+G80</f>
        <v>3426125.0280000004</v>
      </c>
      <c r="J44" s="8"/>
    </row>
    <row r="46" spans="1:10" x14ac:dyDescent="0.25">
      <c r="A46" s="2" t="s">
        <v>138</v>
      </c>
      <c r="B46" s="17"/>
      <c r="C46" s="17"/>
      <c r="D46" s="45">
        <f>G46/G44</f>
        <v>0.38565291377334987</v>
      </c>
      <c r="E46" s="4"/>
      <c r="F46" s="39">
        <f>SUM(F47:F52)</f>
        <v>110107.925</v>
      </c>
      <c r="G46" s="39">
        <f>SUM(G47:G52)</f>
        <v>1321295.1000000001</v>
      </c>
    </row>
    <row r="47" spans="1:10" hidden="1" outlineLevel="1" x14ac:dyDescent="0.25">
      <c r="A47" t="s">
        <v>154</v>
      </c>
      <c r="D47" s="18">
        <v>0.2</v>
      </c>
      <c r="E47" s="7"/>
      <c r="F47" s="21">
        <f t="shared" ref="F47:F52" si="17">D47*$F$4</f>
        <v>52370</v>
      </c>
      <c r="G47" s="21">
        <f t="shared" ref="G47:G52" si="18">F47*$G$2</f>
        <v>628440</v>
      </c>
    </row>
    <row r="48" spans="1:10" hidden="1" outlineLevel="1" x14ac:dyDescent="0.25">
      <c r="A48" t="s">
        <v>155</v>
      </c>
      <c r="D48" s="18">
        <v>0.14000000000000001</v>
      </c>
      <c r="E48" s="7"/>
      <c r="F48" s="21">
        <f t="shared" si="17"/>
        <v>36659</v>
      </c>
      <c r="G48" s="21">
        <f t="shared" si="18"/>
        <v>439908</v>
      </c>
    </row>
    <row r="49" spans="1:12" hidden="1" outlineLevel="1" x14ac:dyDescent="0.25">
      <c r="A49" t="s">
        <v>156</v>
      </c>
      <c r="D49" s="18">
        <v>7.0000000000000007E-2</v>
      </c>
      <c r="E49" s="7"/>
      <c r="F49" s="21">
        <f t="shared" si="17"/>
        <v>18329.5</v>
      </c>
      <c r="G49" s="21">
        <f t="shared" si="18"/>
        <v>219954</v>
      </c>
    </row>
    <row r="50" spans="1:12" hidden="1" outlineLevel="1" x14ac:dyDescent="0.25">
      <c r="A50" t="s">
        <v>157</v>
      </c>
      <c r="D50" s="18">
        <v>5.0000000000000001E-3</v>
      </c>
      <c r="E50" s="7"/>
      <c r="F50" s="21">
        <f t="shared" si="17"/>
        <v>1309.25</v>
      </c>
      <c r="G50" s="21">
        <f t="shared" si="18"/>
        <v>15711</v>
      </c>
    </row>
    <row r="51" spans="1:12" hidden="1" outlineLevel="1" x14ac:dyDescent="0.25">
      <c r="A51" t="s">
        <v>158</v>
      </c>
      <c r="D51" s="18">
        <v>5.0000000000000001E-3</v>
      </c>
      <c r="E51" s="7"/>
      <c r="F51" s="21">
        <f t="shared" si="17"/>
        <v>1309.25</v>
      </c>
      <c r="G51" s="21">
        <f t="shared" si="18"/>
        <v>15711</v>
      </c>
    </row>
    <row r="52" spans="1:12" hidden="1" outlineLevel="1" x14ac:dyDescent="0.25">
      <c r="A52" t="s">
        <v>159</v>
      </c>
      <c r="D52" s="18">
        <v>5.0000000000000001E-4</v>
      </c>
      <c r="E52" s="7"/>
      <c r="F52" s="21">
        <f t="shared" si="17"/>
        <v>130.92500000000001</v>
      </c>
      <c r="G52" s="21">
        <f t="shared" si="18"/>
        <v>1571.1000000000001</v>
      </c>
    </row>
    <row r="53" spans="1:12" ht="15.75" hidden="1" outlineLevel="1" thickBot="1" x14ac:dyDescent="0.3">
      <c r="A53" s="10" t="str">
        <f>"Всего "&amp;A46</f>
        <v>Всего Налоги</v>
      </c>
      <c r="B53" s="10"/>
      <c r="C53" s="10"/>
      <c r="D53" s="11">
        <f>SUM(D47:D52)</f>
        <v>0.42050000000000004</v>
      </c>
      <c r="E53" s="12"/>
      <c r="F53" s="13">
        <f>SUM(F47:F52)</f>
        <v>110107.925</v>
      </c>
      <c r="G53" s="13">
        <f>SUM(G47:G52)</f>
        <v>1321295.1000000001</v>
      </c>
    </row>
    <row r="54" spans="1:12" collapsed="1" x14ac:dyDescent="0.25"/>
    <row r="55" spans="1:12" x14ac:dyDescent="0.25">
      <c r="A55" s="2" t="s">
        <v>0</v>
      </c>
      <c r="B55" s="3"/>
      <c r="C55" s="3"/>
      <c r="D55" s="45">
        <f>G55/G44</f>
        <v>0.37181740817661724</v>
      </c>
      <c r="E55" s="5"/>
      <c r="F55" s="5">
        <f>SUM(F57:F66)</f>
        <v>106157.74400000001</v>
      </c>
      <c r="G55" s="5">
        <f>SUM(G57:G66)</f>
        <v>1273892.9280000003</v>
      </c>
      <c r="I55" s="1"/>
    </row>
    <row r="56" spans="1:12" hidden="1" outlineLevel="1" x14ac:dyDescent="0.25">
      <c r="A56" s="126" t="s">
        <v>161</v>
      </c>
      <c r="B56" s="36" t="s">
        <v>160</v>
      </c>
      <c r="C56" s="36"/>
      <c r="D56" s="127"/>
      <c r="E56" s="9">
        <v>2189</v>
      </c>
      <c r="F56" s="128"/>
      <c r="G56" s="128"/>
    </row>
    <row r="57" spans="1:12" hidden="1" outlineLevel="1" x14ac:dyDescent="0.25">
      <c r="A57" t="s">
        <v>1</v>
      </c>
      <c r="B57" t="str">
        <f>I57&amp;"*"&amp;J57&amp;"*"&amp;K57</f>
        <v>1.4*1.58*2.5</v>
      </c>
      <c r="C57">
        <v>1</v>
      </c>
      <c r="D57" s="23">
        <f>F57/$F$55</f>
        <v>0.11403002309468821</v>
      </c>
      <c r="E57" s="9">
        <f>L57</f>
        <v>12105.17</v>
      </c>
      <c r="F57" s="8">
        <f>C57*E57</f>
        <v>12105.17</v>
      </c>
      <c r="G57" s="8">
        <f t="shared" ref="G57:G66" si="19">F57*$G$2</f>
        <v>145262.04</v>
      </c>
      <c r="I57" s="129">
        <v>1.4</v>
      </c>
      <c r="J57" s="130">
        <v>1.58</v>
      </c>
      <c r="K57" s="130">
        <v>2.5</v>
      </c>
      <c r="L57" s="130">
        <f>$E$56*I57*J57*K57</f>
        <v>12105.17</v>
      </c>
    </row>
    <row r="58" spans="1:12" hidden="1" outlineLevel="1" x14ac:dyDescent="0.25">
      <c r="A58" t="s">
        <v>192</v>
      </c>
      <c r="B58" t="str">
        <f t="shared" ref="B58:B66" si="20">I58&amp;"*"&amp;J58&amp;"*"&amp;K58</f>
        <v>1.4*1.58*2.2</v>
      </c>
      <c r="C58">
        <v>1</v>
      </c>
      <c r="D58" s="23">
        <f t="shared" ref="D58:D66" si="21">F58/$F$55</f>
        <v>0.10034642032332565</v>
      </c>
      <c r="E58" s="9">
        <f t="shared" ref="E58:E66" si="22">L58</f>
        <v>10652.549600000002</v>
      </c>
      <c r="F58" s="8">
        <f t="shared" ref="F58:F66" si="23">C58*E58</f>
        <v>10652.549600000002</v>
      </c>
      <c r="G58" s="8">
        <f t="shared" si="19"/>
        <v>127830.59520000003</v>
      </c>
      <c r="I58" s="130">
        <v>1.4</v>
      </c>
      <c r="J58" s="130">
        <v>1.58</v>
      </c>
      <c r="K58" s="130">
        <v>2.2000000000000002</v>
      </c>
      <c r="L58" s="130">
        <f t="shared" ref="L58:L66" si="24">$E$56*I58*J58*K58</f>
        <v>10652.549600000002</v>
      </c>
    </row>
    <row r="59" spans="1:12" hidden="1" outlineLevel="1" x14ac:dyDescent="0.25">
      <c r="A59" t="s">
        <v>9</v>
      </c>
      <c r="B59" t="str">
        <f t="shared" si="20"/>
        <v>1.4*1.58*2.1</v>
      </c>
      <c r="C59">
        <v>1</v>
      </c>
      <c r="D59" s="23">
        <f t="shared" si="21"/>
        <v>9.5785219399538102E-2</v>
      </c>
      <c r="E59" s="9">
        <f t="shared" si="22"/>
        <v>10168.3428</v>
      </c>
      <c r="F59" s="8">
        <f t="shared" si="23"/>
        <v>10168.3428</v>
      </c>
      <c r="G59" s="8">
        <f t="shared" si="19"/>
        <v>122020.11360000001</v>
      </c>
      <c r="I59" s="129">
        <v>1.4</v>
      </c>
      <c r="J59" s="130">
        <v>1.58</v>
      </c>
      <c r="K59" s="130">
        <v>2.1</v>
      </c>
      <c r="L59" s="130">
        <f t="shared" si="24"/>
        <v>10168.3428</v>
      </c>
    </row>
    <row r="60" spans="1:12" hidden="1" outlineLevel="1" x14ac:dyDescent="0.25">
      <c r="A60" t="s">
        <v>10</v>
      </c>
      <c r="B60" t="str">
        <f t="shared" si="20"/>
        <v>1.4*1.58*2</v>
      </c>
      <c r="C60">
        <v>1</v>
      </c>
      <c r="D60" s="23">
        <f t="shared" si="21"/>
        <v>9.1224018475750582E-2</v>
      </c>
      <c r="E60" s="9">
        <f t="shared" si="22"/>
        <v>9684.1360000000004</v>
      </c>
      <c r="F60" s="8">
        <f t="shared" si="23"/>
        <v>9684.1360000000004</v>
      </c>
      <c r="G60" s="8">
        <f t="shared" si="19"/>
        <v>116209.63200000001</v>
      </c>
      <c r="I60" s="129">
        <v>1.4</v>
      </c>
      <c r="J60" s="130">
        <v>1.58</v>
      </c>
      <c r="K60" s="130">
        <v>2</v>
      </c>
      <c r="L60" s="130">
        <f t="shared" si="24"/>
        <v>9684.1360000000004</v>
      </c>
    </row>
    <row r="61" spans="1:12" hidden="1" outlineLevel="1" x14ac:dyDescent="0.25">
      <c r="A61" t="s">
        <v>193</v>
      </c>
      <c r="B61" t="str">
        <f t="shared" si="20"/>
        <v>1.4*1.58*1.5</v>
      </c>
      <c r="C61">
        <v>1</v>
      </c>
      <c r="D61" s="23">
        <f t="shared" si="21"/>
        <v>6.841801385681294E-2</v>
      </c>
      <c r="E61" s="9">
        <f t="shared" si="22"/>
        <v>7263.1020000000008</v>
      </c>
      <c r="F61" s="8">
        <f t="shared" si="23"/>
        <v>7263.1020000000008</v>
      </c>
      <c r="G61" s="8">
        <f t="shared" si="19"/>
        <v>87157.224000000017</v>
      </c>
      <c r="I61" s="129">
        <v>1.4</v>
      </c>
      <c r="J61" s="130">
        <v>1.58</v>
      </c>
      <c r="K61" s="130">
        <v>1.5</v>
      </c>
      <c r="L61" s="130">
        <f t="shared" si="24"/>
        <v>7263.1020000000008</v>
      </c>
    </row>
    <row r="62" spans="1:12" hidden="1" outlineLevel="1" x14ac:dyDescent="0.25">
      <c r="A62" t="s">
        <v>194</v>
      </c>
      <c r="B62" t="str">
        <f t="shared" si="20"/>
        <v>1.4*1.58*1.5</v>
      </c>
      <c r="C62">
        <v>1</v>
      </c>
      <c r="D62" s="23">
        <f t="shared" si="21"/>
        <v>6.841801385681294E-2</v>
      </c>
      <c r="E62" s="9">
        <f t="shared" si="22"/>
        <v>7263.1020000000008</v>
      </c>
      <c r="F62" s="8">
        <f t="shared" si="23"/>
        <v>7263.1020000000008</v>
      </c>
      <c r="G62" s="8">
        <f t="shared" si="19"/>
        <v>87157.224000000017</v>
      </c>
      <c r="I62" s="129">
        <v>1.4</v>
      </c>
      <c r="J62" s="130">
        <v>1.58</v>
      </c>
      <c r="K62" s="130">
        <v>1.5</v>
      </c>
      <c r="L62" s="130">
        <f t="shared" si="24"/>
        <v>7263.1020000000008</v>
      </c>
    </row>
    <row r="63" spans="1:12" hidden="1" outlineLevel="1" x14ac:dyDescent="0.25">
      <c r="A63" t="s">
        <v>2</v>
      </c>
      <c r="B63" t="str">
        <f t="shared" si="20"/>
        <v>1.4*1.58*1.6</v>
      </c>
      <c r="C63">
        <v>1</v>
      </c>
      <c r="D63" s="23">
        <f t="shared" si="21"/>
        <v>7.297921478060046E-2</v>
      </c>
      <c r="E63" s="9">
        <f t="shared" si="22"/>
        <v>7747.3088000000007</v>
      </c>
      <c r="F63" s="8">
        <f t="shared" si="23"/>
        <v>7747.3088000000007</v>
      </c>
      <c r="G63" s="8">
        <f t="shared" si="19"/>
        <v>92967.705600000016</v>
      </c>
      <c r="I63" s="129">
        <v>1.4</v>
      </c>
      <c r="J63" s="130">
        <v>1.58</v>
      </c>
      <c r="K63" s="130">
        <v>1.6</v>
      </c>
      <c r="L63" s="130">
        <f t="shared" si="24"/>
        <v>7747.3088000000007</v>
      </c>
    </row>
    <row r="64" spans="1:12" hidden="1" outlineLevel="1" x14ac:dyDescent="0.25">
      <c r="A64" t="s">
        <v>197</v>
      </c>
      <c r="B64" t="str">
        <f t="shared" si="20"/>
        <v>1.4*1.58*1.4</v>
      </c>
      <c r="C64">
        <v>1</v>
      </c>
      <c r="D64" s="23">
        <f t="shared" si="21"/>
        <v>6.3856812933025406E-2</v>
      </c>
      <c r="E64" s="9">
        <f t="shared" si="22"/>
        <v>6778.8951999999999</v>
      </c>
      <c r="F64" s="8">
        <f t="shared" si="23"/>
        <v>6778.8951999999999</v>
      </c>
      <c r="G64" s="8">
        <f t="shared" si="19"/>
        <v>81346.742400000003</v>
      </c>
      <c r="I64" s="129">
        <v>1.4</v>
      </c>
      <c r="J64" s="130">
        <v>1.58</v>
      </c>
      <c r="K64" s="130">
        <v>1.4</v>
      </c>
      <c r="L64" s="130">
        <f t="shared" si="24"/>
        <v>6778.8951999999999</v>
      </c>
    </row>
    <row r="65" spans="1:12" hidden="1" outlineLevel="1" x14ac:dyDescent="0.25">
      <c r="A65" t="s">
        <v>195</v>
      </c>
      <c r="B65" t="str">
        <f t="shared" si="20"/>
        <v>1.4*1.34*1.4</v>
      </c>
      <c r="C65">
        <v>3</v>
      </c>
      <c r="D65" s="23">
        <f t="shared" si="21"/>
        <v>0.16247113163972288</v>
      </c>
      <c r="E65" s="9">
        <f t="shared" si="22"/>
        <v>5749.1895999999997</v>
      </c>
      <c r="F65" s="8">
        <f t="shared" si="23"/>
        <v>17247.568800000001</v>
      </c>
      <c r="G65" s="8">
        <f t="shared" si="19"/>
        <v>206970.82560000001</v>
      </c>
      <c r="I65" s="129">
        <v>1.4</v>
      </c>
      <c r="J65" s="130">
        <v>1.34</v>
      </c>
      <c r="K65" s="130">
        <v>1.4</v>
      </c>
      <c r="L65" s="130">
        <f t="shared" si="24"/>
        <v>5749.1895999999997</v>
      </c>
    </row>
    <row r="66" spans="1:12" hidden="1" outlineLevel="1" x14ac:dyDescent="0.25">
      <c r="A66" t="s">
        <v>196</v>
      </c>
      <c r="B66" t="str">
        <f t="shared" si="20"/>
        <v>1.4*1.34*1.4</v>
      </c>
      <c r="C66">
        <v>3</v>
      </c>
      <c r="D66" s="23">
        <f t="shared" si="21"/>
        <v>0.16247113163972288</v>
      </c>
      <c r="E66" s="9">
        <f t="shared" si="22"/>
        <v>5749.1895999999997</v>
      </c>
      <c r="F66" s="8">
        <f t="shared" si="23"/>
        <v>17247.568800000001</v>
      </c>
      <c r="G66" s="8">
        <f t="shared" si="19"/>
        <v>206970.82560000001</v>
      </c>
      <c r="I66" s="129">
        <v>1.4</v>
      </c>
      <c r="J66" s="130">
        <v>1.34</v>
      </c>
      <c r="K66" s="130">
        <v>1.4</v>
      </c>
      <c r="L66" s="130">
        <f t="shared" si="24"/>
        <v>5749.1895999999997</v>
      </c>
    </row>
    <row r="67" spans="1:12" ht="15.75" hidden="1" outlineLevel="1" thickBot="1" x14ac:dyDescent="0.3">
      <c r="A67" s="10" t="str">
        <f>"Всього "&amp;A55</f>
        <v>Всього Зарплата</v>
      </c>
      <c r="B67" s="10"/>
      <c r="C67" s="10">
        <f>SUM(C57:C66)</f>
        <v>14</v>
      </c>
      <c r="D67" s="11">
        <f>SUM(D57:D66)</f>
        <v>1</v>
      </c>
      <c r="E67" s="13">
        <f>SUM(E57:E66)</f>
        <v>83160.9856</v>
      </c>
      <c r="F67" s="13">
        <f>SUM(F57:F66)</f>
        <v>106157.74400000001</v>
      </c>
      <c r="G67" s="13">
        <f>SUM(G57:G66)</f>
        <v>1273892.9280000003</v>
      </c>
    </row>
    <row r="68" spans="1:12" collapsed="1" x14ac:dyDescent="0.25"/>
    <row r="69" spans="1:12" x14ac:dyDescent="0.25">
      <c r="A69" s="2" t="s">
        <v>139</v>
      </c>
      <c r="B69" s="17"/>
      <c r="C69" s="17"/>
      <c r="D69" s="45">
        <f>F69/F44</f>
        <v>8.476047944155761E-3</v>
      </c>
      <c r="E69" s="4"/>
      <c r="F69" s="5">
        <f>SUM(F70:F77)</f>
        <v>2420</v>
      </c>
      <c r="G69" s="5">
        <f>SUM(G70:G77)</f>
        <v>29040</v>
      </c>
      <c r="I69" s="129"/>
      <c r="K69" s="130"/>
      <c r="L69" s="130"/>
    </row>
    <row r="70" spans="1:12" hidden="1" outlineLevel="1" x14ac:dyDescent="0.25">
      <c r="A70" t="s">
        <v>11</v>
      </c>
      <c r="C70">
        <v>1</v>
      </c>
      <c r="D70" s="24">
        <f>F70/$F$69</f>
        <v>6.1983471074380167E-2</v>
      </c>
      <c r="E70" s="9">
        <v>150</v>
      </c>
      <c r="F70" s="8">
        <f t="shared" ref="F70:F77" si="25">C70*E70</f>
        <v>150</v>
      </c>
      <c r="G70" s="8">
        <f t="shared" ref="G70:G77" si="26">F70*$G$2</f>
        <v>1800</v>
      </c>
    </row>
    <row r="71" spans="1:12" hidden="1" outlineLevel="1" x14ac:dyDescent="0.25">
      <c r="A71" t="s">
        <v>217</v>
      </c>
      <c r="C71">
        <v>1</v>
      </c>
      <c r="D71" s="24">
        <f t="shared" ref="D71:D76" si="27">F71/$F$69</f>
        <v>0.10330578512396695</v>
      </c>
      <c r="E71" s="9">
        <v>250</v>
      </c>
      <c r="F71" s="8">
        <f t="shared" si="25"/>
        <v>250</v>
      </c>
      <c r="G71" s="8">
        <f t="shared" si="26"/>
        <v>3000</v>
      </c>
    </row>
    <row r="72" spans="1:12" hidden="1" outlineLevel="1" x14ac:dyDescent="0.25">
      <c r="A72" t="s">
        <v>218</v>
      </c>
      <c r="C72">
        <v>1</v>
      </c>
      <c r="D72" s="24">
        <f t="shared" si="27"/>
        <v>0.18595041322314049</v>
      </c>
      <c r="E72" s="9">
        <v>450</v>
      </c>
      <c r="F72" s="8">
        <f t="shared" si="25"/>
        <v>450</v>
      </c>
      <c r="G72" s="8">
        <f t="shared" si="26"/>
        <v>5400</v>
      </c>
    </row>
    <row r="73" spans="1:12" hidden="1" outlineLevel="1" x14ac:dyDescent="0.25">
      <c r="A73" t="s">
        <v>219</v>
      </c>
      <c r="C73">
        <v>1</v>
      </c>
      <c r="D73" s="24">
        <f t="shared" si="27"/>
        <v>0.16528925619834711</v>
      </c>
      <c r="E73" s="9">
        <v>400</v>
      </c>
      <c r="F73" s="8">
        <f t="shared" si="25"/>
        <v>400</v>
      </c>
      <c r="G73" s="8">
        <f t="shared" si="26"/>
        <v>4800</v>
      </c>
    </row>
    <row r="74" spans="1:12" hidden="1" outlineLevel="1" x14ac:dyDescent="0.25">
      <c r="A74" t="s">
        <v>220</v>
      </c>
      <c r="C74">
        <v>1</v>
      </c>
      <c r="D74" s="24">
        <f t="shared" si="27"/>
        <v>0.14462809917355371</v>
      </c>
      <c r="E74" s="9">
        <v>350</v>
      </c>
      <c r="F74" s="8">
        <f t="shared" si="25"/>
        <v>350</v>
      </c>
      <c r="G74" s="8">
        <f t="shared" si="26"/>
        <v>4200</v>
      </c>
    </row>
    <row r="75" spans="1:12" hidden="1" outlineLevel="1" x14ac:dyDescent="0.25">
      <c r="A75" t="s">
        <v>221</v>
      </c>
      <c r="C75">
        <v>1</v>
      </c>
      <c r="D75" s="24">
        <f t="shared" si="27"/>
        <v>0.16528925619834711</v>
      </c>
      <c r="E75" s="9">
        <v>400</v>
      </c>
      <c r="F75" s="8">
        <f t="shared" si="25"/>
        <v>400</v>
      </c>
      <c r="G75" s="8">
        <f t="shared" si="26"/>
        <v>4800</v>
      </c>
    </row>
    <row r="76" spans="1:12" hidden="1" outlineLevel="1" x14ac:dyDescent="0.25">
      <c r="A76" t="s">
        <v>222</v>
      </c>
      <c r="C76">
        <v>1</v>
      </c>
      <c r="D76" s="24">
        <f t="shared" si="27"/>
        <v>8.2644628099173556E-2</v>
      </c>
      <c r="E76" s="9">
        <v>200</v>
      </c>
      <c r="F76" s="8">
        <f t="shared" si="25"/>
        <v>200</v>
      </c>
      <c r="G76" s="8">
        <f t="shared" si="26"/>
        <v>2400</v>
      </c>
    </row>
    <row r="77" spans="1:12" hidden="1" outlineLevel="1" x14ac:dyDescent="0.25">
      <c r="A77" t="s">
        <v>177</v>
      </c>
      <c r="C77">
        <v>1</v>
      </c>
      <c r="D77" s="18">
        <f>10%</f>
        <v>0.1</v>
      </c>
      <c r="E77" s="8">
        <f>SUM(E70:E76)*D77</f>
        <v>220</v>
      </c>
      <c r="F77" s="8">
        <f t="shared" si="25"/>
        <v>220</v>
      </c>
      <c r="G77" s="8">
        <f t="shared" si="26"/>
        <v>2640</v>
      </c>
    </row>
    <row r="78" spans="1:12" ht="15.75" hidden="1" outlineLevel="1" thickBot="1" x14ac:dyDescent="0.3">
      <c r="A78" s="10" t="str">
        <f>"Всього "&amp;A69</f>
        <v>Всього Расходы на офис</v>
      </c>
      <c r="B78" s="10"/>
      <c r="C78" s="10">
        <f>SUM(C67:C76)</f>
        <v>21</v>
      </c>
      <c r="D78" s="11">
        <f>SUM(D70:D76)</f>
        <v>0.90909090909090895</v>
      </c>
      <c r="E78" s="13">
        <f>SUM(E70:E77)</f>
        <v>2420</v>
      </c>
      <c r="F78" s="13">
        <f>SUM(F70:F77)</f>
        <v>2420</v>
      </c>
      <c r="G78" s="13">
        <f>SUM(G70:G77)</f>
        <v>29040</v>
      </c>
    </row>
    <row r="79" spans="1:12" collapsed="1" x14ac:dyDescent="0.25"/>
    <row r="80" spans="1:12" x14ac:dyDescent="0.25">
      <c r="A80" s="2" t="s">
        <v>293</v>
      </c>
      <c r="B80" s="17"/>
      <c r="C80" s="17"/>
      <c r="D80" s="45">
        <f>F80/F44</f>
        <v>8.3589769100510483E-2</v>
      </c>
      <c r="E80" s="4"/>
      <c r="F80" s="5">
        <f>G80/G2</f>
        <v>23865.75</v>
      </c>
      <c r="G80" s="5">
        <f>Инвестиции!F17+Инвестиции!F30+Инвестиции!F46+Инвестиции!F57+Инвестиции!F68+Инвестиции!F93+Инвестиции!F108</f>
        <v>286389</v>
      </c>
    </row>
    <row r="82" spans="1:7" x14ac:dyDescent="0.25">
      <c r="A82" s="2" t="s">
        <v>140</v>
      </c>
      <c r="B82" s="17"/>
      <c r="C82" s="17"/>
      <c r="D82" s="45">
        <f>F82/F44</f>
        <v>0.15046386100536668</v>
      </c>
      <c r="E82" s="4"/>
      <c r="F82" s="5">
        <f>SUM(F83:F95)</f>
        <v>42959</v>
      </c>
      <c r="G82" s="5">
        <f>SUM(G83:G95)</f>
        <v>515508</v>
      </c>
    </row>
    <row r="83" spans="1:7" hidden="1" outlineLevel="1" x14ac:dyDescent="0.25">
      <c r="A83" t="s">
        <v>169</v>
      </c>
      <c r="C83">
        <f>B6+C12+B37</f>
        <v>142</v>
      </c>
      <c r="D83" s="24">
        <f>F83/$F$82</f>
        <v>0.16527386577899858</v>
      </c>
      <c r="E83" s="9">
        <v>50</v>
      </c>
      <c r="F83" s="8">
        <f t="shared" ref="F83:F95" si="28">C83*E83</f>
        <v>7100</v>
      </c>
      <c r="G83" s="8">
        <f t="shared" ref="G83:G95" si="29">F83*$G$2</f>
        <v>85200</v>
      </c>
    </row>
    <row r="84" spans="1:7" hidden="1" outlineLevel="1" x14ac:dyDescent="0.25">
      <c r="A84" t="s">
        <v>170</v>
      </c>
      <c r="C84">
        <f>C19</f>
        <v>9</v>
      </c>
      <c r="D84" s="24">
        <f t="shared" ref="D84:D94" si="30">F84/$F$82</f>
        <v>1.0475104169091459E-2</v>
      </c>
      <c r="E84" s="9">
        <v>50</v>
      </c>
      <c r="F84" s="8">
        <f t="shared" si="28"/>
        <v>450</v>
      </c>
      <c r="G84" s="8">
        <f t="shared" si="29"/>
        <v>5400</v>
      </c>
    </row>
    <row r="85" spans="1:7" hidden="1" outlineLevel="1" x14ac:dyDescent="0.25">
      <c r="A85" t="s">
        <v>171</v>
      </c>
      <c r="C85">
        <v>1</v>
      </c>
      <c r="D85" s="24">
        <f t="shared" si="30"/>
        <v>2.3278009264647688E-2</v>
      </c>
      <c r="E85" s="9">
        <v>1000</v>
      </c>
      <c r="F85" s="8">
        <f t="shared" si="28"/>
        <v>1000</v>
      </c>
      <c r="G85" s="8">
        <f t="shared" si="29"/>
        <v>12000</v>
      </c>
    </row>
    <row r="86" spans="1:7" hidden="1" outlineLevel="1" x14ac:dyDescent="0.25">
      <c r="A86" t="s">
        <v>52</v>
      </c>
      <c r="C86">
        <f>B22</f>
        <v>20</v>
      </c>
      <c r="D86" s="24">
        <f t="shared" si="30"/>
        <v>0.34917013896971533</v>
      </c>
      <c r="E86" s="9">
        <f>30*25</f>
        <v>750</v>
      </c>
      <c r="F86" s="8">
        <f>C86*E86</f>
        <v>15000</v>
      </c>
      <c r="G86" s="8">
        <f t="shared" si="29"/>
        <v>180000</v>
      </c>
    </row>
    <row r="87" spans="1:7" hidden="1" outlineLevel="1" x14ac:dyDescent="0.25">
      <c r="A87" t="s">
        <v>172</v>
      </c>
      <c r="C87">
        <f>C15</f>
        <v>4</v>
      </c>
      <c r="D87" s="24">
        <f t="shared" si="30"/>
        <v>2.3278009264647687E-3</v>
      </c>
      <c r="E87" s="9">
        <v>25</v>
      </c>
      <c r="F87" s="8">
        <f t="shared" si="28"/>
        <v>100</v>
      </c>
      <c r="G87" s="8">
        <f t="shared" si="29"/>
        <v>1200</v>
      </c>
    </row>
    <row r="88" spans="1:7" hidden="1" outlineLevel="1" x14ac:dyDescent="0.25">
      <c r="A88" t="s">
        <v>173</v>
      </c>
      <c r="C88">
        <f>C16</f>
        <v>4</v>
      </c>
      <c r="D88" s="24">
        <f t="shared" si="30"/>
        <v>1.1173444447030889E-2</v>
      </c>
      <c r="E88" s="9">
        <f>C88*30</f>
        <v>120</v>
      </c>
      <c r="F88" s="8">
        <f t="shared" si="28"/>
        <v>480</v>
      </c>
      <c r="G88" s="8">
        <f t="shared" si="29"/>
        <v>5760</v>
      </c>
    </row>
    <row r="89" spans="1:7" hidden="1" outlineLevel="1" x14ac:dyDescent="0.25">
      <c r="A89" t="s">
        <v>174</v>
      </c>
      <c r="C89">
        <f>C17</f>
        <v>4</v>
      </c>
      <c r="D89" s="24">
        <f t="shared" si="30"/>
        <v>1.1173444447030889E-2</v>
      </c>
      <c r="E89" s="9">
        <f>C89*30</f>
        <v>120</v>
      </c>
      <c r="F89" s="8">
        <f t="shared" si="28"/>
        <v>480</v>
      </c>
      <c r="G89" s="8">
        <f t="shared" si="29"/>
        <v>5760</v>
      </c>
    </row>
    <row r="90" spans="1:7" hidden="1" outlineLevel="1" x14ac:dyDescent="0.25">
      <c r="A90" t="s">
        <v>175</v>
      </c>
      <c r="C90">
        <f>C18</f>
        <v>9</v>
      </c>
      <c r="D90" s="24">
        <f t="shared" si="30"/>
        <v>1.0475104169091459E-2</v>
      </c>
      <c r="E90" s="9">
        <v>50</v>
      </c>
      <c r="F90" s="8">
        <f t="shared" si="28"/>
        <v>450</v>
      </c>
      <c r="G90" s="8">
        <f t="shared" si="29"/>
        <v>5400</v>
      </c>
    </row>
    <row r="91" spans="1:7" hidden="1" outlineLevel="1" x14ac:dyDescent="0.25">
      <c r="A91" t="s">
        <v>178</v>
      </c>
      <c r="C91">
        <f>B22</f>
        <v>20</v>
      </c>
      <c r="D91" s="24">
        <f t="shared" si="30"/>
        <v>4.6556018529295376E-2</v>
      </c>
      <c r="E91" s="9">
        <v>100</v>
      </c>
      <c r="F91" s="8">
        <f t="shared" si="28"/>
        <v>2000</v>
      </c>
      <c r="G91" s="8">
        <f t="shared" si="29"/>
        <v>24000</v>
      </c>
    </row>
    <row r="92" spans="1:7" hidden="1" outlineLevel="1" x14ac:dyDescent="0.25">
      <c r="A92" t="s">
        <v>199</v>
      </c>
      <c r="C92">
        <f>B22</f>
        <v>20</v>
      </c>
      <c r="D92" s="24">
        <f t="shared" si="30"/>
        <v>0.27933611117577223</v>
      </c>
      <c r="E92" s="9">
        <v>600</v>
      </c>
      <c r="F92" s="8">
        <f t="shared" si="28"/>
        <v>12000</v>
      </c>
      <c r="G92" s="8">
        <f t="shared" si="29"/>
        <v>144000</v>
      </c>
    </row>
    <row r="93" spans="1:7" hidden="1" outlineLevel="1" x14ac:dyDescent="0.25">
      <c r="A93" t="s">
        <v>200</v>
      </c>
      <c r="C93">
        <f>B22</f>
        <v>20</v>
      </c>
      <c r="D93" s="24">
        <f t="shared" si="30"/>
        <v>5.8195023161619217E-2</v>
      </c>
      <c r="E93" s="9">
        <v>125</v>
      </c>
      <c r="F93" s="8">
        <f t="shared" si="28"/>
        <v>2500</v>
      </c>
      <c r="G93" s="8">
        <f t="shared" si="29"/>
        <v>30000</v>
      </c>
    </row>
    <row r="94" spans="1:7" hidden="1" outlineLevel="1" x14ac:dyDescent="0.25">
      <c r="A94" t="s">
        <v>176</v>
      </c>
      <c r="C94">
        <v>1</v>
      </c>
      <c r="D94" s="24">
        <f t="shared" si="30"/>
        <v>2.3278009264647688E-2</v>
      </c>
      <c r="E94" s="9">
        <v>1000</v>
      </c>
      <c r="F94" s="8">
        <f t="shared" si="28"/>
        <v>1000</v>
      </c>
      <c r="G94" s="8">
        <f t="shared" si="29"/>
        <v>12000</v>
      </c>
    </row>
    <row r="95" spans="1:7" hidden="1" outlineLevel="1" x14ac:dyDescent="0.25">
      <c r="A95" t="s">
        <v>177</v>
      </c>
      <c r="C95">
        <v>1</v>
      </c>
      <c r="D95" s="18">
        <f>10%</f>
        <v>0.1</v>
      </c>
      <c r="E95" s="8">
        <f>SUM(E83:E94)*D95</f>
        <v>399</v>
      </c>
      <c r="F95" s="8">
        <f t="shared" si="28"/>
        <v>399</v>
      </c>
      <c r="G95" s="8">
        <f t="shared" si="29"/>
        <v>4788</v>
      </c>
    </row>
    <row r="96" spans="1:7" ht="15.75" hidden="1" outlineLevel="1" thickBot="1" x14ac:dyDescent="0.3">
      <c r="A96" s="10" t="str">
        <f>"Всего "&amp;A82</f>
        <v>Всего Расходы на предоставление услуг</v>
      </c>
      <c r="B96" s="10"/>
      <c r="C96" s="10">
        <f>SUM(C83:C95)</f>
        <v>255</v>
      </c>
      <c r="D96" s="11">
        <f>SUM(D83:D95)</f>
        <v>1.0907120743034056</v>
      </c>
      <c r="E96" s="13">
        <f>SUM(E83:E95)</f>
        <v>4389</v>
      </c>
      <c r="F96" s="13">
        <f>SUM(F83:F95)</f>
        <v>42959</v>
      </c>
      <c r="G96" s="13">
        <f>SUM(G83:G95)</f>
        <v>515508</v>
      </c>
    </row>
    <row r="97" spans="1:9" collapsed="1" x14ac:dyDescent="0.25">
      <c r="A97" s="36"/>
      <c r="B97" s="36"/>
      <c r="C97" s="36"/>
      <c r="D97" s="37"/>
      <c r="E97" s="38"/>
      <c r="F97" s="38"/>
      <c r="G97" s="38"/>
    </row>
    <row r="98" spans="1:9" ht="15.75" thickBot="1" x14ac:dyDescent="0.3">
      <c r="A98" s="58" t="s">
        <v>141</v>
      </c>
      <c r="B98" s="58"/>
      <c r="C98" s="58"/>
      <c r="D98" s="59">
        <f>F98/F4</f>
        <v>-9.0358674813824688E-2</v>
      </c>
      <c r="E98" s="202">
        <f>E6-E46</f>
        <v>0</v>
      </c>
      <c r="F98" s="61">
        <f>F4-F44</f>
        <v>-23660.418999999994</v>
      </c>
      <c r="G98" s="61">
        <f>G4-G44</f>
        <v>-283925.0280000004</v>
      </c>
    </row>
    <row r="99" spans="1:9" x14ac:dyDescent="0.25">
      <c r="A99" s="36"/>
      <c r="B99" s="36"/>
      <c r="C99" s="36"/>
      <c r="D99" s="37"/>
      <c r="E99" s="38"/>
      <c r="F99" s="38"/>
      <c r="G99" s="38"/>
    </row>
    <row r="100" spans="1:9" x14ac:dyDescent="0.25">
      <c r="A100" s="36" t="s">
        <v>179</v>
      </c>
      <c r="B100" s="36"/>
      <c r="C100" s="36"/>
      <c r="D100" s="37"/>
      <c r="E100" s="38"/>
      <c r="F100" s="38"/>
      <c r="G100" s="38"/>
    </row>
    <row r="101" spans="1:9" outlineLevel="1" x14ac:dyDescent="0.25"/>
    <row r="102" spans="1:9" outlineLevel="1" x14ac:dyDescent="0.25">
      <c r="A102" s="2" t="s">
        <v>180</v>
      </c>
      <c r="B102" s="2"/>
      <c r="C102" s="2"/>
      <c r="D102" s="2"/>
      <c r="E102" s="2"/>
      <c r="F102" s="2"/>
      <c r="G102" s="2"/>
    </row>
    <row r="103" spans="1:9" hidden="1" outlineLevel="2" x14ac:dyDescent="0.25">
      <c r="A103" s="14" t="s">
        <v>150</v>
      </c>
      <c r="B103" s="28" t="s">
        <v>13</v>
      </c>
      <c r="C103" s="19"/>
      <c r="D103" s="22"/>
      <c r="E103" s="20"/>
      <c r="F103" s="21">
        <f>SUM(F104:F107)</f>
        <v>6900</v>
      </c>
    </row>
    <row r="104" spans="1:9" hidden="1" outlineLevel="2" x14ac:dyDescent="0.25">
      <c r="A104" t="s">
        <v>142</v>
      </c>
      <c r="B104" s="131">
        <v>1</v>
      </c>
      <c r="C104" s="131">
        <v>1</v>
      </c>
      <c r="D104" s="6">
        <v>1</v>
      </c>
      <c r="E104" s="32">
        <f>D109*1.5</f>
        <v>375</v>
      </c>
      <c r="F104" s="21">
        <f>C104*E104</f>
        <v>375</v>
      </c>
    </row>
    <row r="105" spans="1:9" hidden="1" outlineLevel="2" x14ac:dyDescent="0.25">
      <c r="A105" t="s">
        <v>143</v>
      </c>
      <c r="B105" s="131">
        <v>3</v>
      </c>
      <c r="C105" s="131">
        <v>1</v>
      </c>
      <c r="D105" s="6">
        <v>0.1</v>
      </c>
      <c r="E105" s="21">
        <f>B105*$E$104-B105*$E$104*D105</f>
        <v>1012.5</v>
      </c>
      <c r="F105" s="21">
        <f>C105*E105</f>
        <v>1012.5</v>
      </c>
      <c r="I105" s="21"/>
    </row>
    <row r="106" spans="1:9" hidden="1" outlineLevel="2" x14ac:dyDescent="0.25">
      <c r="A106" t="s">
        <v>144</v>
      </c>
      <c r="B106" s="131">
        <v>6</v>
      </c>
      <c r="C106" s="131">
        <v>1</v>
      </c>
      <c r="D106" s="6">
        <v>0.15</v>
      </c>
      <c r="E106" s="21">
        <f t="shared" ref="E106:E107" si="31">B106*$E$104-B106*$E$104*D106</f>
        <v>1912.5</v>
      </c>
      <c r="F106" s="21">
        <f t="shared" ref="F106:F107" si="32">C106*E106</f>
        <v>1912.5</v>
      </c>
    </row>
    <row r="107" spans="1:9" hidden="1" outlineLevel="2" x14ac:dyDescent="0.25">
      <c r="A107" t="s">
        <v>145</v>
      </c>
      <c r="B107" s="131">
        <v>12</v>
      </c>
      <c r="C107" s="131">
        <v>1</v>
      </c>
      <c r="D107" s="6">
        <v>0.2</v>
      </c>
      <c r="E107" s="21">
        <f t="shared" si="31"/>
        <v>3600</v>
      </c>
      <c r="F107" s="21">
        <f t="shared" si="32"/>
        <v>3600</v>
      </c>
    </row>
    <row r="108" spans="1:9" hidden="1" outlineLevel="2" x14ac:dyDescent="0.25">
      <c r="A108" s="14" t="s">
        <v>187</v>
      </c>
      <c r="B108" s="28">
        <v>1</v>
      </c>
      <c r="C108" s="19" t="s">
        <v>12</v>
      </c>
      <c r="F108" s="21">
        <f>SUM(F109:F113)</f>
        <v>750</v>
      </c>
    </row>
    <row r="109" spans="1:9" hidden="1" outlineLevel="2" x14ac:dyDescent="0.25">
      <c r="A109" t="s">
        <v>146</v>
      </c>
      <c r="B109" s="131">
        <v>1</v>
      </c>
      <c r="C109" s="131">
        <v>1</v>
      </c>
      <c r="D109" s="65">
        <v>250</v>
      </c>
      <c r="E109" s="21">
        <f>B109*C109*D109</f>
        <v>250</v>
      </c>
      <c r="F109" s="21">
        <f>E109*$B$109</f>
        <v>250</v>
      </c>
    </row>
    <row r="110" spans="1:9" hidden="1" outlineLevel="2" x14ac:dyDescent="0.25">
      <c r="A110" t="s">
        <v>162</v>
      </c>
      <c r="B110" s="131">
        <v>1</v>
      </c>
      <c r="C110" s="131">
        <v>1</v>
      </c>
      <c r="D110" s="65">
        <v>50</v>
      </c>
      <c r="E110" s="21">
        <f t="shared" ref="E110:E115" si="33">B110*C110*D110</f>
        <v>50</v>
      </c>
      <c r="F110" s="21">
        <f>E110*$B$109</f>
        <v>50</v>
      </c>
    </row>
    <row r="111" spans="1:9" hidden="1" outlineLevel="2" x14ac:dyDescent="0.25">
      <c r="A111" t="s">
        <v>175</v>
      </c>
      <c r="B111" s="131">
        <v>1</v>
      </c>
      <c r="C111" s="131">
        <v>1</v>
      </c>
      <c r="D111" s="65">
        <v>150</v>
      </c>
      <c r="E111" s="21">
        <f t="shared" si="33"/>
        <v>150</v>
      </c>
      <c r="F111" s="21">
        <f>E111*$B$109</f>
        <v>150</v>
      </c>
    </row>
    <row r="112" spans="1:9" hidden="1" outlineLevel="2" x14ac:dyDescent="0.25">
      <c r="A112" t="s">
        <v>147</v>
      </c>
      <c r="B112" s="131">
        <v>1</v>
      </c>
      <c r="C112" s="131">
        <v>1</v>
      </c>
      <c r="D112" s="65">
        <v>100</v>
      </c>
      <c r="E112" s="21">
        <f t="shared" si="33"/>
        <v>100</v>
      </c>
      <c r="F112" s="21">
        <f>E112*$B$109</f>
        <v>100</v>
      </c>
    </row>
    <row r="113" spans="1:8" hidden="1" outlineLevel="2" x14ac:dyDescent="0.25">
      <c r="A113" t="s">
        <v>148</v>
      </c>
      <c r="B113" s="131">
        <v>1</v>
      </c>
      <c r="C113" s="131">
        <v>2</v>
      </c>
      <c r="D113" s="65">
        <v>100</v>
      </c>
      <c r="E113" s="21">
        <f t="shared" si="33"/>
        <v>200</v>
      </c>
      <c r="F113" s="21">
        <f>E113*$B$109</f>
        <v>200</v>
      </c>
    </row>
    <row r="114" spans="1:8" hidden="1" outlineLevel="2" x14ac:dyDescent="0.25">
      <c r="A114" t="s">
        <v>188</v>
      </c>
      <c r="B114" s="131">
        <v>1</v>
      </c>
      <c r="C114" s="131">
        <v>1</v>
      </c>
      <c r="D114" s="65">
        <v>50</v>
      </c>
      <c r="E114" s="21">
        <f t="shared" si="33"/>
        <v>50</v>
      </c>
      <c r="F114" s="21">
        <f t="shared" ref="F114:F115" si="34">E114*$B$109</f>
        <v>50</v>
      </c>
    </row>
    <row r="115" spans="1:8" hidden="1" outlineLevel="2" x14ac:dyDescent="0.25">
      <c r="A115" t="s">
        <v>189</v>
      </c>
      <c r="B115" s="131">
        <v>1</v>
      </c>
      <c r="C115" s="131">
        <v>1</v>
      </c>
      <c r="D115" s="65">
        <v>50</v>
      </c>
      <c r="E115" s="21">
        <f t="shared" si="33"/>
        <v>50</v>
      </c>
      <c r="F115" s="21">
        <f t="shared" si="34"/>
        <v>50</v>
      </c>
    </row>
    <row r="116" spans="1:8" outlineLevel="1" collapsed="1" x14ac:dyDescent="0.25"/>
    <row r="117" spans="1:8" outlineLevel="1" x14ac:dyDescent="0.25">
      <c r="A117" s="2" t="s">
        <v>190</v>
      </c>
      <c r="B117" s="2"/>
      <c r="C117" s="2"/>
      <c r="D117" s="2"/>
      <c r="E117" s="2"/>
      <c r="F117" s="2"/>
      <c r="G117" s="2"/>
    </row>
    <row r="118" spans="1:8" hidden="1" outlineLevel="2" x14ac:dyDescent="0.25">
      <c r="A118" s="14" t="s">
        <v>150</v>
      </c>
      <c r="B118" s="28">
        <v>1</v>
      </c>
      <c r="C118" s="26" t="s">
        <v>14</v>
      </c>
      <c r="D118" s="26" t="s">
        <v>168</v>
      </c>
      <c r="F118" s="21">
        <f>SUM(F120:F121)</f>
        <v>2000</v>
      </c>
    </row>
    <row r="119" spans="1:8" hidden="1" outlineLevel="2" x14ac:dyDescent="0.25">
      <c r="A119" t="s">
        <v>284</v>
      </c>
      <c r="B119" s="131">
        <v>1</v>
      </c>
      <c r="C119" s="131">
        <v>2</v>
      </c>
      <c r="D119" s="65">
        <v>50</v>
      </c>
      <c r="E119" s="21">
        <f>B119*C119*D119</f>
        <v>100</v>
      </c>
      <c r="F119" s="21">
        <f>E119*$B$109</f>
        <v>100</v>
      </c>
    </row>
    <row r="120" spans="1:8" hidden="1" outlineLevel="2" x14ac:dyDescent="0.25">
      <c r="A120" t="s">
        <v>152</v>
      </c>
      <c r="B120" s="131">
        <v>1</v>
      </c>
      <c r="C120" s="131">
        <v>4</v>
      </c>
      <c r="D120" s="65">
        <v>375</v>
      </c>
      <c r="E120" s="21">
        <f>B120*C120*D120</f>
        <v>1500</v>
      </c>
      <c r="F120" s="21">
        <f>E120*$B$109</f>
        <v>1500</v>
      </c>
    </row>
    <row r="121" spans="1:8" hidden="1" outlineLevel="2" x14ac:dyDescent="0.25">
      <c r="A121" t="s">
        <v>153</v>
      </c>
      <c r="B121" s="131">
        <v>1</v>
      </c>
      <c r="C121" s="131">
        <v>4</v>
      </c>
      <c r="D121" s="65">
        <v>125</v>
      </c>
      <c r="E121" s="21">
        <f t="shared" ref="E121" si="35">B121*C121*D121</f>
        <v>500</v>
      </c>
      <c r="F121" s="21">
        <f>E121*$B$109</f>
        <v>500</v>
      </c>
    </row>
    <row r="122" spans="1:8" outlineLevel="1" collapsed="1" x14ac:dyDescent="0.25">
      <c r="B122" s="27"/>
      <c r="C122" s="27"/>
      <c r="D122" s="29"/>
      <c r="E122" s="21"/>
      <c r="F122" s="21"/>
    </row>
    <row r="123" spans="1:8" outlineLevel="1" x14ac:dyDescent="0.25">
      <c r="A123" s="2" t="s">
        <v>135</v>
      </c>
      <c r="B123" s="2"/>
      <c r="C123" s="2"/>
      <c r="D123" s="2"/>
      <c r="E123" s="2"/>
      <c r="F123" s="2"/>
      <c r="G123" s="2"/>
    </row>
    <row r="124" spans="1:8" hidden="1" outlineLevel="2" x14ac:dyDescent="0.25">
      <c r="A124" s="14" t="s">
        <v>150</v>
      </c>
      <c r="B124" s="28">
        <v>1</v>
      </c>
      <c r="C124" s="26" t="s">
        <v>198</v>
      </c>
      <c r="F124" s="21">
        <f>SUM(F125:F142)</f>
        <v>9300</v>
      </c>
    </row>
    <row r="125" spans="1:8" hidden="1" outlineLevel="2" x14ac:dyDescent="0.25">
      <c r="A125" t="s">
        <v>151</v>
      </c>
      <c r="B125" s="131">
        <v>1</v>
      </c>
      <c r="C125" s="131">
        <v>2</v>
      </c>
      <c r="D125" s="32">
        <v>800</v>
      </c>
      <c r="E125" s="21">
        <f>B125*C125*D125</f>
        <v>1600</v>
      </c>
      <c r="F125" s="21">
        <f t="shared" ref="F125:F135" si="36">E125*$B$109</f>
        <v>1600</v>
      </c>
      <c r="H125" t="s">
        <v>149</v>
      </c>
    </row>
    <row r="126" spans="1:8" hidden="1" outlineLevel="2" x14ac:dyDescent="0.25">
      <c r="A126" t="s">
        <v>186</v>
      </c>
      <c r="B126" s="131">
        <v>1</v>
      </c>
      <c r="C126" s="131">
        <v>1</v>
      </c>
      <c r="D126" s="32">
        <v>750</v>
      </c>
      <c r="E126" s="21">
        <f>B126*C126*D126</f>
        <v>750</v>
      </c>
      <c r="F126" s="21">
        <f t="shared" si="36"/>
        <v>750</v>
      </c>
    </row>
    <row r="127" spans="1:8" hidden="1" outlineLevel="2" x14ac:dyDescent="0.25">
      <c r="A127" t="s">
        <v>166</v>
      </c>
      <c r="B127" s="131">
        <v>1</v>
      </c>
      <c r="C127" s="131">
        <v>1</v>
      </c>
      <c r="D127" s="32">
        <v>1500</v>
      </c>
      <c r="E127" s="21">
        <f t="shared" ref="E127:E135" si="37">B127*C127*D127</f>
        <v>1500</v>
      </c>
      <c r="F127" s="21">
        <f t="shared" si="36"/>
        <v>1500</v>
      </c>
    </row>
    <row r="128" spans="1:8" hidden="1" outlineLevel="2" x14ac:dyDescent="0.25">
      <c r="A128" t="s">
        <v>164</v>
      </c>
      <c r="B128" s="131">
        <v>1</v>
      </c>
      <c r="C128" s="131">
        <v>1</v>
      </c>
      <c r="D128" s="32">
        <v>1500</v>
      </c>
      <c r="E128" s="21">
        <f>B128*C128*D128</f>
        <v>1500</v>
      </c>
      <c r="F128" s="21">
        <f t="shared" si="36"/>
        <v>1500</v>
      </c>
    </row>
    <row r="129" spans="1:6" hidden="1" outlineLevel="2" x14ac:dyDescent="0.25">
      <c r="A129" t="s">
        <v>183</v>
      </c>
      <c r="B129" s="131">
        <v>1</v>
      </c>
      <c r="C129" s="131">
        <v>1</v>
      </c>
      <c r="D129" s="32">
        <v>750</v>
      </c>
      <c r="E129" s="21">
        <f>B129*C129*D129</f>
        <v>750</v>
      </c>
      <c r="F129" s="21">
        <f t="shared" si="36"/>
        <v>750</v>
      </c>
    </row>
    <row r="130" spans="1:6" hidden="1" outlineLevel="2" x14ac:dyDescent="0.25">
      <c r="A130" t="s">
        <v>182</v>
      </c>
      <c r="B130" s="131">
        <v>1</v>
      </c>
      <c r="C130" s="131">
        <v>1</v>
      </c>
      <c r="D130" s="32">
        <v>600</v>
      </c>
      <c r="E130" s="21">
        <f t="shared" si="37"/>
        <v>600</v>
      </c>
      <c r="F130" s="21">
        <f t="shared" si="36"/>
        <v>600</v>
      </c>
    </row>
    <row r="131" spans="1:6" hidden="1" outlineLevel="2" x14ac:dyDescent="0.25">
      <c r="A131" t="s">
        <v>185</v>
      </c>
      <c r="B131" s="131">
        <v>1</v>
      </c>
      <c r="C131" s="131">
        <v>1</v>
      </c>
      <c r="D131" s="32">
        <v>1000</v>
      </c>
      <c r="E131" s="21">
        <f t="shared" si="37"/>
        <v>1000</v>
      </c>
      <c r="F131" s="21">
        <f t="shared" si="36"/>
        <v>1000</v>
      </c>
    </row>
    <row r="132" spans="1:6" hidden="1" outlineLevel="2" x14ac:dyDescent="0.25">
      <c r="A132" t="s">
        <v>184</v>
      </c>
      <c r="B132" s="131">
        <v>1</v>
      </c>
      <c r="C132" s="131">
        <v>1</v>
      </c>
      <c r="D132" s="32">
        <v>300</v>
      </c>
      <c r="E132" s="21">
        <f t="shared" si="37"/>
        <v>300</v>
      </c>
      <c r="F132" s="21">
        <f t="shared" si="36"/>
        <v>300</v>
      </c>
    </row>
    <row r="133" spans="1:6" hidden="1" outlineLevel="2" x14ac:dyDescent="0.25">
      <c r="A133" t="s">
        <v>181</v>
      </c>
      <c r="B133" s="131">
        <v>1</v>
      </c>
      <c r="C133" s="131">
        <v>1</v>
      </c>
      <c r="D133" s="32">
        <v>600</v>
      </c>
      <c r="E133" s="21">
        <f t="shared" si="37"/>
        <v>600</v>
      </c>
      <c r="F133" s="21">
        <f t="shared" si="36"/>
        <v>600</v>
      </c>
    </row>
    <row r="134" spans="1:6" hidden="1" outlineLevel="2" x14ac:dyDescent="0.25">
      <c r="A134" t="s">
        <v>165</v>
      </c>
      <c r="B134" s="131">
        <v>1</v>
      </c>
      <c r="C134" s="131">
        <v>1</v>
      </c>
      <c r="D134" s="32">
        <v>500</v>
      </c>
      <c r="E134" s="21">
        <f t="shared" si="37"/>
        <v>500</v>
      </c>
      <c r="F134" s="21">
        <f t="shared" si="36"/>
        <v>500</v>
      </c>
    </row>
    <row r="135" spans="1:6" hidden="1" outlineLevel="2" x14ac:dyDescent="0.25">
      <c r="A135" t="s">
        <v>167</v>
      </c>
      <c r="B135" s="131">
        <v>1</v>
      </c>
      <c r="C135" s="131">
        <v>1</v>
      </c>
      <c r="D135" s="32">
        <v>200</v>
      </c>
      <c r="E135" s="21">
        <f t="shared" si="37"/>
        <v>200</v>
      </c>
      <c r="F135" s="21">
        <f t="shared" si="36"/>
        <v>200</v>
      </c>
    </row>
    <row r="136" spans="1:6" outlineLevel="1" collapsed="1" x14ac:dyDescent="0.25">
      <c r="B136" s="27"/>
      <c r="C136" s="27"/>
      <c r="D136" s="29"/>
      <c r="E136" s="21"/>
      <c r="F136" s="21"/>
    </row>
    <row r="137" spans="1:6" outlineLevel="1" x14ac:dyDescent="0.25">
      <c r="B137" s="27"/>
      <c r="C137" s="27"/>
      <c r="D137" s="29"/>
      <c r="E137" s="21"/>
      <c r="F137" s="21"/>
    </row>
    <row r="138" spans="1:6" outlineLevel="1" x14ac:dyDescent="0.25"/>
    <row r="139" spans="1:6" outlineLevel="1" x14ac:dyDescent="0.25">
      <c r="A139" s="14" t="s">
        <v>3</v>
      </c>
    </row>
    <row r="140" spans="1:6" outlineLevel="1" x14ac:dyDescent="0.25">
      <c r="A140" t="s">
        <v>5</v>
      </c>
    </row>
    <row r="141" spans="1:6" outlineLevel="1" x14ac:dyDescent="0.25">
      <c r="A141" t="s">
        <v>6</v>
      </c>
    </row>
    <row r="142" spans="1:6" outlineLevel="1" x14ac:dyDescent="0.25">
      <c r="A142" t="s">
        <v>7</v>
      </c>
    </row>
    <row r="143" spans="1:6" outlineLevel="1" x14ac:dyDescent="0.25">
      <c r="A143" t="s">
        <v>4</v>
      </c>
    </row>
    <row r="144" spans="1:6" outlineLevel="1" x14ac:dyDescent="0.25">
      <c r="A144" t="s">
        <v>8</v>
      </c>
    </row>
  </sheetData>
  <pageMargins left="0.28999999999999998" right="0.33" top="0.62" bottom="0.75" header="0.28999999999999998" footer="0.3"/>
  <pageSetup scale="92" orientation="portrait" r:id="rId1"/>
  <headerFooter>
    <oddHeader>&amp;L&amp;F&amp;R&amp;A</oddHeader>
    <oddFooter>&amp;LТ. Х.&amp;R&amp;D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5FAA-5128-49C7-967A-710A565E9351}">
  <sheetPr>
    <pageSetUpPr fitToPage="1"/>
  </sheetPr>
  <dimension ref="B2:N144"/>
  <sheetViews>
    <sheetView showGridLines="0" zoomScale="85" zoomScaleNormal="85" workbookViewId="0">
      <pane ySplit="4" topLeftCell="A11" activePane="bottomLeft" state="frozen"/>
      <selection pane="bottomLeft" activeCell="B125" sqref="B125"/>
    </sheetView>
  </sheetViews>
  <sheetFormatPr defaultRowHeight="15" outlineLevelRow="2" x14ac:dyDescent="0.25"/>
  <cols>
    <col min="2" max="2" width="37.5703125" bestFit="1" customWidth="1"/>
    <col min="3" max="3" width="11.7109375" bestFit="1" customWidth="1"/>
    <col min="4" max="4" width="14.140625" bestFit="1" customWidth="1"/>
    <col min="5" max="5" width="12" bestFit="1" customWidth="1"/>
    <col min="6" max="6" width="17" bestFit="1" customWidth="1"/>
    <col min="7" max="7" width="18.85546875" bestFit="1" customWidth="1"/>
    <col min="8" max="8" width="22.28515625" bestFit="1" customWidth="1"/>
    <col min="11" max="11" width="14.7109375" bestFit="1" customWidth="1"/>
    <col min="13" max="13" width="12" bestFit="1" customWidth="1"/>
  </cols>
  <sheetData>
    <row r="2" spans="2:14" x14ac:dyDescent="0.25">
      <c r="B2" s="19" t="s">
        <v>288</v>
      </c>
      <c r="C2" s="26" t="s">
        <v>214</v>
      </c>
      <c r="D2" s="26" t="s">
        <v>287</v>
      </c>
      <c r="E2" s="26" t="s">
        <v>213</v>
      </c>
      <c r="G2" s="25"/>
      <c r="H2" s="25"/>
    </row>
    <row r="3" spans="2:14" ht="15.75" thickBot="1" x14ac:dyDescent="0.3">
      <c r="B3" s="156" t="str">
        <f>IF(C3&lt;Вместимость!E27,Вместимость!C27,IF(C3&lt;Вместимость!E26,Вместимость!C26,IF(C3&lt;Вместимость!E25,Вместимость!C25,"Фантастика")))</f>
        <v>Пессимистический сценарий (10%)</v>
      </c>
      <c r="C3" s="157">
        <v>530</v>
      </c>
      <c r="D3" s="158">
        <v>0.95</v>
      </c>
      <c r="E3" s="155">
        <f>ROUNDDOWN(C3/12,0)</f>
        <v>44</v>
      </c>
      <c r="F3" s="156"/>
      <c r="G3" s="155">
        <v>1</v>
      </c>
      <c r="H3" s="155">
        <v>12</v>
      </c>
    </row>
    <row r="4" spans="2:14" x14ac:dyDescent="0.25">
      <c r="C4" s="26" t="s">
        <v>128</v>
      </c>
      <c r="D4" s="26" t="s">
        <v>129</v>
      </c>
      <c r="E4" s="26" t="s">
        <v>130</v>
      </c>
      <c r="F4" s="26" t="s">
        <v>296</v>
      </c>
      <c r="G4" s="26" t="s">
        <v>132</v>
      </c>
      <c r="H4" s="26" t="s">
        <v>133</v>
      </c>
    </row>
    <row r="5" spans="2:14" ht="15.75" thickBot="1" x14ac:dyDescent="0.3">
      <c r="B5" s="58" t="s">
        <v>134</v>
      </c>
      <c r="C5" s="58"/>
      <c r="D5" s="58"/>
      <c r="E5" s="59">
        <f>E7+E23+E38</f>
        <v>1</v>
      </c>
      <c r="F5" s="154">
        <f>H5/365</f>
        <v>8608.767123287671</v>
      </c>
      <c r="G5" s="60">
        <f>G7+G23+G38</f>
        <v>261850</v>
      </c>
      <c r="H5" s="61">
        <f>H7+H23+H38</f>
        <v>3142200</v>
      </c>
      <c r="K5" s="21"/>
    </row>
    <row r="6" spans="2:14" x14ac:dyDescent="0.25">
      <c r="B6" s="33"/>
      <c r="C6" s="33"/>
      <c r="D6" s="33"/>
      <c r="E6" s="33"/>
      <c r="F6" s="33"/>
      <c r="G6" s="34"/>
      <c r="H6" s="34"/>
      <c r="K6" s="19">
        <v>1</v>
      </c>
      <c r="L6" s="19">
        <v>12</v>
      </c>
      <c r="M6" s="19">
        <v>365</v>
      </c>
    </row>
    <row r="7" spans="2:14" x14ac:dyDescent="0.25">
      <c r="B7" s="2" t="s">
        <v>286</v>
      </c>
      <c r="C7" s="64">
        <f>ROUNDDOWN(E3*D3,0)</f>
        <v>41</v>
      </c>
      <c r="D7" s="62" t="str">
        <f>D8&amp;" + "&amp;D21</f>
        <v>41 + 79</v>
      </c>
      <c r="E7" s="45">
        <f>G7/G5</f>
        <v>0.12927248424670612</v>
      </c>
      <c r="F7" s="46"/>
      <c r="G7" s="52">
        <f>G21</f>
        <v>33850</v>
      </c>
      <c r="H7" s="52">
        <f>H21</f>
        <v>406200</v>
      </c>
      <c r="J7" s="140" t="s">
        <v>283</v>
      </c>
      <c r="K7" s="19">
        <f>K8+K21</f>
        <v>1440</v>
      </c>
      <c r="L7" s="19">
        <f>K7/12</f>
        <v>120</v>
      </c>
      <c r="M7" s="151">
        <f>H7/M6</f>
        <v>1112.8767123287671</v>
      </c>
      <c r="N7" s="152">
        <f t="shared" ref="N7:N21" si="0">K7/365</f>
        <v>3.9452054794520546</v>
      </c>
    </row>
    <row r="8" spans="2:14" outlineLevel="1" x14ac:dyDescent="0.25">
      <c r="B8" s="14" t="str">
        <f>"Уборка по договору (на "&amp;D8&amp;" услуг)"</f>
        <v>Уборка по договору (на 41 услуг)</v>
      </c>
      <c r="C8" s="144">
        <f>G8/$G$7</f>
        <v>0.54505169867060566</v>
      </c>
      <c r="D8" s="147">
        <f>C7</f>
        <v>41</v>
      </c>
      <c r="E8" s="1">
        <f>SUM(E9:E12)</f>
        <v>1</v>
      </c>
      <c r="F8" s="47"/>
      <c r="G8" s="53">
        <f>SUM(G9:G12)</f>
        <v>18450</v>
      </c>
      <c r="H8" s="53">
        <f t="shared" ref="H8:H20" si="1">G8*$H$3</f>
        <v>221400</v>
      </c>
      <c r="K8" s="19">
        <f t="shared" ref="K8:K21" si="2">D8*$H$3</f>
        <v>492</v>
      </c>
      <c r="L8">
        <f t="shared" ref="L8:L21" si="3">K8/$L$6</f>
        <v>41</v>
      </c>
      <c r="M8" s="151">
        <f>H8/$M$6</f>
        <v>606.57534246575347</v>
      </c>
      <c r="N8" s="159">
        <f t="shared" si="0"/>
        <v>1.3479452054794521</v>
      </c>
    </row>
    <row r="9" spans="2:14" outlineLevel="1" x14ac:dyDescent="0.25">
      <c r="B9" t="s">
        <v>142</v>
      </c>
      <c r="C9" s="144">
        <f t="shared" ref="C9:C12" si="4">G9/$G$7</f>
        <v>0.3988183161004431</v>
      </c>
      <c r="D9" s="25">
        <f>ROUNDDOWN(E9*$D$8,0)</f>
        <v>36</v>
      </c>
      <c r="E9" s="149">
        <v>0.89</v>
      </c>
      <c r="F9" s="48">
        <f>G103</f>
        <v>375</v>
      </c>
      <c r="G9" s="48">
        <f>D9*F9</f>
        <v>13500</v>
      </c>
      <c r="H9" s="48">
        <f t="shared" si="1"/>
        <v>162000</v>
      </c>
      <c r="K9">
        <f t="shared" si="2"/>
        <v>432</v>
      </c>
      <c r="L9">
        <f t="shared" si="3"/>
        <v>36</v>
      </c>
      <c r="M9" s="8">
        <f t="shared" ref="M9:M21" si="5">H9/$M$6</f>
        <v>443.83561643835617</v>
      </c>
      <c r="N9" s="150">
        <f t="shared" si="0"/>
        <v>1.1835616438356165</v>
      </c>
    </row>
    <row r="10" spans="2:14" outlineLevel="1" x14ac:dyDescent="0.25">
      <c r="B10" t="s">
        <v>143</v>
      </c>
      <c r="C10" s="144">
        <f t="shared" si="4"/>
        <v>8.9734121122599708E-2</v>
      </c>
      <c r="D10" s="25">
        <f t="shared" ref="D10:D12" si="6">ROUNDDOWN(E10*$D$8,0)</f>
        <v>3</v>
      </c>
      <c r="E10" s="149">
        <v>0.08</v>
      </c>
      <c r="F10" s="48">
        <f>G104</f>
        <v>1012.5</v>
      </c>
      <c r="G10" s="48">
        <f t="shared" ref="G10:G12" si="7">D10*F10</f>
        <v>3037.5</v>
      </c>
      <c r="H10" s="48">
        <f t="shared" si="1"/>
        <v>36450</v>
      </c>
      <c r="K10">
        <f t="shared" si="2"/>
        <v>36</v>
      </c>
      <c r="L10">
        <f t="shared" si="3"/>
        <v>3</v>
      </c>
      <c r="M10" s="8">
        <f t="shared" si="5"/>
        <v>99.863013698630141</v>
      </c>
      <c r="N10" s="150">
        <f t="shared" si="0"/>
        <v>9.8630136986301367E-2</v>
      </c>
    </row>
    <row r="11" spans="2:14" outlineLevel="1" x14ac:dyDescent="0.25">
      <c r="B11" t="s">
        <v>144</v>
      </c>
      <c r="C11" s="144">
        <f t="shared" si="4"/>
        <v>5.6499261447562774E-2</v>
      </c>
      <c r="D11" s="25">
        <f t="shared" si="6"/>
        <v>1</v>
      </c>
      <c r="E11" s="149">
        <v>0.03</v>
      </c>
      <c r="F11" s="48">
        <f>G105</f>
        <v>1912.5</v>
      </c>
      <c r="G11" s="48">
        <f t="shared" si="7"/>
        <v>1912.5</v>
      </c>
      <c r="H11" s="48">
        <f t="shared" si="1"/>
        <v>22950</v>
      </c>
      <c r="K11">
        <f t="shared" si="2"/>
        <v>12</v>
      </c>
      <c r="L11">
        <f t="shared" si="3"/>
        <v>1</v>
      </c>
      <c r="M11" s="8">
        <f t="shared" si="5"/>
        <v>62.876712328767127</v>
      </c>
      <c r="N11" s="150">
        <f t="shared" si="0"/>
        <v>3.287671232876712E-2</v>
      </c>
    </row>
    <row r="12" spans="2:14" outlineLevel="1" x14ac:dyDescent="0.25">
      <c r="B12" t="s">
        <v>145</v>
      </c>
      <c r="C12" s="144">
        <f t="shared" si="4"/>
        <v>0</v>
      </c>
      <c r="D12" s="25">
        <f t="shared" si="6"/>
        <v>0</v>
      </c>
      <c r="E12" s="149">
        <v>0</v>
      </c>
      <c r="F12" s="48">
        <f>G106</f>
        <v>3600</v>
      </c>
      <c r="G12" s="48">
        <f t="shared" si="7"/>
        <v>0</v>
      </c>
      <c r="H12" s="48">
        <f t="shared" si="1"/>
        <v>0</v>
      </c>
      <c r="K12">
        <f t="shared" si="2"/>
        <v>0</v>
      </c>
      <c r="L12">
        <f t="shared" si="3"/>
        <v>0</v>
      </c>
      <c r="M12" s="8">
        <f t="shared" si="5"/>
        <v>0</v>
      </c>
      <c r="N12" s="150">
        <f t="shared" si="0"/>
        <v>0</v>
      </c>
    </row>
    <row r="13" spans="2:14" outlineLevel="1" x14ac:dyDescent="0.25">
      <c r="B13" s="30" t="s">
        <v>285</v>
      </c>
      <c r="C13" s="145">
        <f>G13/$G$7</f>
        <v>0.4549483013293944</v>
      </c>
      <c r="D13" s="148">
        <f>D8+40</f>
        <v>81</v>
      </c>
      <c r="E13" s="31">
        <f>SUM(E14:E20)</f>
        <v>1.0000000000000002</v>
      </c>
      <c r="F13" s="49"/>
      <c r="G13" s="54">
        <f>SUM(G14:G20)</f>
        <v>15400</v>
      </c>
      <c r="H13" s="54">
        <f t="shared" si="1"/>
        <v>184800</v>
      </c>
      <c r="K13" s="19">
        <f t="shared" si="2"/>
        <v>972</v>
      </c>
      <c r="L13">
        <f t="shared" si="3"/>
        <v>81</v>
      </c>
      <c r="M13" s="151">
        <f t="shared" si="5"/>
        <v>506.30136986301369</v>
      </c>
      <c r="N13" s="150">
        <f t="shared" si="0"/>
        <v>2.6630136986301371</v>
      </c>
    </row>
    <row r="14" spans="2:14" outlineLevel="1" x14ac:dyDescent="0.25">
      <c r="B14" t="s">
        <v>146</v>
      </c>
      <c r="C14" s="146">
        <f t="shared" ref="C14:C20" si="8">G14/$G$7</f>
        <v>0.33234859675036926</v>
      </c>
      <c r="D14" s="25">
        <f>ROUNDDOWN(E14*$D$13,0)</f>
        <v>45</v>
      </c>
      <c r="E14" s="149">
        <v>0.55555555555555558</v>
      </c>
      <c r="F14" s="48">
        <f>G108</f>
        <v>250</v>
      </c>
      <c r="G14" s="48">
        <f>D14*F14</f>
        <v>11250</v>
      </c>
      <c r="H14" s="48">
        <f t="shared" si="1"/>
        <v>135000</v>
      </c>
      <c r="K14">
        <f t="shared" si="2"/>
        <v>540</v>
      </c>
      <c r="L14">
        <f t="shared" si="3"/>
        <v>45</v>
      </c>
      <c r="M14" s="8">
        <f t="shared" si="5"/>
        <v>369.86301369863014</v>
      </c>
      <c r="N14" s="150">
        <f t="shared" si="0"/>
        <v>1.4794520547945205</v>
      </c>
    </row>
    <row r="15" spans="2:14" outlineLevel="1" x14ac:dyDescent="0.25">
      <c r="B15" t="s">
        <v>162</v>
      </c>
      <c r="C15" s="146">
        <f t="shared" si="8"/>
        <v>5.9084194977843431E-3</v>
      </c>
      <c r="D15" s="25">
        <f t="shared" ref="D15:D20" si="9">ROUNDDOWN(E15*$D$13,0)</f>
        <v>4</v>
      </c>
      <c r="E15" s="149">
        <v>5.5555555555555552E-2</v>
      </c>
      <c r="F15" s="48">
        <f>G109</f>
        <v>50</v>
      </c>
      <c r="G15" s="48">
        <f t="shared" ref="G15:G20" si="10">D15*F15</f>
        <v>200</v>
      </c>
      <c r="H15" s="48">
        <f t="shared" si="1"/>
        <v>2400</v>
      </c>
      <c r="K15">
        <f t="shared" si="2"/>
        <v>48</v>
      </c>
      <c r="L15">
        <f t="shared" si="3"/>
        <v>4</v>
      </c>
      <c r="M15" s="8">
        <f t="shared" si="5"/>
        <v>6.5753424657534243</v>
      </c>
      <c r="N15" s="150">
        <f t="shared" si="0"/>
        <v>0.13150684931506848</v>
      </c>
    </row>
    <row r="16" spans="2:14" outlineLevel="1" x14ac:dyDescent="0.25">
      <c r="B16" t="s">
        <v>191</v>
      </c>
      <c r="C16" s="146">
        <f t="shared" si="8"/>
        <v>1.1816838995568686E-2</v>
      </c>
      <c r="D16" s="25">
        <f t="shared" si="9"/>
        <v>4</v>
      </c>
      <c r="E16" s="149">
        <v>5.5555555555555552E-2</v>
      </c>
      <c r="F16" s="48">
        <f>G111</f>
        <v>100</v>
      </c>
      <c r="G16" s="48">
        <f t="shared" si="10"/>
        <v>400</v>
      </c>
      <c r="H16" s="48">
        <f t="shared" si="1"/>
        <v>4800</v>
      </c>
      <c r="K16">
        <f t="shared" si="2"/>
        <v>48</v>
      </c>
      <c r="L16">
        <f t="shared" si="3"/>
        <v>4</v>
      </c>
      <c r="M16" s="8">
        <f t="shared" si="5"/>
        <v>13.150684931506849</v>
      </c>
      <c r="N16" s="150">
        <f t="shared" si="0"/>
        <v>0.13150684931506848</v>
      </c>
    </row>
    <row r="17" spans="2:14" outlineLevel="1" x14ac:dyDescent="0.25">
      <c r="B17" t="s">
        <v>188</v>
      </c>
      <c r="C17" s="146">
        <f t="shared" si="8"/>
        <v>5.9084194977843431E-3</v>
      </c>
      <c r="D17" s="25">
        <f t="shared" si="9"/>
        <v>4</v>
      </c>
      <c r="E17" s="149">
        <v>5.5555555555555552E-2</v>
      </c>
      <c r="F17" s="48">
        <f>G114</f>
        <v>50</v>
      </c>
      <c r="G17" s="48">
        <f t="shared" si="10"/>
        <v>200</v>
      </c>
      <c r="H17" s="48">
        <f t="shared" si="1"/>
        <v>2400</v>
      </c>
      <c r="K17">
        <f t="shared" si="2"/>
        <v>48</v>
      </c>
      <c r="L17">
        <f t="shared" si="3"/>
        <v>4</v>
      </c>
      <c r="M17" s="8">
        <f t="shared" si="5"/>
        <v>6.5753424657534243</v>
      </c>
      <c r="N17" s="150">
        <f t="shared" si="0"/>
        <v>0.13150684931506848</v>
      </c>
    </row>
    <row r="18" spans="2:14" outlineLevel="1" x14ac:dyDescent="0.25">
      <c r="B18" t="s">
        <v>189</v>
      </c>
      <c r="C18" s="146">
        <f t="shared" si="8"/>
        <v>5.9084194977843431E-3</v>
      </c>
      <c r="D18" s="25">
        <f t="shared" si="9"/>
        <v>4</v>
      </c>
      <c r="E18" s="149">
        <v>5.5555555555555552E-2</v>
      </c>
      <c r="F18" s="48">
        <f t="shared" ref="F18" si="11">G113</f>
        <v>50</v>
      </c>
      <c r="G18" s="48">
        <f t="shared" si="10"/>
        <v>200</v>
      </c>
      <c r="H18" s="48">
        <f t="shared" si="1"/>
        <v>2400</v>
      </c>
      <c r="K18">
        <f t="shared" si="2"/>
        <v>48</v>
      </c>
      <c r="L18">
        <f t="shared" si="3"/>
        <v>4</v>
      </c>
      <c r="M18" s="8">
        <f t="shared" si="5"/>
        <v>6.5753424657534243</v>
      </c>
      <c r="N18" s="150">
        <f t="shared" si="0"/>
        <v>0.13150684931506848</v>
      </c>
    </row>
    <row r="19" spans="2:14" outlineLevel="1" x14ac:dyDescent="0.25">
      <c r="B19" t="s">
        <v>175</v>
      </c>
      <c r="C19" s="146">
        <f t="shared" si="8"/>
        <v>3.9881831610044313E-2</v>
      </c>
      <c r="D19" s="25">
        <f t="shared" si="9"/>
        <v>9</v>
      </c>
      <c r="E19" s="149">
        <v>0.1111111111111111</v>
      </c>
      <c r="F19" s="48">
        <f>G110</f>
        <v>150</v>
      </c>
      <c r="G19" s="48">
        <f t="shared" si="10"/>
        <v>1350</v>
      </c>
      <c r="H19" s="48">
        <f t="shared" si="1"/>
        <v>16200</v>
      </c>
      <c r="K19">
        <f t="shared" si="2"/>
        <v>108</v>
      </c>
      <c r="L19">
        <f t="shared" si="3"/>
        <v>9</v>
      </c>
      <c r="M19" s="8">
        <f t="shared" si="5"/>
        <v>44.38356164383562</v>
      </c>
      <c r="N19" s="150">
        <f t="shared" si="0"/>
        <v>0.29589041095890412</v>
      </c>
    </row>
    <row r="20" spans="2:14" outlineLevel="1" x14ac:dyDescent="0.25">
      <c r="B20" t="s">
        <v>148</v>
      </c>
      <c r="C20" s="146">
        <f t="shared" si="8"/>
        <v>5.3175775480059084E-2</v>
      </c>
      <c r="D20" s="25">
        <f t="shared" si="9"/>
        <v>9</v>
      </c>
      <c r="E20" s="149">
        <v>0.1111111111111111</v>
      </c>
      <c r="F20" s="48">
        <f>G112</f>
        <v>200</v>
      </c>
      <c r="G20" s="48">
        <f t="shared" si="10"/>
        <v>1800</v>
      </c>
      <c r="H20" s="48">
        <f t="shared" si="1"/>
        <v>21600</v>
      </c>
      <c r="K20">
        <f t="shared" si="2"/>
        <v>108</v>
      </c>
      <c r="L20">
        <f t="shared" si="3"/>
        <v>9</v>
      </c>
      <c r="M20" s="8">
        <f t="shared" si="5"/>
        <v>59.178082191780824</v>
      </c>
      <c r="N20" s="150">
        <f t="shared" si="0"/>
        <v>0.29589041095890412</v>
      </c>
    </row>
    <row r="21" spans="2:14" ht="15.75" outlineLevel="1" thickBot="1" x14ac:dyDescent="0.3">
      <c r="B21" s="10" t="str">
        <f>"Всего "&amp;B7</f>
        <v>Всего Услуги по уборке (договор+разовые)</v>
      </c>
      <c r="C21" s="142"/>
      <c r="D21" s="142">
        <f>SUM(D14:D20)</f>
        <v>79</v>
      </c>
      <c r="E21" s="11">
        <f>(E13+E8)/2</f>
        <v>1</v>
      </c>
      <c r="F21" s="50"/>
      <c r="G21" s="55">
        <f>G13+G8</f>
        <v>33850</v>
      </c>
      <c r="H21" s="55">
        <f>H13+H8</f>
        <v>406200</v>
      </c>
      <c r="K21">
        <f t="shared" si="2"/>
        <v>948</v>
      </c>
      <c r="L21">
        <f t="shared" si="3"/>
        <v>79</v>
      </c>
      <c r="M21" s="8">
        <f t="shared" si="5"/>
        <v>1112.8767123287671</v>
      </c>
      <c r="N21" s="152">
        <f t="shared" si="0"/>
        <v>2.5972602739726027</v>
      </c>
    </row>
    <row r="22" spans="2:14" ht="15.75" thickTop="1" x14ac:dyDescent="0.25">
      <c r="B22" s="36"/>
      <c r="C22" s="33"/>
      <c r="D22" s="143"/>
      <c r="E22" s="37"/>
      <c r="F22" s="51"/>
      <c r="G22" s="56"/>
      <c r="H22" s="56"/>
    </row>
    <row r="23" spans="2:14" x14ac:dyDescent="0.25">
      <c r="B23" s="2" t="s">
        <v>135</v>
      </c>
      <c r="C23" s="64">
        <v>20</v>
      </c>
      <c r="D23" s="62"/>
      <c r="E23" s="45">
        <f>G23/G5</f>
        <v>0.71033034179873977</v>
      </c>
      <c r="F23" s="46"/>
      <c r="G23" s="52">
        <f>G36</f>
        <v>186000</v>
      </c>
      <c r="H23" s="52">
        <f>H36</f>
        <v>2232000</v>
      </c>
    </row>
    <row r="24" spans="2:14" outlineLevel="1" x14ac:dyDescent="0.25">
      <c r="B24" s="14" t="s">
        <v>150</v>
      </c>
      <c r="C24" s="28"/>
      <c r="D24" s="26"/>
      <c r="G24" s="16">
        <f>G36</f>
        <v>186000</v>
      </c>
      <c r="H24" s="16">
        <f>G24*H3</f>
        <v>2232000</v>
      </c>
    </row>
    <row r="25" spans="2:14" outlineLevel="1" x14ac:dyDescent="0.25">
      <c r="B25" t="s">
        <v>186</v>
      </c>
      <c r="C25" s="27"/>
      <c r="D25" s="141">
        <f>C23</f>
        <v>20</v>
      </c>
      <c r="E25" s="21">
        <f>F125</f>
        <v>750</v>
      </c>
      <c r="F25" s="21">
        <f>D25*E25</f>
        <v>15000</v>
      </c>
      <c r="G25" s="21">
        <f t="shared" ref="G25:G35" si="12">F25*$C$108</f>
        <v>15000</v>
      </c>
      <c r="H25" s="21">
        <f t="shared" ref="H25:H35" si="13">G25*$H$3</f>
        <v>180000</v>
      </c>
    </row>
    <row r="26" spans="2:14" outlineLevel="1" x14ac:dyDescent="0.25">
      <c r="B26" t="s">
        <v>151</v>
      </c>
      <c r="C26" s="27"/>
      <c r="D26" s="141">
        <f>C23</f>
        <v>20</v>
      </c>
      <c r="E26" s="21">
        <f>F124</f>
        <v>1600</v>
      </c>
      <c r="F26" s="21">
        <f>D26*E26</f>
        <v>32000</v>
      </c>
      <c r="G26" s="21">
        <f t="shared" si="12"/>
        <v>32000</v>
      </c>
      <c r="H26" s="21">
        <f t="shared" si="13"/>
        <v>384000</v>
      </c>
    </row>
    <row r="27" spans="2:14" outlineLevel="1" x14ac:dyDescent="0.25">
      <c r="B27" t="s">
        <v>183</v>
      </c>
      <c r="C27" s="27"/>
      <c r="D27" s="141">
        <f>C23</f>
        <v>20</v>
      </c>
      <c r="E27" s="21">
        <f>F128</f>
        <v>750</v>
      </c>
      <c r="F27" s="21">
        <f t="shared" ref="F27:F35" si="14">D27*E27</f>
        <v>15000</v>
      </c>
      <c r="G27" s="21">
        <f t="shared" si="12"/>
        <v>15000</v>
      </c>
      <c r="H27" s="21">
        <f t="shared" si="13"/>
        <v>180000</v>
      </c>
    </row>
    <row r="28" spans="2:14" outlineLevel="1" x14ac:dyDescent="0.25">
      <c r="B28" t="s">
        <v>166</v>
      </c>
      <c r="C28" s="27"/>
      <c r="D28" s="141">
        <f>C23</f>
        <v>20</v>
      </c>
      <c r="E28" s="21">
        <f>F126</f>
        <v>1500</v>
      </c>
      <c r="F28" s="21">
        <f t="shared" si="14"/>
        <v>30000</v>
      </c>
      <c r="G28" s="21">
        <f t="shared" si="12"/>
        <v>30000</v>
      </c>
      <c r="H28" s="21">
        <f t="shared" si="13"/>
        <v>360000</v>
      </c>
    </row>
    <row r="29" spans="2:14" outlineLevel="1" x14ac:dyDescent="0.25">
      <c r="B29" t="s">
        <v>164</v>
      </c>
      <c r="C29" s="27"/>
      <c r="D29" s="141">
        <f>C23</f>
        <v>20</v>
      </c>
      <c r="E29" s="21">
        <f>F127</f>
        <v>1500</v>
      </c>
      <c r="F29" s="21">
        <f t="shared" si="14"/>
        <v>30000</v>
      </c>
      <c r="G29" s="21">
        <f t="shared" si="12"/>
        <v>30000</v>
      </c>
      <c r="H29" s="21">
        <f t="shared" si="13"/>
        <v>360000</v>
      </c>
    </row>
    <row r="30" spans="2:14" outlineLevel="1" x14ac:dyDescent="0.25">
      <c r="B30" t="s">
        <v>163</v>
      </c>
      <c r="C30" s="27"/>
      <c r="D30" s="141">
        <f>C23</f>
        <v>20</v>
      </c>
      <c r="E30" s="21">
        <f>F129</f>
        <v>600</v>
      </c>
      <c r="F30" s="21">
        <f t="shared" si="14"/>
        <v>12000</v>
      </c>
      <c r="G30" s="21">
        <f t="shared" si="12"/>
        <v>12000</v>
      </c>
      <c r="H30" s="21">
        <f t="shared" si="13"/>
        <v>144000</v>
      </c>
    </row>
    <row r="31" spans="2:14" outlineLevel="1" x14ac:dyDescent="0.25">
      <c r="B31" t="s">
        <v>185</v>
      </c>
      <c r="C31" s="27"/>
      <c r="D31" s="141">
        <f>C23</f>
        <v>20</v>
      </c>
      <c r="E31" s="21">
        <f>F130</f>
        <v>1000</v>
      </c>
      <c r="F31" s="21">
        <f t="shared" si="14"/>
        <v>20000</v>
      </c>
      <c r="G31" s="21">
        <f t="shared" si="12"/>
        <v>20000</v>
      </c>
      <c r="H31" s="21">
        <f t="shared" si="13"/>
        <v>240000</v>
      </c>
    </row>
    <row r="32" spans="2:14" outlineLevel="1" x14ac:dyDescent="0.25">
      <c r="B32" t="s">
        <v>184</v>
      </c>
      <c r="C32" s="27"/>
      <c r="D32" s="141">
        <f>C23</f>
        <v>20</v>
      </c>
      <c r="E32" s="21">
        <f t="shared" ref="E32:E33" si="15">F131</f>
        <v>300</v>
      </c>
      <c r="F32" s="21">
        <f t="shared" si="14"/>
        <v>6000</v>
      </c>
      <c r="G32" s="21">
        <f t="shared" si="12"/>
        <v>6000</v>
      </c>
      <c r="H32" s="21">
        <f t="shared" si="13"/>
        <v>72000</v>
      </c>
    </row>
    <row r="33" spans="2:11" outlineLevel="1" x14ac:dyDescent="0.25">
      <c r="B33" t="s">
        <v>181</v>
      </c>
      <c r="C33" s="27"/>
      <c r="D33" s="141">
        <f>C23</f>
        <v>20</v>
      </c>
      <c r="E33" s="21">
        <f t="shared" si="15"/>
        <v>600</v>
      </c>
      <c r="F33" s="21">
        <f t="shared" si="14"/>
        <v>12000</v>
      </c>
      <c r="G33" s="21">
        <f t="shared" si="12"/>
        <v>12000</v>
      </c>
      <c r="H33" s="21">
        <f t="shared" si="13"/>
        <v>144000</v>
      </c>
    </row>
    <row r="34" spans="2:11" outlineLevel="1" x14ac:dyDescent="0.25">
      <c r="B34" t="s">
        <v>165</v>
      </c>
      <c r="C34" s="27"/>
      <c r="D34" s="141">
        <f>C23</f>
        <v>20</v>
      </c>
      <c r="E34" s="21">
        <f>F133</f>
        <v>500</v>
      </c>
      <c r="F34" s="21">
        <f t="shared" si="14"/>
        <v>10000</v>
      </c>
      <c r="G34" s="21">
        <f t="shared" si="12"/>
        <v>10000</v>
      </c>
      <c r="H34" s="21">
        <f t="shared" si="13"/>
        <v>120000</v>
      </c>
    </row>
    <row r="35" spans="2:11" outlineLevel="1" x14ac:dyDescent="0.25">
      <c r="B35" t="s">
        <v>167</v>
      </c>
      <c r="C35" s="27"/>
      <c r="D35" s="141">
        <f>C23</f>
        <v>20</v>
      </c>
      <c r="E35" s="21">
        <f>F134</f>
        <v>200</v>
      </c>
      <c r="F35" s="21">
        <f t="shared" si="14"/>
        <v>4000</v>
      </c>
      <c r="G35" s="21">
        <f t="shared" si="12"/>
        <v>4000</v>
      </c>
      <c r="H35" s="21">
        <f t="shared" si="13"/>
        <v>48000</v>
      </c>
    </row>
    <row r="36" spans="2:11" ht="15.75" outlineLevel="1" thickBot="1" x14ac:dyDescent="0.3">
      <c r="B36" s="10" t="str">
        <f>"Всего "&amp;B23</f>
        <v>Всего Организация похорон</v>
      </c>
      <c r="C36" s="10"/>
      <c r="D36" s="10"/>
      <c r="E36" s="11">
        <f>E23</f>
        <v>0.71033034179873977</v>
      </c>
      <c r="F36" s="12"/>
      <c r="G36" s="13">
        <f>SUM(G25:G35)</f>
        <v>186000</v>
      </c>
      <c r="H36" s="13">
        <f>SUM(H25:H35)</f>
        <v>2232000</v>
      </c>
    </row>
    <row r="37" spans="2:11" ht="15.75" thickTop="1" x14ac:dyDescent="0.25">
      <c r="B37" s="36"/>
      <c r="C37" s="33"/>
      <c r="D37" s="36"/>
      <c r="E37" s="37"/>
      <c r="F37" s="51"/>
      <c r="G37" s="56"/>
      <c r="H37" s="56"/>
    </row>
    <row r="38" spans="2:11" x14ac:dyDescent="0.25">
      <c r="B38" s="2" t="s">
        <v>136</v>
      </c>
      <c r="C38" s="64">
        <f>C23</f>
        <v>20</v>
      </c>
      <c r="D38" s="62" t="str">
        <f>D41&amp;"+"&amp;D42&amp;"+"&amp;D40</f>
        <v>20+20+20</v>
      </c>
      <c r="E38" s="45">
        <f>G38/G5</f>
        <v>0.16039717395455413</v>
      </c>
      <c r="F38" s="46"/>
      <c r="G38" s="52">
        <f>G43</f>
        <v>42000</v>
      </c>
      <c r="H38" s="52">
        <f>H43</f>
        <v>504000</v>
      </c>
    </row>
    <row r="39" spans="2:11" outlineLevel="1" x14ac:dyDescent="0.25">
      <c r="B39" s="14" t="s">
        <v>150</v>
      </c>
      <c r="D39" s="63">
        <f>C38*3</f>
        <v>60</v>
      </c>
      <c r="E39" s="1">
        <f>SUM(E40:E42)</f>
        <v>1</v>
      </c>
      <c r="G39" s="16">
        <f>SUM(G40:G42)</f>
        <v>42000</v>
      </c>
      <c r="H39" s="16">
        <f>G39*$H$3</f>
        <v>504000</v>
      </c>
    </row>
    <row r="40" spans="2:11" outlineLevel="1" x14ac:dyDescent="0.25">
      <c r="B40" t="s">
        <v>284</v>
      </c>
      <c r="D40">
        <f>ROUNDUP(E41*D39,0)</f>
        <v>20</v>
      </c>
      <c r="E40" s="6">
        <v>0.33</v>
      </c>
      <c r="F40" s="21">
        <f>F118</f>
        <v>100</v>
      </c>
      <c r="G40" s="21">
        <f>D40*F40</f>
        <v>2000</v>
      </c>
      <c r="H40" s="21">
        <f>G40*$H$3</f>
        <v>24000</v>
      </c>
    </row>
    <row r="41" spans="2:11" outlineLevel="1" x14ac:dyDescent="0.25">
      <c r="B41" t="s">
        <v>152</v>
      </c>
      <c r="D41">
        <f>ROUNDUP(E41*D39,0)</f>
        <v>20</v>
      </c>
      <c r="E41" s="6">
        <v>0.33</v>
      </c>
      <c r="F41" s="21">
        <f>F119</f>
        <v>1500</v>
      </c>
      <c r="G41" s="21">
        <f>D41*F41</f>
        <v>30000</v>
      </c>
      <c r="H41" s="21">
        <f>G41*$H$3</f>
        <v>360000</v>
      </c>
    </row>
    <row r="42" spans="2:11" outlineLevel="1" x14ac:dyDescent="0.25">
      <c r="B42" t="s">
        <v>153</v>
      </c>
      <c r="D42">
        <f>ROUNDDOWN(E42*D39,0)</f>
        <v>20</v>
      </c>
      <c r="E42" s="6">
        <v>0.34</v>
      </c>
      <c r="F42" s="21">
        <f>F120</f>
        <v>500</v>
      </c>
      <c r="G42" s="21">
        <f t="shared" ref="G42" si="16">D42*F42</f>
        <v>10000</v>
      </c>
      <c r="H42" s="21">
        <f>G42*$H$3</f>
        <v>120000</v>
      </c>
    </row>
    <row r="43" spans="2:11" ht="15.75" outlineLevel="1" thickBot="1" x14ac:dyDescent="0.3">
      <c r="B43" s="10" t="str">
        <f>"Всего "&amp;B38</f>
        <v>Всего Услуги захоронения</v>
      </c>
      <c r="C43" s="10"/>
      <c r="D43" s="10"/>
      <c r="E43" s="11">
        <f>E39</f>
        <v>1</v>
      </c>
      <c r="F43" s="12"/>
      <c r="G43" s="13">
        <f>SUM(G40:G42)</f>
        <v>42000</v>
      </c>
      <c r="H43" s="13">
        <f>SUM(H40:H42)</f>
        <v>504000</v>
      </c>
    </row>
    <row r="44" spans="2:11" ht="15.75" thickTop="1" x14ac:dyDescent="0.25">
      <c r="B44" s="36"/>
      <c r="C44" s="36"/>
      <c r="D44" s="36"/>
      <c r="E44" s="37"/>
      <c r="F44" s="15"/>
      <c r="G44" s="38"/>
      <c r="H44" s="38"/>
    </row>
    <row r="45" spans="2:11" ht="15.75" thickBot="1" x14ac:dyDescent="0.3">
      <c r="B45" s="58" t="s">
        <v>137</v>
      </c>
      <c r="C45" s="58"/>
      <c r="D45" s="58"/>
      <c r="E45" s="59">
        <f>E47+E56+E70+E81</f>
        <v>1</v>
      </c>
      <c r="F45" s="153">
        <f>H45/365</f>
        <v>8602.0165150684934</v>
      </c>
      <c r="G45" s="61">
        <f>G47+G56+G70+G81</f>
        <v>261644.66899999999</v>
      </c>
      <c r="H45" s="61">
        <f>H47+H56+H70+H81</f>
        <v>3139736.0280000004</v>
      </c>
      <c r="K45" s="8"/>
    </row>
    <row r="47" spans="2:11" x14ac:dyDescent="0.25">
      <c r="B47" s="2" t="s">
        <v>138</v>
      </c>
      <c r="C47" s="17"/>
      <c r="D47" s="17"/>
      <c r="E47" s="45">
        <f>H47/H45</f>
        <v>0.42082999596678194</v>
      </c>
      <c r="F47" s="4"/>
      <c r="G47" s="39">
        <f>SUM(G48:G53)</f>
        <v>110107.925</v>
      </c>
      <c r="H47" s="39">
        <f>SUM(H48:H53)</f>
        <v>1321295.1000000001</v>
      </c>
    </row>
    <row r="48" spans="2:11" hidden="1" outlineLevel="1" x14ac:dyDescent="0.25">
      <c r="B48" t="s">
        <v>154</v>
      </c>
      <c r="E48" s="18">
        <v>0.2</v>
      </c>
      <c r="F48" s="7"/>
      <c r="G48" s="21">
        <f t="shared" ref="G48:G53" si="17">E48*$G$5</f>
        <v>52370</v>
      </c>
      <c r="H48" s="21">
        <f t="shared" ref="H48:H53" si="18">G48*$H$3</f>
        <v>628440</v>
      </c>
    </row>
    <row r="49" spans="2:13" hidden="1" outlineLevel="1" x14ac:dyDescent="0.25">
      <c r="B49" t="s">
        <v>155</v>
      </c>
      <c r="E49" s="18">
        <v>0.14000000000000001</v>
      </c>
      <c r="F49" s="7"/>
      <c r="G49" s="21">
        <f t="shared" si="17"/>
        <v>36659</v>
      </c>
      <c r="H49" s="21">
        <f t="shared" si="18"/>
        <v>439908</v>
      </c>
    </row>
    <row r="50" spans="2:13" hidden="1" outlineLevel="1" x14ac:dyDescent="0.25">
      <c r="B50" t="s">
        <v>156</v>
      </c>
      <c r="E50" s="18">
        <v>7.0000000000000007E-2</v>
      </c>
      <c r="F50" s="7"/>
      <c r="G50" s="21">
        <f t="shared" si="17"/>
        <v>18329.5</v>
      </c>
      <c r="H50" s="21">
        <f t="shared" si="18"/>
        <v>219954</v>
      </c>
    </row>
    <row r="51" spans="2:13" hidden="1" outlineLevel="1" x14ac:dyDescent="0.25">
      <c r="B51" t="s">
        <v>157</v>
      </c>
      <c r="E51" s="18">
        <v>5.0000000000000001E-3</v>
      </c>
      <c r="F51" s="7"/>
      <c r="G51" s="21">
        <f t="shared" si="17"/>
        <v>1309.25</v>
      </c>
      <c r="H51" s="21">
        <f t="shared" si="18"/>
        <v>15711</v>
      </c>
    </row>
    <row r="52" spans="2:13" hidden="1" outlineLevel="1" x14ac:dyDescent="0.25">
      <c r="B52" t="s">
        <v>158</v>
      </c>
      <c r="E52" s="18">
        <v>5.0000000000000001E-3</v>
      </c>
      <c r="F52" s="7"/>
      <c r="G52" s="21">
        <f t="shared" si="17"/>
        <v>1309.25</v>
      </c>
      <c r="H52" s="21">
        <f t="shared" si="18"/>
        <v>15711</v>
      </c>
    </row>
    <row r="53" spans="2:13" hidden="1" outlineLevel="1" x14ac:dyDescent="0.25">
      <c r="B53" t="s">
        <v>159</v>
      </c>
      <c r="E53" s="18">
        <v>5.0000000000000001E-4</v>
      </c>
      <c r="F53" s="7"/>
      <c r="G53" s="21">
        <f t="shared" si="17"/>
        <v>130.92500000000001</v>
      </c>
      <c r="H53" s="21">
        <f t="shared" si="18"/>
        <v>1571.1000000000001</v>
      </c>
    </row>
    <row r="54" spans="2:13" ht="15.75" hidden="1" outlineLevel="1" thickBot="1" x14ac:dyDescent="0.3">
      <c r="B54" s="10" t="str">
        <f>"Всего "&amp;B47</f>
        <v>Всего Налоги</v>
      </c>
      <c r="C54" s="10"/>
      <c r="D54" s="10"/>
      <c r="E54" s="11">
        <f>SUM(E48:E53)</f>
        <v>0.42050000000000004</v>
      </c>
      <c r="F54" s="12"/>
      <c r="G54" s="13">
        <f>SUM(G48:G53)</f>
        <v>110107.925</v>
      </c>
      <c r="H54" s="13">
        <f>SUM(H48:H53)</f>
        <v>1321295.1000000001</v>
      </c>
    </row>
    <row r="55" spans="2:13" collapsed="1" x14ac:dyDescent="0.25"/>
    <row r="56" spans="2:13" x14ac:dyDescent="0.25">
      <c r="B56" s="2" t="s">
        <v>0</v>
      </c>
      <c r="C56" s="3"/>
      <c r="D56" s="3"/>
      <c r="E56" s="45">
        <f>H56/H45</f>
        <v>0.40573249363624531</v>
      </c>
      <c r="F56" s="5"/>
      <c r="G56" s="5">
        <f>SUM(G58:G67)</f>
        <v>106157.74400000001</v>
      </c>
      <c r="H56" s="5">
        <f>SUM(H58:H67)</f>
        <v>1273892.9280000003</v>
      </c>
      <c r="J56" s="1"/>
    </row>
    <row r="57" spans="2:13" hidden="1" outlineLevel="1" x14ac:dyDescent="0.25">
      <c r="B57" s="126" t="s">
        <v>161</v>
      </c>
      <c r="C57" s="36" t="s">
        <v>160</v>
      </c>
      <c r="D57" s="36"/>
      <c r="E57" s="127"/>
      <c r="F57" s="9">
        <v>2189</v>
      </c>
      <c r="G57" s="128"/>
      <c r="H57" s="128"/>
    </row>
    <row r="58" spans="2:13" hidden="1" outlineLevel="1" x14ac:dyDescent="0.25">
      <c r="B58" t="s">
        <v>1</v>
      </c>
      <c r="C58" t="str">
        <f>J58&amp;"*"&amp;K58&amp;"*"&amp;L58</f>
        <v>1.4*1.58*2.5</v>
      </c>
      <c r="D58">
        <v>1</v>
      </c>
      <c r="E58" s="23">
        <f>G58/$G$56</f>
        <v>0.11403002309468821</v>
      </c>
      <c r="F58" s="9">
        <f>M58</f>
        <v>12105.17</v>
      </c>
      <c r="G58" s="8">
        <f>D58*F58</f>
        <v>12105.17</v>
      </c>
      <c r="H58" s="8">
        <f t="shared" ref="H58:H67" si="19">G58*$H$3</f>
        <v>145262.04</v>
      </c>
      <c r="J58" s="129">
        <v>1.4</v>
      </c>
      <c r="K58" s="130">
        <v>1.58</v>
      </c>
      <c r="L58" s="130">
        <v>2.5</v>
      </c>
      <c r="M58" s="130">
        <f>$F$57*J58*K58*L58</f>
        <v>12105.17</v>
      </c>
    </row>
    <row r="59" spans="2:13" hidden="1" outlineLevel="1" x14ac:dyDescent="0.25">
      <c r="B59" t="s">
        <v>192</v>
      </c>
      <c r="C59" t="str">
        <f t="shared" ref="C59:C67" si="20">J59&amp;"*"&amp;K59&amp;"*"&amp;L59</f>
        <v>1.4*1.58*2.2</v>
      </c>
      <c r="D59">
        <v>1</v>
      </c>
      <c r="E59" s="23">
        <f t="shared" ref="E59:E67" si="21">G59/$G$56</f>
        <v>0.10034642032332565</v>
      </c>
      <c r="F59" s="9">
        <f t="shared" ref="F59:F67" si="22">M59</f>
        <v>10652.549600000002</v>
      </c>
      <c r="G59" s="8">
        <f t="shared" ref="G59:G67" si="23">D59*F59</f>
        <v>10652.549600000002</v>
      </c>
      <c r="H59" s="8">
        <f t="shared" si="19"/>
        <v>127830.59520000003</v>
      </c>
      <c r="J59" s="130">
        <v>1.4</v>
      </c>
      <c r="K59" s="130">
        <v>1.58</v>
      </c>
      <c r="L59" s="130">
        <v>2.2000000000000002</v>
      </c>
      <c r="M59" s="130">
        <f t="shared" ref="M59:M67" si="24">$F$57*J59*K59*L59</f>
        <v>10652.549600000002</v>
      </c>
    </row>
    <row r="60" spans="2:13" hidden="1" outlineLevel="1" x14ac:dyDescent="0.25">
      <c r="B60" t="s">
        <v>9</v>
      </c>
      <c r="C60" t="str">
        <f t="shared" si="20"/>
        <v>1.4*1.58*2.1</v>
      </c>
      <c r="D60">
        <v>1</v>
      </c>
      <c r="E60" s="23">
        <f t="shared" si="21"/>
        <v>9.5785219399538102E-2</v>
      </c>
      <c r="F60" s="9">
        <f t="shared" si="22"/>
        <v>10168.3428</v>
      </c>
      <c r="G60" s="8">
        <f t="shared" si="23"/>
        <v>10168.3428</v>
      </c>
      <c r="H60" s="8">
        <f t="shared" si="19"/>
        <v>122020.11360000001</v>
      </c>
      <c r="J60" s="129">
        <v>1.4</v>
      </c>
      <c r="K60" s="130">
        <v>1.58</v>
      </c>
      <c r="L60" s="130">
        <v>2.1</v>
      </c>
      <c r="M60" s="130">
        <f t="shared" si="24"/>
        <v>10168.3428</v>
      </c>
    </row>
    <row r="61" spans="2:13" hidden="1" outlineLevel="1" x14ac:dyDescent="0.25">
      <c r="B61" t="s">
        <v>10</v>
      </c>
      <c r="C61" t="str">
        <f t="shared" si="20"/>
        <v>1.4*1.58*2</v>
      </c>
      <c r="D61">
        <v>1</v>
      </c>
      <c r="E61" s="23">
        <f t="shared" si="21"/>
        <v>9.1224018475750582E-2</v>
      </c>
      <c r="F61" s="9">
        <f t="shared" si="22"/>
        <v>9684.1360000000004</v>
      </c>
      <c r="G61" s="8">
        <f t="shared" si="23"/>
        <v>9684.1360000000004</v>
      </c>
      <c r="H61" s="8">
        <f t="shared" si="19"/>
        <v>116209.63200000001</v>
      </c>
      <c r="J61" s="129">
        <v>1.4</v>
      </c>
      <c r="K61" s="130">
        <v>1.58</v>
      </c>
      <c r="L61" s="130">
        <v>2</v>
      </c>
      <c r="M61" s="130">
        <f t="shared" si="24"/>
        <v>9684.1360000000004</v>
      </c>
    </row>
    <row r="62" spans="2:13" hidden="1" outlineLevel="1" x14ac:dyDescent="0.25">
      <c r="B62" t="s">
        <v>193</v>
      </c>
      <c r="C62" t="str">
        <f t="shared" si="20"/>
        <v>1.4*1.58*1.5</v>
      </c>
      <c r="D62">
        <v>1</v>
      </c>
      <c r="E62" s="23">
        <f t="shared" si="21"/>
        <v>6.841801385681294E-2</v>
      </c>
      <c r="F62" s="9">
        <f t="shared" si="22"/>
        <v>7263.1020000000008</v>
      </c>
      <c r="G62" s="8">
        <f t="shared" si="23"/>
        <v>7263.1020000000008</v>
      </c>
      <c r="H62" s="8">
        <f t="shared" si="19"/>
        <v>87157.224000000017</v>
      </c>
      <c r="J62" s="129">
        <v>1.4</v>
      </c>
      <c r="K62" s="130">
        <v>1.58</v>
      </c>
      <c r="L62" s="130">
        <v>1.5</v>
      </c>
      <c r="M62" s="130">
        <f t="shared" si="24"/>
        <v>7263.1020000000008</v>
      </c>
    </row>
    <row r="63" spans="2:13" hidden="1" outlineLevel="1" x14ac:dyDescent="0.25">
      <c r="B63" t="s">
        <v>194</v>
      </c>
      <c r="C63" t="str">
        <f t="shared" si="20"/>
        <v>1.4*1.58*1.5</v>
      </c>
      <c r="D63">
        <v>1</v>
      </c>
      <c r="E63" s="23">
        <f t="shared" si="21"/>
        <v>6.841801385681294E-2</v>
      </c>
      <c r="F63" s="9">
        <f t="shared" si="22"/>
        <v>7263.1020000000008</v>
      </c>
      <c r="G63" s="8">
        <f t="shared" si="23"/>
        <v>7263.1020000000008</v>
      </c>
      <c r="H63" s="8">
        <f t="shared" si="19"/>
        <v>87157.224000000017</v>
      </c>
      <c r="J63" s="129">
        <v>1.4</v>
      </c>
      <c r="K63" s="130">
        <v>1.58</v>
      </c>
      <c r="L63" s="130">
        <v>1.5</v>
      </c>
      <c r="M63" s="130">
        <f t="shared" si="24"/>
        <v>7263.1020000000008</v>
      </c>
    </row>
    <row r="64" spans="2:13" hidden="1" outlineLevel="1" x14ac:dyDescent="0.25">
      <c r="B64" t="s">
        <v>2</v>
      </c>
      <c r="C64" t="str">
        <f t="shared" si="20"/>
        <v>1.4*1.58*1.6</v>
      </c>
      <c r="D64">
        <v>1</v>
      </c>
      <c r="E64" s="23">
        <f t="shared" si="21"/>
        <v>7.297921478060046E-2</v>
      </c>
      <c r="F64" s="9">
        <f t="shared" si="22"/>
        <v>7747.3088000000007</v>
      </c>
      <c r="G64" s="8">
        <f t="shared" si="23"/>
        <v>7747.3088000000007</v>
      </c>
      <c r="H64" s="8">
        <f t="shared" si="19"/>
        <v>92967.705600000016</v>
      </c>
      <c r="J64" s="129">
        <v>1.4</v>
      </c>
      <c r="K64" s="130">
        <v>1.58</v>
      </c>
      <c r="L64" s="130">
        <v>1.6</v>
      </c>
      <c r="M64" s="130">
        <f t="shared" si="24"/>
        <v>7747.3088000000007</v>
      </c>
    </row>
    <row r="65" spans="2:13" hidden="1" outlineLevel="1" x14ac:dyDescent="0.25">
      <c r="B65" t="s">
        <v>197</v>
      </c>
      <c r="C65" t="str">
        <f t="shared" si="20"/>
        <v>1.4*1.58*1.4</v>
      </c>
      <c r="D65">
        <v>1</v>
      </c>
      <c r="E65" s="23">
        <f t="shared" si="21"/>
        <v>6.3856812933025406E-2</v>
      </c>
      <c r="F65" s="9">
        <f t="shared" si="22"/>
        <v>6778.8951999999999</v>
      </c>
      <c r="G65" s="8">
        <f t="shared" si="23"/>
        <v>6778.8951999999999</v>
      </c>
      <c r="H65" s="8">
        <f t="shared" si="19"/>
        <v>81346.742400000003</v>
      </c>
      <c r="J65" s="129">
        <v>1.4</v>
      </c>
      <c r="K65" s="130">
        <v>1.58</v>
      </c>
      <c r="L65" s="130">
        <v>1.4</v>
      </c>
      <c r="M65" s="130">
        <f t="shared" si="24"/>
        <v>6778.8951999999999</v>
      </c>
    </row>
    <row r="66" spans="2:13" hidden="1" outlineLevel="1" x14ac:dyDescent="0.25">
      <c r="B66" t="s">
        <v>195</v>
      </c>
      <c r="C66" t="str">
        <f t="shared" si="20"/>
        <v>1.4*1.34*1.4</v>
      </c>
      <c r="D66">
        <v>3</v>
      </c>
      <c r="E66" s="23">
        <f t="shared" si="21"/>
        <v>0.16247113163972288</v>
      </c>
      <c r="F66" s="9">
        <f t="shared" si="22"/>
        <v>5749.1895999999997</v>
      </c>
      <c r="G66" s="8">
        <f t="shared" si="23"/>
        <v>17247.568800000001</v>
      </c>
      <c r="H66" s="8">
        <f t="shared" si="19"/>
        <v>206970.82560000001</v>
      </c>
      <c r="J66" s="129">
        <v>1.4</v>
      </c>
      <c r="K66" s="130">
        <v>1.34</v>
      </c>
      <c r="L66" s="130">
        <v>1.4</v>
      </c>
      <c r="M66" s="130">
        <f t="shared" si="24"/>
        <v>5749.1895999999997</v>
      </c>
    </row>
    <row r="67" spans="2:13" hidden="1" outlineLevel="1" x14ac:dyDescent="0.25">
      <c r="B67" t="s">
        <v>196</v>
      </c>
      <c r="C67" t="str">
        <f t="shared" si="20"/>
        <v>1.4*1.34*1.4</v>
      </c>
      <c r="D67">
        <v>3</v>
      </c>
      <c r="E67" s="23">
        <f t="shared" si="21"/>
        <v>0.16247113163972288</v>
      </c>
      <c r="F67" s="9">
        <f t="shared" si="22"/>
        <v>5749.1895999999997</v>
      </c>
      <c r="G67" s="8">
        <f t="shared" si="23"/>
        <v>17247.568800000001</v>
      </c>
      <c r="H67" s="8">
        <f t="shared" si="19"/>
        <v>206970.82560000001</v>
      </c>
      <c r="J67" s="129">
        <v>1.4</v>
      </c>
      <c r="K67" s="130">
        <v>1.34</v>
      </c>
      <c r="L67" s="130">
        <v>1.4</v>
      </c>
      <c r="M67" s="130">
        <f t="shared" si="24"/>
        <v>5749.1895999999997</v>
      </c>
    </row>
    <row r="68" spans="2:13" ht="15.75" hidden="1" outlineLevel="1" thickBot="1" x14ac:dyDescent="0.3">
      <c r="B68" s="10" t="str">
        <f>"Всего "&amp;B56</f>
        <v>Всего Зарплата</v>
      </c>
      <c r="C68" s="10"/>
      <c r="D68" s="10">
        <f>SUM(D58:D67)</f>
        <v>14</v>
      </c>
      <c r="E68" s="11">
        <f>SUM(E58:E67)</f>
        <v>1</v>
      </c>
      <c r="F68" s="13">
        <f>SUM(F58:F67)</f>
        <v>83160.9856</v>
      </c>
      <c r="G68" s="13">
        <f>SUM(G58:G67)</f>
        <v>106157.74400000001</v>
      </c>
      <c r="H68" s="13">
        <f>SUM(H58:H67)</f>
        <v>1273892.9280000003</v>
      </c>
    </row>
    <row r="69" spans="2:13" collapsed="1" x14ac:dyDescent="0.25"/>
    <row r="70" spans="2:13" x14ac:dyDescent="0.25">
      <c r="B70" s="2" t="s">
        <v>139</v>
      </c>
      <c r="C70" s="17"/>
      <c r="D70" s="17"/>
      <c r="E70" s="45">
        <f>G70/G45</f>
        <v>9.2491851993361275E-3</v>
      </c>
      <c r="F70" s="4"/>
      <c r="G70" s="5">
        <f>SUM(G71:G78)</f>
        <v>2420</v>
      </c>
      <c r="H70" s="5">
        <f>SUM(H71:H78)</f>
        <v>29040</v>
      </c>
      <c r="J70" s="129"/>
      <c r="L70" s="130"/>
      <c r="M70" s="130"/>
    </row>
    <row r="71" spans="2:13" hidden="1" outlineLevel="1" x14ac:dyDescent="0.25">
      <c r="B71" t="s">
        <v>11</v>
      </c>
      <c r="D71">
        <v>1</v>
      </c>
      <c r="E71" s="24">
        <f>G71/$G$70</f>
        <v>6.1983471074380167E-2</v>
      </c>
      <c r="F71" s="9">
        <v>150</v>
      </c>
      <c r="G71" s="8">
        <f t="shared" ref="G71:G78" si="25">D71*F71</f>
        <v>150</v>
      </c>
      <c r="H71" s="8">
        <f t="shared" ref="H71:H78" si="26">G71*$H$3</f>
        <v>1800</v>
      </c>
    </row>
    <row r="72" spans="2:13" hidden="1" outlineLevel="1" x14ac:dyDescent="0.25">
      <c r="B72" t="s">
        <v>217</v>
      </c>
      <c r="D72">
        <v>1</v>
      </c>
      <c r="E72" s="24">
        <f t="shared" ref="E72:E77" si="27">G72/$G$70</f>
        <v>0.10330578512396695</v>
      </c>
      <c r="F72" s="9">
        <v>250</v>
      </c>
      <c r="G72" s="8">
        <f t="shared" si="25"/>
        <v>250</v>
      </c>
      <c r="H72" s="8">
        <f t="shared" si="26"/>
        <v>3000</v>
      </c>
    </row>
    <row r="73" spans="2:13" hidden="1" outlineLevel="1" x14ac:dyDescent="0.25">
      <c r="B73" t="s">
        <v>218</v>
      </c>
      <c r="D73">
        <v>1</v>
      </c>
      <c r="E73" s="24">
        <f t="shared" si="27"/>
        <v>0.18595041322314049</v>
      </c>
      <c r="F73" s="9">
        <v>450</v>
      </c>
      <c r="G73" s="8">
        <f t="shared" si="25"/>
        <v>450</v>
      </c>
      <c r="H73" s="8">
        <f t="shared" si="26"/>
        <v>5400</v>
      </c>
    </row>
    <row r="74" spans="2:13" hidden="1" outlineLevel="1" x14ac:dyDescent="0.25">
      <c r="B74" t="s">
        <v>219</v>
      </c>
      <c r="D74">
        <v>1</v>
      </c>
      <c r="E74" s="24">
        <f t="shared" si="27"/>
        <v>0.16528925619834711</v>
      </c>
      <c r="F74" s="9">
        <v>400</v>
      </c>
      <c r="G74" s="8">
        <f t="shared" si="25"/>
        <v>400</v>
      </c>
      <c r="H74" s="8">
        <f t="shared" si="26"/>
        <v>4800</v>
      </c>
    </row>
    <row r="75" spans="2:13" hidden="1" outlineLevel="1" x14ac:dyDescent="0.25">
      <c r="B75" t="s">
        <v>220</v>
      </c>
      <c r="D75">
        <v>1</v>
      </c>
      <c r="E75" s="24">
        <f t="shared" si="27"/>
        <v>0.14462809917355371</v>
      </c>
      <c r="F75" s="9">
        <v>350</v>
      </c>
      <c r="G75" s="8">
        <f t="shared" si="25"/>
        <v>350</v>
      </c>
      <c r="H75" s="8">
        <f t="shared" si="26"/>
        <v>4200</v>
      </c>
    </row>
    <row r="76" spans="2:13" hidden="1" outlineLevel="1" x14ac:dyDescent="0.25">
      <c r="B76" t="s">
        <v>221</v>
      </c>
      <c r="D76">
        <v>1</v>
      </c>
      <c r="E76" s="24">
        <f t="shared" si="27"/>
        <v>0.16528925619834711</v>
      </c>
      <c r="F76" s="9">
        <v>400</v>
      </c>
      <c r="G76" s="8">
        <f t="shared" si="25"/>
        <v>400</v>
      </c>
      <c r="H76" s="8">
        <f t="shared" si="26"/>
        <v>4800</v>
      </c>
    </row>
    <row r="77" spans="2:13" hidden="1" outlineLevel="1" x14ac:dyDescent="0.25">
      <c r="B77" t="s">
        <v>222</v>
      </c>
      <c r="D77">
        <v>1</v>
      </c>
      <c r="E77" s="24">
        <f t="shared" si="27"/>
        <v>8.2644628099173556E-2</v>
      </c>
      <c r="F77" s="9">
        <v>200</v>
      </c>
      <c r="G77" s="8">
        <f t="shared" si="25"/>
        <v>200</v>
      </c>
      <c r="H77" s="8">
        <f t="shared" si="26"/>
        <v>2400</v>
      </c>
    </row>
    <row r="78" spans="2:13" hidden="1" outlineLevel="1" x14ac:dyDescent="0.25">
      <c r="B78" t="s">
        <v>177</v>
      </c>
      <c r="D78">
        <v>1</v>
      </c>
      <c r="E78" s="18">
        <f>10%</f>
        <v>0.1</v>
      </c>
      <c r="F78" s="8">
        <f>SUM(F71:F77)*E78</f>
        <v>220</v>
      </c>
      <c r="G78" s="8">
        <f t="shared" si="25"/>
        <v>220</v>
      </c>
      <c r="H78" s="8">
        <f t="shared" si="26"/>
        <v>2640</v>
      </c>
    </row>
    <row r="79" spans="2:13" ht="15.75" hidden="1" outlineLevel="1" thickBot="1" x14ac:dyDescent="0.3">
      <c r="B79" s="10" t="str">
        <f>"Всего "&amp;B70</f>
        <v>Всего Расходы на офис</v>
      </c>
      <c r="C79" s="10"/>
      <c r="D79" s="10">
        <f>SUM(D68:D77)</f>
        <v>21</v>
      </c>
      <c r="E79" s="11">
        <f>SUM(E71:E77)</f>
        <v>0.90909090909090895</v>
      </c>
      <c r="F79" s="13">
        <f>SUM(F71:F78)</f>
        <v>2420</v>
      </c>
      <c r="G79" s="13">
        <f>SUM(G71:G78)</f>
        <v>2420</v>
      </c>
      <c r="H79" s="13">
        <f>SUM(H71:H78)</f>
        <v>29040</v>
      </c>
    </row>
    <row r="80" spans="2:13" collapsed="1" x14ac:dyDescent="0.25"/>
    <row r="81" spans="2:8" x14ac:dyDescent="0.25">
      <c r="B81" s="2" t="s">
        <v>140</v>
      </c>
      <c r="C81" s="17"/>
      <c r="D81" s="17"/>
      <c r="E81" s="45">
        <f>G81/G45</f>
        <v>0.16418832519763665</v>
      </c>
      <c r="F81" s="4"/>
      <c r="G81" s="5">
        <f>SUM(G82:G94)</f>
        <v>42959</v>
      </c>
      <c r="H81" s="5">
        <f>SUM(H82:H94)</f>
        <v>515508</v>
      </c>
    </row>
    <row r="82" spans="2:8" hidden="1" outlineLevel="1" x14ac:dyDescent="0.25">
      <c r="B82" t="s">
        <v>169</v>
      </c>
      <c r="D82">
        <f>C7+D13+C38</f>
        <v>142</v>
      </c>
      <c r="E82" s="24">
        <f>G82/$G$81</f>
        <v>0.16527386577899858</v>
      </c>
      <c r="F82" s="9">
        <v>50</v>
      </c>
      <c r="G82" s="8">
        <f t="shared" ref="G82:G94" si="28">D82*F82</f>
        <v>7100</v>
      </c>
      <c r="H82" s="8">
        <f t="shared" ref="H82:H94" si="29">G82*$H$3</f>
        <v>85200</v>
      </c>
    </row>
    <row r="83" spans="2:8" hidden="1" outlineLevel="1" x14ac:dyDescent="0.25">
      <c r="B83" t="s">
        <v>170</v>
      </c>
      <c r="D83">
        <f>D20</f>
        <v>9</v>
      </c>
      <c r="E83" s="24">
        <f t="shared" ref="E83:E93" si="30">G83/$G$81</f>
        <v>1.0475104169091459E-2</v>
      </c>
      <c r="F83" s="9">
        <v>50</v>
      </c>
      <c r="G83" s="8">
        <f t="shared" si="28"/>
        <v>450</v>
      </c>
      <c r="H83" s="8">
        <f t="shared" si="29"/>
        <v>5400</v>
      </c>
    </row>
    <row r="84" spans="2:8" hidden="1" outlineLevel="1" x14ac:dyDescent="0.25">
      <c r="B84" t="s">
        <v>171</v>
      </c>
      <c r="D84">
        <v>1</v>
      </c>
      <c r="E84" s="24">
        <f t="shared" si="30"/>
        <v>2.3278009264647688E-2</v>
      </c>
      <c r="F84" s="9">
        <v>1000</v>
      </c>
      <c r="G84" s="8">
        <f t="shared" si="28"/>
        <v>1000</v>
      </c>
      <c r="H84" s="8">
        <f t="shared" si="29"/>
        <v>12000</v>
      </c>
    </row>
    <row r="85" spans="2:8" hidden="1" outlineLevel="1" x14ac:dyDescent="0.25">
      <c r="B85" t="s">
        <v>52</v>
      </c>
      <c r="D85">
        <f>C23</f>
        <v>20</v>
      </c>
      <c r="E85" s="24">
        <f t="shared" si="30"/>
        <v>0.34917013896971533</v>
      </c>
      <c r="F85" s="9">
        <f>30*25</f>
        <v>750</v>
      </c>
      <c r="G85" s="8">
        <f>D85*F85</f>
        <v>15000</v>
      </c>
      <c r="H85" s="8">
        <f t="shared" si="29"/>
        <v>180000</v>
      </c>
    </row>
    <row r="86" spans="2:8" hidden="1" outlineLevel="1" x14ac:dyDescent="0.25">
      <c r="B86" t="s">
        <v>172</v>
      </c>
      <c r="D86">
        <f>D16</f>
        <v>4</v>
      </c>
      <c r="E86" s="24">
        <f t="shared" si="30"/>
        <v>2.3278009264647687E-3</v>
      </c>
      <c r="F86" s="9">
        <v>25</v>
      </c>
      <c r="G86" s="8">
        <f t="shared" si="28"/>
        <v>100</v>
      </c>
      <c r="H86" s="8">
        <f t="shared" si="29"/>
        <v>1200</v>
      </c>
    </row>
    <row r="87" spans="2:8" hidden="1" outlineLevel="1" x14ac:dyDescent="0.25">
      <c r="B87" t="s">
        <v>173</v>
      </c>
      <c r="D87">
        <f>D17</f>
        <v>4</v>
      </c>
      <c r="E87" s="24">
        <f t="shared" si="30"/>
        <v>1.1173444447030889E-2</v>
      </c>
      <c r="F87" s="9">
        <f>D87*30</f>
        <v>120</v>
      </c>
      <c r="G87" s="8">
        <f t="shared" si="28"/>
        <v>480</v>
      </c>
      <c r="H87" s="8">
        <f t="shared" si="29"/>
        <v>5760</v>
      </c>
    </row>
    <row r="88" spans="2:8" hidden="1" outlineLevel="1" x14ac:dyDescent="0.25">
      <c r="B88" t="s">
        <v>174</v>
      </c>
      <c r="D88">
        <f>D18</f>
        <v>4</v>
      </c>
      <c r="E88" s="24">
        <f t="shared" si="30"/>
        <v>1.1173444447030889E-2</v>
      </c>
      <c r="F88" s="9">
        <f>D88*30</f>
        <v>120</v>
      </c>
      <c r="G88" s="8">
        <f t="shared" si="28"/>
        <v>480</v>
      </c>
      <c r="H88" s="8">
        <f t="shared" si="29"/>
        <v>5760</v>
      </c>
    </row>
    <row r="89" spans="2:8" hidden="1" outlineLevel="1" x14ac:dyDescent="0.25">
      <c r="B89" t="s">
        <v>175</v>
      </c>
      <c r="D89">
        <f>D19</f>
        <v>9</v>
      </c>
      <c r="E89" s="24">
        <f t="shared" si="30"/>
        <v>1.0475104169091459E-2</v>
      </c>
      <c r="F89" s="9">
        <v>50</v>
      </c>
      <c r="G89" s="8">
        <f t="shared" si="28"/>
        <v>450</v>
      </c>
      <c r="H89" s="8">
        <f t="shared" si="29"/>
        <v>5400</v>
      </c>
    </row>
    <row r="90" spans="2:8" hidden="1" outlineLevel="1" x14ac:dyDescent="0.25">
      <c r="B90" t="s">
        <v>178</v>
      </c>
      <c r="D90">
        <f>C23</f>
        <v>20</v>
      </c>
      <c r="E90" s="24">
        <f t="shared" si="30"/>
        <v>4.6556018529295376E-2</v>
      </c>
      <c r="F90" s="9">
        <v>100</v>
      </c>
      <c r="G90" s="8">
        <f t="shared" si="28"/>
        <v>2000</v>
      </c>
      <c r="H90" s="8">
        <f t="shared" si="29"/>
        <v>24000</v>
      </c>
    </row>
    <row r="91" spans="2:8" hidden="1" outlineLevel="1" x14ac:dyDescent="0.25">
      <c r="B91" t="s">
        <v>199</v>
      </c>
      <c r="D91">
        <f>C23</f>
        <v>20</v>
      </c>
      <c r="E91" s="24">
        <f t="shared" si="30"/>
        <v>0.27933611117577223</v>
      </c>
      <c r="F91" s="9">
        <v>600</v>
      </c>
      <c r="G91" s="8">
        <f t="shared" si="28"/>
        <v>12000</v>
      </c>
      <c r="H91" s="8">
        <f t="shared" si="29"/>
        <v>144000</v>
      </c>
    </row>
    <row r="92" spans="2:8" hidden="1" outlineLevel="1" x14ac:dyDescent="0.25">
      <c r="B92" t="s">
        <v>200</v>
      </c>
      <c r="D92">
        <f>C23</f>
        <v>20</v>
      </c>
      <c r="E92" s="24">
        <f t="shared" si="30"/>
        <v>5.8195023161619217E-2</v>
      </c>
      <c r="F92" s="9">
        <v>125</v>
      </c>
      <c r="G92" s="8">
        <f t="shared" si="28"/>
        <v>2500</v>
      </c>
      <c r="H92" s="8">
        <f t="shared" si="29"/>
        <v>30000</v>
      </c>
    </row>
    <row r="93" spans="2:8" hidden="1" outlineLevel="1" x14ac:dyDescent="0.25">
      <c r="B93" t="s">
        <v>176</v>
      </c>
      <c r="D93">
        <v>1</v>
      </c>
      <c r="E93" s="24">
        <f t="shared" si="30"/>
        <v>2.3278009264647688E-2</v>
      </c>
      <c r="F93" s="9">
        <v>1000</v>
      </c>
      <c r="G93" s="8">
        <f t="shared" si="28"/>
        <v>1000</v>
      </c>
      <c r="H93" s="8">
        <f t="shared" si="29"/>
        <v>12000</v>
      </c>
    </row>
    <row r="94" spans="2:8" hidden="1" outlineLevel="1" x14ac:dyDescent="0.25">
      <c r="B94" t="s">
        <v>177</v>
      </c>
      <c r="D94">
        <v>1</v>
      </c>
      <c r="E94" s="18">
        <f>10%</f>
        <v>0.1</v>
      </c>
      <c r="F94" s="8">
        <f>SUM(F82:F93)*E94</f>
        <v>399</v>
      </c>
      <c r="G94" s="8">
        <f t="shared" si="28"/>
        <v>399</v>
      </c>
      <c r="H94" s="8">
        <f t="shared" si="29"/>
        <v>4788</v>
      </c>
    </row>
    <row r="95" spans="2:8" ht="15.75" hidden="1" outlineLevel="1" thickBot="1" x14ac:dyDescent="0.3">
      <c r="B95" s="10" t="str">
        <f>"Всего "&amp;B81</f>
        <v>Всего Расходы на предоставление услуг</v>
      </c>
      <c r="C95" s="10"/>
      <c r="D95" s="10">
        <f>SUM(D82:D94)</f>
        <v>255</v>
      </c>
      <c r="E95" s="11">
        <f>SUM(E82:E94)</f>
        <v>1.0907120743034056</v>
      </c>
      <c r="F95" s="13">
        <f>SUM(F82:F94)</f>
        <v>4389</v>
      </c>
      <c r="G95" s="13">
        <f>SUM(G82:G94)</f>
        <v>42959</v>
      </c>
      <c r="H95" s="13">
        <f>SUM(H82:H94)</f>
        <v>515508</v>
      </c>
    </row>
    <row r="96" spans="2:8" collapsed="1" x14ac:dyDescent="0.25">
      <c r="B96" s="36"/>
      <c r="C96" s="36"/>
      <c r="D96" s="36"/>
      <c r="E96" s="37"/>
      <c r="F96" s="38"/>
      <c r="G96" s="38"/>
      <c r="H96" s="38"/>
    </row>
    <row r="97" spans="2:10" ht="15.75" thickBot="1" x14ac:dyDescent="0.3">
      <c r="B97" s="58" t="s">
        <v>141</v>
      </c>
      <c r="C97" s="58"/>
      <c r="D97" s="58"/>
      <c r="E97" s="59">
        <f>G97/G5</f>
        <v>7.8415505060151075E-4</v>
      </c>
      <c r="F97" s="202">
        <f>F5-F45</f>
        <v>6.7506082191775931</v>
      </c>
      <c r="G97" s="61">
        <f>G5-G45</f>
        <v>205.33100000000559</v>
      </c>
      <c r="H97" s="61">
        <f>H5-H45</f>
        <v>2463.9719999996014</v>
      </c>
    </row>
    <row r="98" spans="2:10" x14ac:dyDescent="0.25">
      <c r="B98" s="36"/>
      <c r="C98" s="36"/>
      <c r="D98" s="36"/>
      <c r="E98" s="37"/>
      <c r="F98" s="38"/>
      <c r="G98" s="38"/>
      <c r="H98" s="38"/>
    </row>
    <row r="99" spans="2:10" x14ac:dyDescent="0.25">
      <c r="B99" s="36" t="s">
        <v>179</v>
      </c>
      <c r="C99" s="36"/>
      <c r="D99" s="36"/>
      <c r="E99" s="37"/>
      <c r="F99" s="38"/>
      <c r="G99" s="38"/>
      <c r="H99" s="38"/>
    </row>
    <row r="100" spans="2:10" hidden="1" outlineLevel="1" x14ac:dyDescent="0.25"/>
    <row r="101" spans="2:10" hidden="1" outlineLevel="1" x14ac:dyDescent="0.25">
      <c r="B101" s="2" t="s">
        <v>180</v>
      </c>
      <c r="C101" s="2"/>
      <c r="D101" s="2"/>
      <c r="E101" s="2"/>
      <c r="F101" s="2"/>
      <c r="G101" s="2"/>
      <c r="H101" s="2"/>
    </row>
    <row r="102" spans="2:10" hidden="1" outlineLevel="2" x14ac:dyDescent="0.25">
      <c r="B102" s="14" t="s">
        <v>150</v>
      </c>
      <c r="C102" s="28" t="s">
        <v>13</v>
      </c>
      <c r="D102" s="19"/>
      <c r="E102" s="22"/>
      <c r="F102" s="20"/>
      <c r="G102" s="21">
        <f>SUM(G103:G106)</f>
        <v>6900</v>
      </c>
    </row>
    <row r="103" spans="2:10" hidden="1" outlineLevel="2" x14ac:dyDescent="0.25">
      <c r="B103" t="s">
        <v>142</v>
      </c>
      <c r="C103" s="131">
        <v>1</v>
      </c>
      <c r="D103" s="131">
        <v>1</v>
      </c>
      <c r="E103" s="6">
        <v>1</v>
      </c>
      <c r="F103" s="32">
        <f>E108*1.5</f>
        <v>375</v>
      </c>
      <c r="G103" s="21">
        <f>D103*F103</f>
        <v>375</v>
      </c>
    </row>
    <row r="104" spans="2:10" hidden="1" outlineLevel="2" x14ac:dyDescent="0.25">
      <c r="B104" t="s">
        <v>143</v>
      </c>
      <c r="C104" s="131">
        <v>3</v>
      </c>
      <c r="D104" s="131">
        <v>1</v>
      </c>
      <c r="E104" s="6">
        <v>0.1</v>
      </c>
      <c r="F104" s="21">
        <f>C104*$F$103-C104*$F$103*E104</f>
        <v>1012.5</v>
      </c>
      <c r="G104" s="21">
        <f>D104*F104</f>
        <v>1012.5</v>
      </c>
      <c r="J104" s="21"/>
    </row>
    <row r="105" spans="2:10" hidden="1" outlineLevel="2" x14ac:dyDescent="0.25">
      <c r="B105" t="s">
        <v>144</v>
      </c>
      <c r="C105" s="131">
        <v>6</v>
      </c>
      <c r="D105" s="131">
        <v>1</v>
      </c>
      <c r="E105" s="6">
        <v>0.15</v>
      </c>
      <c r="F105" s="21">
        <f t="shared" ref="F105:F106" si="31">C105*$F$103-C105*$F$103*E105</f>
        <v>1912.5</v>
      </c>
      <c r="G105" s="21">
        <f t="shared" ref="G105:G106" si="32">D105*F105</f>
        <v>1912.5</v>
      </c>
    </row>
    <row r="106" spans="2:10" hidden="1" outlineLevel="2" x14ac:dyDescent="0.25">
      <c r="B106" t="s">
        <v>145</v>
      </c>
      <c r="C106" s="131">
        <v>12</v>
      </c>
      <c r="D106" s="131">
        <v>1</v>
      </c>
      <c r="E106" s="6">
        <v>0.2</v>
      </c>
      <c r="F106" s="21">
        <f t="shared" si="31"/>
        <v>3600</v>
      </c>
      <c r="G106" s="21">
        <f t="shared" si="32"/>
        <v>3600</v>
      </c>
    </row>
    <row r="107" spans="2:10" hidden="1" outlineLevel="2" x14ac:dyDescent="0.25">
      <c r="B107" s="14" t="s">
        <v>187</v>
      </c>
      <c r="C107" s="28">
        <v>1</v>
      </c>
      <c r="D107" s="19" t="s">
        <v>12</v>
      </c>
      <c r="G107" s="21">
        <f>SUM(G108:G112)</f>
        <v>750</v>
      </c>
    </row>
    <row r="108" spans="2:10" hidden="1" outlineLevel="2" x14ac:dyDescent="0.25">
      <c r="B108" t="s">
        <v>146</v>
      </c>
      <c r="C108" s="131">
        <v>1</v>
      </c>
      <c r="D108" s="131">
        <v>1</v>
      </c>
      <c r="E108" s="65">
        <v>250</v>
      </c>
      <c r="F108" s="21">
        <f>C108*D108*E108</f>
        <v>250</v>
      </c>
      <c r="G108" s="21">
        <f>F108*$C$108</f>
        <v>250</v>
      </c>
    </row>
    <row r="109" spans="2:10" hidden="1" outlineLevel="2" x14ac:dyDescent="0.25">
      <c r="B109" t="s">
        <v>162</v>
      </c>
      <c r="C109" s="131">
        <v>1</v>
      </c>
      <c r="D109" s="131">
        <v>1</v>
      </c>
      <c r="E109" s="65">
        <v>50</v>
      </c>
      <c r="F109" s="21">
        <f t="shared" ref="F109:F114" si="33">C109*D109*E109</f>
        <v>50</v>
      </c>
      <c r="G109" s="21">
        <f>F109*$C$108</f>
        <v>50</v>
      </c>
    </row>
    <row r="110" spans="2:10" hidden="1" outlineLevel="2" x14ac:dyDescent="0.25">
      <c r="B110" t="s">
        <v>175</v>
      </c>
      <c r="C110" s="131">
        <v>1</v>
      </c>
      <c r="D110" s="131">
        <v>1</v>
      </c>
      <c r="E110" s="65">
        <v>150</v>
      </c>
      <c r="F110" s="21">
        <f t="shared" si="33"/>
        <v>150</v>
      </c>
      <c r="G110" s="21">
        <f>F110*$C$108</f>
        <v>150</v>
      </c>
    </row>
    <row r="111" spans="2:10" hidden="1" outlineLevel="2" x14ac:dyDescent="0.25">
      <c r="B111" t="s">
        <v>147</v>
      </c>
      <c r="C111" s="131">
        <v>1</v>
      </c>
      <c r="D111" s="131">
        <v>1</v>
      </c>
      <c r="E111" s="65">
        <v>100</v>
      </c>
      <c r="F111" s="21">
        <f t="shared" si="33"/>
        <v>100</v>
      </c>
      <c r="G111" s="21">
        <f>F111*$C$108</f>
        <v>100</v>
      </c>
    </row>
    <row r="112" spans="2:10" hidden="1" outlineLevel="2" x14ac:dyDescent="0.25">
      <c r="B112" t="s">
        <v>148</v>
      </c>
      <c r="C112" s="131">
        <v>1</v>
      </c>
      <c r="D112" s="131">
        <v>2</v>
      </c>
      <c r="E112" s="65">
        <v>100</v>
      </c>
      <c r="F112" s="21">
        <f t="shared" si="33"/>
        <v>200</v>
      </c>
      <c r="G112" s="21">
        <f>F112*$C$108</f>
        <v>200</v>
      </c>
    </row>
    <row r="113" spans="2:8" hidden="1" outlineLevel="2" x14ac:dyDescent="0.25">
      <c r="B113" t="s">
        <v>188</v>
      </c>
      <c r="C113" s="131">
        <v>1</v>
      </c>
      <c r="D113" s="131">
        <v>1</v>
      </c>
      <c r="E113" s="65">
        <v>50</v>
      </c>
      <c r="F113" s="21">
        <f t="shared" si="33"/>
        <v>50</v>
      </c>
      <c r="G113" s="21">
        <f t="shared" ref="G113:G114" si="34">F113*$C$108</f>
        <v>50</v>
      </c>
    </row>
    <row r="114" spans="2:8" hidden="1" outlineLevel="2" x14ac:dyDescent="0.25">
      <c r="B114" t="s">
        <v>189</v>
      </c>
      <c r="C114" s="131">
        <v>1</v>
      </c>
      <c r="D114" s="131">
        <v>1</v>
      </c>
      <c r="E114" s="65">
        <v>50</v>
      </c>
      <c r="F114" s="21">
        <f t="shared" si="33"/>
        <v>50</v>
      </c>
      <c r="G114" s="21">
        <f t="shared" si="34"/>
        <v>50</v>
      </c>
    </row>
    <row r="115" spans="2:8" hidden="1" outlineLevel="1" collapsed="1" x14ac:dyDescent="0.25"/>
    <row r="116" spans="2:8" hidden="1" outlineLevel="1" x14ac:dyDescent="0.25">
      <c r="B116" s="2" t="s">
        <v>190</v>
      </c>
      <c r="C116" s="2"/>
      <c r="D116" s="2"/>
      <c r="E116" s="2"/>
      <c r="F116" s="2"/>
      <c r="G116" s="2"/>
      <c r="H116" s="2"/>
    </row>
    <row r="117" spans="2:8" hidden="1" outlineLevel="2" x14ac:dyDescent="0.25">
      <c r="B117" s="14" t="s">
        <v>150</v>
      </c>
      <c r="C117" s="28">
        <v>1</v>
      </c>
      <c r="D117" s="26" t="s">
        <v>14</v>
      </c>
      <c r="E117" s="26" t="s">
        <v>168</v>
      </c>
      <c r="G117" s="21">
        <f>SUM(G119:G120)</f>
        <v>2000</v>
      </c>
    </row>
    <row r="118" spans="2:8" hidden="1" outlineLevel="2" x14ac:dyDescent="0.25">
      <c r="B118" t="s">
        <v>284</v>
      </c>
      <c r="C118" s="131">
        <v>1</v>
      </c>
      <c r="D118" s="131">
        <v>2</v>
      </c>
      <c r="E118" s="65">
        <v>50</v>
      </c>
      <c r="F118" s="21">
        <f>C118*D118*E118</f>
        <v>100</v>
      </c>
      <c r="G118" s="21">
        <f>F118*$C$108</f>
        <v>100</v>
      </c>
    </row>
    <row r="119" spans="2:8" hidden="1" outlineLevel="2" x14ac:dyDescent="0.25">
      <c r="B119" t="s">
        <v>152</v>
      </c>
      <c r="C119" s="131">
        <v>1</v>
      </c>
      <c r="D119" s="131">
        <v>4</v>
      </c>
      <c r="E119" s="65">
        <v>375</v>
      </c>
      <c r="F119" s="21">
        <f>C119*D119*E119</f>
        <v>1500</v>
      </c>
      <c r="G119" s="21">
        <f>F119*$C$108</f>
        <v>1500</v>
      </c>
    </row>
    <row r="120" spans="2:8" hidden="1" outlineLevel="2" x14ac:dyDescent="0.25">
      <c r="B120" t="s">
        <v>153</v>
      </c>
      <c r="C120" s="131">
        <v>1</v>
      </c>
      <c r="D120" s="131">
        <v>4</v>
      </c>
      <c r="E120" s="65">
        <v>125</v>
      </c>
      <c r="F120" s="21">
        <f t="shared" ref="F120" si="35">C120*D120*E120</f>
        <v>500</v>
      </c>
      <c r="G120" s="21">
        <f>F120*$C$108</f>
        <v>500</v>
      </c>
    </row>
    <row r="121" spans="2:8" hidden="1" outlineLevel="1" collapsed="1" x14ac:dyDescent="0.25">
      <c r="C121" s="27"/>
      <c r="D121" s="27"/>
      <c r="E121" s="29"/>
      <c r="F121" s="21"/>
      <c r="G121" s="21"/>
    </row>
    <row r="122" spans="2:8" hidden="1" outlineLevel="1" x14ac:dyDescent="0.25">
      <c r="B122" s="2" t="s">
        <v>135</v>
      </c>
      <c r="C122" s="2"/>
      <c r="D122" s="2"/>
      <c r="E122" s="2"/>
      <c r="F122" s="2"/>
      <c r="G122" s="2"/>
      <c r="H122" s="2"/>
    </row>
    <row r="123" spans="2:8" hidden="1" outlineLevel="2" x14ac:dyDescent="0.25">
      <c r="B123" s="14" t="s">
        <v>150</v>
      </c>
      <c r="C123" s="28">
        <v>1</v>
      </c>
      <c r="D123" s="26" t="s">
        <v>198</v>
      </c>
      <c r="G123" s="21">
        <f>SUM(G124:G141)</f>
        <v>9300</v>
      </c>
    </row>
    <row r="124" spans="2:8" hidden="1" outlineLevel="2" x14ac:dyDescent="0.25">
      <c r="B124" t="s">
        <v>297</v>
      </c>
      <c r="C124" s="131">
        <v>1</v>
      </c>
      <c r="D124" s="131">
        <v>2</v>
      </c>
      <c r="E124" s="32">
        <v>800</v>
      </c>
      <c r="F124" s="21">
        <f>C124*D124*E124</f>
        <v>1600</v>
      </c>
      <c r="G124" s="21">
        <f t="shared" ref="G124:G134" si="36">F124*$C$108</f>
        <v>1600</v>
      </c>
    </row>
    <row r="125" spans="2:8" hidden="1" outlineLevel="2" x14ac:dyDescent="0.25">
      <c r="B125" t="s">
        <v>186</v>
      </c>
      <c r="C125" s="131">
        <v>1</v>
      </c>
      <c r="D125" s="131">
        <v>1</v>
      </c>
      <c r="E125" s="32">
        <v>750</v>
      </c>
      <c r="F125" s="21">
        <f>C125*D125*E125</f>
        <v>750</v>
      </c>
      <c r="G125" s="21">
        <f t="shared" si="36"/>
        <v>750</v>
      </c>
    </row>
    <row r="126" spans="2:8" hidden="1" outlineLevel="2" x14ac:dyDescent="0.25">
      <c r="B126" t="s">
        <v>166</v>
      </c>
      <c r="C126" s="131">
        <v>1</v>
      </c>
      <c r="D126" s="131">
        <v>1</v>
      </c>
      <c r="E126" s="32">
        <v>1500</v>
      </c>
      <c r="F126" s="21">
        <f t="shared" ref="F126:F134" si="37">C126*D126*E126</f>
        <v>1500</v>
      </c>
      <c r="G126" s="21">
        <f t="shared" si="36"/>
        <v>1500</v>
      </c>
    </row>
    <row r="127" spans="2:8" hidden="1" outlineLevel="2" x14ac:dyDescent="0.25">
      <c r="B127" t="s">
        <v>164</v>
      </c>
      <c r="C127" s="131">
        <v>1</v>
      </c>
      <c r="D127" s="131">
        <v>1</v>
      </c>
      <c r="E127" s="32">
        <v>1500</v>
      </c>
      <c r="F127" s="21">
        <f>C127*D127*E127</f>
        <v>1500</v>
      </c>
      <c r="G127" s="21">
        <f t="shared" si="36"/>
        <v>1500</v>
      </c>
    </row>
    <row r="128" spans="2:8" hidden="1" outlineLevel="2" x14ac:dyDescent="0.25">
      <c r="B128" t="s">
        <v>183</v>
      </c>
      <c r="C128" s="131">
        <v>1</v>
      </c>
      <c r="D128" s="131">
        <v>1</v>
      </c>
      <c r="E128" s="32">
        <v>750</v>
      </c>
      <c r="F128" s="21">
        <f>C128*D128*E128</f>
        <v>750</v>
      </c>
      <c r="G128" s="21">
        <f t="shared" si="36"/>
        <v>750</v>
      </c>
    </row>
    <row r="129" spans="2:7" hidden="1" outlineLevel="2" x14ac:dyDescent="0.25">
      <c r="B129" t="s">
        <v>182</v>
      </c>
      <c r="C129" s="131">
        <v>1</v>
      </c>
      <c r="D129" s="131">
        <v>1</v>
      </c>
      <c r="E129" s="32">
        <v>600</v>
      </c>
      <c r="F129" s="21">
        <f t="shared" si="37"/>
        <v>600</v>
      </c>
      <c r="G129" s="21">
        <f t="shared" si="36"/>
        <v>600</v>
      </c>
    </row>
    <row r="130" spans="2:7" hidden="1" outlineLevel="2" x14ac:dyDescent="0.25">
      <c r="B130" t="s">
        <v>185</v>
      </c>
      <c r="C130" s="131">
        <v>1</v>
      </c>
      <c r="D130" s="131">
        <v>1</v>
      </c>
      <c r="E130" s="32">
        <v>1000</v>
      </c>
      <c r="F130" s="21">
        <f t="shared" si="37"/>
        <v>1000</v>
      </c>
      <c r="G130" s="21">
        <f t="shared" si="36"/>
        <v>1000</v>
      </c>
    </row>
    <row r="131" spans="2:7" hidden="1" outlineLevel="2" x14ac:dyDescent="0.25">
      <c r="B131" t="s">
        <v>184</v>
      </c>
      <c r="C131" s="131">
        <v>1</v>
      </c>
      <c r="D131" s="131">
        <v>1</v>
      </c>
      <c r="E131" s="32">
        <v>300</v>
      </c>
      <c r="F131" s="21">
        <f t="shared" si="37"/>
        <v>300</v>
      </c>
      <c r="G131" s="21">
        <f t="shared" si="36"/>
        <v>300</v>
      </c>
    </row>
    <row r="132" spans="2:7" hidden="1" outlineLevel="2" x14ac:dyDescent="0.25">
      <c r="B132" t="s">
        <v>181</v>
      </c>
      <c r="C132" s="131">
        <v>1</v>
      </c>
      <c r="D132" s="131">
        <v>1</v>
      </c>
      <c r="E132" s="32">
        <v>600</v>
      </c>
      <c r="F132" s="21">
        <f t="shared" si="37"/>
        <v>600</v>
      </c>
      <c r="G132" s="21">
        <f t="shared" si="36"/>
        <v>600</v>
      </c>
    </row>
    <row r="133" spans="2:7" hidden="1" outlineLevel="2" x14ac:dyDescent="0.25">
      <c r="B133" t="s">
        <v>165</v>
      </c>
      <c r="C133" s="131">
        <v>1</v>
      </c>
      <c r="D133" s="131">
        <v>1</v>
      </c>
      <c r="E133" s="32">
        <v>500</v>
      </c>
      <c r="F133" s="21">
        <f t="shared" si="37"/>
        <v>500</v>
      </c>
      <c r="G133" s="21">
        <f t="shared" si="36"/>
        <v>500</v>
      </c>
    </row>
    <row r="134" spans="2:7" hidden="1" outlineLevel="2" x14ac:dyDescent="0.25">
      <c r="B134" t="s">
        <v>167</v>
      </c>
      <c r="C134" s="131">
        <v>1</v>
      </c>
      <c r="D134" s="131">
        <v>1</v>
      </c>
      <c r="E134" s="32">
        <v>200</v>
      </c>
      <c r="F134" s="21">
        <f t="shared" si="37"/>
        <v>200</v>
      </c>
      <c r="G134" s="21">
        <f t="shared" si="36"/>
        <v>200</v>
      </c>
    </row>
    <row r="135" spans="2:7" hidden="1" outlineLevel="1" collapsed="1" x14ac:dyDescent="0.25">
      <c r="C135" s="27"/>
      <c r="D135" s="27"/>
      <c r="E135" s="29"/>
      <c r="F135" s="21"/>
      <c r="G135" s="21"/>
    </row>
    <row r="136" spans="2:7" hidden="1" outlineLevel="1" x14ac:dyDescent="0.25">
      <c r="C136" s="27"/>
      <c r="D136" s="27"/>
      <c r="E136" s="29"/>
      <c r="F136" s="21"/>
      <c r="G136" s="21"/>
    </row>
    <row r="137" spans="2:7" hidden="1" outlineLevel="1" x14ac:dyDescent="0.25"/>
    <row r="138" spans="2:7" hidden="1" outlineLevel="1" x14ac:dyDescent="0.25">
      <c r="B138" s="14" t="s">
        <v>3</v>
      </c>
    </row>
    <row r="139" spans="2:7" hidden="1" outlineLevel="1" x14ac:dyDescent="0.25">
      <c r="B139" t="s">
        <v>5</v>
      </c>
    </row>
    <row r="140" spans="2:7" hidden="1" outlineLevel="1" x14ac:dyDescent="0.25">
      <c r="B140" t="s">
        <v>6</v>
      </c>
    </row>
    <row r="141" spans="2:7" hidden="1" outlineLevel="1" x14ac:dyDescent="0.25">
      <c r="B141" t="s">
        <v>7</v>
      </c>
    </row>
    <row r="142" spans="2:7" hidden="1" outlineLevel="1" x14ac:dyDescent="0.25">
      <c r="B142" t="s">
        <v>4</v>
      </c>
    </row>
    <row r="143" spans="2:7" hidden="1" outlineLevel="1" x14ac:dyDescent="0.25">
      <c r="B143" t="s">
        <v>8</v>
      </c>
    </row>
    <row r="144" spans="2:7" collapsed="1" x14ac:dyDescent="0.25"/>
  </sheetData>
  <pageMargins left="0.28999999999999998" right="0.33" top="0.62" bottom="0.75" header="0.28999999999999998" footer="0.3"/>
  <pageSetup scale="92" orientation="portrait" r:id="rId1"/>
  <headerFooter>
    <oddHeader>&amp;L&amp;F&amp;R&amp;A</oddHeader>
    <oddFooter>&amp;LТ. Х.&amp;R&amp;D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3B3D-C89E-4F9F-B18C-63FB69D5B8AD}">
  <sheetPr>
    <pageSetUpPr fitToPage="1"/>
  </sheetPr>
  <dimension ref="A1:M143"/>
  <sheetViews>
    <sheetView zoomScaleNormal="100" workbookViewId="0">
      <pane ySplit="3" topLeftCell="A4" activePane="bottomLeft" state="frozen"/>
      <selection pane="bottomLeft" activeCell="C98" sqref="C98"/>
    </sheetView>
  </sheetViews>
  <sheetFormatPr defaultRowHeight="15" outlineLevelRow="2" x14ac:dyDescent="0.25"/>
  <cols>
    <col min="1" max="1" width="37.5703125" bestFit="1" customWidth="1"/>
    <col min="2" max="2" width="11.7109375" bestFit="1" customWidth="1"/>
    <col min="3" max="3" width="11.5703125" bestFit="1" customWidth="1"/>
    <col min="4" max="4" width="10" bestFit="1" customWidth="1"/>
    <col min="5" max="5" width="12" bestFit="1" customWidth="1"/>
    <col min="6" max="6" width="13.28515625" bestFit="1" customWidth="1"/>
    <col min="7" max="7" width="15.85546875" bestFit="1" customWidth="1"/>
    <col min="10" max="10" width="14.7109375" bestFit="1" customWidth="1"/>
    <col min="12" max="12" width="12" bestFit="1" customWidth="1"/>
  </cols>
  <sheetData>
    <row r="1" spans="1:13" x14ac:dyDescent="0.25">
      <c r="A1" s="19" t="s">
        <v>288</v>
      </c>
      <c r="B1" s="26" t="s">
        <v>214</v>
      </c>
      <c r="C1" s="26" t="s">
        <v>287</v>
      </c>
      <c r="D1" s="26" t="s">
        <v>213</v>
      </c>
      <c r="F1" s="25"/>
      <c r="G1" s="25"/>
    </row>
    <row r="2" spans="1:13" ht="15.75" thickBot="1" x14ac:dyDescent="0.3">
      <c r="A2" s="156" t="str">
        <f>IF(B2&lt;Вместимость!E27,Вместимость!C27,IF(B2&lt;Вместимость!E26,Вместимость!C26,IF(B2&lt;Вместимость!E25,Вместимость!C25,"Фантастика")))</f>
        <v>Оптимистический сценарий (30%)</v>
      </c>
      <c r="B2" s="157">
        <v>1600</v>
      </c>
      <c r="C2" s="158">
        <v>1</v>
      </c>
      <c r="D2" s="155">
        <f>ROUNDDOWN(B2/12,0)</f>
        <v>133</v>
      </c>
      <c r="E2" s="156"/>
      <c r="F2" s="155">
        <v>1</v>
      </c>
      <c r="G2" s="155">
        <v>12</v>
      </c>
    </row>
    <row r="3" spans="1:13" x14ac:dyDescent="0.25">
      <c r="B3" s="26" t="s">
        <v>128</v>
      </c>
      <c r="C3" s="26" t="s">
        <v>129</v>
      </c>
      <c r="D3" s="26" t="s">
        <v>130</v>
      </c>
      <c r="E3" s="26" t="s">
        <v>131</v>
      </c>
      <c r="F3" s="26" t="s">
        <v>132</v>
      </c>
      <c r="G3" s="26" t="s">
        <v>133</v>
      </c>
    </row>
    <row r="4" spans="1:13" ht="15.75" thickBot="1" x14ac:dyDescent="0.3">
      <c r="A4" s="58" t="s">
        <v>134</v>
      </c>
      <c r="B4" s="58"/>
      <c r="C4" s="58"/>
      <c r="D4" s="59">
        <f>D6+D22+D37</f>
        <v>1</v>
      </c>
      <c r="E4" s="154">
        <f>G4/365</f>
        <v>10553.835616438357</v>
      </c>
      <c r="F4" s="60">
        <f>F6+F22+F37</f>
        <v>321012.5</v>
      </c>
      <c r="G4" s="61">
        <f>G6+G22+G37</f>
        <v>3852150</v>
      </c>
      <c r="J4" s="21"/>
    </row>
    <row r="5" spans="1:13" x14ac:dyDescent="0.25">
      <c r="A5" s="33"/>
      <c r="B5" s="33"/>
      <c r="C5" s="33"/>
      <c r="D5" s="33"/>
      <c r="E5" s="33"/>
      <c r="F5" s="34"/>
      <c r="G5" s="34"/>
      <c r="J5" s="19">
        <v>1</v>
      </c>
      <c r="K5" s="19">
        <v>12</v>
      </c>
      <c r="L5" s="19">
        <v>365</v>
      </c>
    </row>
    <row r="6" spans="1:13" x14ac:dyDescent="0.25">
      <c r="A6" s="2" t="s">
        <v>286</v>
      </c>
      <c r="B6" s="64">
        <f>ROUNDDOWN(D2*C2,0)</f>
        <v>133</v>
      </c>
      <c r="C6" s="62" t="str">
        <f>C7&amp;" + "&amp;C20</f>
        <v>133 + 170</v>
      </c>
      <c r="D6" s="45">
        <f>F6/F4</f>
        <v>0.28974728398426852</v>
      </c>
      <c r="E6" s="46"/>
      <c r="F6" s="52">
        <f>F20</f>
        <v>93012.5</v>
      </c>
      <c r="G6" s="52">
        <f>G20</f>
        <v>1116150</v>
      </c>
      <c r="I6" s="140" t="s">
        <v>283</v>
      </c>
      <c r="J6" s="19">
        <f>J7+J20</f>
        <v>3636</v>
      </c>
      <c r="K6" s="19">
        <f>J6/12</f>
        <v>303</v>
      </c>
      <c r="L6" s="151">
        <f>G6/L5</f>
        <v>3057.9452054794519</v>
      </c>
      <c r="M6" s="152">
        <f t="shared" ref="M6:M20" si="0">J6/365</f>
        <v>9.9616438356164387</v>
      </c>
    </row>
    <row r="7" spans="1:13" hidden="1" outlineLevel="1" x14ac:dyDescent="0.25">
      <c r="A7" s="14" t="str">
        <f>"Уборка по договору (на "&amp;C7&amp;" услуг)"</f>
        <v>Уборка по договору (на 133 услуг)</v>
      </c>
      <c r="B7" s="144">
        <f>F7/$F$6</f>
        <v>0.64628410159924743</v>
      </c>
      <c r="C7" s="147">
        <f>B6</f>
        <v>133</v>
      </c>
      <c r="D7" s="1">
        <f>SUM(D8:D11)</f>
        <v>1</v>
      </c>
      <c r="E7" s="47"/>
      <c r="F7" s="53">
        <f>SUM(F8:F11)</f>
        <v>60112.5</v>
      </c>
      <c r="G7" s="53">
        <f t="shared" ref="G7:G19" si="1">F7*$G$2</f>
        <v>721350</v>
      </c>
      <c r="J7" s="19">
        <f t="shared" ref="J7:J20" si="2">C7*$G$2</f>
        <v>1596</v>
      </c>
      <c r="K7">
        <f t="shared" ref="K7:K20" si="3">J7/$K$5</f>
        <v>133</v>
      </c>
      <c r="L7" s="151">
        <f>G7/$L$5</f>
        <v>1976.3013698630136</v>
      </c>
      <c r="M7" s="159">
        <f t="shared" si="0"/>
        <v>4.3726027397260276</v>
      </c>
    </row>
    <row r="8" spans="1:13" hidden="1" outlineLevel="1" x14ac:dyDescent="0.25">
      <c r="A8" t="s">
        <v>142</v>
      </c>
      <c r="B8" s="144">
        <f t="shared" ref="B8:B11" si="4">F8/$F$6</f>
        <v>0.47574250772745597</v>
      </c>
      <c r="C8" s="25">
        <f>ROUNDDOWN(D8*$C$7,0)</f>
        <v>118</v>
      </c>
      <c r="D8" s="149">
        <v>0.89</v>
      </c>
      <c r="E8" s="48">
        <f>F102</f>
        <v>375</v>
      </c>
      <c r="F8" s="48">
        <f>C8*E8</f>
        <v>44250</v>
      </c>
      <c r="G8" s="48">
        <f t="shared" si="1"/>
        <v>531000</v>
      </c>
      <c r="J8">
        <f t="shared" si="2"/>
        <v>1416</v>
      </c>
      <c r="K8">
        <f t="shared" si="3"/>
        <v>118</v>
      </c>
      <c r="L8" s="8">
        <f t="shared" ref="L8:L20" si="5">G8/$L$5</f>
        <v>1454.7945205479452</v>
      </c>
      <c r="M8" s="150">
        <f t="shared" si="0"/>
        <v>3.8794520547945206</v>
      </c>
    </row>
    <row r="9" spans="1:13" hidden="1" outlineLevel="1" x14ac:dyDescent="0.25">
      <c r="A9" t="s">
        <v>143</v>
      </c>
      <c r="B9" s="144">
        <f t="shared" si="4"/>
        <v>0.10885633651390943</v>
      </c>
      <c r="C9" s="25">
        <f t="shared" ref="C9:C11" si="6">ROUNDDOWN(D9*$C$7,0)</f>
        <v>10</v>
      </c>
      <c r="D9" s="149">
        <v>0.08</v>
      </c>
      <c r="E9" s="48">
        <f>F103</f>
        <v>1012.5</v>
      </c>
      <c r="F9" s="48">
        <f t="shared" ref="F9:F11" si="7">C9*E9</f>
        <v>10125</v>
      </c>
      <c r="G9" s="48">
        <f t="shared" si="1"/>
        <v>121500</v>
      </c>
      <c r="J9">
        <f t="shared" si="2"/>
        <v>120</v>
      </c>
      <c r="K9">
        <f t="shared" si="3"/>
        <v>10</v>
      </c>
      <c r="L9" s="8">
        <f t="shared" si="5"/>
        <v>332.8767123287671</v>
      </c>
      <c r="M9" s="150">
        <f t="shared" si="0"/>
        <v>0.32876712328767121</v>
      </c>
    </row>
    <row r="10" spans="1:13" hidden="1" outlineLevel="1" x14ac:dyDescent="0.25">
      <c r="A10" t="s">
        <v>144</v>
      </c>
      <c r="B10" s="144">
        <f t="shared" si="4"/>
        <v>6.1685257357882002E-2</v>
      </c>
      <c r="C10" s="25">
        <f t="shared" si="6"/>
        <v>3</v>
      </c>
      <c r="D10" s="149">
        <v>0.03</v>
      </c>
      <c r="E10" s="48">
        <f>F104</f>
        <v>1912.5</v>
      </c>
      <c r="F10" s="48">
        <f t="shared" si="7"/>
        <v>5737.5</v>
      </c>
      <c r="G10" s="48">
        <f t="shared" si="1"/>
        <v>68850</v>
      </c>
      <c r="J10">
        <f t="shared" si="2"/>
        <v>36</v>
      </c>
      <c r="K10">
        <f t="shared" si="3"/>
        <v>3</v>
      </c>
      <c r="L10" s="8">
        <f t="shared" si="5"/>
        <v>188.63013698630138</v>
      </c>
      <c r="M10" s="150">
        <f t="shared" si="0"/>
        <v>9.8630136986301367E-2</v>
      </c>
    </row>
    <row r="11" spans="1:13" hidden="1" outlineLevel="1" x14ac:dyDescent="0.25">
      <c r="A11" t="s">
        <v>145</v>
      </c>
      <c r="B11" s="144">
        <f t="shared" si="4"/>
        <v>0</v>
      </c>
      <c r="C11" s="25">
        <f t="shared" si="6"/>
        <v>0</v>
      </c>
      <c r="D11" s="149">
        <v>0</v>
      </c>
      <c r="E11" s="48">
        <f>F105</f>
        <v>3600</v>
      </c>
      <c r="F11" s="48">
        <f t="shared" si="7"/>
        <v>0</v>
      </c>
      <c r="G11" s="48">
        <f t="shared" si="1"/>
        <v>0</v>
      </c>
      <c r="J11">
        <f t="shared" si="2"/>
        <v>0</v>
      </c>
      <c r="K11">
        <f t="shared" si="3"/>
        <v>0</v>
      </c>
      <c r="L11" s="8">
        <f t="shared" si="5"/>
        <v>0</v>
      </c>
      <c r="M11" s="150">
        <f t="shared" si="0"/>
        <v>0</v>
      </c>
    </row>
    <row r="12" spans="1:13" hidden="1" outlineLevel="1" x14ac:dyDescent="0.25">
      <c r="A12" s="30" t="s">
        <v>285</v>
      </c>
      <c r="B12" s="145">
        <f>F12/$F$6</f>
        <v>0.35371589840075257</v>
      </c>
      <c r="C12" s="148">
        <f>C7+40</f>
        <v>173</v>
      </c>
      <c r="D12" s="31">
        <f>SUM(D13:D19)</f>
        <v>1.0000000000000002</v>
      </c>
      <c r="E12" s="49"/>
      <c r="F12" s="54">
        <f>SUM(F13:F19)</f>
        <v>32900</v>
      </c>
      <c r="G12" s="54">
        <f t="shared" si="1"/>
        <v>394800</v>
      </c>
      <c r="J12" s="19">
        <f t="shared" si="2"/>
        <v>2076</v>
      </c>
      <c r="K12">
        <f t="shared" si="3"/>
        <v>173</v>
      </c>
      <c r="L12" s="151">
        <f t="shared" si="5"/>
        <v>1081.6438356164383</v>
      </c>
      <c r="M12" s="150">
        <f t="shared" si="0"/>
        <v>5.6876712328767125</v>
      </c>
    </row>
    <row r="13" spans="1:13" hidden="1" outlineLevel="1" x14ac:dyDescent="0.25">
      <c r="A13" t="s">
        <v>146</v>
      </c>
      <c r="B13" s="146">
        <f t="shared" ref="B13:B19" si="8">F13/$F$6</f>
        <v>0.25802983469963714</v>
      </c>
      <c r="C13" s="25">
        <f>ROUNDDOWN(D13*$C$12,0)</f>
        <v>96</v>
      </c>
      <c r="D13" s="149">
        <v>0.55555555555555558</v>
      </c>
      <c r="E13" s="48">
        <f>F107</f>
        <v>250</v>
      </c>
      <c r="F13" s="48">
        <f>C13*E13</f>
        <v>24000</v>
      </c>
      <c r="G13" s="48">
        <f t="shared" si="1"/>
        <v>288000</v>
      </c>
      <c r="J13">
        <f t="shared" si="2"/>
        <v>1152</v>
      </c>
      <c r="K13">
        <f t="shared" si="3"/>
        <v>96</v>
      </c>
      <c r="L13" s="8">
        <f t="shared" si="5"/>
        <v>789.04109589041093</v>
      </c>
      <c r="M13" s="150">
        <f t="shared" si="0"/>
        <v>3.1561643835616437</v>
      </c>
    </row>
    <row r="14" spans="1:13" hidden="1" outlineLevel="1" x14ac:dyDescent="0.25">
      <c r="A14" t="s">
        <v>162</v>
      </c>
      <c r="B14" s="146">
        <f t="shared" si="8"/>
        <v>4.8380594006181962E-3</v>
      </c>
      <c r="C14" s="25">
        <f t="shared" ref="C14:C19" si="9">ROUNDDOWN(D14*$C$12,0)</f>
        <v>9</v>
      </c>
      <c r="D14" s="149">
        <v>5.5555555555555552E-2</v>
      </c>
      <c r="E14" s="48">
        <f>F108</f>
        <v>50</v>
      </c>
      <c r="F14" s="48">
        <f t="shared" ref="F14:F19" si="10">C14*E14</f>
        <v>450</v>
      </c>
      <c r="G14" s="48">
        <f t="shared" si="1"/>
        <v>5400</v>
      </c>
      <c r="J14">
        <f t="shared" si="2"/>
        <v>108</v>
      </c>
      <c r="K14">
        <f t="shared" si="3"/>
        <v>9</v>
      </c>
      <c r="L14" s="8">
        <f t="shared" si="5"/>
        <v>14.794520547945206</v>
      </c>
      <c r="M14" s="150">
        <f t="shared" si="0"/>
        <v>0.29589041095890412</v>
      </c>
    </row>
    <row r="15" spans="1:13" hidden="1" outlineLevel="1" x14ac:dyDescent="0.25">
      <c r="A15" t="s">
        <v>191</v>
      </c>
      <c r="B15" s="146">
        <f t="shared" si="8"/>
        <v>9.6761188012363924E-3</v>
      </c>
      <c r="C15" s="25">
        <f t="shared" si="9"/>
        <v>9</v>
      </c>
      <c r="D15" s="149">
        <v>5.5555555555555552E-2</v>
      </c>
      <c r="E15" s="48">
        <f>F110</f>
        <v>100</v>
      </c>
      <c r="F15" s="48">
        <f t="shared" si="10"/>
        <v>900</v>
      </c>
      <c r="G15" s="48">
        <f t="shared" si="1"/>
        <v>10800</v>
      </c>
      <c r="J15">
        <f t="shared" si="2"/>
        <v>108</v>
      </c>
      <c r="K15">
        <f t="shared" si="3"/>
        <v>9</v>
      </c>
      <c r="L15" s="8">
        <f t="shared" si="5"/>
        <v>29.589041095890412</v>
      </c>
      <c r="M15" s="150">
        <f t="shared" si="0"/>
        <v>0.29589041095890412</v>
      </c>
    </row>
    <row r="16" spans="1:13" hidden="1" outlineLevel="1" x14ac:dyDescent="0.25">
      <c r="A16" t="s">
        <v>188</v>
      </c>
      <c r="B16" s="146">
        <f t="shared" si="8"/>
        <v>4.8380594006181962E-3</v>
      </c>
      <c r="C16" s="25">
        <f t="shared" si="9"/>
        <v>9</v>
      </c>
      <c r="D16" s="149">
        <v>5.5555555555555552E-2</v>
      </c>
      <c r="E16" s="48">
        <f>F113</f>
        <v>50</v>
      </c>
      <c r="F16" s="48">
        <f t="shared" si="10"/>
        <v>450</v>
      </c>
      <c r="G16" s="48">
        <f t="shared" si="1"/>
        <v>5400</v>
      </c>
      <c r="J16">
        <f t="shared" si="2"/>
        <v>108</v>
      </c>
      <c r="K16">
        <f t="shared" si="3"/>
        <v>9</v>
      </c>
      <c r="L16" s="8">
        <f t="shared" si="5"/>
        <v>14.794520547945206</v>
      </c>
      <c r="M16" s="150">
        <f t="shared" si="0"/>
        <v>0.29589041095890412</v>
      </c>
    </row>
    <row r="17" spans="1:13" hidden="1" outlineLevel="1" x14ac:dyDescent="0.25">
      <c r="A17" t="s">
        <v>189</v>
      </c>
      <c r="B17" s="146">
        <f t="shared" si="8"/>
        <v>4.8380594006181962E-3</v>
      </c>
      <c r="C17" s="25">
        <f t="shared" si="9"/>
        <v>9</v>
      </c>
      <c r="D17" s="149">
        <v>5.5555555555555552E-2</v>
      </c>
      <c r="E17" s="48">
        <f t="shared" ref="E17" si="11">F112</f>
        <v>50</v>
      </c>
      <c r="F17" s="48">
        <f t="shared" si="10"/>
        <v>450</v>
      </c>
      <c r="G17" s="48">
        <f t="shared" si="1"/>
        <v>5400</v>
      </c>
      <c r="J17">
        <f t="shared" si="2"/>
        <v>108</v>
      </c>
      <c r="K17">
        <f t="shared" si="3"/>
        <v>9</v>
      </c>
      <c r="L17" s="8">
        <f t="shared" si="5"/>
        <v>14.794520547945206</v>
      </c>
      <c r="M17" s="150">
        <f t="shared" si="0"/>
        <v>0.29589041095890412</v>
      </c>
    </row>
    <row r="18" spans="1:13" hidden="1" outlineLevel="1" x14ac:dyDescent="0.25">
      <c r="A18" t="s">
        <v>175</v>
      </c>
      <c r="B18" s="146">
        <f t="shared" si="8"/>
        <v>3.0641042870581912E-2</v>
      </c>
      <c r="C18" s="25">
        <f t="shared" si="9"/>
        <v>19</v>
      </c>
      <c r="D18" s="149">
        <v>0.1111111111111111</v>
      </c>
      <c r="E18" s="48">
        <f>F109</f>
        <v>150</v>
      </c>
      <c r="F18" s="48">
        <f t="shared" si="10"/>
        <v>2850</v>
      </c>
      <c r="G18" s="48">
        <f t="shared" si="1"/>
        <v>34200</v>
      </c>
      <c r="J18">
        <f t="shared" si="2"/>
        <v>228</v>
      </c>
      <c r="K18">
        <f t="shared" si="3"/>
        <v>19</v>
      </c>
      <c r="L18" s="8">
        <f t="shared" si="5"/>
        <v>93.698630136986296</v>
      </c>
      <c r="M18" s="150">
        <f t="shared" si="0"/>
        <v>0.62465753424657533</v>
      </c>
    </row>
    <row r="19" spans="1:13" hidden="1" outlineLevel="1" x14ac:dyDescent="0.25">
      <c r="A19" t="s">
        <v>148</v>
      </c>
      <c r="B19" s="146">
        <f t="shared" si="8"/>
        <v>4.0854723827442548E-2</v>
      </c>
      <c r="C19" s="25">
        <f t="shared" si="9"/>
        <v>19</v>
      </c>
      <c r="D19" s="149">
        <v>0.1111111111111111</v>
      </c>
      <c r="E19" s="48">
        <f>F111</f>
        <v>200</v>
      </c>
      <c r="F19" s="48">
        <f t="shared" si="10"/>
        <v>3800</v>
      </c>
      <c r="G19" s="48">
        <f t="shared" si="1"/>
        <v>45600</v>
      </c>
      <c r="J19">
        <f t="shared" si="2"/>
        <v>228</v>
      </c>
      <c r="K19">
        <f t="shared" si="3"/>
        <v>19</v>
      </c>
      <c r="L19" s="8">
        <f t="shared" si="5"/>
        <v>124.93150684931507</v>
      </c>
      <c r="M19" s="150">
        <f t="shared" si="0"/>
        <v>0.62465753424657533</v>
      </c>
    </row>
    <row r="20" spans="1:13" ht="15.75" hidden="1" outlineLevel="1" thickBot="1" x14ac:dyDescent="0.3">
      <c r="A20" s="10" t="str">
        <f>"Всего "&amp;A6</f>
        <v>Всего Услуги по уборке (договор+разовые)</v>
      </c>
      <c r="B20" s="142"/>
      <c r="C20" s="142">
        <f>SUM(C13:C19)</f>
        <v>170</v>
      </c>
      <c r="D20" s="11">
        <f>(D12+D7)/2</f>
        <v>1</v>
      </c>
      <c r="E20" s="50"/>
      <c r="F20" s="55">
        <f>F12+F7</f>
        <v>93012.5</v>
      </c>
      <c r="G20" s="55">
        <f>G12+G7</f>
        <v>1116150</v>
      </c>
      <c r="J20">
        <f t="shared" si="2"/>
        <v>2040</v>
      </c>
      <c r="K20">
        <f t="shared" si="3"/>
        <v>170</v>
      </c>
      <c r="L20" s="8">
        <f t="shared" si="5"/>
        <v>3057.9452054794519</v>
      </c>
      <c r="M20" s="152">
        <f t="shared" si="0"/>
        <v>5.5890410958904111</v>
      </c>
    </row>
    <row r="21" spans="1:13" collapsed="1" x14ac:dyDescent="0.25">
      <c r="A21" s="36"/>
      <c r="B21" s="33"/>
      <c r="C21" s="143"/>
      <c r="D21" s="37"/>
      <c r="E21" s="51"/>
      <c r="F21" s="56"/>
      <c r="G21" s="56"/>
    </row>
    <row r="22" spans="1:13" x14ac:dyDescent="0.25">
      <c r="A22" s="2" t="s">
        <v>135</v>
      </c>
      <c r="B22" s="64">
        <v>20</v>
      </c>
      <c r="C22" s="62"/>
      <c r="D22" s="45">
        <f>F22/F4</f>
        <v>0.57941668938125468</v>
      </c>
      <c r="E22" s="46"/>
      <c r="F22" s="52">
        <f>F35</f>
        <v>186000</v>
      </c>
      <c r="G22" s="52">
        <f>G35</f>
        <v>2232000</v>
      </c>
    </row>
    <row r="23" spans="1:13" hidden="1" outlineLevel="1" x14ac:dyDescent="0.25">
      <c r="A23" s="14" t="s">
        <v>150</v>
      </c>
      <c r="B23" s="28"/>
      <c r="C23" s="26"/>
      <c r="F23" s="16">
        <f>F35</f>
        <v>186000</v>
      </c>
      <c r="G23" s="16">
        <f>F23*G2</f>
        <v>2232000</v>
      </c>
    </row>
    <row r="24" spans="1:13" hidden="1" outlineLevel="1" x14ac:dyDescent="0.25">
      <c r="A24" t="s">
        <v>186</v>
      </c>
      <c r="B24" s="27"/>
      <c r="C24" s="141">
        <f>B22</f>
        <v>20</v>
      </c>
      <c r="D24" s="21">
        <f>E124</f>
        <v>750</v>
      </c>
      <c r="E24" s="21">
        <f>C24*D24</f>
        <v>15000</v>
      </c>
      <c r="F24" s="21">
        <f t="shared" ref="F24:F34" si="12">E24*$B$107</f>
        <v>15000</v>
      </c>
      <c r="G24" s="21">
        <f t="shared" ref="G24:G34" si="13">F24*$G$2</f>
        <v>180000</v>
      </c>
    </row>
    <row r="25" spans="1:13" hidden="1" outlineLevel="1" x14ac:dyDescent="0.25">
      <c r="A25" t="s">
        <v>151</v>
      </c>
      <c r="B25" s="27"/>
      <c r="C25" s="141">
        <f>B22</f>
        <v>20</v>
      </c>
      <c r="D25" s="21">
        <f>E123</f>
        <v>1600</v>
      </c>
      <c r="E25" s="21">
        <f>C25*D25</f>
        <v>32000</v>
      </c>
      <c r="F25" s="21">
        <f t="shared" si="12"/>
        <v>32000</v>
      </c>
      <c r="G25" s="21">
        <f t="shared" si="13"/>
        <v>384000</v>
      </c>
    </row>
    <row r="26" spans="1:13" hidden="1" outlineLevel="1" x14ac:dyDescent="0.25">
      <c r="A26" t="s">
        <v>183</v>
      </c>
      <c r="B26" s="27"/>
      <c r="C26" s="141">
        <f>B22</f>
        <v>20</v>
      </c>
      <c r="D26" s="21">
        <f>E127</f>
        <v>750</v>
      </c>
      <c r="E26" s="21">
        <f t="shared" ref="E26:E34" si="14">C26*D26</f>
        <v>15000</v>
      </c>
      <c r="F26" s="21">
        <f t="shared" si="12"/>
        <v>15000</v>
      </c>
      <c r="G26" s="21">
        <f t="shared" si="13"/>
        <v>180000</v>
      </c>
    </row>
    <row r="27" spans="1:13" hidden="1" outlineLevel="1" x14ac:dyDescent="0.25">
      <c r="A27" t="s">
        <v>166</v>
      </c>
      <c r="B27" s="27"/>
      <c r="C27" s="141">
        <f>B22</f>
        <v>20</v>
      </c>
      <c r="D27" s="21">
        <f>E125</f>
        <v>1500</v>
      </c>
      <c r="E27" s="21">
        <f t="shared" si="14"/>
        <v>30000</v>
      </c>
      <c r="F27" s="21">
        <f t="shared" si="12"/>
        <v>30000</v>
      </c>
      <c r="G27" s="21">
        <f t="shared" si="13"/>
        <v>360000</v>
      </c>
    </row>
    <row r="28" spans="1:13" hidden="1" outlineLevel="1" x14ac:dyDescent="0.25">
      <c r="A28" t="s">
        <v>164</v>
      </c>
      <c r="B28" s="27"/>
      <c r="C28" s="141">
        <f>B22</f>
        <v>20</v>
      </c>
      <c r="D28" s="21">
        <f>E126</f>
        <v>1500</v>
      </c>
      <c r="E28" s="21">
        <f t="shared" si="14"/>
        <v>30000</v>
      </c>
      <c r="F28" s="21">
        <f t="shared" si="12"/>
        <v>30000</v>
      </c>
      <c r="G28" s="21">
        <f t="shared" si="13"/>
        <v>360000</v>
      </c>
    </row>
    <row r="29" spans="1:13" hidden="1" outlineLevel="1" x14ac:dyDescent="0.25">
      <c r="A29" t="s">
        <v>163</v>
      </c>
      <c r="B29" s="27"/>
      <c r="C29" s="141">
        <f>B22</f>
        <v>20</v>
      </c>
      <c r="D29" s="21">
        <f>E128</f>
        <v>600</v>
      </c>
      <c r="E29" s="21">
        <f t="shared" si="14"/>
        <v>12000</v>
      </c>
      <c r="F29" s="21">
        <f t="shared" si="12"/>
        <v>12000</v>
      </c>
      <c r="G29" s="21">
        <f t="shared" si="13"/>
        <v>144000</v>
      </c>
    </row>
    <row r="30" spans="1:13" hidden="1" outlineLevel="1" x14ac:dyDescent="0.25">
      <c r="A30" t="s">
        <v>185</v>
      </c>
      <c r="B30" s="27"/>
      <c r="C30" s="141">
        <f>B22</f>
        <v>20</v>
      </c>
      <c r="D30" s="21">
        <f>E129</f>
        <v>1000</v>
      </c>
      <c r="E30" s="21">
        <f t="shared" si="14"/>
        <v>20000</v>
      </c>
      <c r="F30" s="21">
        <f t="shared" si="12"/>
        <v>20000</v>
      </c>
      <c r="G30" s="21">
        <f t="shared" si="13"/>
        <v>240000</v>
      </c>
    </row>
    <row r="31" spans="1:13" hidden="1" outlineLevel="1" x14ac:dyDescent="0.25">
      <c r="A31" t="s">
        <v>184</v>
      </c>
      <c r="B31" s="27"/>
      <c r="C31" s="141">
        <f>B22</f>
        <v>20</v>
      </c>
      <c r="D31" s="21">
        <f t="shared" ref="D31:D32" si="15">E130</f>
        <v>300</v>
      </c>
      <c r="E31" s="21">
        <f t="shared" si="14"/>
        <v>6000</v>
      </c>
      <c r="F31" s="21">
        <f t="shared" si="12"/>
        <v>6000</v>
      </c>
      <c r="G31" s="21">
        <f t="shared" si="13"/>
        <v>72000</v>
      </c>
    </row>
    <row r="32" spans="1:13" hidden="1" outlineLevel="1" x14ac:dyDescent="0.25">
      <c r="A32" t="s">
        <v>181</v>
      </c>
      <c r="B32" s="27"/>
      <c r="C32" s="141">
        <f>B22</f>
        <v>20</v>
      </c>
      <c r="D32" s="21">
        <f t="shared" si="15"/>
        <v>600</v>
      </c>
      <c r="E32" s="21">
        <f t="shared" si="14"/>
        <v>12000</v>
      </c>
      <c r="F32" s="21">
        <f t="shared" si="12"/>
        <v>12000</v>
      </c>
      <c r="G32" s="21">
        <f t="shared" si="13"/>
        <v>144000</v>
      </c>
    </row>
    <row r="33" spans="1:10" hidden="1" outlineLevel="1" x14ac:dyDescent="0.25">
      <c r="A33" t="s">
        <v>165</v>
      </c>
      <c r="B33" s="27"/>
      <c r="C33" s="141">
        <f>B22</f>
        <v>20</v>
      </c>
      <c r="D33" s="21">
        <f>E132</f>
        <v>500</v>
      </c>
      <c r="E33" s="21">
        <f t="shared" si="14"/>
        <v>10000</v>
      </c>
      <c r="F33" s="21">
        <f t="shared" si="12"/>
        <v>10000</v>
      </c>
      <c r="G33" s="21">
        <f t="shared" si="13"/>
        <v>120000</v>
      </c>
    </row>
    <row r="34" spans="1:10" hidden="1" outlineLevel="1" x14ac:dyDescent="0.25">
      <c r="A34" t="s">
        <v>167</v>
      </c>
      <c r="B34" s="27"/>
      <c r="C34" s="141">
        <f>B22</f>
        <v>20</v>
      </c>
      <c r="D34" s="21">
        <f>E133</f>
        <v>200</v>
      </c>
      <c r="E34" s="21">
        <f t="shared" si="14"/>
        <v>4000</v>
      </c>
      <c r="F34" s="21">
        <f t="shared" si="12"/>
        <v>4000</v>
      </c>
      <c r="G34" s="21">
        <f t="shared" si="13"/>
        <v>48000</v>
      </c>
    </row>
    <row r="35" spans="1:10" ht="15.75" hidden="1" outlineLevel="1" thickBot="1" x14ac:dyDescent="0.3">
      <c r="A35" s="10" t="str">
        <f>"Всего "&amp;A22</f>
        <v>Всего Организация похорон</v>
      </c>
      <c r="B35" s="10"/>
      <c r="C35" s="10"/>
      <c r="D35" s="11">
        <f>D22</f>
        <v>0.57941668938125468</v>
      </c>
      <c r="E35" s="12"/>
      <c r="F35" s="13">
        <f>SUM(F24:F34)</f>
        <v>186000</v>
      </c>
      <c r="G35" s="13">
        <f>SUM(G24:G34)</f>
        <v>2232000</v>
      </c>
    </row>
    <row r="36" spans="1:10" collapsed="1" x14ac:dyDescent="0.25">
      <c r="A36" s="36"/>
      <c r="B36" s="33"/>
      <c r="C36" s="36"/>
      <c r="D36" s="37"/>
      <c r="E36" s="51"/>
      <c r="F36" s="56"/>
      <c r="G36" s="56"/>
    </row>
    <row r="37" spans="1:10" x14ac:dyDescent="0.25">
      <c r="A37" s="2" t="s">
        <v>136</v>
      </c>
      <c r="B37" s="64">
        <f>B22</f>
        <v>20</v>
      </c>
      <c r="C37" s="62" t="str">
        <f>C40&amp;" + "&amp;C41</f>
        <v>20 + 20</v>
      </c>
      <c r="D37" s="45">
        <f>F37/F4</f>
        <v>0.13083602663447685</v>
      </c>
      <c r="E37" s="46"/>
      <c r="F37" s="52">
        <f>F42</f>
        <v>42000</v>
      </c>
      <c r="G37" s="52">
        <f>G42</f>
        <v>504000</v>
      </c>
    </row>
    <row r="38" spans="1:10" hidden="1" outlineLevel="1" x14ac:dyDescent="0.25">
      <c r="A38" s="14" t="s">
        <v>150</v>
      </c>
      <c r="C38" s="63">
        <f>B37*2</f>
        <v>40</v>
      </c>
      <c r="D38" s="1">
        <f>SUM(D40:D41)</f>
        <v>1</v>
      </c>
      <c r="F38" s="16">
        <f>SUM(F40:F41)</f>
        <v>40000</v>
      </c>
      <c r="G38" s="16">
        <f>F38*$G$2</f>
        <v>480000</v>
      </c>
    </row>
    <row r="39" spans="1:10" hidden="1" outlineLevel="1" x14ac:dyDescent="0.25">
      <c r="A39" t="s">
        <v>284</v>
      </c>
      <c r="C39">
        <f>ROUNDDOWN(D40*C38,0)</f>
        <v>20</v>
      </c>
      <c r="D39" s="6">
        <v>-0.5</v>
      </c>
      <c r="E39" s="21">
        <f>E117</f>
        <v>100</v>
      </c>
      <c r="F39" s="21">
        <f>C39*E39</f>
        <v>2000</v>
      </c>
      <c r="G39" s="21">
        <f>F39*$G$2</f>
        <v>24000</v>
      </c>
    </row>
    <row r="40" spans="1:10" hidden="1" outlineLevel="1" x14ac:dyDescent="0.25">
      <c r="A40" t="s">
        <v>152</v>
      </c>
      <c r="C40">
        <f>ROUNDDOWN(D40*C38,0)</f>
        <v>20</v>
      </c>
      <c r="D40" s="6">
        <v>0.5</v>
      </c>
      <c r="E40" s="21">
        <f>E118</f>
        <v>1500</v>
      </c>
      <c r="F40" s="21">
        <f>C40*E40</f>
        <v>30000</v>
      </c>
      <c r="G40" s="21">
        <f>F40*$G$2</f>
        <v>360000</v>
      </c>
    </row>
    <row r="41" spans="1:10" hidden="1" outlineLevel="1" x14ac:dyDescent="0.25">
      <c r="A41" t="s">
        <v>153</v>
      </c>
      <c r="C41">
        <f>ROUNDDOWN(D41*C38,0)</f>
        <v>20</v>
      </c>
      <c r="D41" s="6">
        <v>0.5</v>
      </c>
      <c r="E41" s="21">
        <f>E119</f>
        <v>500</v>
      </c>
      <c r="F41" s="21">
        <f t="shared" ref="F41" si="16">C41*E41</f>
        <v>10000</v>
      </c>
      <c r="G41" s="21">
        <f>F41*$G$2</f>
        <v>120000</v>
      </c>
    </row>
    <row r="42" spans="1:10" ht="15.75" hidden="1" outlineLevel="1" thickBot="1" x14ac:dyDescent="0.3">
      <c r="A42" s="10" t="str">
        <f>"Всего "&amp;A37</f>
        <v>Всего Услуги захоронения</v>
      </c>
      <c r="B42" s="10"/>
      <c r="C42" s="10"/>
      <c r="D42" s="11">
        <f>D38</f>
        <v>1</v>
      </c>
      <c r="E42" s="12"/>
      <c r="F42" s="13">
        <f>SUM(F39:F41)</f>
        <v>42000</v>
      </c>
      <c r="G42" s="13">
        <f>SUM(G39:G41)</f>
        <v>504000</v>
      </c>
    </row>
    <row r="43" spans="1:10" collapsed="1" x14ac:dyDescent="0.25">
      <c r="A43" s="36"/>
      <c r="B43" s="36"/>
      <c r="C43" s="36"/>
      <c r="D43" s="37"/>
      <c r="E43" s="15"/>
      <c r="F43" s="38"/>
      <c r="G43" s="38"/>
    </row>
    <row r="44" spans="1:10" ht="15.75" thickBot="1" x14ac:dyDescent="0.3">
      <c r="A44" s="58" t="s">
        <v>137</v>
      </c>
      <c r="B44" s="58"/>
      <c r="C44" s="58"/>
      <c r="D44" s="59">
        <f>D46+D55+D69+D80</f>
        <v>0.99999999999999989</v>
      </c>
      <c r="E44" s="153">
        <f>G44/365</f>
        <v>9888.5753506849323</v>
      </c>
      <c r="F44" s="61">
        <f>F46+F55+F69+F80</f>
        <v>300777.50025000004</v>
      </c>
      <c r="G44" s="61">
        <f>G46+G55+G69+G80</f>
        <v>3609330.0030000005</v>
      </c>
      <c r="J44" s="8"/>
    </row>
    <row r="46" spans="1:10" x14ac:dyDescent="0.25">
      <c r="A46" s="2" t="s">
        <v>138</v>
      </c>
      <c r="B46" s="17"/>
      <c r="C46" s="17"/>
      <c r="D46" s="45">
        <f>G46/G44</f>
        <v>0.44878940791050737</v>
      </c>
      <c r="E46" s="4"/>
      <c r="F46" s="39">
        <f>SUM(F47:F52)</f>
        <v>134985.75625000001</v>
      </c>
      <c r="G46" s="39">
        <f>SUM(G47:G52)</f>
        <v>1619829.075</v>
      </c>
    </row>
    <row r="47" spans="1:10" hidden="1" outlineLevel="1" x14ac:dyDescent="0.25">
      <c r="A47" t="s">
        <v>154</v>
      </c>
      <c r="D47" s="18">
        <v>0.2</v>
      </c>
      <c r="E47" s="7"/>
      <c r="F47" s="21">
        <f t="shared" ref="F47:F52" si="17">D47*$F$4</f>
        <v>64202.5</v>
      </c>
      <c r="G47" s="21">
        <f t="shared" ref="G47:G52" si="18">F47*$G$2</f>
        <v>770430</v>
      </c>
    </row>
    <row r="48" spans="1:10" hidden="1" outlineLevel="1" x14ac:dyDescent="0.25">
      <c r="A48" t="s">
        <v>155</v>
      </c>
      <c r="D48" s="18">
        <v>0.14000000000000001</v>
      </c>
      <c r="E48" s="7"/>
      <c r="F48" s="21">
        <f t="shared" si="17"/>
        <v>44941.750000000007</v>
      </c>
      <c r="G48" s="21">
        <f t="shared" si="18"/>
        <v>539301.00000000012</v>
      </c>
    </row>
    <row r="49" spans="1:12" hidden="1" outlineLevel="1" x14ac:dyDescent="0.25">
      <c r="A49" t="s">
        <v>156</v>
      </c>
      <c r="D49" s="18">
        <v>7.0000000000000007E-2</v>
      </c>
      <c r="E49" s="7"/>
      <c r="F49" s="21">
        <f t="shared" si="17"/>
        <v>22470.875000000004</v>
      </c>
      <c r="G49" s="21">
        <f t="shared" si="18"/>
        <v>269650.50000000006</v>
      </c>
    </row>
    <row r="50" spans="1:12" hidden="1" outlineLevel="1" x14ac:dyDescent="0.25">
      <c r="A50" t="s">
        <v>157</v>
      </c>
      <c r="D50" s="18">
        <v>5.0000000000000001E-3</v>
      </c>
      <c r="E50" s="7"/>
      <c r="F50" s="21">
        <f t="shared" si="17"/>
        <v>1605.0625</v>
      </c>
      <c r="G50" s="21">
        <f t="shared" si="18"/>
        <v>19260.75</v>
      </c>
    </row>
    <row r="51" spans="1:12" hidden="1" outlineLevel="1" x14ac:dyDescent="0.25">
      <c r="A51" t="s">
        <v>158</v>
      </c>
      <c r="D51" s="18">
        <v>5.0000000000000001E-3</v>
      </c>
      <c r="E51" s="7"/>
      <c r="F51" s="21">
        <f t="shared" si="17"/>
        <v>1605.0625</v>
      </c>
      <c r="G51" s="21">
        <f t="shared" si="18"/>
        <v>19260.75</v>
      </c>
    </row>
    <row r="52" spans="1:12" hidden="1" outlineLevel="1" x14ac:dyDescent="0.25">
      <c r="A52" t="s">
        <v>159</v>
      </c>
      <c r="D52" s="18">
        <v>5.0000000000000001E-4</v>
      </c>
      <c r="E52" s="7"/>
      <c r="F52" s="21">
        <f t="shared" si="17"/>
        <v>160.50624999999999</v>
      </c>
      <c r="G52" s="21">
        <f t="shared" si="18"/>
        <v>1926.0749999999998</v>
      </c>
    </row>
    <row r="53" spans="1:12" ht="15.75" hidden="1" outlineLevel="1" thickBot="1" x14ac:dyDescent="0.3">
      <c r="A53" s="10" t="str">
        <f>"Всего "&amp;A46</f>
        <v>Всего Налоги</v>
      </c>
      <c r="B53" s="10"/>
      <c r="C53" s="10"/>
      <c r="D53" s="11">
        <f>SUM(D47:D52)</f>
        <v>0.42050000000000004</v>
      </c>
      <c r="E53" s="12"/>
      <c r="F53" s="13">
        <f>SUM(F47:F52)</f>
        <v>134985.75625000001</v>
      </c>
      <c r="G53" s="13">
        <f>SUM(G47:G52)</f>
        <v>1619829.075</v>
      </c>
    </row>
    <row r="54" spans="1:12" collapsed="1" x14ac:dyDescent="0.25"/>
    <row r="55" spans="1:12" x14ac:dyDescent="0.25">
      <c r="A55" s="2" t="s">
        <v>0</v>
      </c>
      <c r="B55" s="3"/>
      <c r="C55" s="3"/>
      <c r="D55" s="45">
        <f>G55/G44</f>
        <v>0.35294443205280945</v>
      </c>
      <c r="E55" s="5"/>
      <c r="F55" s="5">
        <f>SUM(F57:F66)</f>
        <v>106157.74400000001</v>
      </c>
      <c r="G55" s="5">
        <f>SUM(G57:G66)</f>
        <v>1273892.9280000003</v>
      </c>
      <c r="I55" s="1"/>
    </row>
    <row r="56" spans="1:12" hidden="1" outlineLevel="1" x14ac:dyDescent="0.25">
      <c r="A56" s="126" t="s">
        <v>161</v>
      </c>
      <c r="B56" s="36" t="s">
        <v>160</v>
      </c>
      <c r="C56" s="36"/>
      <c r="D56" s="127"/>
      <c r="E56" s="9">
        <v>2189</v>
      </c>
      <c r="F56" s="128"/>
      <c r="G56" s="128"/>
    </row>
    <row r="57" spans="1:12" hidden="1" outlineLevel="1" x14ac:dyDescent="0.25">
      <c r="A57" t="s">
        <v>1</v>
      </c>
      <c r="B57" t="str">
        <f>I57&amp;"*"&amp;J57&amp;"*"&amp;K57</f>
        <v>1.4*1.58*2.5</v>
      </c>
      <c r="C57">
        <v>1</v>
      </c>
      <c r="D57" s="23">
        <f>F57/$F$55</f>
        <v>0.11403002309468821</v>
      </c>
      <c r="E57" s="9">
        <f>L57</f>
        <v>12105.17</v>
      </c>
      <c r="F57" s="8">
        <f>C57*E57</f>
        <v>12105.17</v>
      </c>
      <c r="G57" s="8">
        <f t="shared" ref="G57:G66" si="19">F57*$G$2</f>
        <v>145262.04</v>
      </c>
      <c r="I57" s="129">
        <v>1.4</v>
      </c>
      <c r="J57" s="130">
        <v>1.58</v>
      </c>
      <c r="K57" s="130">
        <v>2.5</v>
      </c>
      <c r="L57" s="130">
        <f>$E$56*I57*J57*K57</f>
        <v>12105.17</v>
      </c>
    </row>
    <row r="58" spans="1:12" hidden="1" outlineLevel="1" x14ac:dyDescent="0.25">
      <c r="A58" t="s">
        <v>192</v>
      </c>
      <c r="B58" t="str">
        <f t="shared" ref="B58:B66" si="20">I58&amp;"*"&amp;J58&amp;"*"&amp;K58</f>
        <v>1.4*1.58*2.2</v>
      </c>
      <c r="C58">
        <v>1</v>
      </c>
      <c r="D58" s="23">
        <f t="shared" ref="D58:D66" si="21">F58/$F$55</f>
        <v>0.10034642032332565</v>
      </c>
      <c r="E58" s="9">
        <f t="shared" ref="E58:E66" si="22">L58</f>
        <v>10652.549600000002</v>
      </c>
      <c r="F58" s="8">
        <f t="shared" ref="F58:F66" si="23">C58*E58</f>
        <v>10652.549600000002</v>
      </c>
      <c r="G58" s="8">
        <f t="shared" si="19"/>
        <v>127830.59520000003</v>
      </c>
      <c r="I58" s="130">
        <v>1.4</v>
      </c>
      <c r="J58" s="130">
        <v>1.58</v>
      </c>
      <c r="K58" s="130">
        <v>2.2000000000000002</v>
      </c>
      <c r="L58" s="130">
        <f t="shared" ref="L58:L66" si="24">$E$56*I58*J58*K58</f>
        <v>10652.549600000002</v>
      </c>
    </row>
    <row r="59" spans="1:12" hidden="1" outlineLevel="1" x14ac:dyDescent="0.25">
      <c r="A59" t="s">
        <v>9</v>
      </c>
      <c r="B59" t="str">
        <f t="shared" si="20"/>
        <v>1.4*1.58*2.1</v>
      </c>
      <c r="C59">
        <v>1</v>
      </c>
      <c r="D59" s="23">
        <f t="shared" si="21"/>
        <v>9.5785219399538102E-2</v>
      </c>
      <c r="E59" s="9">
        <f t="shared" si="22"/>
        <v>10168.3428</v>
      </c>
      <c r="F59" s="8">
        <f t="shared" si="23"/>
        <v>10168.3428</v>
      </c>
      <c r="G59" s="8">
        <f t="shared" si="19"/>
        <v>122020.11360000001</v>
      </c>
      <c r="I59" s="129">
        <v>1.4</v>
      </c>
      <c r="J59" s="130">
        <v>1.58</v>
      </c>
      <c r="K59" s="130">
        <v>2.1</v>
      </c>
      <c r="L59" s="130">
        <f t="shared" si="24"/>
        <v>10168.3428</v>
      </c>
    </row>
    <row r="60" spans="1:12" hidden="1" outlineLevel="1" x14ac:dyDescent="0.25">
      <c r="A60" t="s">
        <v>10</v>
      </c>
      <c r="B60" t="str">
        <f t="shared" si="20"/>
        <v>1.4*1.58*2</v>
      </c>
      <c r="C60">
        <v>1</v>
      </c>
      <c r="D60" s="23">
        <f t="shared" si="21"/>
        <v>9.1224018475750582E-2</v>
      </c>
      <c r="E60" s="9">
        <f t="shared" si="22"/>
        <v>9684.1360000000004</v>
      </c>
      <c r="F60" s="8">
        <f t="shared" si="23"/>
        <v>9684.1360000000004</v>
      </c>
      <c r="G60" s="8">
        <f t="shared" si="19"/>
        <v>116209.63200000001</v>
      </c>
      <c r="I60" s="129">
        <v>1.4</v>
      </c>
      <c r="J60" s="130">
        <v>1.58</v>
      </c>
      <c r="K60" s="130">
        <v>2</v>
      </c>
      <c r="L60" s="130">
        <f t="shared" si="24"/>
        <v>9684.1360000000004</v>
      </c>
    </row>
    <row r="61" spans="1:12" hidden="1" outlineLevel="1" x14ac:dyDescent="0.25">
      <c r="A61" t="s">
        <v>193</v>
      </c>
      <c r="B61" t="str">
        <f t="shared" si="20"/>
        <v>1.4*1.58*1.5</v>
      </c>
      <c r="C61">
        <v>1</v>
      </c>
      <c r="D61" s="23">
        <f t="shared" si="21"/>
        <v>6.841801385681294E-2</v>
      </c>
      <c r="E61" s="9">
        <f t="shared" si="22"/>
        <v>7263.1020000000008</v>
      </c>
      <c r="F61" s="8">
        <f t="shared" si="23"/>
        <v>7263.1020000000008</v>
      </c>
      <c r="G61" s="8">
        <f t="shared" si="19"/>
        <v>87157.224000000017</v>
      </c>
      <c r="I61" s="129">
        <v>1.4</v>
      </c>
      <c r="J61" s="130">
        <v>1.58</v>
      </c>
      <c r="K61" s="130">
        <v>1.5</v>
      </c>
      <c r="L61" s="130">
        <f t="shared" si="24"/>
        <v>7263.1020000000008</v>
      </c>
    </row>
    <row r="62" spans="1:12" hidden="1" outlineLevel="1" x14ac:dyDescent="0.25">
      <c r="A62" t="s">
        <v>194</v>
      </c>
      <c r="B62" t="str">
        <f t="shared" si="20"/>
        <v>1.4*1.58*1.5</v>
      </c>
      <c r="C62">
        <v>1</v>
      </c>
      <c r="D62" s="23">
        <f t="shared" si="21"/>
        <v>6.841801385681294E-2</v>
      </c>
      <c r="E62" s="9">
        <f t="shared" si="22"/>
        <v>7263.1020000000008</v>
      </c>
      <c r="F62" s="8">
        <f t="shared" si="23"/>
        <v>7263.1020000000008</v>
      </c>
      <c r="G62" s="8">
        <f t="shared" si="19"/>
        <v>87157.224000000017</v>
      </c>
      <c r="I62" s="129">
        <v>1.4</v>
      </c>
      <c r="J62" s="130">
        <v>1.58</v>
      </c>
      <c r="K62" s="130">
        <v>1.5</v>
      </c>
      <c r="L62" s="130">
        <f t="shared" si="24"/>
        <v>7263.1020000000008</v>
      </c>
    </row>
    <row r="63" spans="1:12" hidden="1" outlineLevel="1" x14ac:dyDescent="0.25">
      <c r="A63" t="s">
        <v>2</v>
      </c>
      <c r="B63" t="str">
        <f t="shared" si="20"/>
        <v>1.4*1.58*1.6</v>
      </c>
      <c r="C63">
        <v>1</v>
      </c>
      <c r="D63" s="23">
        <f t="shared" si="21"/>
        <v>7.297921478060046E-2</v>
      </c>
      <c r="E63" s="9">
        <f t="shared" si="22"/>
        <v>7747.3088000000007</v>
      </c>
      <c r="F63" s="8">
        <f t="shared" si="23"/>
        <v>7747.3088000000007</v>
      </c>
      <c r="G63" s="8">
        <f t="shared" si="19"/>
        <v>92967.705600000016</v>
      </c>
      <c r="I63" s="129">
        <v>1.4</v>
      </c>
      <c r="J63" s="130">
        <v>1.58</v>
      </c>
      <c r="K63" s="130">
        <v>1.6</v>
      </c>
      <c r="L63" s="130">
        <f t="shared" si="24"/>
        <v>7747.3088000000007</v>
      </c>
    </row>
    <row r="64" spans="1:12" hidden="1" outlineLevel="1" x14ac:dyDescent="0.25">
      <c r="A64" t="s">
        <v>197</v>
      </c>
      <c r="B64" t="str">
        <f t="shared" si="20"/>
        <v>1.4*1.58*1.4</v>
      </c>
      <c r="C64">
        <v>1</v>
      </c>
      <c r="D64" s="23">
        <f t="shared" si="21"/>
        <v>6.3856812933025406E-2</v>
      </c>
      <c r="E64" s="9">
        <f t="shared" si="22"/>
        <v>6778.8951999999999</v>
      </c>
      <c r="F64" s="8">
        <f t="shared" si="23"/>
        <v>6778.8951999999999</v>
      </c>
      <c r="G64" s="8">
        <f t="shared" si="19"/>
        <v>81346.742400000003</v>
      </c>
      <c r="I64" s="129">
        <v>1.4</v>
      </c>
      <c r="J64" s="130">
        <v>1.58</v>
      </c>
      <c r="K64" s="130">
        <v>1.4</v>
      </c>
      <c r="L64" s="130">
        <f t="shared" si="24"/>
        <v>6778.8951999999999</v>
      </c>
    </row>
    <row r="65" spans="1:12" hidden="1" outlineLevel="1" x14ac:dyDescent="0.25">
      <c r="A65" t="s">
        <v>195</v>
      </c>
      <c r="B65" t="str">
        <f t="shared" si="20"/>
        <v>1.4*1.34*1.4</v>
      </c>
      <c r="C65">
        <v>3</v>
      </c>
      <c r="D65" s="23">
        <f t="shared" si="21"/>
        <v>0.16247113163972288</v>
      </c>
      <c r="E65" s="9">
        <f t="shared" si="22"/>
        <v>5749.1895999999997</v>
      </c>
      <c r="F65" s="8">
        <f t="shared" si="23"/>
        <v>17247.568800000001</v>
      </c>
      <c r="G65" s="8">
        <f t="shared" si="19"/>
        <v>206970.82560000001</v>
      </c>
      <c r="I65" s="129">
        <v>1.4</v>
      </c>
      <c r="J65" s="130">
        <v>1.34</v>
      </c>
      <c r="K65" s="130">
        <v>1.4</v>
      </c>
      <c r="L65" s="130">
        <f t="shared" si="24"/>
        <v>5749.1895999999997</v>
      </c>
    </row>
    <row r="66" spans="1:12" hidden="1" outlineLevel="1" x14ac:dyDescent="0.25">
      <c r="A66" t="s">
        <v>196</v>
      </c>
      <c r="B66" t="str">
        <f t="shared" si="20"/>
        <v>1.4*1.34*1.4</v>
      </c>
      <c r="C66">
        <v>3</v>
      </c>
      <c r="D66" s="23">
        <f t="shared" si="21"/>
        <v>0.16247113163972288</v>
      </c>
      <c r="E66" s="9">
        <f t="shared" si="22"/>
        <v>5749.1895999999997</v>
      </c>
      <c r="F66" s="8">
        <f t="shared" si="23"/>
        <v>17247.568800000001</v>
      </c>
      <c r="G66" s="8">
        <f t="shared" si="19"/>
        <v>206970.82560000001</v>
      </c>
      <c r="I66" s="129">
        <v>1.4</v>
      </c>
      <c r="J66" s="130">
        <v>1.34</v>
      </c>
      <c r="K66" s="130">
        <v>1.4</v>
      </c>
      <c r="L66" s="130">
        <f t="shared" si="24"/>
        <v>5749.1895999999997</v>
      </c>
    </row>
    <row r="67" spans="1:12" ht="15.75" hidden="1" outlineLevel="1" thickBot="1" x14ac:dyDescent="0.3">
      <c r="A67" s="10" t="str">
        <f>"Всього "&amp;A55</f>
        <v>Всього Зарплата</v>
      </c>
      <c r="B67" s="10"/>
      <c r="C67" s="10">
        <f>SUM(C57:C66)</f>
        <v>14</v>
      </c>
      <c r="D67" s="11">
        <f>SUM(D57:D66)</f>
        <v>1</v>
      </c>
      <c r="E67" s="13">
        <f>SUM(E57:E66)</f>
        <v>83160.9856</v>
      </c>
      <c r="F67" s="13">
        <f>SUM(F57:F66)</f>
        <v>106157.74400000001</v>
      </c>
      <c r="G67" s="13">
        <f>SUM(G57:G66)</f>
        <v>1273892.9280000003</v>
      </c>
    </row>
    <row r="68" spans="1:12" collapsed="1" x14ac:dyDescent="0.25"/>
    <row r="69" spans="1:12" x14ac:dyDescent="0.25">
      <c r="A69" s="2" t="s">
        <v>139</v>
      </c>
      <c r="B69" s="17"/>
      <c r="C69" s="17"/>
      <c r="D69" s="45">
        <f>F69/F44</f>
        <v>8.0458145904814884E-3</v>
      </c>
      <c r="E69" s="4"/>
      <c r="F69" s="5">
        <f>SUM(F70:F77)</f>
        <v>2420</v>
      </c>
      <c r="G69" s="5">
        <f>SUM(G70:G77)</f>
        <v>29040</v>
      </c>
      <c r="I69" s="129"/>
      <c r="K69" s="130"/>
      <c r="L69" s="130"/>
    </row>
    <row r="70" spans="1:12" hidden="1" outlineLevel="1" x14ac:dyDescent="0.25">
      <c r="A70" t="s">
        <v>11</v>
      </c>
      <c r="C70">
        <v>1</v>
      </c>
      <c r="D70" s="24">
        <f>F70/$F$69</f>
        <v>6.1983471074380167E-2</v>
      </c>
      <c r="E70" s="9">
        <v>150</v>
      </c>
      <c r="F70" s="8">
        <f t="shared" ref="F70:F77" si="25">C70*E70</f>
        <v>150</v>
      </c>
      <c r="G70" s="8">
        <f t="shared" ref="G70:G77" si="26">F70*$G$2</f>
        <v>1800</v>
      </c>
    </row>
    <row r="71" spans="1:12" hidden="1" outlineLevel="1" x14ac:dyDescent="0.25">
      <c r="A71" t="s">
        <v>217</v>
      </c>
      <c r="C71">
        <v>1</v>
      </c>
      <c r="D71" s="24">
        <f t="shared" ref="D71:D76" si="27">F71/$F$69</f>
        <v>0.10330578512396695</v>
      </c>
      <c r="E71" s="9">
        <v>250</v>
      </c>
      <c r="F71" s="8">
        <f t="shared" si="25"/>
        <v>250</v>
      </c>
      <c r="G71" s="8">
        <f t="shared" si="26"/>
        <v>3000</v>
      </c>
    </row>
    <row r="72" spans="1:12" hidden="1" outlineLevel="1" x14ac:dyDescent="0.25">
      <c r="A72" t="s">
        <v>218</v>
      </c>
      <c r="C72">
        <v>1</v>
      </c>
      <c r="D72" s="24">
        <f t="shared" si="27"/>
        <v>0.18595041322314049</v>
      </c>
      <c r="E72" s="9">
        <v>450</v>
      </c>
      <c r="F72" s="8">
        <f t="shared" si="25"/>
        <v>450</v>
      </c>
      <c r="G72" s="8">
        <f t="shared" si="26"/>
        <v>5400</v>
      </c>
    </row>
    <row r="73" spans="1:12" hidden="1" outlineLevel="1" x14ac:dyDescent="0.25">
      <c r="A73" t="s">
        <v>219</v>
      </c>
      <c r="C73">
        <v>1</v>
      </c>
      <c r="D73" s="24">
        <f t="shared" si="27"/>
        <v>0.16528925619834711</v>
      </c>
      <c r="E73" s="9">
        <v>400</v>
      </c>
      <c r="F73" s="8">
        <f t="shared" si="25"/>
        <v>400</v>
      </c>
      <c r="G73" s="8">
        <f t="shared" si="26"/>
        <v>4800</v>
      </c>
    </row>
    <row r="74" spans="1:12" hidden="1" outlineLevel="1" x14ac:dyDescent="0.25">
      <c r="A74" t="s">
        <v>220</v>
      </c>
      <c r="C74">
        <v>1</v>
      </c>
      <c r="D74" s="24">
        <f t="shared" si="27"/>
        <v>0.14462809917355371</v>
      </c>
      <c r="E74" s="9">
        <v>350</v>
      </c>
      <c r="F74" s="8">
        <f t="shared" si="25"/>
        <v>350</v>
      </c>
      <c r="G74" s="8">
        <f t="shared" si="26"/>
        <v>4200</v>
      </c>
    </row>
    <row r="75" spans="1:12" hidden="1" outlineLevel="1" x14ac:dyDescent="0.25">
      <c r="A75" t="s">
        <v>221</v>
      </c>
      <c r="C75">
        <v>1</v>
      </c>
      <c r="D75" s="24">
        <f t="shared" si="27"/>
        <v>0.16528925619834711</v>
      </c>
      <c r="E75" s="9">
        <v>400</v>
      </c>
      <c r="F75" s="8">
        <f t="shared" si="25"/>
        <v>400</v>
      </c>
      <c r="G75" s="8">
        <f t="shared" si="26"/>
        <v>4800</v>
      </c>
    </row>
    <row r="76" spans="1:12" hidden="1" outlineLevel="1" x14ac:dyDescent="0.25">
      <c r="A76" t="s">
        <v>222</v>
      </c>
      <c r="C76">
        <v>1</v>
      </c>
      <c r="D76" s="24">
        <f t="shared" si="27"/>
        <v>8.2644628099173556E-2</v>
      </c>
      <c r="E76" s="9">
        <v>200</v>
      </c>
      <c r="F76" s="8">
        <f t="shared" si="25"/>
        <v>200</v>
      </c>
      <c r="G76" s="8">
        <f t="shared" si="26"/>
        <v>2400</v>
      </c>
    </row>
    <row r="77" spans="1:12" hidden="1" outlineLevel="1" x14ac:dyDescent="0.25">
      <c r="A77" t="s">
        <v>177</v>
      </c>
      <c r="C77">
        <v>1</v>
      </c>
      <c r="D77" s="18">
        <f>10%</f>
        <v>0.1</v>
      </c>
      <c r="E77" s="8">
        <f>SUM(E70:E76)*D77</f>
        <v>220</v>
      </c>
      <c r="F77" s="8">
        <f t="shared" si="25"/>
        <v>220</v>
      </c>
      <c r="G77" s="8">
        <f t="shared" si="26"/>
        <v>2640</v>
      </c>
    </row>
    <row r="78" spans="1:12" ht="15.75" hidden="1" outlineLevel="1" thickBot="1" x14ac:dyDescent="0.3">
      <c r="A78" s="10" t="str">
        <f>"Всього "&amp;A69</f>
        <v>Всього Расходы на офис</v>
      </c>
      <c r="B78" s="10"/>
      <c r="C78" s="10">
        <f>SUM(C67:C76)</f>
        <v>21</v>
      </c>
      <c r="D78" s="11">
        <f>SUM(D70:D76)</f>
        <v>0.90909090909090895</v>
      </c>
      <c r="E78" s="13">
        <f>SUM(E70:E77)</f>
        <v>2420</v>
      </c>
      <c r="F78" s="13">
        <f>SUM(F70:F77)</f>
        <v>2420</v>
      </c>
      <c r="G78" s="13">
        <f>SUM(G70:G77)</f>
        <v>29040</v>
      </c>
    </row>
    <row r="79" spans="1:12" collapsed="1" x14ac:dyDescent="0.25"/>
    <row r="80" spans="1:12" x14ac:dyDescent="0.25">
      <c r="A80" s="2" t="s">
        <v>140</v>
      </c>
      <c r="B80" s="17"/>
      <c r="C80" s="17"/>
      <c r="D80" s="45">
        <f>F80/F44</f>
        <v>0.19022034544620162</v>
      </c>
      <c r="E80" s="4"/>
      <c r="F80" s="5">
        <f>SUM(F81:F93)</f>
        <v>57214</v>
      </c>
      <c r="G80" s="5">
        <f>SUM(G81:G93)</f>
        <v>686568</v>
      </c>
    </row>
    <row r="81" spans="1:7" hidden="1" outlineLevel="1" x14ac:dyDescent="0.25">
      <c r="A81" t="s">
        <v>169</v>
      </c>
      <c r="C81">
        <f>B6+C12+B37</f>
        <v>326</v>
      </c>
      <c r="D81" s="24">
        <f>F81/$F$80</f>
        <v>0.28489530534484564</v>
      </c>
      <c r="E81" s="9">
        <v>50</v>
      </c>
      <c r="F81" s="8">
        <f t="shared" ref="F81:F93" si="28">C81*E81</f>
        <v>16300</v>
      </c>
      <c r="G81" s="8">
        <f t="shared" ref="G81:G93" si="29">F81*$G$2</f>
        <v>195600</v>
      </c>
    </row>
    <row r="82" spans="1:7" hidden="1" outlineLevel="1" x14ac:dyDescent="0.25">
      <c r="A82" t="s">
        <v>170</v>
      </c>
      <c r="C82">
        <f>C19</f>
        <v>19</v>
      </c>
      <c r="D82" s="24">
        <f t="shared" ref="D82:D92" si="30">F82/$F$80</f>
        <v>1.6604327612122907E-2</v>
      </c>
      <c r="E82" s="9">
        <v>50</v>
      </c>
      <c r="F82" s="8">
        <f t="shared" si="28"/>
        <v>950</v>
      </c>
      <c r="G82" s="8">
        <f t="shared" si="29"/>
        <v>11400</v>
      </c>
    </row>
    <row r="83" spans="1:7" hidden="1" outlineLevel="1" x14ac:dyDescent="0.25">
      <c r="A83" t="s">
        <v>171</v>
      </c>
      <c r="C83">
        <v>1</v>
      </c>
      <c r="D83" s="24">
        <f t="shared" si="30"/>
        <v>1.7478239591708324E-2</v>
      </c>
      <c r="E83" s="9">
        <v>1000</v>
      </c>
      <c r="F83" s="8">
        <f t="shared" si="28"/>
        <v>1000</v>
      </c>
      <c r="G83" s="8">
        <f t="shared" si="29"/>
        <v>12000</v>
      </c>
    </row>
    <row r="84" spans="1:7" hidden="1" outlineLevel="1" x14ac:dyDescent="0.25">
      <c r="A84" t="s">
        <v>52</v>
      </c>
      <c r="C84">
        <f>B22</f>
        <v>20</v>
      </c>
      <c r="D84" s="24">
        <f t="shared" si="30"/>
        <v>0.26217359387562483</v>
      </c>
      <c r="E84" s="9">
        <f>30*25</f>
        <v>750</v>
      </c>
      <c r="F84" s="8">
        <f>C84*E84</f>
        <v>15000</v>
      </c>
      <c r="G84" s="8">
        <f t="shared" si="29"/>
        <v>180000</v>
      </c>
    </row>
    <row r="85" spans="1:7" hidden="1" outlineLevel="1" x14ac:dyDescent="0.25">
      <c r="A85" t="s">
        <v>172</v>
      </c>
      <c r="C85">
        <f>C15</f>
        <v>9</v>
      </c>
      <c r="D85" s="24">
        <f t="shared" si="30"/>
        <v>3.932603908134373E-3</v>
      </c>
      <c r="E85" s="9">
        <v>25</v>
      </c>
      <c r="F85" s="8">
        <f t="shared" si="28"/>
        <v>225</v>
      </c>
      <c r="G85" s="8">
        <f t="shared" si="29"/>
        <v>2700</v>
      </c>
    </row>
    <row r="86" spans="1:7" hidden="1" outlineLevel="1" x14ac:dyDescent="0.25">
      <c r="A86" t="s">
        <v>173</v>
      </c>
      <c r="C86">
        <f>C16</f>
        <v>9</v>
      </c>
      <c r="D86" s="24">
        <f t="shared" si="30"/>
        <v>4.2472122207851223E-2</v>
      </c>
      <c r="E86" s="9">
        <f>C86*30</f>
        <v>270</v>
      </c>
      <c r="F86" s="8">
        <f t="shared" si="28"/>
        <v>2430</v>
      </c>
      <c r="G86" s="8">
        <f t="shared" si="29"/>
        <v>29160</v>
      </c>
    </row>
    <row r="87" spans="1:7" hidden="1" outlineLevel="1" x14ac:dyDescent="0.25">
      <c r="A87" t="s">
        <v>174</v>
      </c>
      <c r="C87">
        <f>C17</f>
        <v>9</v>
      </c>
      <c r="D87" s="24">
        <f t="shared" si="30"/>
        <v>4.2472122207851223E-2</v>
      </c>
      <c r="E87" s="9">
        <f>C87*30</f>
        <v>270</v>
      </c>
      <c r="F87" s="8">
        <f t="shared" si="28"/>
        <v>2430</v>
      </c>
      <c r="G87" s="8">
        <f t="shared" si="29"/>
        <v>29160</v>
      </c>
    </row>
    <row r="88" spans="1:7" hidden="1" outlineLevel="1" x14ac:dyDescent="0.25">
      <c r="A88" t="s">
        <v>175</v>
      </c>
      <c r="C88">
        <f>C18</f>
        <v>19</v>
      </c>
      <c r="D88" s="24">
        <f t="shared" si="30"/>
        <v>1.6604327612122907E-2</v>
      </c>
      <c r="E88" s="9">
        <v>50</v>
      </c>
      <c r="F88" s="8">
        <f t="shared" si="28"/>
        <v>950</v>
      </c>
      <c r="G88" s="8">
        <f t="shared" si="29"/>
        <v>11400</v>
      </c>
    </row>
    <row r="89" spans="1:7" hidden="1" outlineLevel="1" x14ac:dyDescent="0.25">
      <c r="A89" t="s">
        <v>178</v>
      </c>
      <c r="C89">
        <f>B22</f>
        <v>20</v>
      </c>
      <c r="D89" s="24">
        <f t="shared" si="30"/>
        <v>3.4956479183416649E-2</v>
      </c>
      <c r="E89" s="9">
        <v>100</v>
      </c>
      <c r="F89" s="8">
        <f t="shared" si="28"/>
        <v>2000</v>
      </c>
      <c r="G89" s="8">
        <f t="shared" si="29"/>
        <v>24000</v>
      </c>
    </row>
    <row r="90" spans="1:7" hidden="1" outlineLevel="1" x14ac:dyDescent="0.25">
      <c r="A90" t="s">
        <v>199</v>
      </c>
      <c r="C90">
        <f>B22</f>
        <v>20</v>
      </c>
      <c r="D90" s="24">
        <f t="shared" si="30"/>
        <v>0.20973887510049988</v>
      </c>
      <c r="E90" s="9">
        <v>600</v>
      </c>
      <c r="F90" s="8">
        <f t="shared" si="28"/>
        <v>12000</v>
      </c>
      <c r="G90" s="8">
        <f t="shared" si="29"/>
        <v>144000</v>
      </c>
    </row>
    <row r="91" spans="1:7" hidden="1" outlineLevel="1" x14ac:dyDescent="0.25">
      <c r="A91" t="s">
        <v>200</v>
      </c>
      <c r="C91">
        <f>B22</f>
        <v>20</v>
      </c>
      <c r="D91" s="24">
        <f t="shared" si="30"/>
        <v>4.3695598979270805E-2</v>
      </c>
      <c r="E91" s="9">
        <v>125</v>
      </c>
      <c r="F91" s="8">
        <f t="shared" si="28"/>
        <v>2500</v>
      </c>
      <c r="G91" s="8">
        <f t="shared" si="29"/>
        <v>30000</v>
      </c>
    </row>
    <row r="92" spans="1:7" hidden="1" outlineLevel="1" x14ac:dyDescent="0.25">
      <c r="A92" t="s">
        <v>176</v>
      </c>
      <c r="C92">
        <v>1</v>
      </c>
      <c r="D92" s="24">
        <f t="shared" si="30"/>
        <v>1.7478239591708324E-2</v>
      </c>
      <c r="E92" s="9">
        <v>1000</v>
      </c>
      <c r="F92" s="8">
        <f t="shared" si="28"/>
        <v>1000</v>
      </c>
      <c r="G92" s="8">
        <f t="shared" si="29"/>
        <v>12000</v>
      </c>
    </row>
    <row r="93" spans="1:7" hidden="1" outlineLevel="1" x14ac:dyDescent="0.25">
      <c r="A93" t="s">
        <v>177</v>
      </c>
      <c r="C93">
        <v>1</v>
      </c>
      <c r="D93" s="18">
        <f>10%</f>
        <v>0.1</v>
      </c>
      <c r="E93" s="8">
        <f>SUM(E81:E92)*D93</f>
        <v>429</v>
      </c>
      <c r="F93" s="8">
        <f t="shared" si="28"/>
        <v>429</v>
      </c>
      <c r="G93" s="8">
        <f t="shared" si="29"/>
        <v>5148</v>
      </c>
    </row>
    <row r="94" spans="1:7" ht="15.75" hidden="1" outlineLevel="1" thickBot="1" x14ac:dyDescent="0.3">
      <c r="A94" s="10" t="str">
        <f>"Всего "&amp;A80</f>
        <v>Всего Расходы на предоставление услуг</v>
      </c>
      <c r="B94" s="10"/>
      <c r="C94" s="10">
        <f>SUM(C81:C93)</f>
        <v>474</v>
      </c>
      <c r="D94" s="11">
        <f>SUM(D81:D93)</f>
        <v>1.092501835215157</v>
      </c>
      <c r="E94" s="13">
        <f>SUM(E81:E93)</f>
        <v>4719</v>
      </c>
      <c r="F94" s="13">
        <f>SUM(F81:F93)</f>
        <v>57214</v>
      </c>
      <c r="G94" s="13">
        <f>SUM(G81:G93)</f>
        <v>686568</v>
      </c>
    </row>
    <row r="95" spans="1:7" collapsed="1" x14ac:dyDescent="0.25">
      <c r="A95" s="36"/>
      <c r="B95" s="36"/>
      <c r="C95" s="36"/>
      <c r="D95" s="37"/>
      <c r="E95" s="38"/>
      <c r="F95" s="38"/>
      <c r="G95" s="38"/>
    </row>
    <row r="96" spans="1:7" ht="15.75" thickBot="1" x14ac:dyDescent="0.3">
      <c r="A96" s="58" t="s">
        <v>141</v>
      </c>
      <c r="B96" s="58"/>
      <c r="C96" s="58"/>
      <c r="D96" s="59">
        <f>F96/F4</f>
        <v>6.3034927767610174E-2</v>
      </c>
      <c r="E96" s="202">
        <f>E4-E44</f>
        <v>665.26026575342439</v>
      </c>
      <c r="F96" s="61">
        <f>F4-F44</f>
        <v>20234.999749999959</v>
      </c>
      <c r="G96" s="61">
        <f>G4-G44</f>
        <v>242819.99699999951</v>
      </c>
    </row>
    <row r="97" spans="1:9" x14ac:dyDescent="0.25">
      <c r="A97" s="36"/>
      <c r="B97" s="36"/>
      <c r="C97" s="36"/>
      <c r="D97" s="37"/>
      <c r="E97" s="38"/>
      <c r="F97" s="38"/>
      <c r="G97" s="38"/>
    </row>
    <row r="98" spans="1:9" x14ac:dyDescent="0.25">
      <c r="A98" s="36" t="s">
        <v>179</v>
      </c>
      <c r="B98" s="36"/>
      <c r="C98" s="36"/>
      <c r="D98" s="37"/>
      <c r="E98" s="38"/>
      <c r="F98" s="38"/>
      <c r="G98" s="38"/>
    </row>
    <row r="99" spans="1:9" hidden="1" outlineLevel="1" x14ac:dyDescent="0.25"/>
    <row r="100" spans="1:9" hidden="1" outlineLevel="1" x14ac:dyDescent="0.25">
      <c r="A100" s="2" t="s">
        <v>180</v>
      </c>
      <c r="B100" s="2"/>
      <c r="C100" s="2"/>
      <c r="D100" s="2"/>
      <c r="E100" s="2"/>
      <c r="F100" s="2"/>
      <c r="G100" s="2"/>
    </row>
    <row r="101" spans="1:9" hidden="1" outlineLevel="2" x14ac:dyDescent="0.25">
      <c r="A101" s="14" t="s">
        <v>150</v>
      </c>
      <c r="B101" s="28" t="s">
        <v>13</v>
      </c>
      <c r="C101" s="19"/>
      <c r="D101" s="22"/>
      <c r="E101" s="20"/>
      <c r="F101" s="21">
        <f>SUM(F102:F105)</f>
        <v>6900</v>
      </c>
    </row>
    <row r="102" spans="1:9" hidden="1" outlineLevel="2" x14ac:dyDescent="0.25">
      <c r="A102" t="s">
        <v>142</v>
      </c>
      <c r="B102" s="131">
        <v>1</v>
      </c>
      <c r="C102" s="131">
        <v>1</v>
      </c>
      <c r="D102" s="6">
        <v>1</v>
      </c>
      <c r="E102" s="32">
        <f>D107*1.5</f>
        <v>375</v>
      </c>
      <c r="F102" s="21">
        <f>C102*E102</f>
        <v>375</v>
      </c>
    </row>
    <row r="103" spans="1:9" hidden="1" outlineLevel="2" x14ac:dyDescent="0.25">
      <c r="A103" t="s">
        <v>143</v>
      </c>
      <c r="B103" s="131">
        <v>3</v>
      </c>
      <c r="C103" s="131">
        <v>1</v>
      </c>
      <c r="D103" s="6">
        <v>0.1</v>
      </c>
      <c r="E103" s="21">
        <f>B103*$E$102-B103*$E$102*D103</f>
        <v>1012.5</v>
      </c>
      <c r="F103" s="21">
        <f>C103*E103</f>
        <v>1012.5</v>
      </c>
      <c r="I103" s="21"/>
    </row>
    <row r="104" spans="1:9" hidden="1" outlineLevel="2" x14ac:dyDescent="0.25">
      <c r="A104" t="s">
        <v>144</v>
      </c>
      <c r="B104" s="131">
        <v>6</v>
      </c>
      <c r="C104" s="131">
        <v>1</v>
      </c>
      <c r="D104" s="6">
        <v>0.15</v>
      </c>
      <c r="E104" s="21">
        <f t="shared" ref="E104:E105" si="31">B104*$E$102-B104*$E$102*D104</f>
        <v>1912.5</v>
      </c>
      <c r="F104" s="21">
        <f t="shared" ref="F104:F105" si="32">C104*E104</f>
        <v>1912.5</v>
      </c>
    </row>
    <row r="105" spans="1:9" hidden="1" outlineLevel="2" x14ac:dyDescent="0.25">
      <c r="A105" t="s">
        <v>145</v>
      </c>
      <c r="B105" s="131">
        <v>12</v>
      </c>
      <c r="C105" s="131">
        <v>1</v>
      </c>
      <c r="D105" s="6">
        <v>0.2</v>
      </c>
      <c r="E105" s="21">
        <f t="shared" si="31"/>
        <v>3600</v>
      </c>
      <c r="F105" s="21">
        <f t="shared" si="32"/>
        <v>3600</v>
      </c>
    </row>
    <row r="106" spans="1:9" hidden="1" outlineLevel="2" x14ac:dyDescent="0.25">
      <c r="A106" s="14" t="s">
        <v>187</v>
      </c>
      <c r="B106" s="28">
        <v>1</v>
      </c>
      <c r="C106" s="19" t="s">
        <v>12</v>
      </c>
      <c r="F106" s="21">
        <f>SUM(F107:F111)</f>
        <v>750</v>
      </c>
    </row>
    <row r="107" spans="1:9" hidden="1" outlineLevel="2" x14ac:dyDescent="0.25">
      <c r="A107" t="s">
        <v>146</v>
      </c>
      <c r="B107" s="131">
        <v>1</v>
      </c>
      <c r="C107" s="131">
        <v>1</v>
      </c>
      <c r="D107" s="65">
        <v>250</v>
      </c>
      <c r="E107" s="21">
        <f>B107*C107*D107</f>
        <v>250</v>
      </c>
      <c r="F107" s="21">
        <f>E107*$B$107</f>
        <v>250</v>
      </c>
    </row>
    <row r="108" spans="1:9" hidden="1" outlineLevel="2" x14ac:dyDescent="0.25">
      <c r="A108" t="s">
        <v>162</v>
      </c>
      <c r="B108" s="131">
        <v>1</v>
      </c>
      <c r="C108" s="131">
        <v>1</v>
      </c>
      <c r="D108" s="65">
        <v>50</v>
      </c>
      <c r="E108" s="21">
        <f t="shared" ref="E108:E113" si="33">B108*C108*D108</f>
        <v>50</v>
      </c>
      <c r="F108" s="21">
        <f>E108*$B$107</f>
        <v>50</v>
      </c>
    </row>
    <row r="109" spans="1:9" hidden="1" outlineLevel="2" x14ac:dyDescent="0.25">
      <c r="A109" t="s">
        <v>175</v>
      </c>
      <c r="B109" s="131">
        <v>1</v>
      </c>
      <c r="C109" s="131">
        <v>1</v>
      </c>
      <c r="D109" s="65">
        <v>150</v>
      </c>
      <c r="E109" s="21">
        <f t="shared" si="33"/>
        <v>150</v>
      </c>
      <c r="F109" s="21">
        <f>E109*$B$107</f>
        <v>150</v>
      </c>
    </row>
    <row r="110" spans="1:9" hidden="1" outlineLevel="2" x14ac:dyDescent="0.25">
      <c r="A110" t="s">
        <v>147</v>
      </c>
      <c r="B110" s="131">
        <v>1</v>
      </c>
      <c r="C110" s="131">
        <v>1</v>
      </c>
      <c r="D110" s="65">
        <v>100</v>
      </c>
      <c r="E110" s="21">
        <f t="shared" si="33"/>
        <v>100</v>
      </c>
      <c r="F110" s="21">
        <f>E110*$B$107</f>
        <v>100</v>
      </c>
    </row>
    <row r="111" spans="1:9" hidden="1" outlineLevel="2" x14ac:dyDescent="0.25">
      <c r="A111" t="s">
        <v>148</v>
      </c>
      <c r="B111" s="131">
        <v>1</v>
      </c>
      <c r="C111" s="131">
        <v>2</v>
      </c>
      <c r="D111" s="65">
        <v>100</v>
      </c>
      <c r="E111" s="21">
        <f t="shared" si="33"/>
        <v>200</v>
      </c>
      <c r="F111" s="21">
        <f>E111*$B$107</f>
        <v>200</v>
      </c>
    </row>
    <row r="112" spans="1:9" hidden="1" outlineLevel="2" x14ac:dyDescent="0.25">
      <c r="A112" t="s">
        <v>188</v>
      </c>
      <c r="B112" s="131">
        <v>1</v>
      </c>
      <c r="C112" s="131">
        <v>1</v>
      </c>
      <c r="D112" s="65">
        <v>50</v>
      </c>
      <c r="E112" s="21">
        <f t="shared" si="33"/>
        <v>50</v>
      </c>
      <c r="F112" s="21">
        <f t="shared" ref="F112:F113" si="34">E112*$B$107</f>
        <v>50</v>
      </c>
    </row>
    <row r="113" spans="1:8" hidden="1" outlineLevel="2" x14ac:dyDescent="0.25">
      <c r="A113" t="s">
        <v>189</v>
      </c>
      <c r="B113" s="131">
        <v>1</v>
      </c>
      <c r="C113" s="131">
        <v>1</v>
      </c>
      <c r="D113" s="65">
        <v>50</v>
      </c>
      <c r="E113" s="21">
        <f t="shared" si="33"/>
        <v>50</v>
      </c>
      <c r="F113" s="21">
        <f t="shared" si="34"/>
        <v>50</v>
      </c>
    </row>
    <row r="114" spans="1:8" hidden="1" outlineLevel="1" collapsed="1" x14ac:dyDescent="0.25"/>
    <row r="115" spans="1:8" hidden="1" outlineLevel="1" x14ac:dyDescent="0.25">
      <c r="A115" s="2" t="s">
        <v>190</v>
      </c>
      <c r="B115" s="2"/>
      <c r="C115" s="2"/>
      <c r="D115" s="2"/>
      <c r="E115" s="2"/>
      <c r="F115" s="2"/>
      <c r="G115" s="2"/>
    </row>
    <row r="116" spans="1:8" hidden="1" outlineLevel="2" x14ac:dyDescent="0.25">
      <c r="A116" s="14" t="s">
        <v>150</v>
      </c>
      <c r="B116" s="28">
        <v>1</v>
      </c>
      <c r="C116" s="26" t="s">
        <v>14</v>
      </c>
      <c r="D116" s="26" t="s">
        <v>168</v>
      </c>
      <c r="F116" s="21">
        <f>SUM(F118:F119)</f>
        <v>2000</v>
      </c>
    </row>
    <row r="117" spans="1:8" hidden="1" outlineLevel="2" x14ac:dyDescent="0.25">
      <c r="A117" t="s">
        <v>284</v>
      </c>
      <c r="B117" s="131">
        <v>1</v>
      </c>
      <c r="C117" s="131">
        <v>2</v>
      </c>
      <c r="D117" s="65">
        <v>50</v>
      </c>
      <c r="E117" s="21">
        <f>B117*C117*D117</f>
        <v>100</v>
      </c>
      <c r="F117" s="21">
        <f>E117*$B$107</f>
        <v>100</v>
      </c>
    </row>
    <row r="118" spans="1:8" hidden="1" outlineLevel="2" x14ac:dyDescent="0.25">
      <c r="A118" t="s">
        <v>152</v>
      </c>
      <c r="B118" s="131">
        <v>1</v>
      </c>
      <c r="C118" s="131">
        <v>4</v>
      </c>
      <c r="D118" s="65">
        <v>375</v>
      </c>
      <c r="E118" s="21">
        <f>B118*C118*D118</f>
        <v>1500</v>
      </c>
      <c r="F118" s="21">
        <f>E118*$B$107</f>
        <v>1500</v>
      </c>
    </row>
    <row r="119" spans="1:8" hidden="1" outlineLevel="2" x14ac:dyDescent="0.25">
      <c r="A119" t="s">
        <v>153</v>
      </c>
      <c r="B119" s="131">
        <v>1</v>
      </c>
      <c r="C119" s="131">
        <v>4</v>
      </c>
      <c r="D119" s="65">
        <v>125</v>
      </c>
      <c r="E119" s="21">
        <f t="shared" ref="E119" si="35">B119*C119*D119</f>
        <v>500</v>
      </c>
      <c r="F119" s="21">
        <f>E119*$B$107</f>
        <v>500</v>
      </c>
    </row>
    <row r="120" spans="1:8" hidden="1" outlineLevel="1" collapsed="1" x14ac:dyDescent="0.25">
      <c r="B120" s="27"/>
      <c r="C120" s="27"/>
      <c r="D120" s="29"/>
      <c r="E120" s="21"/>
      <c r="F120" s="21"/>
    </row>
    <row r="121" spans="1:8" hidden="1" outlineLevel="1" x14ac:dyDescent="0.25">
      <c r="A121" s="2" t="s">
        <v>135</v>
      </c>
      <c r="B121" s="2"/>
      <c r="C121" s="2"/>
      <c r="D121" s="2"/>
      <c r="E121" s="2"/>
      <c r="F121" s="2"/>
      <c r="G121" s="2"/>
    </row>
    <row r="122" spans="1:8" hidden="1" outlineLevel="2" x14ac:dyDescent="0.25">
      <c r="A122" s="14" t="s">
        <v>150</v>
      </c>
      <c r="B122" s="28">
        <v>1</v>
      </c>
      <c r="C122" s="26" t="s">
        <v>198</v>
      </c>
      <c r="F122" s="21">
        <f>SUM(F123:F140)</f>
        <v>9300</v>
      </c>
    </row>
    <row r="123" spans="1:8" hidden="1" outlineLevel="2" x14ac:dyDescent="0.25">
      <c r="A123" t="s">
        <v>151</v>
      </c>
      <c r="B123" s="131">
        <v>1</v>
      </c>
      <c r="C123" s="131">
        <v>2</v>
      </c>
      <c r="D123" s="32">
        <v>800</v>
      </c>
      <c r="E123" s="21">
        <f>B123*C123*D123</f>
        <v>1600</v>
      </c>
      <c r="F123" s="21">
        <f t="shared" ref="F123:F133" si="36">E123*$B$107</f>
        <v>1600</v>
      </c>
      <c r="H123" t="s">
        <v>149</v>
      </c>
    </row>
    <row r="124" spans="1:8" hidden="1" outlineLevel="2" x14ac:dyDescent="0.25">
      <c r="A124" t="s">
        <v>186</v>
      </c>
      <c r="B124" s="131">
        <v>1</v>
      </c>
      <c r="C124" s="131">
        <v>1</v>
      </c>
      <c r="D124" s="32">
        <v>750</v>
      </c>
      <c r="E124" s="21">
        <f>B124*C124*D124</f>
        <v>750</v>
      </c>
      <c r="F124" s="21">
        <f t="shared" si="36"/>
        <v>750</v>
      </c>
    </row>
    <row r="125" spans="1:8" hidden="1" outlineLevel="2" x14ac:dyDescent="0.25">
      <c r="A125" t="s">
        <v>166</v>
      </c>
      <c r="B125" s="131">
        <v>1</v>
      </c>
      <c r="C125" s="131">
        <v>1</v>
      </c>
      <c r="D125" s="32">
        <v>1500</v>
      </c>
      <c r="E125" s="21">
        <f t="shared" ref="E125:E133" si="37">B125*C125*D125</f>
        <v>1500</v>
      </c>
      <c r="F125" s="21">
        <f t="shared" si="36"/>
        <v>1500</v>
      </c>
    </row>
    <row r="126" spans="1:8" hidden="1" outlineLevel="2" x14ac:dyDescent="0.25">
      <c r="A126" t="s">
        <v>164</v>
      </c>
      <c r="B126" s="131">
        <v>1</v>
      </c>
      <c r="C126" s="131">
        <v>1</v>
      </c>
      <c r="D126" s="32">
        <v>1500</v>
      </c>
      <c r="E126" s="21">
        <f>B126*C126*D126</f>
        <v>1500</v>
      </c>
      <c r="F126" s="21">
        <f t="shared" si="36"/>
        <v>1500</v>
      </c>
    </row>
    <row r="127" spans="1:8" hidden="1" outlineLevel="2" x14ac:dyDescent="0.25">
      <c r="A127" t="s">
        <v>183</v>
      </c>
      <c r="B127" s="131">
        <v>1</v>
      </c>
      <c r="C127" s="131">
        <v>1</v>
      </c>
      <c r="D127" s="32">
        <v>750</v>
      </c>
      <c r="E127" s="21">
        <f>B127*C127*D127</f>
        <v>750</v>
      </c>
      <c r="F127" s="21">
        <f t="shared" si="36"/>
        <v>750</v>
      </c>
    </row>
    <row r="128" spans="1:8" hidden="1" outlineLevel="2" x14ac:dyDescent="0.25">
      <c r="A128" t="s">
        <v>182</v>
      </c>
      <c r="B128" s="131">
        <v>1</v>
      </c>
      <c r="C128" s="131">
        <v>1</v>
      </c>
      <c r="D128" s="32">
        <v>600</v>
      </c>
      <c r="E128" s="21">
        <f t="shared" si="37"/>
        <v>600</v>
      </c>
      <c r="F128" s="21">
        <f t="shared" si="36"/>
        <v>600</v>
      </c>
    </row>
    <row r="129" spans="1:6" hidden="1" outlineLevel="2" x14ac:dyDescent="0.25">
      <c r="A129" t="s">
        <v>185</v>
      </c>
      <c r="B129" s="131">
        <v>1</v>
      </c>
      <c r="C129" s="131">
        <v>1</v>
      </c>
      <c r="D129" s="32">
        <v>1000</v>
      </c>
      <c r="E129" s="21">
        <f t="shared" si="37"/>
        <v>1000</v>
      </c>
      <c r="F129" s="21">
        <f t="shared" si="36"/>
        <v>1000</v>
      </c>
    </row>
    <row r="130" spans="1:6" hidden="1" outlineLevel="2" x14ac:dyDescent="0.25">
      <c r="A130" t="s">
        <v>184</v>
      </c>
      <c r="B130" s="131">
        <v>1</v>
      </c>
      <c r="C130" s="131">
        <v>1</v>
      </c>
      <c r="D130" s="32">
        <v>300</v>
      </c>
      <c r="E130" s="21">
        <f t="shared" si="37"/>
        <v>300</v>
      </c>
      <c r="F130" s="21">
        <f t="shared" si="36"/>
        <v>300</v>
      </c>
    </row>
    <row r="131" spans="1:6" hidden="1" outlineLevel="2" x14ac:dyDescent="0.25">
      <c r="A131" t="s">
        <v>181</v>
      </c>
      <c r="B131" s="131">
        <v>1</v>
      </c>
      <c r="C131" s="131">
        <v>1</v>
      </c>
      <c r="D131" s="32">
        <v>600</v>
      </c>
      <c r="E131" s="21">
        <f t="shared" si="37"/>
        <v>600</v>
      </c>
      <c r="F131" s="21">
        <f t="shared" si="36"/>
        <v>600</v>
      </c>
    </row>
    <row r="132" spans="1:6" hidden="1" outlineLevel="2" x14ac:dyDescent="0.25">
      <c r="A132" t="s">
        <v>165</v>
      </c>
      <c r="B132" s="131">
        <v>1</v>
      </c>
      <c r="C132" s="131">
        <v>1</v>
      </c>
      <c r="D132" s="32">
        <v>500</v>
      </c>
      <c r="E132" s="21">
        <f t="shared" si="37"/>
        <v>500</v>
      </c>
      <c r="F132" s="21">
        <f t="shared" si="36"/>
        <v>500</v>
      </c>
    </row>
    <row r="133" spans="1:6" hidden="1" outlineLevel="2" x14ac:dyDescent="0.25">
      <c r="A133" t="s">
        <v>167</v>
      </c>
      <c r="B133" s="131">
        <v>1</v>
      </c>
      <c r="C133" s="131">
        <v>1</v>
      </c>
      <c r="D133" s="32">
        <v>200</v>
      </c>
      <c r="E133" s="21">
        <f t="shared" si="37"/>
        <v>200</v>
      </c>
      <c r="F133" s="21">
        <f t="shared" si="36"/>
        <v>200</v>
      </c>
    </row>
    <row r="134" spans="1:6" hidden="1" outlineLevel="1" collapsed="1" x14ac:dyDescent="0.25">
      <c r="B134" s="27"/>
      <c r="C134" s="27"/>
      <c r="D134" s="29"/>
      <c r="E134" s="21"/>
      <c r="F134" s="21"/>
    </row>
    <row r="135" spans="1:6" hidden="1" outlineLevel="1" x14ac:dyDescent="0.25">
      <c r="B135" s="27"/>
      <c r="C135" s="27"/>
      <c r="D135" s="29"/>
      <c r="E135" s="21"/>
      <c r="F135" s="21"/>
    </row>
    <row r="136" spans="1:6" hidden="1" outlineLevel="1" x14ac:dyDescent="0.25"/>
    <row r="137" spans="1:6" hidden="1" outlineLevel="1" x14ac:dyDescent="0.25">
      <c r="A137" s="14" t="s">
        <v>3</v>
      </c>
    </row>
    <row r="138" spans="1:6" hidden="1" outlineLevel="1" x14ac:dyDescent="0.25">
      <c r="A138" t="s">
        <v>5</v>
      </c>
    </row>
    <row r="139" spans="1:6" hidden="1" outlineLevel="1" x14ac:dyDescent="0.25">
      <c r="A139" t="s">
        <v>6</v>
      </c>
    </row>
    <row r="140" spans="1:6" hidden="1" outlineLevel="1" x14ac:dyDescent="0.25">
      <c r="A140" t="s">
        <v>7</v>
      </c>
    </row>
    <row r="141" spans="1:6" hidden="1" outlineLevel="1" x14ac:dyDescent="0.25">
      <c r="A141" t="s">
        <v>4</v>
      </c>
    </row>
    <row r="142" spans="1:6" hidden="1" outlineLevel="1" x14ac:dyDescent="0.25">
      <c r="A142" t="s">
        <v>8</v>
      </c>
    </row>
    <row r="143" spans="1:6" collapsed="1" x14ac:dyDescent="0.25"/>
  </sheetData>
  <pageMargins left="0.28999999999999998" right="0.33" top="0.62" bottom="0.75" header="0.28999999999999998" footer="0.3"/>
  <pageSetup scale="57" orientation="portrait" r:id="rId1"/>
  <headerFooter>
    <oddHeader>&amp;L&amp;F&amp;R&amp;A</oddHeader>
    <oddFooter>&amp;LТ. Х.&amp;R&amp;D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CD3D-D895-4F7D-B765-A4C4CAC0C654}">
  <dimension ref="B1:H132"/>
  <sheetViews>
    <sheetView showGridLines="0" workbookViewId="0">
      <pane ySplit="3" topLeftCell="A4" activePane="bottomLeft" state="frozen"/>
      <selection pane="bottomLeft" activeCell="F136" sqref="F136"/>
    </sheetView>
  </sheetViews>
  <sheetFormatPr defaultRowHeight="15" outlineLevelRow="1" x14ac:dyDescent="0.25"/>
  <cols>
    <col min="2" max="2" width="32.7109375" bestFit="1" customWidth="1"/>
    <col min="3" max="3" width="9" bestFit="1" customWidth="1"/>
    <col min="4" max="4" width="7.28515625" style="40" bestFit="1" customWidth="1"/>
    <col min="5" max="5" width="15.7109375" bestFit="1" customWidth="1"/>
    <col min="6" max="6" width="13.85546875" bestFit="1" customWidth="1"/>
    <col min="8" max="8" width="11" bestFit="1" customWidth="1"/>
  </cols>
  <sheetData>
    <row r="1" spans="2:8" ht="15.75" thickBot="1" x14ac:dyDescent="0.3"/>
    <row r="2" spans="2:8" ht="15.75" thickBot="1" x14ac:dyDescent="0.3">
      <c r="B2" s="203" t="s">
        <v>19</v>
      </c>
      <c r="C2" s="204" t="s">
        <v>130</v>
      </c>
      <c r="D2" s="205" t="s">
        <v>225</v>
      </c>
      <c r="E2" s="204" t="s">
        <v>223</v>
      </c>
      <c r="F2" s="206" t="s">
        <v>224</v>
      </c>
      <c r="H2" s="26" t="s">
        <v>16</v>
      </c>
    </row>
    <row r="3" spans="2:8" x14ac:dyDescent="0.25">
      <c r="C3" s="57">
        <f>C17+C30+C5+C342+C57+C68+C93+C108+C46+C120+C126</f>
        <v>0.99999999999999989</v>
      </c>
      <c r="F3" s="16">
        <f>F5+F17+F30+F46+F57+F68+F93+F108+F120+F126</f>
        <v>6251125.0280000009</v>
      </c>
    </row>
    <row r="4" spans="2:8" x14ac:dyDescent="0.25">
      <c r="C4" s="57"/>
      <c r="F4" s="16"/>
    </row>
    <row r="5" spans="2:8" x14ac:dyDescent="0.25">
      <c r="B5" s="2" t="s">
        <v>226</v>
      </c>
      <c r="C5" s="43">
        <f>F5/F3</f>
        <v>0.33993880949136562</v>
      </c>
      <c r="D5" s="2"/>
      <c r="E5" s="2"/>
      <c r="F5" s="35">
        <f>F15</f>
        <v>2125000</v>
      </c>
    </row>
    <row r="6" spans="2:8" hidden="1" outlineLevel="1" x14ac:dyDescent="0.25">
      <c r="B6" t="s">
        <v>227</v>
      </c>
      <c r="C6" s="41">
        <f>IFERROR(F6/$F$5,"-")</f>
        <v>0.47058823529411764</v>
      </c>
      <c r="D6" s="40">
        <v>2</v>
      </c>
      <c r="E6" s="32">
        <v>500000</v>
      </c>
      <c r="F6" s="21">
        <f>D6*E6</f>
        <v>1000000</v>
      </c>
    </row>
    <row r="7" spans="2:8" hidden="1" outlineLevel="1" x14ac:dyDescent="0.25">
      <c r="B7" t="s">
        <v>230</v>
      </c>
      <c r="C7" s="41">
        <f t="shared" ref="C7:C13" si="0">IFERROR(F7/$F$5,"-")</f>
        <v>0.14117647058823529</v>
      </c>
      <c r="D7" s="40">
        <v>1</v>
      </c>
      <c r="E7" s="32">
        <v>300000</v>
      </c>
      <c r="F7" s="21">
        <f t="shared" ref="F7:F13" si="1">D7*E7</f>
        <v>300000</v>
      </c>
    </row>
    <row r="8" spans="2:8" hidden="1" outlineLevel="1" x14ac:dyDescent="0.25">
      <c r="B8" t="s">
        <v>228</v>
      </c>
      <c r="C8" s="41">
        <f t="shared" si="0"/>
        <v>9.4117647058823528E-2</v>
      </c>
      <c r="D8" s="40">
        <v>1</v>
      </c>
      <c r="E8" s="32">
        <v>200000</v>
      </c>
      <c r="F8" s="21">
        <f t="shared" si="1"/>
        <v>200000</v>
      </c>
    </row>
    <row r="9" spans="2:8" hidden="1" outlineLevel="1" x14ac:dyDescent="0.25">
      <c r="B9" t="s">
        <v>231</v>
      </c>
      <c r="C9" s="41">
        <f t="shared" si="0"/>
        <v>8.2352941176470587E-2</v>
      </c>
      <c r="D9" s="40">
        <v>1</v>
      </c>
      <c r="E9" s="32">
        <v>175000</v>
      </c>
      <c r="F9" s="21">
        <f t="shared" si="1"/>
        <v>175000</v>
      </c>
    </row>
    <row r="10" spans="2:8" hidden="1" outlineLevel="1" x14ac:dyDescent="0.25">
      <c r="B10" t="s">
        <v>233</v>
      </c>
      <c r="C10" s="41">
        <f t="shared" ref="C10" si="2">IFERROR(F10/$F$5,"-")</f>
        <v>7.0588235294117646E-2</v>
      </c>
      <c r="D10" s="40">
        <v>1</v>
      </c>
      <c r="E10" s="32">
        <v>150000</v>
      </c>
      <c r="F10" s="21">
        <f t="shared" ref="F10" si="3">D10*E10</f>
        <v>150000</v>
      </c>
    </row>
    <row r="11" spans="2:8" hidden="1" outlineLevel="1" x14ac:dyDescent="0.25">
      <c r="B11" t="s">
        <v>234</v>
      </c>
      <c r="C11" s="41">
        <f t="shared" ref="C11" si="4">IFERROR(F11/$F$5,"-")</f>
        <v>7.0588235294117646E-2</v>
      </c>
      <c r="D11" s="40">
        <v>1</v>
      </c>
      <c r="E11" s="32">
        <v>150000</v>
      </c>
      <c r="F11" s="21">
        <f t="shared" ref="F11" si="5">D11*E11</f>
        <v>150000</v>
      </c>
    </row>
    <row r="12" spans="2:8" hidden="1" outlineLevel="1" x14ac:dyDescent="0.25">
      <c r="B12" t="s">
        <v>232</v>
      </c>
      <c r="C12" s="41">
        <f t="shared" si="0"/>
        <v>4.7058823529411764E-2</v>
      </c>
      <c r="D12" s="40">
        <v>2</v>
      </c>
      <c r="E12" s="32">
        <v>50000</v>
      </c>
      <c r="F12" s="21">
        <f t="shared" si="1"/>
        <v>100000</v>
      </c>
    </row>
    <row r="13" spans="2:8" hidden="1" outlineLevel="1" x14ac:dyDescent="0.25">
      <c r="B13" t="s">
        <v>229</v>
      </c>
      <c r="C13" s="41">
        <f t="shared" si="0"/>
        <v>2.3529411764705882E-2</v>
      </c>
      <c r="D13" s="40">
        <v>4</v>
      </c>
      <c r="E13" s="32">
        <v>12500</v>
      </c>
      <c r="F13" s="21">
        <f t="shared" si="1"/>
        <v>50000</v>
      </c>
    </row>
    <row r="14" spans="2:8" hidden="1" outlineLevel="1" x14ac:dyDescent="0.25">
      <c r="C14" s="41"/>
      <c r="E14" s="32"/>
      <c r="F14" s="21"/>
    </row>
    <row r="15" spans="2:8" ht="15.75" hidden="1" outlineLevel="1" thickBot="1" x14ac:dyDescent="0.3">
      <c r="B15" s="10" t="str">
        <f>"Всего "&amp;B5</f>
        <v>Всего Помещения</v>
      </c>
      <c r="C15" s="42">
        <f>SUM(C6:C14)</f>
        <v>1</v>
      </c>
      <c r="D15" s="10"/>
      <c r="E15" s="13">
        <f>SUM(E6:E13)</f>
        <v>1537500</v>
      </c>
      <c r="F15" s="13">
        <f>SUM(F6:F14)</f>
        <v>2125000</v>
      </c>
    </row>
    <row r="16" spans="2:8" collapsed="1" x14ac:dyDescent="0.25"/>
    <row r="17" spans="2:6" x14ac:dyDescent="0.25">
      <c r="B17" s="2" t="s">
        <v>235</v>
      </c>
      <c r="C17" s="43">
        <f>F17/F3</f>
        <v>7.9585674222096194E-3</v>
      </c>
      <c r="D17" s="2"/>
      <c r="E17" s="2"/>
      <c r="F17" s="35">
        <f>F28</f>
        <v>49750</v>
      </c>
    </row>
    <row r="18" spans="2:6" hidden="1" outlineLevel="1" x14ac:dyDescent="0.25">
      <c r="B18" t="s">
        <v>278</v>
      </c>
      <c r="C18" s="41">
        <f>IFERROR(F18/$F$28,"-")</f>
        <v>0.16080402010050251</v>
      </c>
      <c r="D18" s="40">
        <v>4</v>
      </c>
      <c r="E18" s="32">
        <v>2000</v>
      </c>
      <c r="F18" s="21">
        <f>D18*E18</f>
        <v>8000</v>
      </c>
    </row>
    <row r="19" spans="2:6" hidden="1" outlineLevel="1" x14ac:dyDescent="0.25">
      <c r="B19" t="s">
        <v>279</v>
      </c>
      <c r="C19" s="41">
        <f t="shared" ref="C19:C24" si="6">IFERROR(F19/$F$28,"-")</f>
        <v>7.5376884422110546E-2</v>
      </c>
      <c r="D19" s="40">
        <v>15</v>
      </c>
      <c r="E19" s="32">
        <v>250</v>
      </c>
      <c r="F19" s="21">
        <f t="shared" ref="F19:F24" si="7">D19*E19</f>
        <v>3750</v>
      </c>
    </row>
    <row r="20" spans="2:6" hidden="1" outlineLevel="1" x14ac:dyDescent="0.25">
      <c r="B20" t="s">
        <v>17</v>
      </c>
      <c r="C20" s="41">
        <f t="shared" si="6"/>
        <v>3.6180904522613064E-2</v>
      </c>
      <c r="D20" s="40">
        <v>3</v>
      </c>
      <c r="E20" s="32">
        <v>600</v>
      </c>
      <c r="F20" s="21">
        <f t="shared" si="7"/>
        <v>1800</v>
      </c>
    </row>
    <row r="21" spans="2:6" hidden="1" outlineLevel="1" x14ac:dyDescent="0.25">
      <c r="B21" t="s">
        <v>280</v>
      </c>
      <c r="C21" s="41">
        <f t="shared" si="6"/>
        <v>0.10050251256281408</v>
      </c>
      <c r="D21" s="40">
        <v>2</v>
      </c>
      <c r="E21" s="32">
        <v>2500</v>
      </c>
      <c r="F21" s="21">
        <f t="shared" si="7"/>
        <v>5000</v>
      </c>
    </row>
    <row r="22" spans="2:6" hidden="1" outlineLevel="1" x14ac:dyDescent="0.25">
      <c r="B22" t="s">
        <v>18</v>
      </c>
      <c r="C22" s="41">
        <f t="shared" si="6"/>
        <v>0.32160804020100503</v>
      </c>
      <c r="D22" s="40">
        <v>2</v>
      </c>
      <c r="E22" s="32">
        <v>8000</v>
      </c>
      <c r="F22" s="21">
        <f t="shared" si="7"/>
        <v>16000</v>
      </c>
    </row>
    <row r="23" spans="2:6" hidden="1" outlineLevel="1" x14ac:dyDescent="0.25">
      <c r="B23" t="s">
        <v>281</v>
      </c>
      <c r="C23" s="41">
        <f t="shared" si="6"/>
        <v>6.4321608040201012E-2</v>
      </c>
      <c r="D23" s="40">
        <v>4</v>
      </c>
      <c r="E23" s="32">
        <v>800</v>
      </c>
      <c r="F23" s="21">
        <f t="shared" si="7"/>
        <v>3200</v>
      </c>
    </row>
    <row r="24" spans="2:6" hidden="1" outlineLevel="1" x14ac:dyDescent="0.25">
      <c r="B24" t="s">
        <v>20</v>
      </c>
      <c r="C24" s="41">
        <f t="shared" si="6"/>
        <v>0.24120603015075376</v>
      </c>
      <c r="D24" s="40">
        <v>4</v>
      </c>
      <c r="E24" s="32">
        <v>3000</v>
      </c>
      <c r="F24" s="21">
        <f t="shared" si="7"/>
        <v>12000</v>
      </c>
    </row>
    <row r="25" spans="2:6" hidden="1" outlineLevel="1" x14ac:dyDescent="0.25">
      <c r="C25" s="41"/>
      <c r="E25" s="32"/>
      <c r="F25" s="21"/>
    </row>
    <row r="26" spans="2:6" hidden="1" outlineLevel="1" x14ac:dyDescent="0.25">
      <c r="C26" s="41"/>
      <c r="E26" s="32"/>
      <c r="F26" s="21"/>
    </row>
    <row r="27" spans="2:6" hidden="1" outlineLevel="1" x14ac:dyDescent="0.25">
      <c r="C27" s="41"/>
      <c r="E27" s="32"/>
      <c r="F27" s="21"/>
    </row>
    <row r="28" spans="2:6" ht="15.75" hidden="1" outlineLevel="1" thickBot="1" x14ac:dyDescent="0.3">
      <c r="B28" s="10" t="str">
        <f>"Всего "&amp;B17</f>
        <v>Всего Мебель</v>
      </c>
      <c r="C28" s="42">
        <f>SUM(C18:C27)</f>
        <v>1</v>
      </c>
      <c r="D28" s="10"/>
      <c r="E28" s="13">
        <f>SUM(E18:E24)</f>
        <v>17150</v>
      </c>
      <c r="F28" s="13">
        <f>SUM(F18:F27)</f>
        <v>49750</v>
      </c>
    </row>
    <row r="29" spans="2:6" collapsed="1" x14ac:dyDescent="0.25"/>
    <row r="30" spans="2:6" x14ac:dyDescent="0.25">
      <c r="B30" s="2" t="s">
        <v>236</v>
      </c>
      <c r="C30" s="43">
        <f>F30/F3</f>
        <v>1.3197624368488313E-2</v>
      </c>
      <c r="D30" s="2"/>
      <c r="E30" s="2"/>
      <c r="F30" s="35">
        <f>F44</f>
        <v>82500</v>
      </c>
    </row>
    <row r="31" spans="2:6" hidden="1" outlineLevel="1" x14ac:dyDescent="0.25">
      <c r="B31" t="s">
        <v>21</v>
      </c>
      <c r="C31" s="41">
        <f>IFERROR(F31/$F$44,"-")</f>
        <v>0.48484848484848486</v>
      </c>
      <c r="D31" s="40">
        <v>4</v>
      </c>
      <c r="E31" s="32">
        <v>10000</v>
      </c>
      <c r="F31" s="21">
        <f>D31*E31</f>
        <v>40000</v>
      </c>
    </row>
    <row r="32" spans="2:6" hidden="1" outlineLevel="1" x14ac:dyDescent="0.25">
      <c r="B32" t="s">
        <v>22</v>
      </c>
      <c r="C32" s="41">
        <f>IFERROR(F32/$F$44,"-")</f>
        <v>0.12121212121212122</v>
      </c>
      <c r="D32" s="40">
        <v>1</v>
      </c>
      <c r="E32" s="32">
        <v>10000</v>
      </c>
      <c r="F32" s="21">
        <f t="shared" ref="F32:F43" si="8">D32*E32</f>
        <v>10000</v>
      </c>
    </row>
    <row r="33" spans="2:6" hidden="1" outlineLevel="1" x14ac:dyDescent="0.25">
      <c r="B33" t="s">
        <v>23</v>
      </c>
      <c r="C33" s="41">
        <f t="shared" ref="C33:C43" si="9">IFERROR(F33/$F$44,"-")</f>
        <v>1.8181818181818181E-2</v>
      </c>
      <c r="D33" s="40">
        <v>3</v>
      </c>
      <c r="E33" s="32">
        <v>500</v>
      </c>
      <c r="F33" s="21">
        <f t="shared" si="8"/>
        <v>1500</v>
      </c>
    </row>
    <row r="34" spans="2:6" hidden="1" outlineLevel="1" x14ac:dyDescent="0.25">
      <c r="B34" t="s">
        <v>24</v>
      </c>
      <c r="C34" s="41">
        <f t="shared" si="9"/>
        <v>6.0606060606060606E-3</v>
      </c>
      <c r="D34" s="40">
        <v>1</v>
      </c>
      <c r="E34" s="32">
        <v>500</v>
      </c>
      <c r="F34" s="21">
        <f t="shared" si="8"/>
        <v>500</v>
      </c>
    </row>
    <row r="35" spans="2:6" hidden="1" outlineLevel="1" x14ac:dyDescent="0.25">
      <c r="B35" t="s">
        <v>273</v>
      </c>
      <c r="C35" s="41">
        <f t="shared" si="9"/>
        <v>4.8484848484848485E-2</v>
      </c>
      <c r="D35" s="40">
        <v>5</v>
      </c>
      <c r="E35" s="32">
        <v>800</v>
      </c>
      <c r="F35" s="21">
        <f t="shared" ref="F35:F36" si="10">D35*E35</f>
        <v>4000</v>
      </c>
    </row>
    <row r="36" spans="2:6" hidden="1" outlineLevel="1" x14ac:dyDescent="0.25">
      <c r="B36" t="s">
        <v>274</v>
      </c>
      <c r="C36" s="41">
        <f t="shared" si="9"/>
        <v>3.6363636363636362E-2</v>
      </c>
      <c r="D36" s="40">
        <v>1</v>
      </c>
      <c r="E36" s="32">
        <v>3000</v>
      </c>
      <c r="F36" s="21">
        <f t="shared" si="10"/>
        <v>3000</v>
      </c>
    </row>
    <row r="37" spans="2:6" hidden="1" outlineLevel="1" x14ac:dyDescent="0.25">
      <c r="B37" t="s">
        <v>25</v>
      </c>
      <c r="C37" s="41">
        <f t="shared" si="9"/>
        <v>3.6363636363636364E-3</v>
      </c>
      <c r="D37" s="40">
        <v>3</v>
      </c>
      <c r="E37" s="32">
        <v>100</v>
      </c>
      <c r="F37" s="21">
        <f t="shared" si="8"/>
        <v>300</v>
      </c>
    </row>
    <row r="38" spans="2:6" hidden="1" outlineLevel="1" x14ac:dyDescent="0.25">
      <c r="B38" t="s">
        <v>275</v>
      </c>
      <c r="C38" s="41">
        <f t="shared" si="9"/>
        <v>3.0303030303030304E-2</v>
      </c>
      <c r="D38" s="40">
        <v>1</v>
      </c>
      <c r="E38" s="32">
        <v>2500</v>
      </c>
      <c r="F38" s="21">
        <f t="shared" si="8"/>
        <v>2500</v>
      </c>
    </row>
    <row r="39" spans="2:6" hidden="1" outlineLevel="1" x14ac:dyDescent="0.25">
      <c r="B39" t="s">
        <v>26</v>
      </c>
      <c r="C39" s="41">
        <f t="shared" si="9"/>
        <v>6.0606060606060606E-3</v>
      </c>
      <c r="D39" s="40">
        <v>1</v>
      </c>
      <c r="E39" s="32">
        <v>500</v>
      </c>
      <c r="F39" s="21">
        <f t="shared" si="8"/>
        <v>500</v>
      </c>
    </row>
    <row r="40" spans="2:6" hidden="1" outlineLevel="1" x14ac:dyDescent="0.25">
      <c r="B40" t="s">
        <v>28</v>
      </c>
      <c r="C40" s="41">
        <f t="shared" si="9"/>
        <v>0.18181818181818182</v>
      </c>
      <c r="D40" s="40">
        <v>3</v>
      </c>
      <c r="E40" s="32">
        <v>5000</v>
      </c>
      <c r="F40" s="21">
        <f t="shared" si="8"/>
        <v>15000</v>
      </c>
    </row>
    <row r="41" spans="2:6" hidden="1" outlineLevel="1" x14ac:dyDescent="0.25">
      <c r="B41" t="s">
        <v>27</v>
      </c>
      <c r="C41" s="41">
        <f t="shared" si="9"/>
        <v>4.8484848484848485E-2</v>
      </c>
      <c r="D41" s="40">
        <v>1</v>
      </c>
      <c r="E41" s="32">
        <v>4000</v>
      </c>
      <c r="F41" s="21">
        <f t="shared" si="8"/>
        <v>4000</v>
      </c>
    </row>
    <row r="42" spans="2:6" hidden="1" outlineLevel="1" x14ac:dyDescent="0.25">
      <c r="B42" t="s">
        <v>276</v>
      </c>
      <c r="C42" s="41">
        <f t="shared" si="9"/>
        <v>7.2727272727272727E-3</v>
      </c>
      <c r="D42" s="40">
        <v>4</v>
      </c>
      <c r="E42" s="32">
        <v>150</v>
      </c>
      <c r="F42" s="21">
        <f t="shared" si="8"/>
        <v>600</v>
      </c>
    </row>
    <row r="43" spans="2:6" hidden="1" outlineLevel="1" x14ac:dyDescent="0.25">
      <c r="B43" t="s">
        <v>277</v>
      </c>
      <c r="C43" s="41">
        <f t="shared" si="9"/>
        <v>7.2727272727272727E-3</v>
      </c>
      <c r="D43" s="40">
        <v>4</v>
      </c>
      <c r="E43" s="32">
        <v>150</v>
      </c>
      <c r="F43" s="21">
        <f t="shared" si="8"/>
        <v>600</v>
      </c>
    </row>
    <row r="44" spans="2:6" ht="15.75" hidden="1" outlineLevel="1" thickBot="1" x14ac:dyDescent="0.3">
      <c r="B44" s="10" t="str">
        <f>"Всего "&amp;B30</f>
        <v>Всего Оргтехника и связь</v>
      </c>
      <c r="C44" s="42">
        <f>SUM(C31:C43)</f>
        <v>1</v>
      </c>
      <c r="D44" s="10"/>
      <c r="E44" s="13">
        <f>SUM(E31:E43)</f>
        <v>37200</v>
      </c>
      <c r="F44" s="13">
        <f>SUM(F31:F43)</f>
        <v>82500</v>
      </c>
    </row>
    <row r="45" spans="2:6" collapsed="1" x14ac:dyDescent="0.25">
      <c r="B45" s="36"/>
      <c r="C45" s="44"/>
      <c r="D45" s="36"/>
      <c r="E45" s="38"/>
      <c r="F45" s="38"/>
    </row>
    <row r="46" spans="2:6" x14ac:dyDescent="0.25">
      <c r="B46" s="2" t="s">
        <v>222</v>
      </c>
      <c r="C46" s="43">
        <f>F46/F3</f>
        <v>1.1821872010076198E-4</v>
      </c>
      <c r="D46" s="2"/>
      <c r="E46" s="2"/>
      <c r="F46" s="35">
        <f>F55</f>
        <v>739</v>
      </c>
    </row>
    <row r="47" spans="2:6" hidden="1" outlineLevel="1" x14ac:dyDescent="0.25">
      <c r="B47" t="s">
        <v>48</v>
      </c>
      <c r="C47" s="41">
        <f>IFERROR(F47/$F$55,"-")</f>
        <v>0.10148849797023005</v>
      </c>
      <c r="D47" s="40">
        <v>50</v>
      </c>
      <c r="E47" s="32">
        <v>1.5</v>
      </c>
      <c r="F47" s="21">
        <f>D47*E47</f>
        <v>75</v>
      </c>
    </row>
    <row r="48" spans="2:6" hidden="1" outlineLevel="1" x14ac:dyDescent="0.25">
      <c r="B48" t="s">
        <v>267</v>
      </c>
      <c r="C48" s="41">
        <f t="shared" ref="C48:C53" si="11">IFERROR(F48/$F$55,"-")</f>
        <v>3.2476319350473612E-2</v>
      </c>
      <c r="D48" s="40">
        <v>12</v>
      </c>
      <c r="E48" s="32">
        <v>2</v>
      </c>
      <c r="F48" s="21">
        <f>D48*E48</f>
        <v>24</v>
      </c>
    </row>
    <row r="49" spans="2:6" hidden="1" outlineLevel="1" x14ac:dyDescent="0.25">
      <c r="B49" t="s">
        <v>268</v>
      </c>
      <c r="C49" s="41">
        <f t="shared" si="11"/>
        <v>0.40595399188092018</v>
      </c>
      <c r="D49" s="40">
        <v>5</v>
      </c>
      <c r="E49" s="32">
        <v>60</v>
      </c>
      <c r="F49" s="21">
        <f t="shared" ref="F49:F53" si="12">D49*E49</f>
        <v>300</v>
      </c>
    </row>
    <row r="50" spans="2:6" hidden="1" outlineLevel="1" x14ac:dyDescent="0.25">
      <c r="B50" t="s">
        <v>269</v>
      </c>
      <c r="C50" s="41">
        <f t="shared" si="11"/>
        <v>3.3829499323410013E-2</v>
      </c>
      <c r="D50" s="40">
        <v>5</v>
      </c>
      <c r="E50" s="32">
        <v>5</v>
      </c>
      <c r="F50" s="21">
        <f t="shared" si="12"/>
        <v>25</v>
      </c>
    </row>
    <row r="51" spans="2:6" hidden="1" outlineLevel="1" x14ac:dyDescent="0.25">
      <c r="B51" t="s">
        <v>270</v>
      </c>
      <c r="C51" s="41">
        <f t="shared" si="11"/>
        <v>2.0297699594046009E-2</v>
      </c>
      <c r="D51" s="40">
        <v>5</v>
      </c>
      <c r="E51" s="32">
        <v>3</v>
      </c>
      <c r="F51" s="21">
        <f t="shared" si="12"/>
        <v>15</v>
      </c>
    </row>
    <row r="52" spans="2:6" hidden="1" outlineLevel="1" x14ac:dyDescent="0.25">
      <c r="B52" t="s">
        <v>271</v>
      </c>
      <c r="C52" s="41">
        <f t="shared" si="11"/>
        <v>6.7658998646820026E-2</v>
      </c>
      <c r="D52" s="40">
        <v>2</v>
      </c>
      <c r="E52" s="32">
        <v>25</v>
      </c>
      <c r="F52" s="21">
        <f t="shared" si="12"/>
        <v>50</v>
      </c>
    </row>
    <row r="53" spans="2:6" hidden="1" outlineLevel="1" x14ac:dyDescent="0.25">
      <c r="B53" t="s">
        <v>272</v>
      </c>
      <c r="C53" s="41">
        <f t="shared" si="11"/>
        <v>0.33829499323410012</v>
      </c>
      <c r="D53" s="40">
        <v>500</v>
      </c>
      <c r="E53" s="32">
        <v>0.5</v>
      </c>
      <c r="F53" s="21">
        <f t="shared" si="12"/>
        <v>250</v>
      </c>
    </row>
    <row r="54" spans="2:6" hidden="1" outlineLevel="1" x14ac:dyDescent="0.25">
      <c r="C54" s="41"/>
      <c r="E54" s="32"/>
      <c r="F54" s="21"/>
    </row>
    <row r="55" spans="2:6" ht="15.75" hidden="1" outlineLevel="1" thickBot="1" x14ac:dyDescent="0.3">
      <c r="B55" s="10" t="str">
        <f>"Всего "&amp;B46</f>
        <v>Всего Канцелярия</v>
      </c>
      <c r="C55" s="42">
        <f>SUM(C47:C54)</f>
        <v>1</v>
      </c>
      <c r="D55" s="10"/>
      <c r="E55" s="13">
        <f>SUM(E47:E54)</f>
        <v>97</v>
      </c>
      <c r="F55" s="13">
        <f>SUM(F47:F54)</f>
        <v>739</v>
      </c>
    </row>
    <row r="56" spans="2:6" collapsed="1" x14ac:dyDescent="0.25"/>
    <row r="57" spans="2:6" x14ac:dyDescent="0.25">
      <c r="B57" s="2" t="s">
        <v>237</v>
      </c>
      <c r="C57" s="43">
        <f>F57/F3</f>
        <v>6.3988481786610004E-3</v>
      </c>
      <c r="D57" s="2"/>
      <c r="E57" s="2"/>
      <c r="F57" s="35">
        <f>F66</f>
        <v>40000</v>
      </c>
    </row>
    <row r="58" spans="2:6" hidden="1" outlineLevel="1" x14ac:dyDescent="0.25">
      <c r="B58" t="s">
        <v>260</v>
      </c>
      <c r="C58" s="41">
        <f t="shared" ref="C58:C63" si="13">IFERROR(F58/$F$66,"-")</f>
        <v>1.8749999999999999E-2</v>
      </c>
      <c r="D58" s="40">
        <v>15</v>
      </c>
      <c r="E58" s="32">
        <v>50</v>
      </c>
      <c r="F58" s="21">
        <f>D58*E58</f>
        <v>750</v>
      </c>
    </row>
    <row r="59" spans="2:6" hidden="1" outlineLevel="1" x14ac:dyDescent="0.25">
      <c r="B59" t="s">
        <v>261</v>
      </c>
      <c r="C59" s="41">
        <f t="shared" si="13"/>
        <v>1.8749999999999999E-2</v>
      </c>
      <c r="D59" s="40">
        <v>3</v>
      </c>
      <c r="E59" s="32">
        <v>250</v>
      </c>
      <c r="F59" s="21">
        <f>D59*E59</f>
        <v>750</v>
      </c>
    </row>
    <row r="60" spans="2:6" hidden="1" outlineLevel="1" x14ac:dyDescent="0.25">
      <c r="B60" t="s">
        <v>262</v>
      </c>
      <c r="C60" s="41">
        <f t="shared" si="13"/>
        <v>1.2500000000000001E-2</v>
      </c>
      <c r="D60" s="40">
        <v>5</v>
      </c>
      <c r="E60" s="32">
        <v>100</v>
      </c>
      <c r="F60" s="21">
        <f t="shared" ref="F60:F63" si="14">D60*E60</f>
        <v>500</v>
      </c>
    </row>
    <row r="61" spans="2:6" hidden="1" outlineLevel="1" x14ac:dyDescent="0.25">
      <c r="B61" t="s">
        <v>263</v>
      </c>
      <c r="C61" s="41">
        <f t="shared" si="13"/>
        <v>0.2</v>
      </c>
      <c r="D61" s="40">
        <v>1</v>
      </c>
      <c r="E61" s="32">
        <v>8000</v>
      </c>
      <c r="F61" s="21">
        <f t="shared" si="14"/>
        <v>8000</v>
      </c>
    </row>
    <row r="62" spans="2:6" hidden="1" outlineLevel="1" x14ac:dyDescent="0.25">
      <c r="B62" t="s">
        <v>264</v>
      </c>
      <c r="C62" s="41">
        <f t="shared" si="13"/>
        <v>1.2500000000000001E-2</v>
      </c>
      <c r="D62" s="40">
        <v>2</v>
      </c>
      <c r="E62" s="32">
        <v>250</v>
      </c>
      <c r="F62" s="21">
        <f t="shared" si="14"/>
        <v>500</v>
      </c>
    </row>
    <row r="63" spans="2:6" hidden="1" outlineLevel="1" x14ac:dyDescent="0.25">
      <c r="B63" t="s">
        <v>265</v>
      </c>
      <c r="C63" s="41">
        <f t="shared" si="13"/>
        <v>0.4</v>
      </c>
      <c r="D63" s="40">
        <v>2</v>
      </c>
      <c r="E63" s="32">
        <v>8000</v>
      </c>
      <c r="F63" s="21">
        <f t="shared" si="14"/>
        <v>16000</v>
      </c>
    </row>
    <row r="64" spans="2:6" hidden="1" outlineLevel="1" x14ac:dyDescent="0.25">
      <c r="B64" t="s">
        <v>266</v>
      </c>
      <c r="C64" s="41">
        <f t="shared" ref="C64" si="15">IFERROR(F64/$F$66,"-")</f>
        <v>8.7499999999999994E-2</v>
      </c>
      <c r="D64" s="40">
        <v>1</v>
      </c>
      <c r="E64" s="32">
        <v>3500</v>
      </c>
      <c r="F64" s="21">
        <f t="shared" ref="F64" si="16">D64*E64</f>
        <v>3500</v>
      </c>
    </row>
    <row r="65" spans="2:6" hidden="1" outlineLevel="1" x14ac:dyDescent="0.25">
      <c r="B65" t="s">
        <v>282</v>
      </c>
      <c r="C65" s="41">
        <f t="shared" ref="C65" si="17">IFERROR(F65/$F$66,"-")</f>
        <v>0.25</v>
      </c>
      <c r="D65" s="40">
        <v>1</v>
      </c>
      <c r="E65" s="32">
        <v>10000</v>
      </c>
      <c r="F65" s="21">
        <f t="shared" ref="F65" si="18">D65*E65</f>
        <v>10000</v>
      </c>
    </row>
    <row r="66" spans="2:6" ht="15.75" hidden="1" outlineLevel="1" thickBot="1" x14ac:dyDescent="0.3">
      <c r="B66" s="10" t="str">
        <f>"Всего "&amp;B57</f>
        <v>Всего Электрические приборы</v>
      </c>
      <c r="C66" s="42">
        <f>SUM(C58:C65)</f>
        <v>1</v>
      </c>
      <c r="D66" s="10"/>
      <c r="E66" s="13">
        <f>SUM(E58:E65)</f>
        <v>30150</v>
      </c>
      <c r="F66" s="13">
        <f>SUM(F58:F65)</f>
        <v>40000</v>
      </c>
    </row>
    <row r="67" spans="2:6" collapsed="1" x14ac:dyDescent="0.25"/>
    <row r="68" spans="2:6" x14ac:dyDescent="0.25">
      <c r="B68" s="2" t="s">
        <v>238</v>
      </c>
      <c r="C68" s="43">
        <f>F68/F3</f>
        <v>3.3114039324570678E-3</v>
      </c>
      <c r="D68" s="2"/>
      <c r="E68" s="2"/>
      <c r="F68" s="35">
        <f>F91</f>
        <v>20700</v>
      </c>
    </row>
    <row r="69" spans="2:6" hidden="1" outlineLevel="1" x14ac:dyDescent="0.25">
      <c r="B69" t="s">
        <v>29</v>
      </c>
      <c r="C69" s="41">
        <f t="shared" ref="C69:C78" si="19">IFERROR(F69/$F$91,"-")</f>
        <v>3.864734299516908E-2</v>
      </c>
      <c r="D69" s="40">
        <v>8</v>
      </c>
      <c r="E69" s="32">
        <v>100</v>
      </c>
      <c r="F69" s="21">
        <f>D69*E69</f>
        <v>800</v>
      </c>
    </row>
    <row r="70" spans="2:6" hidden="1" outlineLevel="1" x14ac:dyDescent="0.25">
      <c r="B70" t="s">
        <v>245</v>
      </c>
      <c r="C70" s="41">
        <f t="shared" si="19"/>
        <v>2.4154589371980676E-2</v>
      </c>
      <c r="D70" s="40">
        <v>5</v>
      </c>
      <c r="E70" s="32">
        <v>100</v>
      </c>
      <c r="F70" s="21">
        <f>D70*E70</f>
        <v>500</v>
      </c>
    </row>
    <row r="71" spans="2:6" hidden="1" outlineLevel="1" x14ac:dyDescent="0.25">
      <c r="B71" t="s">
        <v>30</v>
      </c>
      <c r="C71" s="41">
        <f t="shared" si="19"/>
        <v>2.4154589371980676E-2</v>
      </c>
      <c r="D71" s="40">
        <v>5</v>
      </c>
      <c r="E71" s="32">
        <v>100</v>
      </c>
      <c r="F71" s="21">
        <f t="shared" ref="F71:F76" si="20">D71*E71</f>
        <v>500</v>
      </c>
    </row>
    <row r="72" spans="2:6" hidden="1" outlineLevel="1" x14ac:dyDescent="0.25">
      <c r="B72" t="s">
        <v>246</v>
      </c>
      <c r="C72" s="41">
        <f t="shared" si="19"/>
        <v>2.4154589371980676E-2</v>
      </c>
      <c r="D72" s="40">
        <v>5</v>
      </c>
      <c r="E72" s="32">
        <v>100</v>
      </c>
      <c r="F72" s="21">
        <f t="shared" si="20"/>
        <v>500</v>
      </c>
    </row>
    <row r="73" spans="2:6" hidden="1" outlineLevel="1" x14ac:dyDescent="0.25">
      <c r="B73" t="s">
        <v>247</v>
      </c>
      <c r="C73" s="41">
        <f t="shared" si="19"/>
        <v>1.2077294685990338E-2</v>
      </c>
      <c r="D73" s="40">
        <v>5</v>
      </c>
      <c r="E73" s="32">
        <v>50</v>
      </c>
      <c r="F73" s="21">
        <f t="shared" si="20"/>
        <v>250</v>
      </c>
    </row>
    <row r="74" spans="2:6" hidden="1" outlineLevel="1" x14ac:dyDescent="0.25">
      <c r="B74" t="s">
        <v>31</v>
      </c>
      <c r="C74" s="41">
        <f t="shared" si="19"/>
        <v>0.14492753623188406</v>
      </c>
      <c r="D74" s="40">
        <v>3</v>
      </c>
      <c r="E74" s="32">
        <v>1000</v>
      </c>
      <c r="F74" s="21">
        <f t="shared" si="20"/>
        <v>3000</v>
      </c>
    </row>
    <row r="75" spans="2:6" hidden="1" outlineLevel="1" x14ac:dyDescent="0.25">
      <c r="B75" t="s">
        <v>248</v>
      </c>
      <c r="C75" s="41">
        <f t="shared" si="19"/>
        <v>4.3478260869565216E-2</v>
      </c>
      <c r="D75" s="40">
        <v>3</v>
      </c>
      <c r="E75" s="32">
        <v>300</v>
      </c>
      <c r="F75" s="21">
        <f t="shared" si="20"/>
        <v>900</v>
      </c>
    </row>
    <row r="76" spans="2:6" hidden="1" outlineLevel="1" x14ac:dyDescent="0.25">
      <c r="B76" t="s">
        <v>249</v>
      </c>
      <c r="C76" s="41">
        <f t="shared" si="19"/>
        <v>7.2463768115942032E-2</v>
      </c>
      <c r="D76" s="40">
        <v>3</v>
      </c>
      <c r="E76" s="32">
        <v>500</v>
      </c>
      <c r="F76" s="21">
        <f t="shared" si="20"/>
        <v>1500</v>
      </c>
    </row>
    <row r="77" spans="2:6" hidden="1" outlineLevel="1" x14ac:dyDescent="0.25">
      <c r="B77" t="s">
        <v>37</v>
      </c>
      <c r="C77" s="41">
        <f t="shared" si="19"/>
        <v>1.932367149758454E-2</v>
      </c>
      <c r="D77" s="40">
        <v>2</v>
      </c>
      <c r="E77" s="32">
        <v>200</v>
      </c>
      <c r="F77" s="21">
        <f t="shared" ref="F77:F89" si="21">D77*E77</f>
        <v>400</v>
      </c>
    </row>
    <row r="78" spans="2:6" hidden="1" outlineLevel="1" x14ac:dyDescent="0.25">
      <c r="B78" t="s">
        <v>250</v>
      </c>
      <c r="C78" s="41">
        <f t="shared" si="19"/>
        <v>3.6231884057971016E-2</v>
      </c>
      <c r="D78" s="40">
        <v>5</v>
      </c>
      <c r="E78" s="32">
        <v>150</v>
      </c>
      <c r="F78" s="21">
        <f t="shared" si="21"/>
        <v>750</v>
      </c>
    </row>
    <row r="79" spans="2:6" hidden="1" outlineLevel="1" x14ac:dyDescent="0.25">
      <c r="B79" t="s">
        <v>38</v>
      </c>
      <c r="C79" s="41">
        <f t="shared" ref="C79:C89" si="22">IFERROR(F79/$F$91,"-")</f>
        <v>2.4154589371980676E-2</v>
      </c>
      <c r="D79" s="40">
        <v>5</v>
      </c>
      <c r="E79" s="32">
        <v>100</v>
      </c>
      <c r="F79" s="21">
        <f t="shared" si="21"/>
        <v>500</v>
      </c>
    </row>
    <row r="80" spans="2:6" hidden="1" outlineLevel="1" x14ac:dyDescent="0.25">
      <c r="B80" t="s">
        <v>251</v>
      </c>
      <c r="C80" s="41">
        <f t="shared" si="22"/>
        <v>3.6231884057971016E-2</v>
      </c>
      <c r="D80" s="40">
        <v>5</v>
      </c>
      <c r="E80" s="32">
        <v>150</v>
      </c>
      <c r="F80" s="21">
        <f t="shared" si="21"/>
        <v>750</v>
      </c>
    </row>
    <row r="81" spans="2:6" hidden="1" outlineLevel="1" x14ac:dyDescent="0.25">
      <c r="B81" t="s">
        <v>252</v>
      </c>
      <c r="C81" s="41">
        <f t="shared" si="22"/>
        <v>3.6231884057971016E-2</v>
      </c>
      <c r="D81" s="40">
        <v>5</v>
      </c>
      <c r="E81" s="32">
        <v>150</v>
      </c>
      <c r="F81" s="21">
        <f t="shared" si="21"/>
        <v>750</v>
      </c>
    </row>
    <row r="82" spans="2:6" hidden="1" outlineLevel="1" x14ac:dyDescent="0.25">
      <c r="B82" t="s">
        <v>253</v>
      </c>
      <c r="C82" s="41">
        <f t="shared" si="22"/>
        <v>2.4154589371980676E-2</v>
      </c>
      <c r="D82" s="40">
        <v>5</v>
      </c>
      <c r="E82" s="32">
        <v>100</v>
      </c>
      <c r="F82" s="21">
        <f t="shared" si="21"/>
        <v>500</v>
      </c>
    </row>
    <row r="83" spans="2:6" hidden="1" outlineLevel="1" x14ac:dyDescent="0.25">
      <c r="B83" t="s">
        <v>254</v>
      </c>
      <c r="C83" s="41">
        <f t="shared" si="22"/>
        <v>2.1739130434782608E-2</v>
      </c>
      <c r="D83" s="40">
        <v>3</v>
      </c>
      <c r="E83" s="32">
        <v>150</v>
      </c>
      <c r="F83" s="21">
        <f t="shared" si="21"/>
        <v>450</v>
      </c>
    </row>
    <row r="84" spans="2:6" hidden="1" outlineLevel="1" x14ac:dyDescent="0.25">
      <c r="B84" t="s">
        <v>255</v>
      </c>
      <c r="C84" s="41">
        <f t="shared" si="22"/>
        <v>7.2463768115942032E-2</v>
      </c>
      <c r="D84" s="40">
        <v>3</v>
      </c>
      <c r="E84" s="32">
        <v>500</v>
      </c>
      <c r="F84" s="21">
        <f t="shared" si="21"/>
        <v>1500</v>
      </c>
    </row>
    <row r="85" spans="2:6" hidden="1" outlineLevel="1" x14ac:dyDescent="0.25">
      <c r="B85" t="s">
        <v>256</v>
      </c>
      <c r="C85" s="41">
        <f t="shared" si="22"/>
        <v>3.6231884057971016E-2</v>
      </c>
      <c r="D85" s="40">
        <v>3</v>
      </c>
      <c r="E85" s="32">
        <v>250</v>
      </c>
      <c r="F85" s="21">
        <f t="shared" si="21"/>
        <v>750</v>
      </c>
    </row>
    <row r="86" spans="2:6" hidden="1" outlineLevel="1" x14ac:dyDescent="0.25">
      <c r="B86" t="s">
        <v>257</v>
      </c>
      <c r="C86" s="41">
        <f t="shared" si="22"/>
        <v>4.8309178743961352E-2</v>
      </c>
      <c r="D86" s="40">
        <v>10</v>
      </c>
      <c r="E86" s="32">
        <v>100</v>
      </c>
      <c r="F86" s="21">
        <f t="shared" si="21"/>
        <v>1000</v>
      </c>
    </row>
    <row r="87" spans="2:6" hidden="1" outlineLevel="1" x14ac:dyDescent="0.25">
      <c r="B87" t="s">
        <v>258</v>
      </c>
      <c r="C87" s="41">
        <f t="shared" si="22"/>
        <v>0.12077294685990338</v>
      </c>
      <c r="D87" s="40">
        <v>5</v>
      </c>
      <c r="E87" s="32">
        <v>500</v>
      </c>
      <c r="F87" s="21">
        <f t="shared" si="21"/>
        <v>2500</v>
      </c>
    </row>
    <row r="88" spans="2:6" hidden="1" outlineLevel="1" x14ac:dyDescent="0.25">
      <c r="B88" t="s">
        <v>259</v>
      </c>
      <c r="C88" s="41">
        <f t="shared" si="22"/>
        <v>0.11594202898550725</v>
      </c>
      <c r="D88" s="40">
        <v>3</v>
      </c>
      <c r="E88" s="32">
        <v>800</v>
      </c>
      <c r="F88" s="21">
        <f t="shared" si="21"/>
        <v>2400</v>
      </c>
    </row>
    <row r="89" spans="2:6" hidden="1" outlineLevel="1" x14ac:dyDescent="0.25">
      <c r="B89" t="s">
        <v>47</v>
      </c>
      <c r="C89" s="41">
        <f t="shared" si="22"/>
        <v>2.4154589371980676E-2</v>
      </c>
      <c r="D89" s="40">
        <v>5</v>
      </c>
      <c r="E89" s="32">
        <v>100</v>
      </c>
      <c r="F89" s="21">
        <f t="shared" si="21"/>
        <v>500</v>
      </c>
    </row>
    <row r="90" spans="2:6" hidden="1" outlineLevel="1" x14ac:dyDescent="0.25">
      <c r="C90" s="41"/>
      <c r="E90" s="32"/>
      <c r="F90" s="21"/>
    </row>
    <row r="91" spans="2:6" ht="15.75" hidden="1" outlineLevel="1" thickBot="1" x14ac:dyDescent="0.3">
      <c r="B91" s="10" t="str">
        <f>"Всего "&amp;B68</f>
        <v>Всего Инвентарь простой</v>
      </c>
      <c r="C91" s="42">
        <f>SUM(C69:C90)</f>
        <v>0.99999999999999989</v>
      </c>
      <c r="D91" s="10"/>
      <c r="E91" s="13">
        <f>SUM(E69:E90)</f>
        <v>5500</v>
      </c>
      <c r="F91" s="13">
        <f>SUM(F69:F90)</f>
        <v>20700</v>
      </c>
    </row>
    <row r="92" spans="2:6" collapsed="1" x14ac:dyDescent="0.25"/>
    <row r="93" spans="2:6" x14ac:dyDescent="0.25">
      <c r="B93" s="2" t="s">
        <v>239</v>
      </c>
      <c r="C93" s="43">
        <f>F93/F3</f>
        <v>1.0078185881391075E-2</v>
      </c>
      <c r="D93" s="2"/>
      <c r="E93" s="2"/>
      <c r="F93" s="35">
        <f>F106</f>
        <v>63000</v>
      </c>
    </row>
    <row r="94" spans="2:6" hidden="1" outlineLevel="1" x14ac:dyDescent="0.25">
      <c r="B94" t="s">
        <v>32</v>
      </c>
      <c r="C94" s="41">
        <f t="shared" ref="C94:C103" si="23">IFERROR(F94/$F$106,"-")</f>
        <v>0.1111111111111111</v>
      </c>
      <c r="D94" s="40">
        <v>1</v>
      </c>
      <c r="E94" s="32">
        <v>7000</v>
      </c>
      <c r="F94" s="21">
        <f>D94*E94</f>
        <v>7000</v>
      </c>
    </row>
    <row r="95" spans="2:6" hidden="1" outlineLevel="1" x14ac:dyDescent="0.25">
      <c r="B95" t="s">
        <v>33</v>
      </c>
      <c r="C95" s="41">
        <f t="shared" si="23"/>
        <v>0.11904761904761904</v>
      </c>
      <c r="D95" s="40">
        <v>3</v>
      </c>
      <c r="E95" s="32">
        <v>2500</v>
      </c>
      <c r="F95" s="21">
        <f>D95*E95</f>
        <v>7500</v>
      </c>
    </row>
    <row r="96" spans="2:6" hidden="1" outlineLevel="1" x14ac:dyDescent="0.25">
      <c r="B96" t="s">
        <v>34</v>
      </c>
      <c r="C96" s="41">
        <f t="shared" si="23"/>
        <v>0.11904761904761904</v>
      </c>
      <c r="D96" s="40">
        <v>3</v>
      </c>
      <c r="E96" s="32">
        <v>2500</v>
      </c>
      <c r="F96" s="21">
        <f t="shared" ref="F96:F103" si="24">D96*E96</f>
        <v>7500</v>
      </c>
    </row>
    <row r="97" spans="2:6" hidden="1" outlineLevel="1" x14ac:dyDescent="0.25">
      <c r="B97" t="s">
        <v>35</v>
      </c>
      <c r="C97" s="41">
        <f t="shared" si="23"/>
        <v>6.3492063492063489E-2</v>
      </c>
      <c r="D97" s="40">
        <v>2</v>
      </c>
      <c r="E97" s="32">
        <v>2000</v>
      </c>
      <c r="F97" s="21">
        <f t="shared" si="24"/>
        <v>4000</v>
      </c>
    </row>
    <row r="98" spans="2:6" hidden="1" outlineLevel="1" x14ac:dyDescent="0.25">
      <c r="B98" t="s">
        <v>36</v>
      </c>
      <c r="C98" s="41">
        <f t="shared" si="23"/>
        <v>6.3492063492063489E-2</v>
      </c>
      <c r="D98" s="40">
        <v>2</v>
      </c>
      <c r="E98" s="32">
        <v>2000</v>
      </c>
      <c r="F98" s="21">
        <f t="shared" si="24"/>
        <v>4000</v>
      </c>
    </row>
    <row r="99" spans="2:6" hidden="1" outlineLevel="1" x14ac:dyDescent="0.25">
      <c r="B99" t="s">
        <v>242</v>
      </c>
      <c r="C99" s="41">
        <f t="shared" si="23"/>
        <v>6.3492063492063489E-2</v>
      </c>
      <c r="D99" s="40">
        <v>2</v>
      </c>
      <c r="E99" s="32">
        <v>2000</v>
      </c>
      <c r="F99" s="21">
        <f t="shared" si="24"/>
        <v>4000</v>
      </c>
    </row>
    <row r="100" spans="2:6" hidden="1" outlineLevel="1" x14ac:dyDescent="0.25">
      <c r="B100" t="s">
        <v>243</v>
      </c>
      <c r="C100" s="41">
        <f t="shared" si="23"/>
        <v>7.9365079365079361E-2</v>
      </c>
      <c r="D100" s="40">
        <v>1</v>
      </c>
      <c r="E100" s="32">
        <v>5000</v>
      </c>
      <c r="F100" s="21">
        <f t="shared" si="24"/>
        <v>5000</v>
      </c>
    </row>
    <row r="101" spans="2:6" hidden="1" outlineLevel="1" x14ac:dyDescent="0.25">
      <c r="B101" t="s">
        <v>244</v>
      </c>
      <c r="C101" s="41">
        <f t="shared" si="23"/>
        <v>7.9365079365079361E-2</v>
      </c>
      <c r="D101" s="40">
        <v>1</v>
      </c>
      <c r="E101" s="32">
        <v>5000</v>
      </c>
      <c r="F101" s="21">
        <f t="shared" si="24"/>
        <v>5000</v>
      </c>
    </row>
    <row r="102" spans="2:6" hidden="1" outlineLevel="1" x14ac:dyDescent="0.25">
      <c r="B102" t="s">
        <v>28</v>
      </c>
      <c r="C102" s="41">
        <f t="shared" si="23"/>
        <v>0.23809523809523808</v>
      </c>
      <c r="D102" s="40">
        <v>3</v>
      </c>
      <c r="E102" s="32">
        <v>5000</v>
      </c>
      <c r="F102" s="21">
        <f t="shared" si="24"/>
        <v>15000</v>
      </c>
    </row>
    <row r="103" spans="2:6" hidden="1" outlineLevel="1" x14ac:dyDescent="0.25">
      <c r="B103" t="s">
        <v>27</v>
      </c>
      <c r="C103" s="41">
        <f t="shared" si="23"/>
        <v>6.3492063492063489E-2</v>
      </c>
      <c r="D103" s="40">
        <v>1</v>
      </c>
      <c r="E103" s="32">
        <v>4000</v>
      </c>
      <c r="F103" s="21">
        <f t="shared" si="24"/>
        <v>4000</v>
      </c>
    </row>
    <row r="104" spans="2:6" hidden="1" outlineLevel="1" x14ac:dyDescent="0.25">
      <c r="C104" s="41"/>
      <c r="E104" s="32"/>
      <c r="F104" s="21"/>
    </row>
    <row r="105" spans="2:6" hidden="1" outlineLevel="1" x14ac:dyDescent="0.25">
      <c r="C105" s="41"/>
      <c r="E105" s="32"/>
      <c r="F105" s="21"/>
    </row>
    <row r="106" spans="2:6" ht="15" hidden="1" customHeight="1" outlineLevel="1" thickBot="1" x14ac:dyDescent="0.3">
      <c r="B106" s="10" t="str">
        <f>"Всего "&amp;B93</f>
        <v>Всего Инвентарь механический</v>
      </c>
      <c r="C106" s="42">
        <f>SUM(C94:C105)</f>
        <v>1</v>
      </c>
      <c r="D106" s="10"/>
      <c r="E106" s="13">
        <f>SUM(E94:E105)</f>
        <v>37000</v>
      </c>
      <c r="F106" s="13">
        <f>SUM(F94:F105)</f>
        <v>63000</v>
      </c>
    </row>
    <row r="107" spans="2:6" collapsed="1" x14ac:dyDescent="0.25"/>
    <row r="108" spans="2:6" x14ac:dyDescent="0.25">
      <c r="B108" s="2" t="s">
        <v>240</v>
      </c>
      <c r="C108" s="43">
        <f>F108/F3</f>
        <v>4.7511447726557923E-3</v>
      </c>
      <c r="D108" s="2"/>
      <c r="E108" s="2"/>
      <c r="F108" s="35">
        <f>F118</f>
        <v>29700</v>
      </c>
    </row>
    <row r="109" spans="2:6" hidden="1" outlineLevel="1" x14ac:dyDescent="0.25">
      <c r="B109" t="s">
        <v>39</v>
      </c>
      <c r="C109" s="41">
        <f>IFERROR(F109/$F$118,"-")</f>
        <v>0.11784511784511785</v>
      </c>
      <c r="D109" s="40">
        <v>10</v>
      </c>
      <c r="E109" s="32">
        <v>350</v>
      </c>
      <c r="F109" s="21">
        <f>D109*E109</f>
        <v>3500</v>
      </c>
    </row>
    <row r="110" spans="2:6" hidden="1" outlineLevel="1" x14ac:dyDescent="0.25">
      <c r="B110" t="s">
        <v>40</v>
      </c>
      <c r="C110" s="41">
        <f t="shared" ref="C110:C116" si="25">IFERROR(F110/$F$118,"-")</f>
        <v>0.16835016835016836</v>
      </c>
      <c r="D110" s="40">
        <v>50</v>
      </c>
      <c r="E110" s="32">
        <v>100</v>
      </c>
      <c r="F110" s="21">
        <f>D110*E110</f>
        <v>5000</v>
      </c>
    </row>
    <row r="111" spans="2:6" hidden="1" outlineLevel="1" x14ac:dyDescent="0.25">
      <c r="B111" t="s">
        <v>41</v>
      </c>
      <c r="C111" s="41">
        <f t="shared" si="25"/>
        <v>6.7340067340067339E-2</v>
      </c>
      <c r="D111" s="40">
        <v>20</v>
      </c>
      <c r="E111" s="32">
        <v>100</v>
      </c>
      <c r="F111" s="21">
        <f t="shared" ref="F111:F116" si="26">D111*E111</f>
        <v>2000</v>
      </c>
    </row>
    <row r="112" spans="2:6" hidden="1" outlineLevel="1" x14ac:dyDescent="0.25">
      <c r="B112" t="s">
        <v>42</v>
      </c>
      <c r="C112" s="41">
        <f t="shared" si="25"/>
        <v>8.4175084175084181E-2</v>
      </c>
      <c r="D112" s="40">
        <v>10</v>
      </c>
      <c r="E112" s="32">
        <v>250</v>
      </c>
      <c r="F112" s="21">
        <f t="shared" si="26"/>
        <v>2500</v>
      </c>
    </row>
    <row r="113" spans="2:8" hidden="1" outlineLevel="1" x14ac:dyDescent="0.25">
      <c r="B113" t="s">
        <v>43</v>
      </c>
      <c r="C113" s="41">
        <f t="shared" si="25"/>
        <v>8.4175084175084181E-2</v>
      </c>
      <c r="D113" s="40">
        <v>10</v>
      </c>
      <c r="E113" s="32">
        <v>250</v>
      </c>
      <c r="F113" s="21">
        <f t="shared" si="26"/>
        <v>2500</v>
      </c>
    </row>
    <row r="114" spans="2:8" hidden="1" outlineLevel="1" x14ac:dyDescent="0.25">
      <c r="B114" t="s">
        <v>44</v>
      </c>
      <c r="C114" s="41">
        <f t="shared" si="25"/>
        <v>0.10101010101010101</v>
      </c>
      <c r="D114" s="40">
        <v>20</v>
      </c>
      <c r="E114" s="32">
        <v>150</v>
      </c>
      <c r="F114" s="21">
        <f t="shared" si="26"/>
        <v>3000</v>
      </c>
    </row>
    <row r="115" spans="2:8" hidden="1" outlineLevel="1" x14ac:dyDescent="0.25">
      <c r="B115" t="s">
        <v>45</v>
      </c>
      <c r="C115" s="41">
        <f t="shared" si="25"/>
        <v>0.33670033670033672</v>
      </c>
      <c r="D115" s="40">
        <v>20</v>
      </c>
      <c r="E115" s="32">
        <v>500</v>
      </c>
      <c r="F115" s="21">
        <f t="shared" si="26"/>
        <v>10000</v>
      </c>
    </row>
    <row r="116" spans="2:8" hidden="1" outlineLevel="1" x14ac:dyDescent="0.25">
      <c r="B116" t="s">
        <v>46</v>
      </c>
      <c r="C116" s="41">
        <f t="shared" si="25"/>
        <v>4.0404040404040407E-2</v>
      </c>
      <c r="D116" s="40">
        <v>120</v>
      </c>
      <c r="E116" s="32">
        <v>10</v>
      </c>
      <c r="F116" s="21">
        <f t="shared" si="26"/>
        <v>1200</v>
      </c>
    </row>
    <row r="117" spans="2:8" hidden="1" outlineLevel="1" x14ac:dyDescent="0.25">
      <c r="C117" s="41"/>
      <c r="E117" s="32"/>
      <c r="F117" s="21"/>
    </row>
    <row r="118" spans="2:8" ht="15.75" hidden="1" outlineLevel="1" thickBot="1" x14ac:dyDescent="0.3">
      <c r="B118" s="10" t="str">
        <f>"Всего "&amp;B108</f>
        <v>Всего Спецодежда</v>
      </c>
      <c r="C118" s="42">
        <f>SUM(C109:C117)</f>
        <v>1</v>
      </c>
      <c r="D118" s="10"/>
      <c r="E118" s="13">
        <f>SUM(E109:E117)</f>
        <v>1710</v>
      </c>
      <c r="F118" s="13">
        <f>SUM(F109:F117)</f>
        <v>29700</v>
      </c>
    </row>
    <row r="119" spans="2:8" collapsed="1" x14ac:dyDescent="0.25"/>
    <row r="120" spans="2:8" x14ac:dyDescent="0.25">
      <c r="B120" s="2" t="s">
        <v>241</v>
      </c>
      <c r="C120" s="43">
        <f>F120/F3</f>
        <v>0.1119798431265675</v>
      </c>
      <c r="D120" s="2"/>
      <c r="E120" s="2"/>
      <c r="F120" s="35">
        <f>F124</f>
        <v>700000</v>
      </c>
    </row>
    <row r="121" spans="2:8" hidden="1" outlineLevel="1" x14ac:dyDescent="0.25">
      <c r="B121" t="s">
        <v>50</v>
      </c>
      <c r="C121" s="41">
        <f>IFERROR(F121/F124,"-")</f>
        <v>1</v>
      </c>
      <c r="D121" s="40">
        <v>1</v>
      </c>
      <c r="E121" s="32">
        <v>700000</v>
      </c>
      <c r="F121" s="21">
        <f>D121*E121</f>
        <v>700000</v>
      </c>
      <c r="H121" s="66" t="s">
        <v>51</v>
      </c>
    </row>
    <row r="122" spans="2:8" hidden="1" outlineLevel="1" x14ac:dyDescent="0.25">
      <c r="C122" s="41">
        <f>IFERROR(F122/$F$118,"-")</f>
        <v>0</v>
      </c>
      <c r="D122" s="40">
        <v>0</v>
      </c>
      <c r="E122" s="32">
        <v>0</v>
      </c>
      <c r="F122" s="21">
        <f>D122*E122</f>
        <v>0</v>
      </c>
    </row>
    <row r="123" spans="2:8" hidden="1" outlineLevel="1" x14ac:dyDescent="0.25">
      <c r="C123" s="41"/>
      <c r="E123" s="32"/>
      <c r="F123" s="21"/>
    </row>
    <row r="124" spans="2:8" ht="15.75" hidden="1" outlineLevel="1" thickBot="1" x14ac:dyDescent="0.3">
      <c r="B124" s="10" t="str">
        <f>"Всего "&amp;B120</f>
        <v>Всего Спецтехника</v>
      </c>
      <c r="C124" s="42">
        <f>SUM(C121:C123)</f>
        <v>1</v>
      </c>
      <c r="D124" s="10"/>
      <c r="E124" s="13">
        <f>SUM(E121:E123)</f>
        <v>700000</v>
      </c>
      <c r="F124" s="13">
        <f>SUM(F121:F123)</f>
        <v>700000</v>
      </c>
    </row>
    <row r="125" spans="2:8" collapsed="1" x14ac:dyDescent="0.25"/>
    <row r="126" spans="2:8" x14ac:dyDescent="0.25">
      <c r="B126" s="2" t="s">
        <v>137</v>
      </c>
      <c r="C126" s="43">
        <f>F126/F3</f>
        <v>0.50226735410610313</v>
      </c>
      <c r="D126" s="2"/>
      <c r="E126" s="2"/>
      <c r="F126" s="35">
        <f>F131</f>
        <v>3139736.0280000004</v>
      </c>
    </row>
    <row r="127" spans="2:8" hidden="1" outlineLevel="1" x14ac:dyDescent="0.25">
      <c r="B127" t="str">
        <f>'Предварительный план и расчет'!A46</f>
        <v>Налоги</v>
      </c>
      <c r="C127" s="41">
        <f>IFERROR(F127/$F$131,"-")</f>
        <v>0.42082999596678194</v>
      </c>
      <c r="D127" s="40">
        <v>1</v>
      </c>
      <c r="E127" s="32">
        <f>'Предварительный план и расчет'!G46</f>
        <v>1321295.1000000001</v>
      </c>
      <c r="F127" s="21">
        <f>D127*E127</f>
        <v>1321295.1000000001</v>
      </c>
    </row>
    <row r="128" spans="2:8" hidden="1" outlineLevel="1" x14ac:dyDescent="0.25">
      <c r="B128" t="str">
        <f>'Предварительный план и расчет'!A55</f>
        <v>Зарплата</v>
      </c>
      <c r="C128" s="41">
        <f t="shared" ref="C128:C130" si="27">IFERROR(F128/$F$131,"-")</f>
        <v>0.40573249363624531</v>
      </c>
      <c r="D128" s="40">
        <v>1</v>
      </c>
      <c r="E128" s="32">
        <f>'Предварительный план и расчет'!G55</f>
        <v>1273892.9280000003</v>
      </c>
      <c r="F128" s="21">
        <f t="shared" ref="F128:F130" si="28">D128*E128</f>
        <v>1273892.9280000003</v>
      </c>
    </row>
    <row r="129" spans="2:6" hidden="1" outlineLevel="1" x14ac:dyDescent="0.25">
      <c r="B129" t="str">
        <f>'Предварительный план и расчет'!A69</f>
        <v>Расходы на офис</v>
      </c>
      <c r="C129" s="41">
        <f t="shared" si="27"/>
        <v>9.2491851993361258E-3</v>
      </c>
      <c r="D129" s="40">
        <v>1</v>
      </c>
      <c r="E129" s="32">
        <f>'Предварительный план и расчет'!G69</f>
        <v>29040</v>
      </c>
      <c r="F129" s="21">
        <f t="shared" si="28"/>
        <v>29040</v>
      </c>
    </row>
    <row r="130" spans="2:6" hidden="1" outlineLevel="1" x14ac:dyDescent="0.25">
      <c r="B130" t="str">
        <f>'Предварительный план и расчет'!A82</f>
        <v>Расходы на предоставление услуг</v>
      </c>
      <c r="C130" s="41">
        <f t="shared" si="27"/>
        <v>0.16418832519763663</v>
      </c>
      <c r="D130" s="40">
        <v>1</v>
      </c>
      <c r="E130" s="32">
        <f>'Предварительный план и расчет'!G82</f>
        <v>515508</v>
      </c>
      <c r="F130" s="21">
        <f t="shared" si="28"/>
        <v>515508</v>
      </c>
    </row>
    <row r="131" spans="2:6" ht="15.75" hidden="1" outlineLevel="1" thickBot="1" x14ac:dyDescent="0.3">
      <c r="B131" s="10" t="str">
        <f>"Всего "&amp;B126</f>
        <v>Всего Валовые расходы</v>
      </c>
      <c r="C131" s="42">
        <f>SUM(C127:C130)</f>
        <v>1</v>
      </c>
      <c r="D131" s="10"/>
      <c r="E131" s="13">
        <f>SUM(E127:E130)</f>
        <v>3139736.0280000004</v>
      </c>
      <c r="F131" s="13">
        <f>SUM(F127:F130)</f>
        <v>3139736.0280000004</v>
      </c>
    </row>
    <row r="132" spans="2:6" collapsed="1" x14ac:dyDescent="0.25"/>
  </sheetData>
  <hyperlinks>
    <hyperlink ref="H121" r:id="rId1" location="tb215_r" xr:uid="{34F927AD-3844-4B35-963F-F0615122DDD5}"/>
  </hyperlinks>
  <pageMargins left="0.7" right="0.7" top="0.75" bottom="0.75" header="0.3" footer="0.3"/>
  <pageSetup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367E-D4C6-4639-83D0-C6C60B0A270D}">
  <sheetPr>
    <pageSetUpPr fitToPage="1"/>
  </sheetPr>
  <dimension ref="A1:L58"/>
  <sheetViews>
    <sheetView topLeftCell="A31" zoomScale="85" zoomScaleNormal="85" workbookViewId="0">
      <selection activeCell="L54" sqref="L54"/>
    </sheetView>
  </sheetViews>
  <sheetFormatPr defaultRowHeight="15" x14ac:dyDescent="0.25"/>
  <cols>
    <col min="1" max="1" width="3.42578125" style="68" bestFit="1" customWidth="1"/>
    <col min="2" max="2" width="10.42578125" style="68" customWidth="1"/>
    <col min="3" max="3" width="9.140625" style="68"/>
    <col min="4" max="4" width="10.42578125" style="68" customWidth="1"/>
    <col min="5" max="5" width="12.140625" style="68" bestFit="1" customWidth="1"/>
    <col min="6" max="8" width="9.140625" style="68"/>
    <col min="9" max="9" width="13.140625" style="68" bestFit="1" customWidth="1"/>
    <col min="10" max="11" width="9.140625" style="68"/>
    <col min="12" max="12" width="17.7109375" style="69" bestFit="1" customWidth="1"/>
    <col min="13" max="16384" width="9.140625" style="68"/>
  </cols>
  <sheetData>
    <row r="1" spans="2:12" x14ac:dyDescent="0.25">
      <c r="B1" s="67" t="s">
        <v>53</v>
      </c>
    </row>
    <row r="2" spans="2:12" ht="15" customHeight="1" x14ac:dyDescent="0.25">
      <c r="B2" s="186" t="s">
        <v>127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</row>
    <row r="3" spans="2:12" x14ac:dyDescent="0.25">
      <c r="B3" s="186"/>
      <c r="C3" s="187"/>
      <c r="D3" s="187"/>
      <c r="E3" s="187"/>
      <c r="F3" s="187"/>
      <c r="G3" s="187"/>
      <c r="H3" s="187"/>
      <c r="I3" s="187"/>
      <c r="J3" s="187"/>
      <c r="K3" s="187"/>
      <c r="L3" s="187"/>
    </row>
    <row r="4" spans="2:12" x14ac:dyDescent="0.25">
      <c r="B4" s="186"/>
      <c r="C4" s="187"/>
      <c r="D4" s="187"/>
      <c r="E4" s="187"/>
      <c r="F4" s="187"/>
      <c r="G4" s="187"/>
      <c r="H4" s="187"/>
      <c r="I4" s="187"/>
      <c r="J4" s="187"/>
      <c r="K4" s="187"/>
      <c r="L4" s="187"/>
    </row>
    <row r="5" spans="2:12" x14ac:dyDescent="0.25">
      <c r="B5" s="186"/>
      <c r="C5" s="187"/>
      <c r="D5" s="187"/>
      <c r="E5" s="187"/>
      <c r="F5" s="187"/>
      <c r="G5" s="187"/>
      <c r="H5" s="187"/>
      <c r="I5" s="187"/>
      <c r="J5" s="187"/>
      <c r="K5" s="187"/>
      <c r="L5" s="187"/>
    </row>
    <row r="6" spans="2:12" x14ac:dyDescent="0.25">
      <c r="B6" s="186"/>
      <c r="C6" s="187"/>
      <c r="D6" s="187"/>
      <c r="E6" s="187"/>
      <c r="F6" s="187"/>
      <c r="G6" s="187"/>
      <c r="H6" s="187"/>
      <c r="I6" s="187"/>
      <c r="J6" s="187"/>
      <c r="K6" s="187"/>
      <c r="L6" s="187"/>
    </row>
    <row r="7" spans="2:12" x14ac:dyDescent="0.25">
      <c r="B7" s="186"/>
      <c r="C7" s="187"/>
      <c r="D7" s="187"/>
      <c r="E7" s="187"/>
      <c r="F7" s="187"/>
      <c r="G7" s="187"/>
      <c r="H7" s="187"/>
      <c r="I7" s="187"/>
      <c r="J7" s="187"/>
      <c r="K7" s="187"/>
      <c r="L7" s="187"/>
    </row>
    <row r="8" spans="2:12" x14ac:dyDescent="0.25">
      <c r="B8" s="186"/>
      <c r="C8" s="187"/>
      <c r="D8" s="187"/>
      <c r="E8" s="187"/>
      <c r="F8" s="187"/>
      <c r="G8" s="187"/>
      <c r="H8" s="187"/>
      <c r="I8" s="187"/>
      <c r="J8" s="187"/>
      <c r="K8" s="187"/>
      <c r="L8" s="187"/>
    </row>
    <row r="9" spans="2:12" x14ac:dyDescent="0.25">
      <c r="B9" s="186"/>
      <c r="C9" s="187"/>
      <c r="D9" s="187"/>
      <c r="E9" s="187"/>
      <c r="F9" s="187"/>
      <c r="G9" s="187"/>
      <c r="H9" s="187"/>
      <c r="I9" s="187"/>
      <c r="J9" s="187"/>
      <c r="K9" s="187"/>
      <c r="L9" s="187"/>
    </row>
    <row r="10" spans="2:12" x14ac:dyDescent="0.25">
      <c r="B10" s="185" t="s">
        <v>54</v>
      </c>
      <c r="C10" s="185"/>
      <c r="D10" s="185"/>
      <c r="E10" s="70">
        <v>1000000</v>
      </c>
      <c r="F10" s="71"/>
      <c r="G10" s="71"/>
      <c r="H10" s="71" t="s">
        <v>55</v>
      </c>
      <c r="I10" s="72">
        <f>K47</f>
        <v>-695277.68066346657</v>
      </c>
      <c r="J10" s="71"/>
      <c r="K10" s="73"/>
    </row>
    <row r="11" spans="2:12" x14ac:dyDescent="0.25">
      <c r="B11" s="185" t="s">
        <v>56</v>
      </c>
      <c r="C11" s="185"/>
      <c r="D11" s="185"/>
      <c r="E11" s="70">
        <v>1000000</v>
      </c>
      <c r="F11" s="71"/>
      <c r="G11" s="71"/>
      <c r="H11" s="71" t="s">
        <v>57</v>
      </c>
      <c r="I11" s="74">
        <f>H52</f>
        <v>-1.9386066679083638</v>
      </c>
      <c r="J11" s="71"/>
      <c r="K11" s="73"/>
    </row>
    <row r="12" spans="2:12" x14ac:dyDescent="0.25">
      <c r="B12" s="185" t="s">
        <v>58</v>
      </c>
      <c r="C12" s="185"/>
      <c r="D12" s="185"/>
      <c r="E12" s="75">
        <f>E11/E10</f>
        <v>1</v>
      </c>
      <c r="F12" s="71"/>
      <c r="G12" s="71"/>
      <c r="H12" s="71" t="s">
        <v>59</v>
      </c>
      <c r="I12" s="76">
        <f>G53</f>
        <v>0.30472231933653338</v>
      </c>
      <c r="J12" s="71"/>
      <c r="K12" s="73"/>
    </row>
    <row r="13" spans="2:12" x14ac:dyDescent="0.25">
      <c r="B13" s="185" t="s">
        <v>60</v>
      </c>
      <c r="C13" s="185"/>
      <c r="D13" s="185"/>
      <c r="E13" s="70">
        <f>E10-E11</f>
        <v>0</v>
      </c>
      <c r="F13" s="75">
        <f>100%-E12</f>
        <v>0</v>
      </c>
      <c r="G13" s="71"/>
      <c r="H13" s="71" t="s">
        <v>61</v>
      </c>
      <c r="I13" s="77">
        <f>G54</f>
        <v>39.239194073299991</v>
      </c>
      <c r="J13" s="71"/>
      <c r="K13" s="73"/>
    </row>
    <row r="14" spans="2:12" x14ac:dyDescent="0.25">
      <c r="B14" s="185" t="s">
        <v>62</v>
      </c>
      <c r="C14" s="185"/>
      <c r="D14" s="185"/>
      <c r="E14" s="75">
        <v>0</v>
      </c>
      <c r="F14" s="71"/>
      <c r="G14" s="71"/>
      <c r="H14" s="71"/>
      <c r="I14" s="71"/>
      <c r="J14" s="71"/>
      <c r="K14" s="73"/>
    </row>
    <row r="15" spans="2:12" x14ac:dyDescent="0.25">
      <c r="B15" s="188" t="s">
        <v>63</v>
      </c>
      <c r="C15" s="189"/>
      <c r="D15" s="190"/>
      <c r="E15" s="78">
        <v>800000</v>
      </c>
      <c r="F15" s="71"/>
      <c r="G15" s="71"/>
      <c r="H15" s="71"/>
      <c r="I15" s="71"/>
      <c r="J15" s="71"/>
      <c r="K15" s="73"/>
    </row>
    <row r="16" spans="2:12" x14ac:dyDescent="0.25">
      <c r="B16" s="185" t="s">
        <v>64</v>
      </c>
      <c r="C16" s="185"/>
      <c r="D16" s="185"/>
      <c r="E16" s="79">
        <v>120000</v>
      </c>
      <c r="F16" s="71"/>
      <c r="G16" s="71"/>
      <c r="H16" s="71"/>
      <c r="I16" s="71"/>
      <c r="J16" s="71"/>
      <c r="K16" s="73"/>
    </row>
    <row r="17" spans="1:12" x14ac:dyDescent="0.25">
      <c r="B17" s="185" t="s">
        <v>65</v>
      </c>
      <c r="C17" s="185"/>
      <c r="D17" s="185"/>
      <c r="E17" s="79">
        <v>250000</v>
      </c>
      <c r="F17" s="71"/>
      <c r="G17" s="71"/>
      <c r="H17" s="71"/>
      <c r="I17" s="71"/>
      <c r="J17" s="71"/>
      <c r="K17" s="73"/>
    </row>
    <row r="18" spans="1:12" x14ac:dyDescent="0.25">
      <c r="B18" s="185" t="s">
        <v>66</v>
      </c>
      <c r="C18" s="185"/>
      <c r="D18" s="185"/>
      <c r="E18" s="75">
        <v>0.18</v>
      </c>
      <c r="F18" s="71"/>
      <c r="G18" s="71"/>
      <c r="H18" s="71"/>
      <c r="I18" s="71"/>
      <c r="J18" s="71"/>
      <c r="K18" s="73"/>
    </row>
    <row r="19" spans="1:12" x14ac:dyDescent="0.25">
      <c r="B19" s="185" t="s">
        <v>49</v>
      </c>
      <c r="C19" s="185"/>
      <c r="D19" s="185"/>
      <c r="E19" s="75">
        <v>0.2</v>
      </c>
      <c r="F19" s="71"/>
      <c r="G19" s="71"/>
      <c r="H19" s="71"/>
      <c r="I19" s="71"/>
      <c r="J19" s="71"/>
      <c r="K19" s="73"/>
    </row>
    <row r="20" spans="1:12" x14ac:dyDescent="0.25">
      <c r="B20" s="185" t="s">
        <v>67</v>
      </c>
      <c r="C20" s="185"/>
      <c r="D20" s="185"/>
      <c r="E20" s="75">
        <v>0.23</v>
      </c>
      <c r="F20" s="80" t="s">
        <v>68</v>
      </c>
      <c r="G20" s="81">
        <v>0.8</v>
      </c>
      <c r="H20" s="71"/>
      <c r="I20" s="71"/>
      <c r="J20" s="71"/>
      <c r="K20" s="73"/>
    </row>
    <row r="21" spans="1:12" x14ac:dyDescent="0.25">
      <c r="A21" s="182" t="s">
        <v>69</v>
      </c>
      <c r="B21" s="182" t="s">
        <v>70</v>
      </c>
      <c r="C21" s="182"/>
      <c r="D21" s="182"/>
      <c r="E21" s="78">
        <v>2020</v>
      </c>
      <c r="F21" s="78">
        <f>E21+1</f>
        <v>2021</v>
      </c>
      <c r="G21" s="78">
        <f t="shared" ref="G21:K21" si="0">F21+1</f>
        <v>2022</v>
      </c>
      <c r="H21" s="78">
        <f t="shared" si="0"/>
        <v>2023</v>
      </c>
      <c r="I21" s="78">
        <f t="shared" si="0"/>
        <v>2024</v>
      </c>
      <c r="J21" s="78">
        <f t="shared" si="0"/>
        <v>2025</v>
      </c>
      <c r="K21" s="78">
        <f t="shared" si="0"/>
        <v>2026</v>
      </c>
      <c r="L21" s="184" t="s">
        <v>71</v>
      </c>
    </row>
    <row r="22" spans="1:12" ht="15.75" thickBot="1" x14ac:dyDescent="0.3">
      <c r="A22" s="182"/>
      <c r="B22" s="183"/>
      <c r="C22" s="183"/>
      <c r="D22" s="183"/>
      <c r="E22" s="82">
        <v>0</v>
      </c>
      <c r="F22" s="82">
        <v>1</v>
      </c>
      <c r="G22" s="82">
        <v>2</v>
      </c>
      <c r="H22" s="82">
        <v>3</v>
      </c>
      <c r="I22" s="82">
        <v>4</v>
      </c>
      <c r="J22" s="82">
        <v>5</v>
      </c>
      <c r="K22" s="82">
        <v>6</v>
      </c>
      <c r="L22" s="184"/>
    </row>
    <row r="23" spans="1:12" x14ac:dyDescent="0.25">
      <c r="A23" s="78">
        <v>1</v>
      </c>
      <c r="B23" s="181" t="s">
        <v>72</v>
      </c>
      <c r="C23" s="181"/>
      <c r="D23" s="181"/>
      <c r="E23" s="83"/>
      <c r="F23" s="83"/>
      <c r="G23" s="83"/>
      <c r="H23" s="83"/>
      <c r="I23" s="83"/>
      <c r="J23" s="83"/>
      <c r="K23" s="83"/>
      <c r="L23" s="84"/>
    </row>
    <row r="24" spans="1:12" x14ac:dyDescent="0.25">
      <c r="A24" s="78">
        <v>2</v>
      </c>
      <c r="B24" s="180" t="s">
        <v>54</v>
      </c>
      <c r="C24" s="180"/>
      <c r="D24" s="180"/>
      <c r="E24" s="83">
        <f>-E10</f>
        <v>-1000000</v>
      </c>
      <c r="F24" s="83"/>
      <c r="G24" s="83"/>
      <c r="H24" s="83"/>
      <c r="I24" s="83"/>
      <c r="J24" s="83"/>
      <c r="K24" s="83"/>
      <c r="L24" s="84"/>
    </row>
    <row r="25" spans="1:12" ht="15.75" thickBot="1" x14ac:dyDescent="0.3">
      <c r="A25" s="78">
        <v>3</v>
      </c>
      <c r="B25" s="178" t="s">
        <v>73</v>
      </c>
      <c r="C25" s="178"/>
      <c r="D25" s="178"/>
      <c r="E25" s="85">
        <f>-E10</f>
        <v>-1000000</v>
      </c>
      <c r="F25" s="85"/>
      <c r="G25" s="85"/>
      <c r="H25" s="85"/>
      <c r="I25" s="85"/>
      <c r="J25" s="85"/>
      <c r="K25" s="85"/>
      <c r="L25" s="84"/>
    </row>
    <row r="26" spans="1:12" x14ac:dyDescent="0.25">
      <c r="A26" s="78">
        <v>4</v>
      </c>
      <c r="B26" s="181" t="s">
        <v>74</v>
      </c>
      <c r="C26" s="181"/>
      <c r="D26" s="181"/>
      <c r="E26" s="83"/>
      <c r="F26" s="83"/>
      <c r="G26" s="83"/>
      <c r="H26" s="83"/>
      <c r="I26" s="83"/>
      <c r="J26" s="83"/>
      <c r="K26" s="83"/>
      <c r="L26" s="84"/>
    </row>
    <row r="27" spans="1:12" x14ac:dyDescent="0.25">
      <c r="A27" s="78">
        <v>5</v>
      </c>
      <c r="B27" s="179" t="s">
        <v>56</v>
      </c>
      <c r="C27" s="179"/>
      <c r="D27" s="179"/>
      <c r="E27" s="86">
        <f>-(E10*E12)</f>
        <v>-1000000</v>
      </c>
      <c r="F27" s="86"/>
      <c r="G27" s="86"/>
      <c r="H27" s="86"/>
      <c r="I27" s="86"/>
      <c r="J27" s="86"/>
      <c r="K27" s="86"/>
      <c r="L27" s="84"/>
    </row>
    <row r="28" spans="1:12" x14ac:dyDescent="0.25">
      <c r="A28" s="78">
        <v>6</v>
      </c>
      <c r="B28" s="179" t="s">
        <v>60</v>
      </c>
      <c r="C28" s="179"/>
      <c r="D28" s="179"/>
      <c r="E28" s="86">
        <f>-E13</f>
        <v>0</v>
      </c>
      <c r="F28" s="86"/>
      <c r="G28" s="86"/>
      <c r="H28" s="86"/>
      <c r="I28" s="86"/>
      <c r="J28" s="86"/>
      <c r="K28" s="86"/>
      <c r="L28" s="84"/>
    </row>
    <row r="29" spans="1:12" x14ac:dyDescent="0.25">
      <c r="A29" s="78">
        <v>7</v>
      </c>
      <c r="B29" s="179" t="s">
        <v>75</v>
      </c>
      <c r="C29" s="179"/>
      <c r="D29" s="179"/>
      <c r="E29" s="86"/>
      <c r="F29" s="86">
        <f>($E$28/5)</f>
        <v>0</v>
      </c>
      <c r="G29" s="86">
        <f>($E$28/5)</f>
        <v>0</v>
      </c>
      <c r="H29" s="86">
        <f t="shared" ref="H29:J29" si="1">($E$28/5)</f>
        <v>0</v>
      </c>
      <c r="I29" s="86">
        <f t="shared" si="1"/>
        <v>0</v>
      </c>
      <c r="J29" s="86">
        <f t="shared" si="1"/>
        <v>0</v>
      </c>
      <c r="K29" s="86"/>
      <c r="L29" s="84" t="s">
        <v>76</v>
      </c>
    </row>
    <row r="30" spans="1:12" x14ac:dyDescent="0.25">
      <c r="A30" s="78">
        <v>8</v>
      </c>
      <c r="B30" s="179" t="s">
        <v>77</v>
      </c>
      <c r="C30" s="179"/>
      <c r="D30" s="179"/>
      <c r="E30" s="87">
        <f>E28</f>
        <v>0</v>
      </c>
      <c r="F30" s="86">
        <f>E30-F29</f>
        <v>0</v>
      </c>
      <c r="G30" s="86">
        <f t="shared" ref="G30:J30" si="2">F30-G29</f>
        <v>0</v>
      </c>
      <c r="H30" s="86">
        <f t="shared" si="2"/>
        <v>0</v>
      </c>
      <c r="I30" s="86">
        <f t="shared" si="2"/>
        <v>0</v>
      </c>
      <c r="J30" s="86">
        <f t="shared" si="2"/>
        <v>0</v>
      </c>
      <c r="K30" s="78"/>
      <c r="L30" s="84" t="s">
        <v>78</v>
      </c>
    </row>
    <row r="31" spans="1:12" x14ac:dyDescent="0.25">
      <c r="A31" s="78">
        <v>9</v>
      </c>
      <c r="B31" s="179" t="s">
        <v>62</v>
      </c>
      <c r="C31" s="179"/>
      <c r="D31" s="179"/>
      <c r="E31" s="86"/>
      <c r="F31" s="86">
        <f>E30*$E$14</f>
        <v>0</v>
      </c>
      <c r="G31" s="86">
        <f>F30*$E$14</f>
        <v>0</v>
      </c>
      <c r="H31" s="86">
        <f>G30*$E$14</f>
        <v>0</v>
      </c>
      <c r="I31" s="86">
        <f>H30*$E$14</f>
        <v>0</v>
      </c>
      <c r="J31" s="86">
        <f>I30*$E$14</f>
        <v>0</v>
      </c>
      <c r="L31" s="84" t="s">
        <v>79</v>
      </c>
    </row>
    <row r="32" spans="1:12" ht="15.75" thickBot="1" x14ac:dyDescent="0.3">
      <c r="A32" s="78">
        <v>10</v>
      </c>
      <c r="B32" s="178" t="s">
        <v>80</v>
      </c>
      <c r="C32" s="178"/>
      <c r="D32" s="178"/>
      <c r="E32" s="85">
        <f>E28+E27</f>
        <v>-1000000</v>
      </c>
      <c r="F32" s="85">
        <f>F31+F29</f>
        <v>0</v>
      </c>
      <c r="G32" s="85">
        <f>G31+G29</f>
        <v>0</v>
      </c>
      <c r="H32" s="85">
        <f t="shared" ref="H32:J32" si="3">H31+H29</f>
        <v>0</v>
      </c>
      <c r="I32" s="85">
        <f t="shared" si="3"/>
        <v>0</v>
      </c>
      <c r="J32" s="85">
        <f t="shared" si="3"/>
        <v>0</v>
      </c>
      <c r="K32" s="85"/>
      <c r="L32" s="84" t="s">
        <v>81</v>
      </c>
    </row>
    <row r="33" spans="1:12" x14ac:dyDescent="0.25">
      <c r="A33" s="78">
        <v>11</v>
      </c>
      <c r="B33" s="181" t="s">
        <v>82</v>
      </c>
      <c r="C33" s="181"/>
      <c r="D33" s="181"/>
      <c r="E33" s="83"/>
      <c r="F33" s="83"/>
      <c r="G33" s="83"/>
      <c r="H33" s="83"/>
      <c r="I33" s="83"/>
      <c r="J33" s="83"/>
      <c r="K33" s="83"/>
      <c r="L33" s="84"/>
    </row>
    <row r="34" spans="1:12" x14ac:dyDescent="0.25">
      <c r="A34" s="78">
        <v>12</v>
      </c>
      <c r="B34" s="180" t="s">
        <v>65</v>
      </c>
      <c r="C34" s="180"/>
      <c r="D34" s="180"/>
      <c r="E34" s="83"/>
      <c r="F34" s="83">
        <f>$E$17</f>
        <v>250000</v>
      </c>
      <c r="G34" s="83">
        <f t="shared" ref="G34:K34" si="4">$E$17</f>
        <v>250000</v>
      </c>
      <c r="H34" s="83">
        <f t="shared" si="4"/>
        <v>250000</v>
      </c>
      <c r="I34" s="83">
        <f t="shared" si="4"/>
        <v>250000</v>
      </c>
      <c r="J34" s="83">
        <f t="shared" si="4"/>
        <v>250000</v>
      </c>
      <c r="K34" s="83">
        <f t="shared" si="4"/>
        <v>250000</v>
      </c>
      <c r="L34" s="84"/>
    </row>
    <row r="35" spans="1:12" x14ac:dyDescent="0.25">
      <c r="A35" s="78">
        <v>13</v>
      </c>
      <c r="B35" s="179" t="s">
        <v>64</v>
      </c>
      <c r="C35" s="179"/>
      <c r="D35" s="179"/>
      <c r="E35" s="86"/>
      <c r="F35" s="86">
        <f>$E$16</f>
        <v>120000</v>
      </c>
      <c r="G35" s="86">
        <f t="shared" ref="G35:K35" si="5">$E$16</f>
        <v>120000</v>
      </c>
      <c r="H35" s="86">
        <f t="shared" si="5"/>
        <v>120000</v>
      </c>
      <c r="I35" s="86">
        <f t="shared" si="5"/>
        <v>120000</v>
      </c>
      <c r="J35" s="86">
        <f t="shared" si="5"/>
        <v>120000</v>
      </c>
      <c r="K35" s="86">
        <f t="shared" si="5"/>
        <v>120000</v>
      </c>
      <c r="L35" s="84"/>
    </row>
    <row r="36" spans="1:12" x14ac:dyDescent="0.25">
      <c r="A36" s="78">
        <v>14</v>
      </c>
      <c r="B36" s="179" t="s">
        <v>83</v>
      </c>
      <c r="C36" s="179"/>
      <c r="D36" s="179"/>
      <c r="E36" s="86"/>
      <c r="F36" s="86">
        <f>$E$15/5</f>
        <v>160000</v>
      </c>
      <c r="G36" s="86">
        <f>$E$15/5</f>
        <v>160000</v>
      </c>
      <c r="H36" s="86">
        <f>$E$15/5</f>
        <v>160000</v>
      </c>
      <c r="I36" s="86">
        <f>$E$15/5</f>
        <v>160000</v>
      </c>
      <c r="J36" s="86">
        <f>$E$15/5</f>
        <v>160000</v>
      </c>
      <c r="K36" s="86"/>
      <c r="L36" s="84" t="s">
        <v>84</v>
      </c>
    </row>
    <row r="37" spans="1:12" x14ac:dyDescent="0.25">
      <c r="A37" s="78">
        <v>15</v>
      </c>
      <c r="B37" s="179" t="s">
        <v>49</v>
      </c>
      <c r="C37" s="179"/>
      <c r="D37" s="179"/>
      <c r="E37" s="86"/>
      <c r="F37" s="86">
        <f>F34/6</f>
        <v>41666.666666666664</v>
      </c>
      <c r="G37" s="86">
        <f t="shared" ref="G37:K37" si="6">G34/6</f>
        <v>41666.666666666664</v>
      </c>
      <c r="H37" s="86">
        <f t="shared" si="6"/>
        <v>41666.666666666664</v>
      </c>
      <c r="I37" s="86">
        <f t="shared" si="6"/>
        <v>41666.666666666664</v>
      </c>
      <c r="J37" s="86">
        <f t="shared" si="6"/>
        <v>41666.666666666664</v>
      </c>
      <c r="K37" s="86">
        <f t="shared" si="6"/>
        <v>41666.666666666664</v>
      </c>
      <c r="L37" s="84" t="s">
        <v>85</v>
      </c>
    </row>
    <row r="38" spans="1:12" x14ac:dyDescent="0.25">
      <c r="A38" s="78">
        <v>16</v>
      </c>
      <c r="B38" s="179" t="s">
        <v>86</v>
      </c>
      <c r="C38" s="179"/>
      <c r="D38" s="179"/>
      <c r="E38" s="86"/>
      <c r="F38" s="86">
        <f>F34-F37</f>
        <v>208333.33333333334</v>
      </c>
      <c r="G38" s="86">
        <f t="shared" ref="G38:K38" si="7">G34-G37</f>
        <v>208333.33333333334</v>
      </c>
      <c r="H38" s="86">
        <f t="shared" si="7"/>
        <v>208333.33333333334</v>
      </c>
      <c r="I38" s="86">
        <f t="shared" si="7"/>
        <v>208333.33333333334</v>
      </c>
      <c r="J38" s="86">
        <f t="shared" si="7"/>
        <v>208333.33333333334</v>
      </c>
      <c r="K38" s="86">
        <f t="shared" si="7"/>
        <v>208333.33333333334</v>
      </c>
      <c r="L38" s="84" t="s">
        <v>87</v>
      </c>
    </row>
    <row r="39" spans="1:12" x14ac:dyDescent="0.25">
      <c r="A39" s="78">
        <v>17</v>
      </c>
      <c r="B39" s="179" t="s">
        <v>88</v>
      </c>
      <c r="C39" s="179"/>
      <c r="D39" s="179"/>
      <c r="E39" s="86"/>
      <c r="F39" s="86">
        <f>F38-F35-F36</f>
        <v>-71666.666666666657</v>
      </c>
      <c r="G39" s="86">
        <f t="shared" ref="G39:K39" si="8">G38-G35-G36</f>
        <v>-71666.666666666657</v>
      </c>
      <c r="H39" s="86">
        <f t="shared" si="8"/>
        <v>-71666.666666666657</v>
      </c>
      <c r="I39" s="86">
        <f t="shared" si="8"/>
        <v>-71666.666666666657</v>
      </c>
      <c r="J39" s="86">
        <f t="shared" si="8"/>
        <v>-71666.666666666657</v>
      </c>
      <c r="K39" s="86">
        <f t="shared" si="8"/>
        <v>88333.333333333343</v>
      </c>
      <c r="L39" s="84" t="s">
        <v>89</v>
      </c>
    </row>
    <row r="40" spans="1:12" x14ac:dyDescent="0.25">
      <c r="A40" s="78">
        <v>18</v>
      </c>
      <c r="B40" s="179" t="s">
        <v>66</v>
      </c>
      <c r="C40" s="179"/>
      <c r="D40" s="179"/>
      <c r="E40" s="86"/>
      <c r="F40" s="86">
        <f>F39*$E$18</f>
        <v>-12899.999999999998</v>
      </c>
      <c r="G40" s="86">
        <f t="shared" ref="G40:K40" si="9">G39*$E$18</f>
        <v>-12899.999999999998</v>
      </c>
      <c r="H40" s="86">
        <f t="shared" si="9"/>
        <v>-12899.999999999998</v>
      </c>
      <c r="I40" s="86">
        <f t="shared" si="9"/>
        <v>-12899.999999999998</v>
      </c>
      <c r="J40" s="86">
        <f t="shared" si="9"/>
        <v>-12899.999999999998</v>
      </c>
      <c r="K40" s="86">
        <f t="shared" si="9"/>
        <v>15900.000000000002</v>
      </c>
      <c r="L40" s="84" t="s">
        <v>90</v>
      </c>
    </row>
    <row r="41" spans="1:12" x14ac:dyDescent="0.25">
      <c r="A41" s="78">
        <v>19</v>
      </c>
      <c r="B41" s="179" t="s">
        <v>15</v>
      </c>
      <c r="C41" s="179"/>
      <c r="D41" s="179"/>
      <c r="E41" s="86"/>
      <c r="F41" s="86">
        <f>F39-F40</f>
        <v>-58766.666666666657</v>
      </c>
      <c r="G41" s="86">
        <f t="shared" ref="G41:K41" si="10">G39-G40</f>
        <v>-58766.666666666657</v>
      </c>
      <c r="H41" s="86">
        <f t="shared" si="10"/>
        <v>-58766.666666666657</v>
      </c>
      <c r="I41" s="86">
        <f t="shared" si="10"/>
        <v>-58766.666666666657</v>
      </c>
      <c r="J41" s="86">
        <f t="shared" si="10"/>
        <v>-58766.666666666657</v>
      </c>
      <c r="K41" s="86">
        <f t="shared" si="10"/>
        <v>72433.333333333343</v>
      </c>
      <c r="L41" s="84" t="s">
        <v>91</v>
      </c>
    </row>
    <row r="42" spans="1:12" ht="15.75" thickBot="1" x14ac:dyDescent="0.3">
      <c r="A42" s="78">
        <v>20</v>
      </c>
      <c r="B42" s="178" t="s">
        <v>92</v>
      </c>
      <c r="C42" s="178"/>
      <c r="D42" s="178"/>
      <c r="E42" s="85"/>
      <c r="F42" s="85">
        <f>F41+F36</f>
        <v>101233.33333333334</v>
      </c>
      <c r="G42" s="85">
        <f t="shared" ref="G42:K42" si="11">G41+G36</f>
        <v>101233.33333333334</v>
      </c>
      <c r="H42" s="85">
        <f t="shared" si="11"/>
        <v>101233.33333333334</v>
      </c>
      <c r="I42" s="85">
        <f t="shared" si="11"/>
        <v>101233.33333333334</v>
      </c>
      <c r="J42" s="85">
        <f t="shared" si="11"/>
        <v>101233.33333333334</v>
      </c>
      <c r="K42" s="85">
        <f t="shared" si="11"/>
        <v>72433.333333333343</v>
      </c>
      <c r="L42" s="84" t="s">
        <v>93</v>
      </c>
    </row>
    <row r="43" spans="1:12" x14ac:dyDescent="0.25">
      <c r="A43" s="78">
        <v>21</v>
      </c>
      <c r="B43" s="180" t="s">
        <v>94</v>
      </c>
      <c r="C43" s="180"/>
      <c r="D43" s="180"/>
      <c r="E43" s="83">
        <v>0</v>
      </c>
      <c r="F43" s="83">
        <f>F25+F32+F42</f>
        <v>101233.33333333334</v>
      </c>
      <c r="G43" s="83">
        <f t="shared" ref="G43:K43" si="12">G25+G32+G42</f>
        <v>101233.33333333334</v>
      </c>
      <c r="H43" s="83">
        <f t="shared" si="12"/>
        <v>101233.33333333334</v>
      </c>
      <c r="I43" s="83">
        <f t="shared" si="12"/>
        <v>101233.33333333334</v>
      </c>
      <c r="J43" s="83">
        <f t="shared" si="12"/>
        <v>101233.33333333334</v>
      </c>
      <c r="K43" s="83">
        <f t="shared" si="12"/>
        <v>72433.333333333343</v>
      </c>
      <c r="L43" s="84" t="s">
        <v>95</v>
      </c>
    </row>
    <row r="44" spans="1:12" ht="15.75" thickBot="1" x14ac:dyDescent="0.3">
      <c r="A44" s="78">
        <v>22</v>
      </c>
      <c r="B44" s="178" t="s">
        <v>96</v>
      </c>
      <c r="C44" s="178"/>
      <c r="D44" s="178"/>
      <c r="E44" s="85">
        <f>E27</f>
        <v>-1000000</v>
      </c>
      <c r="F44" s="85">
        <f>F43</f>
        <v>101233.33333333334</v>
      </c>
      <c r="G44" s="85">
        <f t="shared" ref="G44:K44" si="13">G43</f>
        <v>101233.33333333334</v>
      </c>
      <c r="H44" s="85">
        <f t="shared" si="13"/>
        <v>101233.33333333334</v>
      </c>
      <c r="I44" s="85">
        <f t="shared" si="13"/>
        <v>101233.33333333334</v>
      </c>
      <c r="J44" s="85">
        <f t="shared" si="13"/>
        <v>101233.33333333334</v>
      </c>
      <c r="K44" s="85">
        <f t="shared" si="13"/>
        <v>72433.333333333343</v>
      </c>
      <c r="L44" s="84"/>
    </row>
    <row r="45" spans="1:12" x14ac:dyDescent="0.25">
      <c r="A45" s="78">
        <v>23</v>
      </c>
      <c r="B45" s="88" t="s">
        <v>97</v>
      </c>
      <c r="C45" s="89">
        <f>E20</f>
        <v>0.23</v>
      </c>
      <c r="D45" s="88"/>
      <c r="E45" s="83">
        <v>1</v>
      </c>
      <c r="F45" s="90">
        <f>1/(1+$C$45)^F22</f>
        <v>0.81300813008130079</v>
      </c>
      <c r="G45" s="90">
        <f t="shared" ref="G45:K45" si="14">1/(1+$C$45)^G22</f>
        <v>0.6609822195782934</v>
      </c>
      <c r="H45" s="90">
        <f t="shared" si="14"/>
        <v>0.53738391835633614</v>
      </c>
      <c r="I45" s="90">
        <f t="shared" si="14"/>
        <v>0.43689749459864724</v>
      </c>
      <c r="J45" s="90">
        <f t="shared" si="14"/>
        <v>0.3552012151208514</v>
      </c>
      <c r="K45" s="90">
        <f t="shared" si="14"/>
        <v>0.28878147570800933</v>
      </c>
      <c r="L45" s="84"/>
    </row>
    <row r="46" spans="1:12" x14ac:dyDescent="0.25">
      <c r="A46" s="78">
        <v>24</v>
      </c>
      <c r="B46" s="179" t="s">
        <v>98</v>
      </c>
      <c r="C46" s="179"/>
      <c r="D46" s="179"/>
      <c r="E46" s="86">
        <f>E44</f>
        <v>-1000000</v>
      </c>
      <c r="F46" s="86">
        <f>F44*F45</f>
        <v>82303.523035230362</v>
      </c>
      <c r="G46" s="86">
        <f t="shared" ref="G46:K46" si="15">G44*G45</f>
        <v>66913.433361975913</v>
      </c>
      <c r="H46" s="86">
        <f t="shared" si="15"/>
        <v>54401.165334939767</v>
      </c>
      <c r="I46" s="86">
        <f t="shared" si="15"/>
        <v>44228.589703203063</v>
      </c>
      <c r="J46" s="86">
        <f t="shared" si="15"/>
        <v>35958.203010734193</v>
      </c>
      <c r="K46" s="86">
        <f t="shared" si="15"/>
        <v>20917.404890450143</v>
      </c>
      <c r="L46" s="84" t="s">
        <v>99</v>
      </c>
    </row>
    <row r="47" spans="1:12" x14ac:dyDescent="0.25">
      <c r="A47" s="78">
        <v>25</v>
      </c>
      <c r="B47" s="179" t="s">
        <v>100</v>
      </c>
      <c r="C47" s="179"/>
      <c r="D47" s="179"/>
      <c r="E47" s="86">
        <f>E44</f>
        <v>-1000000</v>
      </c>
      <c r="F47" s="86">
        <f>E47+F46</f>
        <v>-917696.47696476965</v>
      </c>
      <c r="G47" s="86">
        <f t="shared" ref="G47:K47" si="16">F47+G46</f>
        <v>-850783.04360279371</v>
      </c>
      <c r="H47" s="86">
        <f t="shared" si="16"/>
        <v>-796381.87826785399</v>
      </c>
      <c r="I47" s="86">
        <f t="shared" si="16"/>
        <v>-752153.28856465092</v>
      </c>
      <c r="J47" s="86">
        <f t="shared" si="16"/>
        <v>-716195.08555391675</v>
      </c>
      <c r="K47" s="86">
        <f t="shared" si="16"/>
        <v>-695277.68066346657</v>
      </c>
      <c r="L47" s="84" t="s">
        <v>101</v>
      </c>
    </row>
    <row r="48" spans="1:12" x14ac:dyDescent="0.25">
      <c r="A48" s="78">
        <v>26</v>
      </c>
      <c r="B48" s="91" t="s">
        <v>97</v>
      </c>
      <c r="C48" s="92">
        <f>G20</f>
        <v>0.8</v>
      </c>
      <c r="D48" s="91"/>
      <c r="E48" s="86">
        <v>1</v>
      </c>
      <c r="F48" s="93">
        <f>1/(1+$C$48)^F22</f>
        <v>0.55555555555555558</v>
      </c>
      <c r="G48" s="93">
        <f t="shared" ref="G48:K48" si="17">1/(1+$C$48)^G22</f>
        <v>0.30864197530864196</v>
      </c>
      <c r="H48" s="93">
        <f t="shared" si="17"/>
        <v>0.17146776406035663</v>
      </c>
      <c r="I48" s="93">
        <f t="shared" si="17"/>
        <v>9.5259868922420346E-2</v>
      </c>
      <c r="J48" s="93">
        <f t="shared" si="17"/>
        <v>5.2922149401344633E-2</v>
      </c>
      <c r="K48" s="93">
        <f t="shared" si="17"/>
        <v>2.9401194111858129E-2</v>
      </c>
      <c r="L48" s="84"/>
    </row>
    <row r="49" spans="1:12" x14ac:dyDescent="0.25">
      <c r="A49" s="78">
        <v>27</v>
      </c>
      <c r="B49" s="179" t="s">
        <v>102</v>
      </c>
      <c r="C49" s="179"/>
      <c r="D49" s="179"/>
      <c r="E49" s="86">
        <f>E44</f>
        <v>-1000000</v>
      </c>
      <c r="F49" s="86">
        <f>F44*F48</f>
        <v>56240.740740740752</v>
      </c>
      <c r="G49" s="86">
        <f t="shared" ref="G49:K49" si="18">G44*G48</f>
        <v>31244.855967078191</v>
      </c>
      <c r="H49" s="86">
        <f t="shared" si="18"/>
        <v>17358.253315043439</v>
      </c>
      <c r="I49" s="86">
        <f t="shared" si="18"/>
        <v>9643.4740639130214</v>
      </c>
      <c r="J49" s="86">
        <f t="shared" si="18"/>
        <v>5357.4855910627884</v>
      </c>
      <c r="K49" s="86">
        <f t="shared" si="18"/>
        <v>2129.6264935022573</v>
      </c>
      <c r="L49" s="84" t="s">
        <v>103</v>
      </c>
    </row>
    <row r="50" spans="1:12" x14ac:dyDescent="0.25">
      <c r="A50" s="78">
        <v>28</v>
      </c>
      <c r="B50" s="179" t="s">
        <v>104</v>
      </c>
      <c r="C50" s="179"/>
      <c r="D50" s="179"/>
      <c r="E50" s="86">
        <f>E49</f>
        <v>-1000000</v>
      </c>
      <c r="F50" s="86">
        <f>E50+F49</f>
        <v>-943759.25925925921</v>
      </c>
      <c r="G50" s="86">
        <f t="shared" ref="G50:K50" si="19">F50+G49</f>
        <v>-912514.40329218097</v>
      </c>
      <c r="H50" s="86">
        <f t="shared" si="19"/>
        <v>-895156.14997713757</v>
      </c>
      <c r="I50" s="86">
        <f t="shared" si="19"/>
        <v>-885512.67591322458</v>
      </c>
      <c r="J50" s="86">
        <f t="shared" si="19"/>
        <v>-880155.19032216177</v>
      </c>
      <c r="K50" s="86">
        <f t="shared" si="19"/>
        <v>-878025.56382865948</v>
      </c>
      <c r="L50" s="84" t="s">
        <v>105</v>
      </c>
    </row>
    <row r="52" spans="1:12" x14ac:dyDescent="0.25">
      <c r="B52" s="68" t="s">
        <v>106</v>
      </c>
      <c r="F52" s="68" t="s">
        <v>107</v>
      </c>
      <c r="G52" s="68">
        <f>E20+(K47*(G20-E20))/(K47-K50)</f>
        <v>-1.9386066679083638</v>
      </c>
      <c r="H52" s="94">
        <f>G52</f>
        <v>-1.9386066679083638</v>
      </c>
    </row>
    <row r="53" spans="1:12" x14ac:dyDescent="0.25">
      <c r="B53" s="68" t="s">
        <v>108</v>
      </c>
      <c r="F53" s="68" t="s">
        <v>109</v>
      </c>
      <c r="G53" s="68">
        <f>1+(K47/ABS(E27))</f>
        <v>0.30472231933653338</v>
      </c>
      <c r="H53" s="68" t="s">
        <v>110</v>
      </c>
      <c r="I53" s="68" t="s">
        <v>111</v>
      </c>
    </row>
    <row r="54" spans="1:12" x14ac:dyDescent="0.25">
      <c r="B54" s="68" t="s">
        <v>112</v>
      </c>
      <c r="F54" s="68" t="s">
        <v>113</v>
      </c>
      <c r="G54" s="68">
        <f>5+(ABS(J47)/K46)</f>
        <v>39.239194073299991</v>
      </c>
      <c r="H54" s="68" t="s">
        <v>114</v>
      </c>
    </row>
    <row r="58" spans="1:12" x14ac:dyDescent="0.25">
      <c r="B58" s="68" t="s">
        <v>115</v>
      </c>
    </row>
  </sheetData>
  <mergeCells count="41">
    <mergeCell ref="B20:D20"/>
    <mergeCell ref="B2:L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31:D31"/>
    <mergeCell ref="A21:A22"/>
    <mergeCell ref="B21:D22"/>
    <mergeCell ref="L21:L22"/>
    <mergeCell ref="B23:D23"/>
    <mergeCell ref="B24:D24"/>
    <mergeCell ref="B25:D25"/>
    <mergeCell ref="B26:D26"/>
    <mergeCell ref="B27:D27"/>
    <mergeCell ref="B28:D28"/>
    <mergeCell ref="B29:D29"/>
    <mergeCell ref="B30:D30"/>
    <mergeCell ref="B43:D43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4:D44"/>
    <mergeCell ref="B46:D46"/>
    <mergeCell ref="B47:D47"/>
    <mergeCell ref="B49:D49"/>
    <mergeCell ref="B50:D50"/>
  </mergeCells>
  <pageMargins left="0.18" right="0.2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BEFC-211A-4319-B9A5-718B09EE7561}">
  <dimension ref="B1:AA25"/>
  <sheetViews>
    <sheetView showGridLines="0" topLeftCell="A7" zoomScale="115" zoomScaleNormal="115" workbookViewId="0">
      <selection activeCell="E22" sqref="E22"/>
    </sheetView>
  </sheetViews>
  <sheetFormatPr defaultRowHeight="16.5" x14ac:dyDescent="0.3"/>
  <cols>
    <col min="1" max="1" width="6.140625" style="95" customWidth="1"/>
    <col min="2" max="2" width="14.28515625" style="95" customWidth="1"/>
    <col min="3" max="3" width="15" style="95" bestFit="1" customWidth="1"/>
    <col min="4" max="4" width="9.42578125" style="95" customWidth="1"/>
    <col min="5" max="5" width="26.42578125" style="95" customWidth="1"/>
    <col min="6" max="6" width="21.42578125" style="95" bestFit="1" customWidth="1"/>
    <col min="7" max="16" width="13.7109375" style="95" bestFit="1" customWidth="1"/>
    <col min="17" max="26" width="12.140625" style="95" customWidth="1"/>
    <col min="27" max="16384" width="9.140625" style="95"/>
  </cols>
  <sheetData>
    <row r="1" spans="2:27" x14ac:dyDescent="0.3">
      <c r="E1" s="96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2:27" x14ac:dyDescent="0.3">
      <c r="B2" s="98" t="s">
        <v>116</v>
      </c>
      <c r="E2" s="96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</row>
    <row r="3" spans="2:27" ht="17.25" thickBot="1" x14ac:dyDescent="0.35"/>
    <row r="4" spans="2:27" ht="17.25" thickBot="1" x14ac:dyDescent="0.35">
      <c r="B4" s="99" t="s">
        <v>117</v>
      </c>
      <c r="C4" s="100"/>
    </row>
    <row r="5" spans="2:27" x14ac:dyDescent="0.3">
      <c r="B5" s="101" t="s">
        <v>118</v>
      </c>
      <c r="C5" s="102">
        <v>20000</v>
      </c>
      <c r="E5" s="103" t="s">
        <v>119</v>
      </c>
      <c r="F5" s="104">
        <v>0</v>
      </c>
      <c r="G5" s="105">
        <f>F5+1</f>
        <v>1</v>
      </c>
      <c r="H5" s="105">
        <f t="shared" ref="H5:P5" si="0">G5+1</f>
        <v>2</v>
      </c>
      <c r="I5" s="105">
        <f t="shared" si="0"/>
        <v>3</v>
      </c>
      <c r="J5" s="105">
        <f t="shared" si="0"/>
        <v>4</v>
      </c>
      <c r="K5" s="105">
        <f t="shared" si="0"/>
        <v>5</v>
      </c>
      <c r="L5" s="105">
        <f t="shared" si="0"/>
        <v>6</v>
      </c>
      <c r="M5" s="105">
        <f t="shared" si="0"/>
        <v>7</v>
      </c>
      <c r="N5" s="105">
        <f t="shared" si="0"/>
        <v>8</v>
      </c>
      <c r="O5" s="105">
        <f t="shared" si="0"/>
        <v>9</v>
      </c>
      <c r="P5" s="105">
        <f t="shared" si="0"/>
        <v>10</v>
      </c>
      <c r="R5" s="106"/>
      <c r="T5" s="106"/>
      <c r="V5" s="106"/>
      <c r="X5" s="106"/>
    </row>
    <row r="6" spans="2:27" x14ac:dyDescent="0.3">
      <c r="B6" s="101" t="s">
        <v>120</v>
      </c>
      <c r="C6" s="102">
        <v>5000</v>
      </c>
      <c r="E6" s="103"/>
      <c r="F6" s="104"/>
      <c r="G6" s="105"/>
      <c r="H6" s="104"/>
      <c r="I6" s="105"/>
      <c r="J6" s="104"/>
      <c r="K6" s="105"/>
      <c r="L6" s="104"/>
      <c r="M6" s="105"/>
      <c r="N6" s="104"/>
      <c r="O6" s="106"/>
      <c r="R6" s="106"/>
      <c r="T6" s="106"/>
      <c r="V6" s="106"/>
      <c r="X6" s="106"/>
    </row>
    <row r="7" spans="2:27" x14ac:dyDescent="0.3">
      <c r="B7" s="101" t="s">
        <v>121</v>
      </c>
      <c r="C7" s="107">
        <v>7.0000000000000007E-2</v>
      </c>
      <c r="E7" s="103" t="s">
        <v>120</v>
      </c>
      <c r="F7" s="108">
        <f>-C5</f>
        <v>-20000</v>
      </c>
      <c r="G7" s="108">
        <f>$C$6</f>
        <v>5000</v>
      </c>
      <c r="H7" s="108">
        <f t="shared" ref="H7:K7" si="1">$C$6</f>
        <v>5000</v>
      </c>
      <c r="I7" s="108">
        <f t="shared" si="1"/>
        <v>5000</v>
      </c>
      <c r="J7" s="108">
        <f t="shared" si="1"/>
        <v>5000</v>
      </c>
      <c r="K7" s="108">
        <f t="shared" si="1"/>
        <v>5000</v>
      </c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</row>
    <row r="8" spans="2:27" ht="17.25" thickBot="1" x14ac:dyDescent="0.35">
      <c r="B8" s="109" t="s">
        <v>122</v>
      </c>
      <c r="C8" s="110">
        <v>5</v>
      </c>
      <c r="E8" s="103" t="s">
        <v>123</v>
      </c>
      <c r="F8" s="111"/>
      <c r="G8" s="111">
        <f>(1+$C$7)^-G5</f>
        <v>0.93457943925233644</v>
      </c>
      <c r="H8" s="111">
        <f t="shared" ref="H8:K8" si="2">(1+$C$7)^-H5</f>
        <v>0.87343872827321156</v>
      </c>
      <c r="I8" s="111">
        <f t="shared" si="2"/>
        <v>0.81629787689085187</v>
      </c>
      <c r="J8" s="111">
        <f t="shared" si="2"/>
        <v>0.7628952120475252</v>
      </c>
      <c r="K8" s="111">
        <f t="shared" si="2"/>
        <v>0.71298617948366838</v>
      </c>
      <c r="L8" s="111"/>
      <c r="M8" s="111"/>
      <c r="N8" s="111"/>
      <c r="O8" s="111"/>
      <c r="P8" s="111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97"/>
    </row>
    <row r="9" spans="2:27" ht="17.25" thickBot="1" x14ac:dyDescent="0.35">
      <c r="E9" s="103" t="s">
        <v>124</v>
      </c>
      <c r="F9" s="108"/>
      <c r="G9" s="108">
        <f>G7*G8</f>
        <v>4672.8971962616824</v>
      </c>
      <c r="H9" s="108">
        <f t="shared" ref="H9:K9" si="3">H7*H8</f>
        <v>4367.1936413660578</v>
      </c>
      <c r="I9" s="108">
        <f t="shared" si="3"/>
        <v>4081.4893844542594</v>
      </c>
      <c r="J9" s="108">
        <f t="shared" si="3"/>
        <v>3814.4760602376259</v>
      </c>
      <c r="K9" s="108">
        <f t="shared" si="3"/>
        <v>3564.9308974183418</v>
      </c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</row>
    <row r="10" spans="2:27" ht="17.25" thickBot="1" x14ac:dyDescent="0.35">
      <c r="B10" s="112" t="s">
        <v>125</v>
      </c>
      <c r="C10" s="113"/>
      <c r="E10" s="103" t="s">
        <v>98</v>
      </c>
      <c r="F10" s="108">
        <f>SUM(G9:P9)</f>
        <v>20500.987179737967</v>
      </c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97"/>
    </row>
    <row r="11" spans="2:27" x14ac:dyDescent="0.3">
      <c r="B11" s="114" t="s">
        <v>98</v>
      </c>
      <c r="C11" s="115">
        <f>F10</f>
        <v>20500.987179737967</v>
      </c>
      <c r="E11" s="103" t="s">
        <v>55</v>
      </c>
      <c r="F11" s="108">
        <f>F10-C5</f>
        <v>500.98717973796738</v>
      </c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7"/>
    </row>
    <row r="12" spans="2:27" ht="17.25" thickBot="1" x14ac:dyDescent="0.35">
      <c r="B12" s="118" t="s">
        <v>55</v>
      </c>
      <c r="C12" s="119">
        <f>F11</f>
        <v>500.98717973796738</v>
      </c>
    </row>
    <row r="13" spans="2:27" x14ac:dyDescent="0.3">
      <c r="C13" s="120"/>
    </row>
    <row r="14" spans="2:27" ht="17.25" thickBot="1" x14ac:dyDescent="0.35">
      <c r="D14" s="121"/>
    </row>
    <row r="15" spans="2:27" ht="17.25" thickBot="1" x14ac:dyDescent="0.35">
      <c r="B15" s="99" t="s">
        <v>117</v>
      </c>
      <c r="C15" s="100"/>
    </row>
    <row r="16" spans="2:27" x14ac:dyDescent="0.3">
      <c r="B16" s="101" t="s">
        <v>118</v>
      </c>
      <c r="C16" s="102">
        <v>20000</v>
      </c>
    </row>
    <row r="17" spans="2:6" x14ac:dyDescent="0.3">
      <c r="B17" s="101" t="s">
        <v>120</v>
      </c>
      <c r="C17" s="102">
        <v>5000</v>
      </c>
    </row>
    <row r="18" spans="2:6" x14ac:dyDescent="0.3">
      <c r="B18" s="101" t="s">
        <v>121</v>
      </c>
      <c r="C18" s="107">
        <v>0.05</v>
      </c>
    </row>
    <row r="19" spans="2:6" ht="17.25" thickBot="1" x14ac:dyDescent="0.35">
      <c r="B19" s="109" t="s">
        <v>122</v>
      </c>
      <c r="C19" s="110">
        <v>5</v>
      </c>
    </row>
    <row r="20" spans="2:6" ht="17.25" thickBot="1" x14ac:dyDescent="0.35">
      <c r="F20" s="122"/>
    </row>
    <row r="21" spans="2:6" ht="17.25" thickBot="1" x14ac:dyDescent="0.35">
      <c r="B21" s="112" t="s">
        <v>125</v>
      </c>
      <c r="C21" s="113"/>
    </row>
    <row r="22" spans="2:6" x14ac:dyDescent="0.3">
      <c r="B22" s="114" t="s">
        <v>98</v>
      </c>
      <c r="C22" s="115">
        <f>IFERROR(C17*C24,"-")</f>
        <v>21647.383353154102</v>
      </c>
    </row>
    <row r="23" spans="2:6" ht="17.25" thickBot="1" x14ac:dyDescent="0.35">
      <c r="B23" s="118" t="s">
        <v>55</v>
      </c>
      <c r="C23" s="123">
        <f>IFERROR(C22-C16,"-")</f>
        <v>1647.3833531541022</v>
      </c>
      <c r="E23" s="124"/>
    </row>
    <row r="24" spans="2:6" ht="17.25" thickBot="1" x14ac:dyDescent="0.35">
      <c r="B24" s="118" t="s">
        <v>126</v>
      </c>
      <c r="C24" s="125">
        <f>((1-(1+C18)^-C19))/C18</f>
        <v>4.3294766706308208</v>
      </c>
    </row>
    <row r="25" spans="2:6" ht="17.25" thickBot="1" x14ac:dyDescent="0.35">
      <c r="B25" s="118" t="s">
        <v>123</v>
      </c>
      <c r="C25" s="125">
        <f>(1+C18)^-C19</f>
        <v>0.78352616646845896</v>
      </c>
    </row>
  </sheetData>
  <conditionalFormatting sqref="F1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23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1">
    <dataValidation type="decimal" allowBlank="1" showInputMessage="1" showErrorMessage="1" sqref="C8 C19" xr:uid="{3309EDF1-F723-46A8-8156-4CB267E2D2FD}">
      <formula1>0</formula1>
      <formula2>20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0008-1828-4273-94EC-19993CB5FABF}">
  <sheetPr>
    <pageSetUpPr fitToPage="1"/>
  </sheetPr>
  <dimension ref="A1:W25"/>
  <sheetViews>
    <sheetView showGridLines="0" workbookViewId="0">
      <selection activeCell="P25" sqref="P25"/>
    </sheetView>
  </sheetViews>
  <sheetFormatPr defaultRowHeight="15" x14ac:dyDescent="0.25"/>
  <cols>
    <col min="1" max="1" width="40" bestFit="1" customWidth="1"/>
    <col min="2" max="2" width="9" bestFit="1" customWidth="1"/>
    <col min="3" max="3" width="7.140625" customWidth="1"/>
    <col min="4" max="10" width="6.7109375" customWidth="1"/>
    <col min="11" max="11" width="18.28515625" bestFit="1" customWidth="1"/>
    <col min="12" max="12" width="4.42578125" customWidth="1"/>
    <col min="13" max="13" width="5.7109375" customWidth="1"/>
    <col min="14" max="14" width="5" customWidth="1"/>
    <col min="15" max="16" width="5.42578125" customWidth="1"/>
    <col min="17" max="17" width="2.5703125" customWidth="1"/>
    <col min="18" max="18" width="18" customWidth="1"/>
    <col min="19" max="19" width="4.7109375" customWidth="1"/>
    <col min="20" max="20" width="6.140625" customWidth="1"/>
    <col min="21" max="21" width="5" customWidth="1"/>
    <col min="22" max="22" width="5.140625" customWidth="1"/>
    <col min="23" max="23" width="5" customWidth="1"/>
  </cols>
  <sheetData>
    <row r="1" spans="1:23" x14ac:dyDescent="0.25">
      <c r="A1" s="3" t="s">
        <v>204</v>
      </c>
      <c r="D1" s="25"/>
      <c r="E1" s="25"/>
      <c r="F1" s="25"/>
      <c r="G1" s="25"/>
      <c r="H1" s="25"/>
      <c r="I1" s="25"/>
      <c r="J1" s="25"/>
    </row>
    <row r="2" spans="1:23" x14ac:dyDescent="0.25">
      <c r="A2" t="s">
        <v>202</v>
      </c>
      <c r="C2" s="27">
        <v>85000</v>
      </c>
      <c r="D2" s="25"/>
      <c r="E2" s="25"/>
      <c r="F2" s="25"/>
      <c r="G2" s="25"/>
      <c r="H2" s="25"/>
      <c r="I2" s="25"/>
      <c r="J2" s="25"/>
    </row>
    <row r="3" spans="1:23" x14ac:dyDescent="0.25">
      <c r="A3" t="s">
        <v>201</v>
      </c>
      <c r="C3" s="27">
        <v>10</v>
      </c>
      <c r="D3" s="25"/>
      <c r="E3" s="25"/>
      <c r="F3" s="25"/>
      <c r="G3" s="25"/>
      <c r="H3" s="25"/>
      <c r="I3" s="25"/>
      <c r="J3" s="25"/>
    </row>
    <row r="4" spans="1:23" x14ac:dyDescent="0.25">
      <c r="A4" s="3" t="s">
        <v>206</v>
      </c>
      <c r="C4" s="19">
        <f>C2/C3</f>
        <v>8500</v>
      </c>
      <c r="D4" s="25"/>
      <c r="E4" s="25"/>
      <c r="F4" s="25"/>
      <c r="G4" s="25"/>
      <c r="H4" s="25"/>
      <c r="I4" s="25"/>
      <c r="J4" s="25"/>
    </row>
    <row r="5" spans="1:23" x14ac:dyDescent="0.25">
      <c r="A5" t="s">
        <v>203</v>
      </c>
      <c r="B5" s="6">
        <v>0.1</v>
      </c>
      <c r="C5">
        <f>C4*B5</f>
        <v>850</v>
      </c>
      <c r="D5" s="25"/>
      <c r="E5" s="25"/>
      <c r="F5" s="25"/>
      <c r="G5" s="25"/>
      <c r="H5" s="25"/>
      <c r="I5" s="25"/>
      <c r="J5" s="25"/>
    </row>
    <row r="6" spans="1:23" x14ac:dyDescent="0.25">
      <c r="B6" s="1"/>
      <c r="D6" s="25"/>
      <c r="E6" s="25"/>
      <c r="F6" s="25"/>
      <c r="G6" s="25"/>
      <c r="H6" s="25"/>
      <c r="I6" s="25"/>
      <c r="J6" s="25"/>
    </row>
    <row r="7" spans="1:23" x14ac:dyDescent="0.25">
      <c r="A7" s="3" t="s">
        <v>205</v>
      </c>
      <c r="C7" s="19">
        <f>C4-C5</f>
        <v>7650</v>
      </c>
      <c r="D7" s="25"/>
      <c r="E7" s="25"/>
      <c r="F7" s="25"/>
      <c r="G7" s="25"/>
      <c r="H7" s="25"/>
      <c r="I7" s="25"/>
      <c r="J7" s="25"/>
    </row>
    <row r="8" spans="1:23" x14ac:dyDescent="0.25">
      <c r="A8" t="str">
        <f>"А - Оптимистический сценарий ("&amp;B8*100&amp;"%)"</f>
        <v>А - Оптимистический сценарий (90%)</v>
      </c>
      <c r="B8" s="6">
        <v>0.9</v>
      </c>
      <c r="C8">
        <f>B8*$C$7</f>
        <v>6885</v>
      </c>
      <c r="D8" s="25"/>
      <c r="E8" s="25"/>
      <c r="F8" s="25"/>
      <c r="G8" s="25"/>
      <c r="H8" s="25"/>
      <c r="I8" s="25"/>
      <c r="J8" s="25"/>
    </row>
    <row r="9" spans="1:23" x14ac:dyDescent="0.25">
      <c r="A9" t="str">
        <f>"Б - Нейтральный сценарий ("&amp;B9*100&amp;"%)"</f>
        <v>Б - Нейтральный сценарий (80%)</v>
      </c>
      <c r="B9" s="6">
        <v>0.8</v>
      </c>
      <c r="C9">
        <f t="shared" ref="C9:C10" si="0">B9*$C$7</f>
        <v>6120</v>
      </c>
      <c r="D9" s="25"/>
      <c r="E9" s="25"/>
      <c r="F9" s="25"/>
      <c r="G9" s="25"/>
      <c r="H9" s="25"/>
      <c r="I9" s="25"/>
      <c r="J9" s="25"/>
    </row>
    <row r="10" spans="1:23" x14ac:dyDescent="0.25">
      <c r="A10" t="str">
        <f>"В - Пессимистический сценарий ("&amp;B10*100&amp;"%)"</f>
        <v>В - Пессимистический сценарий (70%)</v>
      </c>
      <c r="B10" s="6">
        <v>0.7</v>
      </c>
      <c r="C10">
        <f t="shared" si="0"/>
        <v>5355</v>
      </c>
      <c r="D10" s="25"/>
      <c r="E10" s="25"/>
      <c r="F10" s="25"/>
      <c r="G10" s="25"/>
      <c r="H10" s="25"/>
      <c r="I10" s="25"/>
      <c r="J10" s="25"/>
    </row>
    <row r="11" spans="1:23" x14ac:dyDescent="0.25">
      <c r="D11" s="25"/>
      <c r="E11" s="25"/>
      <c r="F11" s="25"/>
      <c r="G11" s="25"/>
      <c r="H11" s="25"/>
      <c r="I11" s="25"/>
      <c r="J11" s="25"/>
    </row>
    <row r="12" spans="1:23" ht="15.75" thickBot="1" x14ac:dyDescent="0.3">
      <c r="A12" s="19" t="s">
        <v>207</v>
      </c>
      <c r="B12" s="19" t="s">
        <v>210</v>
      </c>
      <c r="C12" s="19">
        <v>12</v>
      </c>
      <c r="D12" s="140">
        <v>1</v>
      </c>
      <c r="E12" s="140"/>
      <c r="F12" s="140"/>
      <c r="G12" s="140"/>
      <c r="H12" s="140"/>
      <c r="I12" s="140"/>
      <c r="J12" s="140"/>
    </row>
    <row r="13" spans="1:23" ht="95.25" thickBot="1" x14ac:dyDescent="0.3">
      <c r="A13" t="str">
        <f>"Оптимистический сценарий ("&amp;B13*100&amp;"%)"</f>
        <v>Оптимистический сценарий (30%)</v>
      </c>
      <c r="B13" s="6">
        <v>0.3</v>
      </c>
      <c r="C13">
        <f>ROUNDDOWN(B13*$C$8,0)</f>
        <v>2065</v>
      </c>
      <c r="D13" s="139">
        <f>ROUNDDOWN(C13/$C$12,0)</f>
        <v>172</v>
      </c>
      <c r="E13" s="139"/>
      <c r="F13" s="139"/>
      <c r="G13" s="139"/>
      <c r="H13" s="139"/>
      <c r="I13" s="139"/>
      <c r="J13" s="139"/>
      <c r="K13" s="163"/>
      <c r="L13" s="164"/>
      <c r="M13" s="164"/>
      <c r="N13" s="165" t="s">
        <v>295</v>
      </c>
      <c r="O13" s="165" t="s">
        <v>291</v>
      </c>
      <c r="P13" s="166" t="s">
        <v>292</v>
      </c>
      <c r="Q13" s="160"/>
      <c r="R13" s="163"/>
      <c r="S13" s="164"/>
      <c r="T13" s="164"/>
      <c r="U13" s="165" t="s">
        <v>295</v>
      </c>
      <c r="V13" s="165" t="s">
        <v>291</v>
      </c>
      <c r="W13" s="166" t="s">
        <v>292</v>
      </c>
    </row>
    <row r="14" spans="1:23" ht="15" customHeight="1" x14ac:dyDescent="0.25">
      <c r="A14" t="str">
        <f>"Нейтральный сценарий ("&amp;B14*100&amp;"%)"</f>
        <v>Нейтральный сценарий (20%)</v>
      </c>
      <c r="B14" s="6">
        <v>0.2</v>
      </c>
      <c r="C14">
        <f t="shared" ref="C14:C15" si="1">ROUNDDOWN(B14*$C$8,0)</f>
        <v>1377</v>
      </c>
      <c r="D14" s="139">
        <f t="shared" ref="D14:D15" si="2">ROUNDDOWN(C14/$C$12,0)</f>
        <v>114</v>
      </c>
      <c r="E14" s="139"/>
      <c r="F14" s="139"/>
      <c r="G14" s="139"/>
      <c r="H14" s="139"/>
      <c r="I14" s="139"/>
      <c r="J14" s="139"/>
      <c r="K14" s="167"/>
      <c r="L14" s="174" t="s">
        <v>215</v>
      </c>
      <c r="M14" s="175"/>
      <c r="N14" s="170" t="s">
        <v>212</v>
      </c>
      <c r="O14" s="170"/>
      <c r="P14" s="171"/>
      <c r="Q14" s="143"/>
      <c r="R14" s="167"/>
      <c r="S14" s="174" t="s">
        <v>216</v>
      </c>
      <c r="T14" s="175"/>
      <c r="U14" s="170" t="s">
        <v>212</v>
      </c>
      <c r="V14" s="170"/>
      <c r="W14" s="171"/>
    </row>
    <row r="15" spans="1:23" x14ac:dyDescent="0.25">
      <c r="A15" t="str">
        <f>"Пессимистический сценарий ("&amp;B15*100&amp;"%)"</f>
        <v>Пессимистический сценарий (10%)</v>
      </c>
      <c r="B15" s="6">
        <v>0.1</v>
      </c>
      <c r="C15">
        <f t="shared" si="1"/>
        <v>688</v>
      </c>
      <c r="D15" s="139">
        <f t="shared" si="2"/>
        <v>57</v>
      </c>
      <c r="E15" s="139"/>
      <c r="F15" s="139"/>
      <c r="G15" s="139"/>
      <c r="H15" s="139"/>
      <c r="I15" s="139"/>
      <c r="J15" s="139"/>
      <c r="K15" s="167"/>
      <c r="L15" s="176"/>
      <c r="M15" s="177"/>
      <c r="N15" s="132">
        <f>B8</f>
        <v>0.9</v>
      </c>
      <c r="O15" s="132">
        <f>B9</f>
        <v>0.8</v>
      </c>
      <c r="P15" s="134">
        <f>B10</f>
        <v>0.7</v>
      </c>
      <c r="Q15" s="161"/>
      <c r="R15" s="167"/>
      <c r="S15" s="176"/>
      <c r="T15" s="177"/>
      <c r="U15" s="132">
        <f>B8</f>
        <v>0.9</v>
      </c>
      <c r="V15" s="132">
        <f>B9</f>
        <v>0.8</v>
      </c>
      <c r="W15" s="134">
        <f>B10</f>
        <v>0.7</v>
      </c>
    </row>
    <row r="16" spans="1:23" ht="15" customHeight="1" x14ac:dyDescent="0.25">
      <c r="D16" s="139"/>
      <c r="E16" s="139"/>
      <c r="F16" s="139"/>
      <c r="G16" s="139"/>
      <c r="H16" s="139"/>
      <c r="I16" s="139"/>
      <c r="J16" s="139"/>
      <c r="K16" s="168" t="s">
        <v>294</v>
      </c>
      <c r="L16" s="172" t="s">
        <v>211</v>
      </c>
      <c r="M16" s="132">
        <f t="shared" ref="M16:N18" si="3">B13</f>
        <v>0.3</v>
      </c>
      <c r="N16" s="133">
        <f t="shared" si="3"/>
        <v>2065</v>
      </c>
      <c r="O16" s="133">
        <f>C18</f>
        <v>1836</v>
      </c>
      <c r="P16" s="135">
        <f>C23</f>
        <v>1606</v>
      </c>
      <c r="Q16" s="162"/>
      <c r="R16" s="168" t="s">
        <v>294</v>
      </c>
      <c r="S16" s="172" t="s">
        <v>211</v>
      </c>
      <c r="T16" s="132">
        <f>B13</f>
        <v>0.3</v>
      </c>
      <c r="U16" s="133">
        <f>D13</f>
        <v>172</v>
      </c>
      <c r="V16" s="133">
        <f>D14</f>
        <v>114</v>
      </c>
      <c r="W16" s="135">
        <f>D15</f>
        <v>57</v>
      </c>
    </row>
    <row r="17" spans="1:23" x14ac:dyDescent="0.25">
      <c r="A17" s="19" t="s">
        <v>208</v>
      </c>
      <c r="B17" s="19" t="s">
        <v>210</v>
      </c>
      <c r="C17" s="19">
        <v>12</v>
      </c>
      <c r="D17" s="140">
        <v>1</v>
      </c>
      <c r="E17" s="140"/>
      <c r="F17" s="140"/>
      <c r="G17" s="140"/>
      <c r="H17" s="140"/>
      <c r="I17" s="140"/>
      <c r="J17" s="140"/>
      <c r="K17" s="168" t="s">
        <v>289</v>
      </c>
      <c r="L17" s="172"/>
      <c r="M17" s="132">
        <f t="shared" si="3"/>
        <v>0.2</v>
      </c>
      <c r="N17" s="133">
        <f t="shared" si="3"/>
        <v>1377</v>
      </c>
      <c r="O17" s="133">
        <f>C19</f>
        <v>1224</v>
      </c>
      <c r="P17" s="135">
        <f>C24</f>
        <v>1071</v>
      </c>
      <c r="Q17" s="162"/>
      <c r="R17" s="168" t="s">
        <v>289</v>
      </c>
      <c r="S17" s="172"/>
      <c r="T17" s="132">
        <f>B14</f>
        <v>0.2</v>
      </c>
      <c r="U17" s="133">
        <f>D18</f>
        <v>153</v>
      </c>
      <c r="V17" s="133">
        <f>D19</f>
        <v>102</v>
      </c>
      <c r="W17" s="135">
        <f>D20</f>
        <v>51</v>
      </c>
    </row>
    <row r="18" spans="1:23" ht="18" customHeight="1" thickBot="1" x14ac:dyDescent="0.3">
      <c r="A18" t="str">
        <f>"Оптимистический сценарий ("&amp;B18*100&amp;"%)"</f>
        <v>Оптимистический сценарий (30%)</v>
      </c>
      <c r="B18" s="6">
        <v>0.3</v>
      </c>
      <c r="C18">
        <f>ROUNDDOWN(B18*$C$9,0)</f>
        <v>1836</v>
      </c>
      <c r="D18" s="139">
        <f>ROUNDDOWN(C18/$C$12,0)</f>
        <v>153</v>
      </c>
      <c r="E18" s="139"/>
      <c r="F18" s="139"/>
      <c r="G18" s="139"/>
      <c r="H18" s="139"/>
      <c r="I18" s="139"/>
      <c r="J18" s="139"/>
      <c r="K18" s="169" t="s">
        <v>290</v>
      </c>
      <c r="L18" s="173"/>
      <c r="M18" s="136">
        <f t="shared" si="3"/>
        <v>0.1</v>
      </c>
      <c r="N18" s="137">
        <f t="shared" si="3"/>
        <v>688</v>
      </c>
      <c r="O18" s="137">
        <f>C20</f>
        <v>612</v>
      </c>
      <c r="P18" s="138">
        <f>C25</f>
        <v>535</v>
      </c>
      <c r="Q18" s="162"/>
      <c r="R18" s="169" t="s">
        <v>290</v>
      </c>
      <c r="S18" s="173"/>
      <c r="T18" s="136">
        <f>B15</f>
        <v>0.1</v>
      </c>
      <c r="U18" s="137">
        <f>D23</f>
        <v>133</v>
      </c>
      <c r="V18" s="137">
        <f>D24</f>
        <v>89</v>
      </c>
      <c r="W18" s="138">
        <f>D25</f>
        <v>44</v>
      </c>
    </row>
    <row r="19" spans="1:23" x14ac:dyDescent="0.25">
      <c r="A19" t="str">
        <f>"Нейтральный сценарий ("&amp;B19*100&amp;"%)"</f>
        <v>Нейтральный сценарий (20%)</v>
      </c>
      <c r="B19" s="6">
        <v>0.2</v>
      </c>
      <c r="C19">
        <f t="shared" ref="C19:C20" si="4">ROUNDDOWN(B19*$C$9,0)</f>
        <v>1224</v>
      </c>
      <c r="D19" s="139">
        <f t="shared" ref="D19:D20" si="5">ROUNDDOWN(C19/$C$12,0)</f>
        <v>102</v>
      </c>
      <c r="E19" s="139"/>
      <c r="F19" s="139"/>
      <c r="G19" s="139"/>
      <c r="H19" s="139"/>
      <c r="I19" s="139"/>
      <c r="J19" s="139"/>
    </row>
    <row r="20" spans="1:23" x14ac:dyDescent="0.25">
      <c r="A20" t="str">
        <f>"Пессимистический сценарий ("&amp;B20*100&amp;"%)"</f>
        <v>Пессимистический сценарий (10%)</v>
      </c>
      <c r="B20" s="6">
        <v>0.1</v>
      </c>
      <c r="C20">
        <f t="shared" si="4"/>
        <v>612</v>
      </c>
      <c r="D20" s="139">
        <f t="shared" si="5"/>
        <v>51</v>
      </c>
      <c r="E20" s="139"/>
      <c r="F20" s="139"/>
      <c r="G20" s="139"/>
      <c r="H20" s="139"/>
      <c r="I20" s="139"/>
      <c r="J20" s="139"/>
    </row>
    <row r="21" spans="1:23" x14ac:dyDescent="0.25">
      <c r="D21" s="139"/>
      <c r="E21" s="139"/>
      <c r="F21" s="139"/>
      <c r="G21" s="139"/>
      <c r="H21" s="139"/>
      <c r="I21" s="139"/>
      <c r="J21" s="139"/>
    </row>
    <row r="22" spans="1:23" x14ac:dyDescent="0.25">
      <c r="A22" s="19" t="s">
        <v>209</v>
      </c>
      <c r="B22" s="19" t="s">
        <v>210</v>
      </c>
      <c r="C22" s="19">
        <v>12</v>
      </c>
      <c r="D22" s="140">
        <v>1</v>
      </c>
      <c r="E22" s="140"/>
      <c r="F22" s="140"/>
      <c r="G22" s="140"/>
      <c r="H22" s="140"/>
      <c r="I22" s="140"/>
      <c r="J22" s="140"/>
    </row>
    <row r="23" spans="1:23" x14ac:dyDescent="0.25">
      <c r="A23" t="str">
        <f>"Оптимистический сценарий ("&amp;B23*100&amp;"%)"</f>
        <v>Оптимистический сценарий (30%)</v>
      </c>
      <c r="B23" s="6">
        <v>0.3</v>
      </c>
      <c r="C23">
        <f>ROUNDDOWN(B23*$C$10,0)</f>
        <v>1606</v>
      </c>
      <c r="D23" s="139">
        <f>ROUNDDOWN(C23/$C$12,0)</f>
        <v>133</v>
      </c>
      <c r="E23" s="139"/>
      <c r="F23" s="139"/>
      <c r="G23" s="139"/>
      <c r="H23" s="139"/>
      <c r="I23" s="139"/>
      <c r="J23" s="139"/>
    </row>
    <row r="24" spans="1:23" x14ac:dyDescent="0.25">
      <c r="A24" t="str">
        <f>"Нейтральный сценарий ("&amp;B24*100&amp;"%)"</f>
        <v>Нейтральный сценарий (20%)</v>
      </c>
      <c r="B24" s="6">
        <v>0.2</v>
      </c>
      <c r="C24">
        <f t="shared" ref="C24:C25" si="6">ROUNDDOWN(B24*$C$10,0)</f>
        <v>1071</v>
      </c>
      <c r="D24" s="139">
        <f t="shared" ref="D24:D25" si="7">ROUNDDOWN(C24/$C$12,0)</f>
        <v>89</v>
      </c>
      <c r="E24" s="139"/>
      <c r="F24" s="139"/>
      <c r="G24" s="139"/>
      <c r="H24" s="139"/>
      <c r="I24" s="139"/>
      <c r="J24" s="139"/>
    </row>
    <row r="25" spans="1:23" x14ac:dyDescent="0.25">
      <c r="A25" t="str">
        <f>"Пессимистический сценарий ("&amp;B25*100&amp;"%)"</f>
        <v>Пессимистический сценарий (10%)</v>
      </c>
      <c r="B25" s="6">
        <v>0.1</v>
      </c>
      <c r="C25">
        <f t="shared" si="6"/>
        <v>535</v>
      </c>
      <c r="D25" s="139">
        <f t="shared" si="7"/>
        <v>44</v>
      </c>
      <c r="E25" s="139"/>
      <c r="F25" s="139"/>
      <c r="G25" s="139"/>
      <c r="H25" s="139"/>
      <c r="I25" s="139"/>
      <c r="J25" s="139"/>
    </row>
  </sheetData>
  <mergeCells count="6">
    <mergeCell ref="L14:M15"/>
    <mergeCell ref="N14:P14"/>
    <mergeCell ref="S14:T15"/>
    <mergeCell ref="U14:W14"/>
    <mergeCell ref="L16:L18"/>
    <mergeCell ref="S16:S18"/>
  </mergeCells>
  <pageMargins left="0.28999999999999998" right="0.33" top="0.62" bottom="0.75" header="0.28999999999999998" footer="0.3"/>
  <pageSetup scale="92" orientation="portrait" r:id="rId1"/>
  <headerFooter>
    <oddHeader>&amp;L&amp;F&amp;R&amp;A</oddHeader>
    <oddFooter>&amp;LТ. Х.&amp;R&amp;D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Вместимость</vt:lpstr>
      <vt:lpstr>Предварительный план и расчет</vt:lpstr>
      <vt:lpstr>Точка безубыточности</vt:lpstr>
      <vt:lpstr>Точка Оптимум</vt:lpstr>
      <vt:lpstr>Инвестиции</vt:lpstr>
      <vt:lpstr>InvestForm</vt:lpstr>
      <vt:lpstr>DCF &amp; NVP</vt:lpstr>
      <vt:lpstr>Вместимость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 Khamardiuk</dc:creator>
  <cp:lastModifiedBy>Taras Khamardiuk</cp:lastModifiedBy>
  <cp:lastPrinted>2020-09-04T08:22:15Z</cp:lastPrinted>
  <dcterms:created xsi:type="dcterms:W3CDTF">2020-09-01T09:16:00Z</dcterms:created>
  <dcterms:modified xsi:type="dcterms:W3CDTF">2021-01-12T19:54:42Z</dcterms:modified>
</cp:coreProperties>
</file>